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tables/table1.xml" ContentType="application/vnd.openxmlformats-officedocument.spreadsheetml.table+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tables/table2.xml" ContentType="application/vnd.openxmlformats-officedocument.spreadsheetml.table+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hidePivotFieldList="1" defaultThemeVersion="166925"/>
  <mc:AlternateContent xmlns:mc="http://schemas.openxmlformats.org/markup-compatibility/2006">
    <mc:Choice Requires="x15">
      <x15ac:absPath xmlns:x15ac="http://schemas.microsoft.com/office/spreadsheetml/2010/11/ac" url="C:\01-Works\02-Work\06-Projects\S01-Rajiv-Malhotra\"/>
    </mc:Choice>
  </mc:AlternateContent>
  <bookViews>
    <workbookView xWindow="0" yWindow="0" windowWidth="20490" windowHeight="7530" tabRatio="836" xr2:uid="{00000000-000D-0000-FFFF-FFFF00000000}"/>
  </bookViews>
  <sheets>
    <sheet name="Report-for-RM" sheetId="23" r:id="rId1"/>
    <sheet name="Pivot" sheetId="22" r:id="rId2"/>
    <sheet name="Clip-Titles" sheetId="24" r:id="rId3"/>
    <sheet name="Instructions" sheetId="1" r:id="rId4"/>
    <sheet name="MasterList" sheetId="2" r:id="rId5"/>
    <sheet name="RKT" sheetId="3" r:id="rId6"/>
    <sheet name="HT" sheetId="4" r:id="rId7"/>
    <sheet name="JB" sheetId="5" r:id="rId8"/>
    <sheet name="US" sheetId="6" r:id="rId9"/>
    <sheet name="MS" sheetId="7" r:id="rId10"/>
    <sheet name="AA" sheetId="8" r:id="rId11"/>
    <sheet name="YP" sheetId="9" r:id="rId12"/>
    <sheet name="ND" sheetId="10" r:id="rId13"/>
    <sheet name="KS" sheetId="11" r:id="rId14"/>
    <sheet name="HM" sheetId="12" r:id="rId15"/>
    <sheet name="Final" sheetId="13" r:id="rId16"/>
    <sheet name="TP" sheetId="14" r:id="rId17"/>
    <sheet name="RS" sheetId="15" r:id="rId18"/>
    <sheet name="SS" sheetId="16" r:id="rId19"/>
    <sheet name="HK" sheetId="17" r:id="rId20"/>
    <sheet name="Fields" sheetId="18" r:id="rId21"/>
    <sheet name="CourseName" sheetId="19" r:id="rId22"/>
    <sheet name="Keywords" sheetId="20" r:id="rId23"/>
    <sheet name="Charter" sheetId="21" r:id="rId24"/>
  </sheets>
  <definedNames>
    <definedName name="_xlnm._FilterDatabase" localSheetId="15" hidden="1">Final!$A$1:$F$1217</definedName>
  </definedNames>
  <calcPr calcId="171027"/>
  <pivotCaches>
    <pivotCache cacheId="0" r:id="rId25"/>
  </pivotCaches>
</workbook>
</file>

<file path=xl/calcChain.xml><?xml version="1.0" encoding="utf-8"?>
<calcChain xmlns="http://schemas.openxmlformats.org/spreadsheetml/2006/main">
  <c r="F3" i="24" l="1"/>
  <c r="F4" i="24"/>
  <c r="F5" i="24"/>
  <c r="F6" i="24"/>
  <c r="F7" i="24"/>
  <c r="F8" i="24"/>
  <c r="F9" i="24"/>
  <c r="F10" i="24"/>
  <c r="F11" i="24"/>
  <c r="F12" i="24"/>
  <c r="F13" i="24"/>
  <c r="F14" i="24"/>
  <c r="F15"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87" i="24"/>
  <c r="F88" i="24"/>
  <c r="F89" i="24"/>
  <c r="F90" i="24"/>
  <c r="F91" i="24"/>
  <c r="F92" i="24"/>
  <c r="F93" i="24"/>
  <c r="F94" i="24"/>
  <c r="F95" i="24"/>
  <c r="F96" i="24"/>
  <c r="F97" i="24"/>
  <c r="F98" i="24"/>
  <c r="F99" i="24"/>
  <c r="F100" i="24"/>
  <c r="F101" i="24"/>
  <c r="F102" i="24"/>
  <c r="F103" i="24"/>
  <c r="F104" i="24"/>
  <c r="F105" i="24"/>
  <c r="F106" i="24"/>
  <c r="F107" i="24"/>
  <c r="F108" i="24"/>
  <c r="F109" i="24"/>
  <c r="F110" i="24"/>
  <c r="F111" i="24"/>
  <c r="F112" i="24"/>
  <c r="F113" i="24"/>
  <c r="F114" i="24"/>
  <c r="F115" i="24"/>
  <c r="F116" i="24"/>
  <c r="F117" i="24"/>
  <c r="F118" i="24"/>
  <c r="F119" i="24"/>
  <c r="F120" i="24"/>
  <c r="F121" i="24"/>
  <c r="F122" i="24"/>
  <c r="F123" i="24"/>
  <c r="F124" i="24"/>
  <c r="F125" i="24"/>
  <c r="F126" i="24"/>
  <c r="F127" i="24"/>
  <c r="F128" i="24"/>
  <c r="F129" i="24"/>
  <c r="F130" i="24"/>
  <c r="F131" i="24"/>
  <c r="F132" i="24"/>
  <c r="F133" i="24"/>
  <c r="F134" i="24"/>
  <c r="F135" i="24"/>
  <c r="F136" i="24"/>
  <c r="F137" i="24"/>
  <c r="F138" i="24"/>
  <c r="F139" i="24"/>
  <c r="F140" i="24"/>
  <c r="F141" i="24"/>
  <c r="F142" i="24"/>
  <c r="F143" i="24"/>
  <c r="F144" i="24"/>
  <c r="F145" i="24"/>
  <c r="F146" i="24"/>
  <c r="F147" i="24"/>
  <c r="F148" i="24"/>
  <c r="F149" i="24"/>
  <c r="F150" i="24"/>
  <c r="F151" i="24"/>
  <c r="F152" i="24"/>
  <c r="F153" i="24"/>
  <c r="F154" i="24"/>
  <c r="F155" i="24"/>
  <c r="F156" i="24"/>
  <c r="F157" i="24"/>
  <c r="F158" i="24"/>
  <c r="F159" i="24"/>
  <c r="F160" i="24"/>
  <c r="F161" i="24"/>
  <c r="F162" i="24"/>
  <c r="F163" i="24"/>
  <c r="F164" i="24"/>
  <c r="F165" i="24"/>
  <c r="F166" i="24"/>
  <c r="F167" i="24"/>
  <c r="F168" i="24"/>
  <c r="F169" i="24"/>
  <c r="F170" i="24"/>
  <c r="F171" i="24"/>
  <c r="F172" i="24"/>
  <c r="F173" i="24"/>
  <c r="F174" i="24"/>
  <c r="F175" i="24"/>
  <c r="F176" i="24"/>
  <c r="F177" i="24"/>
  <c r="F178" i="24"/>
  <c r="F179" i="24"/>
  <c r="F180" i="24"/>
  <c r="F181" i="24"/>
  <c r="F182" i="24"/>
  <c r="F183" i="24"/>
  <c r="F184" i="24"/>
  <c r="F185" i="24"/>
  <c r="F186" i="24"/>
  <c r="F187" i="24"/>
  <c r="F188" i="24"/>
  <c r="F189" i="24"/>
  <c r="F190" i="24"/>
  <c r="F191" i="24"/>
  <c r="F192" i="24"/>
  <c r="F193" i="24"/>
  <c r="F194" i="24"/>
  <c r="F195" i="24"/>
  <c r="F196" i="24"/>
  <c r="F197" i="24"/>
  <c r="F198" i="24"/>
  <c r="F199" i="24"/>
  <c r="F200" i="24"/>
  <c r="F201" i="24"/>
  <c r="F202" i="24"/>
  <c r="F203" i="24"/>
  <c r="F204" i="24"/>
  <c r="F205" i="24"/>
  <c r="F206" i="24"/>
  <c r="F207" i="24"/>
  <c r="F208" i="24"/>
  <c r="F209" i="24"/>
  <c r="F210" i="24"/>
  <c r="F211" i="24"/>
  <c r="F212" i="24"/>
  <c r="F213" i="24"/>
  <c r="F214" i="24"/>
  <c r="F215" i="24"/>
  <c r="F216" i="24"/>
  <c r="F217" i="24"/>
  <c r="F218" i="24"/>
  <c r="F219" i="24"/>
  <c r="F220" i="24"/>
  <c r="F221" i="24"/>
  <c r="F222" i="24"/>
  <c r="F223" i="24"/>
  <c r="F224" i="24"/>
  <c r="F225" i="24"/>
  <c r="F226" i="24"/>
  <c r="F227" i="24"/>
  <c r="F228" i="24"/>
  <c r="F229" i="24"/>
  <c r="F230" i="24"/>
  <c r="F231" i="24"/>
  <c r="F232" i="24"/>
  <c r="F233" i="24"/>
  <c r="F234" i="24"/>
  <c r="F235" i="24"/>
  <c r="F236" i="24"/>
  <c r="F237" i="24"/>
  <c r="F238" i="24"/>
  <c r="F239" i="24"/>
  <c r="F240" i="24"/>
  <c r="F241" i="24"/>
  <c r="F242" i="24"/>
  <c r="F243" i="24"/>
  <c r="F244" i="24"/>
  <c r="F245" i="24"/>
  <c r="F246" i="24"/>
  <c r="F247" i="24"/>
  <c r="F248" i="24"/>
  <c r="F249" i="24"/>
  <c r="F250" i="24"/>
  <c r="F251" i="24"/>
  <c r="F252" i="24"/>
  <c r="F253" i="24"/>
  <c r="F254" i="24"/>
  <c r="F255" i="24"/>
  <c r="F256" i="24"/>
  <c r="F257" i="24"/>
  <c r="F258" i="24"/>
  <c r="F259" i="24"/>
  <c r="F260" i="24"/>
  <c r="F261" i="24"/>
  <c r="F262" i="24"/>
  <c r="F263" i="24"/>
  <c r="F264" i="24"/>
  <c r="F265" i="24"/>
  <c r="F266" i="24"/>
  <c r="F267" i="24"/>
  <c r="F268" i="24"/>
  <c r="F269" i="24"/>
  <c r="F270" i="24"/>
  <c r="F271" i="24"/>
  <c r="F272" i="24"/>
  <c r="F273" i="24"/>
  <c r="F274" i="24"/>
  <c r="F275" i="24"/>
  <c r="F276" i="24"/>
  <c r="F277" i="24"/>
  <c r="F278" i="24"/>
  <c r="F279" i="24"/>
  <c r="F280" i="24"/>
  <c r="F281" i="24"/>
  <c r="F282" i="24"/>
  <c r="F283" i="24"/>
  <c r="F284" i="24"/>
  <c r="F285" i="24"/>
  <c r="F286" i="24"/>
  <c r="F287" i="24"/>
  <c r="F288" i="24"/>
  <c r="F289" i="24"/>
  <c r="F290" i="24"/>
  <c r="F291" i="24"/>
  <c r="F292" i="24"/>
  <c r="F293" i="24"/>
  <c r="F294" i="24"/>
  <c r="F295" i="24"/>
  <c r="F296" i="24"/>
  <c r="F297" i="24"/>
  <c r="F298" i="24"/>
  <c r="F299" i="24"/>
  <c r="F300" i="24"/>
  <c r="F301" i="24"/>
  <c r="F302" i="24"/>
  <c r="F303" i="24"/>
  <c r="F304" i="24"/>
  <c r="F305" i="24"/>
  <c r="F306" i="24"/>
  <c r="F307" i="24"/>
  <c r="F308" i="24"/>
  <c r="F309" i="24"/>
  <c r="F310" i="24"/>
  <c r="F311" i="24"/>
  <c r="F312" i="24"/>
  <c r="F313" i="24"/>
  <c r="F314" i="24"/>
  <c r="F315" i="24"/>
  <c r="F316" i="24"/>
  <c r="F317" i="24"/>
  <c r="F318" i="24"/>
  <c r="F319" i="24"/>
  <c r="F320" i="24"/>
  <c r="F321" i="24"/>
  <c r="F322" i="24"/>
  <c r="F323" i="24"/>
  <c r="F324" i="24"/>
  <c r="F325" i="24"/>
  <c r="F326" i="24"/>
  <c r="F327" i="24"/>
  <c r="F328" i="24"/>
  <c r="F329" i="24"/>
  <c r="F330" i="24"/>
  <c r="F331" i="24"/>
  <c r="F332" i="24"/>
  <c r="F333" i="24"/>
  <c r="F334" i="24"/>
  <c r="F335" i="24"/>
  <c r="F336" i="24"/>
  <c r="F337" i="24"/>
  <c r="F338" i="24"/>
  <c r="F339" i="24"/>
  <c r="F340" i="24"/>
  <c r="F341" i="24"/>
  <c r="F342" i="24"/>
  <c r="F343" i="24"/>
  <c r="F344" i="24"/>
  <c r="F345" i="24"/>
  <c r="F346" i="24"/>
  <c r="F347" i="24"/>
  <c r="F348" i="24"/>
  <c r="F349" i="24"/>
  <c r="F350" i="24"/>
  <c r="F351" i="24"/>
  <c r="F352" i="24"/>
  <c r="F353" i="24"/>
  <c r="F354" i="24"/>
  <c r="F355" i="24"/>
  <c r="F356" i="24"/>
  <c r="F357" i="24"/>
  <c r="F358" i="24"/>
  <c r="F359" i="24"/>
  <c r="F360" i="24"/>
  <c r="F361" i="24"/>
  <c r="F362" i="24"/>
  <c r="F363" i="24"/>
  <c r="F364" i="24"/>
  <c r="F365" i="24"/>
  <c r="F366" i="24"/>
  <c r="F367" i="24"/>
  <c r="F368" i="24"/>
  <c r="F369" i="24"/>
  <c r="F370" i="24"/>
  <c r="F371" i="24"/>
  <c r="F372" i="24"/>
  <c r="F373" i="24"/>
  <c r="F374" i="24"/>
  <c r="F375" i="24"/>
  <c r="F376" i="24"/>
  <c r="F377" i="24"/>
  <c r="F378" i="24"/>
  <c r="F379" i="24"/>
  <c r="F380" i="24"/>
  <c r="F381" i="24"/>
  <c r="F382" i="24"/>
  <c r="F383" i="24"/>
  <c r="F384" i="24"/>
  <c r="F385" i="24"/>
  <c r="F386" i="24"/>
  <c r="F387" i="24"/>
  <c r="F388" i="24"/>
  <c r="F389" i="24"/>
  <c r="F390" i="24"/>
  <c r="F391" i="24"/>
  <c r="F392" i="24"/>
  <c r="F393" i="24"/>
  <c r="F394" i="24"/>
  <c r="F395" i="24"/>
  <c r="F396" i="24"/>
  <c r="F397" i="24"/>
  <c r="F398" i="24"/>
  <c r="F399" i="24"/>
  <c r="F400" i="24"/>
  <c r="F401" i="24"/>
  <c r="F402" i="24"/>
  <c r="F403" i="24"/>
  <c r="F404" i="24"/>
  <c r="F405" i="24"/>
  <c r="F406" i="24"/>
  <c r="F407" i="24"/>
  <c r="F408" i="24"/>
  <c r="F409" i="24"/>
  <c r="F410" i="24"/>
  <c r="F411" i="24"/>
  <c r="F412" i="24"/>
  <c r="F413" i="24"/>
  <c r="F414" i="24"/>
  <c r="F415" i="24"/>
  <c r="F416" i="24"/>
  <c r="F417" i="24"/>
  <c r="F418" i="24"/>
  <c r="F419" i="24"/>
  <c r="F420" i="24"/>
  <c r="F421" i="24"/>
  <c r="F422" i="24"/>
  <c r="F423" i="24"/>
  <c r="F424" i="24"/>
  <c r="F425" i="24"/>
  <c r="F426" i="24"/>
  <c r="F427" i="24"/>
  <c r="F428" i="24"/>
  <c r="F429" i="24"/>
  <c r="F430" i="24"/>
  <c r="F431" i="24"/>
  <c r="F432" i="24"/>
  <c r="F433" i="24"/>
  <c r="F434" i="24"/>
  <c r="F435" i="24"/>
  <c r="F436" i="24"/>
  <c r="F437" i="24"/>
  <c r="F438" i="24"/>
  <c r="F439" i="24"/>
  <c r="F440" i="24"/>
  <c r="F441" i="24"/>
  <c r="F442" i="24"/>
  <c r="F443" i="24"/>
  <c r="F444" i="24"/>
  <c r="F445" i="24"/>
  <c r="F446" i="24"/>
  <c r="F447" i="24"/>
  <c r="F448" i="24"/>
  <c r="F449" i="24"/>
  <c r="F450" i="24"/>
  <c r="F451" i="24"/>
  <c r="F452" i="24"/>
  <c r="F453" i="24"/>
  <c r="F454" i="24"/>
  <c r="F455" i="24"/>
  <c r="F456" i="24"/>
  <c r="F457" i="24"/>
  <c r="F458" i="24"/>
  <c r="F459" i="24"/>
  <c r="F460" i="24"/>
  <c r="F461" i="24"/>
  <c r="F462" i="24"/>
  <c r="F463" i="24"/>
  <c r="F464" i="24"/>
  <c r="F465" i="24"/>
  <c r="F466" i="24"/>
  <c r="F467" i="24"/>
  <c r="F468" i="24"/>
  <c r="F469" i="24"/>
  <c r="F470" i="24"/>
  <c r="F471" i="24"/>
  <c r="F472" i="24"/>
  <c r="F473" i="24"/>
  <c r="F474" i="24"/>
  <c r="F475" i="24"/>
  <c r="F476" i="24"/>
  <c r="F477" i="24"/>
  <c r="F478" i="24"/>
  <c r="F479" i="24"/>
  <c r="F480" i="24"/>
  <c r="F481" i="24"/>
  <c r="F482" i="24"/>
  <c r="F483" i="24"/>
  <c r="F484" i="24"/>
  <c r="F485" i="24"/>
  <c r="F486" i="24"/>
  <c r="F487" i="24"/>
  <c r="F488" i="24"/>
  <c r="F489" i="24"/>
  <c r="F490" i="24"/>
  <c r="F491" i="24"/>
  <c r="F492" i="24"/>
  <c r="F493" i="24"/>
  <c r="F494" i="24"/>
  <c r="F495" i="24"/>
  <c r="F496" i="24"/>
  <c r="F497" i="24"/>
  <c r="F498" i="24"/>
  <c r="F499" i="24"/>
  <c r="F500" i="24"/>
  <c r="F501" i="24"/>
  <c r="F502" i="24"/>
  <c r="F503" i="24"/>
  <c r="F504" i="24"/>
  <c r="F505" i="24"/>
  <c r="F506" i="24"/>
  <c r="F507" i="24"/>
  <c r="F508" i="24"/>
  <c r="F509" i="24"/>
  <c r="F510" i="24"/>
  <c r="F511" i="24"/>
  <c r="F512" i="24"/>
  <c r="F513" i="24"/>
  <c r="F514" i="24"/>
  <c r="F515" i="24"/>
  <c r="F516" i="24"/>
  <c r="F517" i="24"/>
  <c r="F518" i="24"/>
  <c r="F519" i="24"/>
  <c r="F520" i="24"/>
  <c r="F521" i="24"/>
  <c r="F522" i="24"/>
  <c r="F523" i="24"/>
  <c r="F524" i="24"/>
  <c r="F525" i="24"/>
  <c r="F526" i="24"/>
  <c r="F527" i="24"/>
  <c r="F528" i="24"/>
  <c r="F529" i="24"/>
  <c r="F530" i="24"/>
  <c r="F531" i="24"/>
  <c r="F532" i="24"/>
  <c r="F533" i="24"/>
  <c r="F534" i="24"/>
  <c r="F535" i="24"/>
  <c r="F536" i="24"/>
  <c r="F537" i="24"/>
  <c r="F538" i="24"/>
  <c r="F539" i="24"/>
  <c r="F540" i="24"/>
  <c r="F541" i="24"/>
  <c r="F542" i="24"/>
  <c r="F543" i="24"/>
  <c r="F544" i="24"/>
  <c r="F545" i="24"/>
  <c r="F546" i="24"/>
  <c r="F547" i="24"/>
  <c r="F548" i="24"/>
  <c r="F549" i="24"/>
  <c r="F550" i="24"/>
  <c r="F551" i="24"/>
  <c r="F552" i="24"/>
  <c r="F553" i="24"/>
  <c r="F554" i="24"/>
  <c r="F555" i="24"/>
  <c r="F556" i="24"/>
  <c r="F557" i="24"/>
  <c r="F558" i="24"/>
  <c r="F559" i="24"/>
  <c r="F560" i="24"/>
  <c r="F561" i="24"/>
  <c r="F562" i="24"/>
  <c r="F563" i="24"/>
  <c r="F564" i="24"/>
  <c r="F565" i="24"/>
  <c r="F566" i="24"/>
  <c r="F567" i="24"/>
  <c r="F2" i="24"/>
  <c r="Q3" i="13"/>
  <c r="Q4" i="13"/>
  <c r="Q5" i="13"/>
  <c r="Q6" i="13"/>
  <c r="Q7" i="13"/>
  <c r="Q8" i="13"/>
  <c r="Q9" i="13"/>
  <c r="Q11" i="13"/>
  <c r="Q12" i="13"/>
  <c r="Q14" i="13"/>
  <c r="Q15" i="13"/>
  <c r="Q16" i="13"/>
  <c r="Q17" i="13"/>
  <c r="Q18" i="13"/>
  <c r="Q19" i="13"/>
  <c r="Q20" i="13"/>
  <c r="Q21" i="13"/>
  <c r="Q22" i="13"/>
  <c r="Q23" i="13"/>
  <c r="Q27" i="13"/>
  <c r="Q28" i="13"/>
  <c r="Q35" i="13"/>
  <c r="Q39" i="13"/>
  <c r="Q44" i="13"/>
  <c r="Q46" i="13"/>
  <c r="Q50" i="13"/>
  <c r="Q51" i="13"/>
  <c r="Q56" i="13"/>
  <c r="Q62" i="13"/>
  <c r="Q63" i="13"/>
  <c r="Q64" i="13"/>
  <c r="Q65" i="13"/>
  <c r="Q68" i="13"/>
  <c r="Q72" i="13"/>
  <c r="Q75" i="13"/>
  <c r="Q80" i="13"/>
  <c r="Q84" i="13"/>
  <c r="Q85" i="13"/>
  <c r="Q86" i="13"/>
  <c r="Q88" i="13"/>
  <c r="Q93" i="13"/>
  <c r="Q95" i="13"/>
  <c r="Q97" i="13"/>
  <c r="Q99" i="13"/>
  <c r="Q101" i="13"/>
  <c r="Q103" i="13"/>
  <c r="Q104" i="13"/>
  <c r="Q106" i="13"/>
  <c r="Q109" i="13"/>
  <c r="Q114" i="13"/>
  <c r="Q116" i="13"/>
  <c r="Q119" i="13"/>
  <c r="Q124" i="13"/>
  <c r="Q125" i="13"/>
  <c r="Q126" i="13"/>
  <c r="Q127" i="13"/>
  <c r="Q128" i="13"/>
  <c r="Q129" i="13"/>
  <c r="Q144" i="13"/>
  <c r="Q145" i="13"/>
  <c r="Q146" i="13"/>
  <c r="Q154" i="13"/>
  <c r="Q155" i="13"/>
  <c r="Q157" i="13"/>
  <c r="Q160" i="13"/>
  <c r="Q161" i="13"/>
  <c r="Q162" i="13"/>
  <c r="Q163" i="13"/>
  <c r="Q166" i="13"/>
  <c r="Q167" i="13"/>
  <c r="Q168" i="13"/>
  <c r="Q170" i="13"/>
  <c r="Q187" i="13"/>
  <c r="Q199" i="13"/>
  <c r="Q206" i="13"/>
  <c r="Q220" i="13"/>
  <c r="Q221" i="13"/>
  <c r="Q222" i="13"/>
  <c r="Q224" i="13"/>
  <c r="Q225" i="13"/>
  <c r="Q226" i="13"/>
  <c r="Q227" i="13"/>
  <c r="Q228" i="13"/>
  <c r="Q229" i="13"/>
  <c r="Q230" i="13"/>
  <c r="Q231" i="13"/>
  <c r="Q232" i="13"/>
  <c r="Q233" i="13"/>
  <c r="Q246" i="13"/>
  <c r="Q247" i="13"/>
  <c r="Q255" i="13"/>
  <c r="Q265" i="13"/>
  <c r="Q271" i="13"/>
  <c r="Q282" i="13"/>
  <c r="Q283" i="13"/>
  <c r="Q284" i="13"/>
  <c r="Q285" i="13"/>
  <c r="Q286" i="13"/>
  <c r="Q287" i="13"/>
  <c r="Q288" i="13"/>
  <c r="Q297" i="13"/>
  <c r="Q298" i="13"/>
  <c r="Q308" i="13"/>
  <c r="Q334" i="13"/>
  <c r="Q339" i="13"/>
  <c r="Q352" i="13"/>
  <c r="Q370" i="13"/>
  <c r="Q385" i="13"/>
  <c r="Q386" i="13"/>
  <c r="Q394" i="13"/>
  <c r="Q395" i="13"/>
  <c r="Q396" i="13"/>
  <c r="Q397" i="13"/>
  <c r="Q398" i="13"/>
  <c r="Q399" i="13"/>
  <c r="Q400" i="13"/>
  <c r="Q401" i="13"/>
  <c r="Q402" i="13"/>
  <c r="Q403" i="13"/>
  <c r="Q404" i="13"/>
  <c r="Q405" i="13"/>
  <c r="Q406" i="13"/>
  <c r="Q407" i="13"/>
  <c r="Q408" i="13"/>
  <c r="Q409" i="13"/>
  <c r="Q410" i="13"/>
  <c r="Q417" i="13"/>
  <c r="Q423" i="13"/>
  <c r="Q429" i="13"/>
  <c r="Q432" i="13"/>
  <c r="Q434" i="13"/>
  <c r="Q436" i="13"/>
  <c r="Q438" i="13"/>
  <c r="Q440" i="13"/>
  <c r="Q446" i="13"/>
  <c r="Q448" i="13"/>
  <c r="Q450" i="13"/>
  <c r="Q451" i="13"/>
  <c r="Q452" i="13"/>
  <c r="Q453" i="13"/>
  <c r="Q454" i="13"/>
  <c r="Q455" i="13"/>
  <c r="Q456" i="13"/>
  <c r="Q457" i="13"/>
  <c r="Q458" i="13"/>
  <c r="Q459" i="13"/>
  <c r="Q460" i="13"/>
  <c r="Q461" i="13"/>
  <c r="Q462" i="13"/>
  <c r="Q473" i="13"/>
  <c r="Q474" i="13"/>
  <c r="Q475" i="13"/>
  <c r="Q476" i="13"/>
  <c r="Q477" i="13"/>
  <c r="Q478" i="13"/>
  <c r="Q480" i="13"/>
  <c r="Q482" i="13"/>
  <c r="Q484" i="13"/>
  <c r="Q486" i="13"/>
  <c r="Q488" i="13"/>
  <c r="Q490" i="13"/>
  <c r="Q491" i="13"/>
  <c r="Q492" i="13"/>
  <c r="Q494" i="13"/>
  <c r="Q496" i="13"/>
  <c r="Q497" i="13"/>
  <c r="Q498" i="13"/>
  <c r="Q499" i="13"/>
  <c r="Q500" i="13"/>
  <c r="Q501" i="13"/>
  <c r="Q502" i="13"/>
  <c r="Q503" i="13"/>
  <c r="Q504" i="13"/>
  <c r="Q505" i="13"/>
  <c r="Q506" i="13"/>
  <c r="Q507" i="13"/>
  <c r="Q508" i="13"/>
  <c r="Q509" i="13"/>
  <c r="Q510" i="13"/>
  <c r="Q520" i="13"/>
  <c r="Q521" i="13"/>
  <c r="Q522" i="13"/>
  <c r="Q523" i="13"/>
  <c r="Q524" i="13"/>
  <c r="Q525" i="13"/>
  <c r="Q526" i="13"/>
  <c r="Q527" i="13"/>
  <c r="Q528" i="13"/>
  <c r="Q529" i="13"/>
  <c r="Q530" i="13"/>
  <c r="Q531" i="13"/>
  <c r="Q532" i="13"/>
  <c r="Q533" i="13"/>
  <c r="Q534" i="13"/>
  <c r="Q535" i="13"/>
  <c r="Q536" i="13"/>
  <c r="Q537" i="13"/>
  <c r="Q538" i="13"/>
  <c r="Q539" i="13"/>
  <c r="Q540" i="13"/>
  <c r="Q541" i="13"/>
  <c r="Q542" i="13"/>
  <c r="Q543" i="13"/>
  <c r="Q544" i="13"/>
  <c r="Q545" i="13"/>
  <c r="Q546" i="13"/>
  <c r="Q547" i="13"/>
  <c r="Q548" i="13"/>
  <c r="Q549" i="13"/>
  <c r="Q550" i="13"/>
  <c r="Q551" i="13"/>
  <c r="Q552" i="13"/>
  <c r="Q553" i="13"/>
  <c r="Q554" i="13"/>
  <c r="Q555" i="13"/>
  <c r="Q556" i="13"/>
  <c r="Q557" i="13"/>
  <c r="Q558" i="13"/>
  <c r="Q559" i="13"/>
  <c r="Q560" i="13"/>
  <c r="Q561" i="13"/>
  <c r="Q562" i="13"/>
  <c r="Q563" i="13"/>
  <c r="Q564" i="13"/>
  <c r="Q565" i="13"/>
  <c r="Q566" i="13"/>
  <c r="Q567" i="13"/>
  <c r="Q568" i="13"/>
  <c r="Q569" i="13"/>
  <c r="Q570" i="13"/>
  <c r="Q571" i="13"/>
  <c r="Q572" i="13"/>
  <c r="Q573" i="13"/>
  <c r="Q574" i="13"/>
  <c r="Q575" i="13"/>
  <c r="Q576" i="13"/>
  <c r="Q577" i="13"/>
  <c r="Q578" i="13"/>
  <c r="Q579" i="13"/>
  <c r="Q580" i="13"/>
  <c r="Q581" i="13"/>
  <c r="Q582" i="13"/>
  <c r="Q583" i="13"/>
  <c r="Q584" i="13"/>
  <c r="Q585" i="13"/>
  <c r="Q586" i="13"/>
  <c r="Q587" i="13"/>
  <c r="Q588" i="13"/>
  <c r="Q589" i="13"/>
  <c r="Q590" i="13"/>
  <c r="Q591" i="13"/>
  <c r="Q592" i="13"/>
  <c r="Q593" i="13"/>
  <c r="Q594" i="13"/>
  <c r="Q595" i="13"/>
  <c r="Q596" i="13"/>
  <c r="Q597" i="13"/>
  <c r="Q598" i="13"/>
  <c r="Q599" i="13"/>
  <c r="Q600" i="13"/>
  <c r="Q601" i="13"/>
  <c r="Q602" i="13"/>
  <c r="Q603" i="13"/>
  <c r="Q604" i="13"/>
  <c r="Q605" i="13"/>
  <c r="Q606" i="13"/>
  <c r="Q607" i="13"/>
  <c r="Q608" i="13"/>
  <c r="Q609" i="13"/>
  <c r="Q610" i="13"/>
  <c r="Q611" i="13"/>
  <c r="Q628" i="13"/>
  <c r="Q629" i="13"/>
  <c r="Q644" i="13"/>
  <c r="Q655" i="13"/>
  <c r="Q656" i="13"/>
  <c r="Q659" i="13"/>
  <c r="Q660" i="13"/>
  <c r="Q661" i="13"/>
  <c r="Q662" i="13"/>
  <c r="Q663" i="13"/>
  <c r="Q664" i="13"/>
  <c r="Q665" i="13"/>
  <c r="Q666" i="13"/>
  <c r="Q667" i="13"/>
  <c r="Q668" i="13"/>
  <c r="Q669" i="13"/>
  <c r="Q670" i="13"/>
  <c r="Q671" i="13"/>
  <c r="Q672" i="13"/>
  <c r="Q673" i="13"/>
  <c r="Q674" i="13"/>
  <c r="Q675" i="13"/>
  <c r="Q676" i="13"/>
  <c r="Q677" i="13"/>
  <c r="Q678" i="13"/>
  <c r="Q679" i="13"/>
  <c r="Q680" i="13"/>
  <c r="Q681" i="13"/>
  <c r="Q682" i="13"/>
  <c r="Q683" i="13"/>
  <c r="Q684" i="13"/>
  <c r="Q685" i="13"/>
  <c r="Q686" i="13"/>
  <c r="Q687" i="13"/>
  <c r="Q688" i="13"/>
  <c r="Q689" i="13"/>
  <c r="Q690" i="13"/>
  <c r="Q691" i="13"/>
  <c r="Q692" i="13"/>
  <c r="Q693" i="13"/>
  <c r="Q694" i="13"/>
  <c r="Q695" i="13"/>
  <c r="Q696" i="13"/>
  <c r="Q697" i="13"/>
  <c r="Q698" i="13"/>
  <c r="Q699" i="13"/>
  <c r="Q700" i="13"/>
  <c r="Q701" i="13"/>
  <c r="Q702" i="13"/>
  <c r="Q703" i="13"/>
  <c r="Q704" i="13"/>
  <c r="Q705" i="13"/>
  <c r="Q706" i="13"/>
  <c r="Q707" i="13"/>
  <c r="Q708" i="13"/>
  <c r="Q709" i="13"/>
  <c r="Q710" i="13"/>
  <c r="Q711" i="13"/>
  <c r="Q712" i="13"/>
  <c r="Q713" i="13"/>
  <c r="Q714" i="13"/>
  <c r="Q715" i="13"/>
  <c r="Q716" i="13"/>
  <c r="Q717" i="13"/>
  <c r="Q718" i="13"/>
  <c r="Q719" i="13"/>
  <c r="Q720" i="13"/>
  <c r="Q721" i="13"/>
  <c r="Q722" i="13"/>
  <c r="Q723" i="13"/>
  <c r="Q724" i="13"/>
  <c r="Q725" i="13"/>
  <c r="Q726" i="13"/>
  <c r="Q727" i="13"/>
  <c r="Q728" i="13"/>
  <c r="Q729" i="13"/>
  <c r="Q730" i="13"/>
  <c r="Q731" i="13"/>
  <c r="Q732" i="13"/>
  <c r="Q733" i="13"/>
  <c r="Q734" i="13"/>
  <c r="Q735" i="13"/>
  <c r="Q736" i="13"/>
  <c r="Q737" i="13"/>
  <c r="Q738" i="13"/>
  <c r="Q739" i="13"/>
  <c r="Q740" i="13"/>
  <c r="Q741" i="13"/>
  <c r="Q742" i="13"/>
  <c r="Q743" i="13"/>
  <c r="Q744" i="13"/>
  <c r="Q745" i="13"/>
  <c r="Q746" i="13"/>
  <c r="Q747" i="13"/>
  <c r="Q748" i="13"/>
  <c r="Q749" i="13"/>
  <c r="Q750" i="13"/>
  <c r="Q751" i="13"/>
  <c r="Q752" i="13"/>
  <c r="Q753" i="13"/>
  <c r="Q754" i="13"/>
  <c r="Q755" i="13"/>
  <c r="Q756" i="13"/>
  <c r="Q757" i="13"/>
  <c r="Q758" i="13"/>
  <c r="Q759" i="13"/>
  <c r="Q760" i="13"/>
  <c r="Q761" i="13"/>
  <c r="Q762" i="13"/>
  <c r="Q763" i="13"/>
  <c r="Q764" i="13"/>
  <c r="Q765" i="13"/>
  <c r="Q766" i="13"/>
  <c r="Q767" i="13"/>
  <c r="Q768" i="13"/>
  <c r="Q769" i="13"/>
  <c r="Q770" i="13"/>
  <c r="Q771" i="13"/>
  <c r="Q772" i="13"/>
  <c r="Q773" i="13"/>
  <c r="Q774" i="13"/>
  <c r="Q775" i="13"/>
  <c r="Q776" i="13"/>
  <c r="Q777" i="13"/>
  <c r="Q778" i="13"/>
  <c r="Q779" i="13"/>
  <c r="Q780" i="13"/>
  <c r="Q781" i="13"/>
  <c r="Q782" i="13"/>
  <c r="Q783" i="13"/>
  <c r="Q784" i="13"/>
  <c r="Q785" i="13"/>
  <c r="Q786" i="13"/>
  <c r="Q787" i="13"/>
  <c r="Q788" i="13"/>
  <c r="Q789" i="13"/>
  <c r="Q790" i="13"/>
  <c r="Q791" i="13"/>
  <c r="Q792" i="13"/>
  <c r="Q793" i="13"/>
  <c r="Q794" i="13"/>
  <c r="Q795" i="13"/>
  <c r="Q796" i="13"/>
  <c r="Q797" i="13"/>
  <c r="Q798" i="13"/>
  <c r="Q799" i="13"/>
  <c r="Q800" i="13"/>
  <c r="Q801" i="13"/>
  <c r="Q802" i="13"/>
  <c r="Q803" i="13"/>
  <c r="Q804" i="13"/>
  <c r="Q805" i="13"/>
  <c r="Q806" i="13"/>
  <c r="Q807" i="13"/>
  <c r="Q808" i="13"/>
  <c r="Q809" i="13"/>
  <c r="Q810" i="13"/>
  <c r="Q811" i="13"/>
  <c r="Q812" i="13"/>
  <c r="Q813" i="13"/>
  <c r="Q814" i="13"/>
  <c r="Q815" i="13"/>
  <c r="Q816" i="13"/>
  <c r="Q817" i="13"/>
  <c r="Q818" i="13"/>
  <c r="Q819" i="13"/>
  <c r="Q820" i="13"/>
  <c r="Q821" i="13"/>
  <c r="Q822" i="13"/>
  <c r="Q823" i="13"/>
  <c r="Q824" i="13"/>
  <c r="Q825" i="13"/>
  <c r="Q826" i="13"/>
  <c r="Q827" i="13"/>
  <c r="Q828" i="13"/>
  <c r="Q829" i="13"/>
  <c r="Q830" i="13"/>
  <c r="Q831" i="13"/>
  <c r="Q832" i="13"/>
  <c r="Q833" i="13"/>
  <c r="Q834" i="13"/>
  <c r="Q835" i="13"/>
  <c r="Q836" i="13"/>
  <c r="Q837" i="13"/>
  <c r="Q838" i="13"/>
  <c r="Q839" i="13"/>
  <c r="Q840" i="13"/>
  <c r="Q841" i="13"/>
  <c r="Q842" i="13"/>
  <c r="Q843" i="13"/>
  <c r="Q844" i="13"/>
  <c r="Q845" i="13"/>
  <c r="Q846" i="13"/>
  <c r="Q847" i="13"/>
  <c r="Q848" i="13"/>
  <c r="Q849" i="13"/>
  <c r="Q850" i="13"/>
  <c r="Q851" i="13"/>
  <c r="Q852" i="13"/>
  <c r="Q853" i="13"/>
  <c r="Q854" i="13"/>
  <c r="Q855" i="13"/>
  <c r="Q856" i="13"/>
  <c r="Q857" i="13"/>
  <c r="Q858" i="13"/>
  <c r="Q859" i="13"/>
  <c r="Q860" i="13"/>
  <c r="Q861" i="13"/>
  <c r="Q862" i="13"/>
  <c r="Q863" i="13"/>
  <c r="Q864" i="13"/>
  <c r="Q865" i="13"/>
  <c r="Q866" i="13"/>
  <c r="Q867" i="13"/>
  <c r="Q868" i="13"/>
  <c r="Q869" i="13"/>
  <c r="Q870" i="13"/>
  <c r="Q871" i="13"/>
  <c r="Q872" i="13"/>
  <c r="Q873" i="13"/>
  <c r="Q874" i="13"/>
  <c r="Q875" i="13"/>
  <c r="Q876" i="13"/>
  <c r="Q877" i="13"/>
  <c r="Q878" i="13"/>
  <c r="Q879" i="13"/>
  <c r="Q880" i="13"/>
  <c r="Q881" i="13"/>
  <c r="Q882" i="13"/>
  <c r="Q883" i="13"/>
  <c r="Q884" i="13"/>
  <c r="Q885" i="13"/>
  <c r="Q886" i="13"/>
  <c r="Q887" i="13"/>
  <c r="Q888" i="13"/>
  <c r="Q889" i="13"/>
  <c r="Q890" i="13"/>
  <c r="Q891" i="13"/>
  <c r="Q892" i="13"/>
  <c r="Q893" i="13"/>
  <c r="Q894" i="13"/>
  <c r="Q895" i="13"/>
  <c r="Q896" i="13"/>
  <c r="Q897" i="13"/>
  <c r="Q898" i="13"/>
  <c r="Q899" i="13"/>
  <c r="Q900" i="13"/>
  <c r="Q901" i="13"/>
  <c r="Q902" i="13"/>
  <c r="Q903" i="13"/>
  <c r="Q904" i="13"/>
  <c r="Q905" i="13"/>
  <c r="Q906" i="13"/>
  <c r="Q907" i="13"/>
  <c r="Q908" i="13"/>
  <c r="Q909" i="13"/>
  <c r="Q910" i="13"/>
  <c r="Q911" i="13"/>
  <c r="Q912" i="13"/>
  <c r="Q913" i="13"/>
  <c r="Q914" i="13"/>
  <c r="Q915" i="13"/>
  <c r="Q916" i="13"/>
  <c r="Q917" i="13"/>
  <c r="Q918" i="13"/>
  <c r="Q919" i="13"/>
  <c r="Q920" i="13"/>
  <c r="Q921" i="13"/>
  <c r="Q922" i="13"/>
  <c r="Q923" i="13"/>
  <c r="Q924" i="13"/>
  <c r="Q925" i="13"/>
  <c r="Q926" i="13"/>
  <c r="Q927" i="13"/>
  <c r="Q928" i="13"/>
  <c r="Q929" i="13"/>
  <c r="Q930" i="13"/>
  <c r="Q931" i="13"/>
  <c r="Q932" i="13"/>
  <c r="Q933" i="13"/>
  <c r="Q934" i="13"/>
  <c r="Q935" i="13"/>
  <c r="Q936" i="13"/>
  <c r="Q937" i="13"/>
  <c r="Q938" i="13"/>
  <c r="Q939" i="13"/>
  <c r="Q940" i="13"/>
  <c r="Q941" i="13"/>
  <c r="Q942" i="13"/>
  <c r="Q943" i="13"/>
  <c r="Q944" i="13"/>
  <c r="Q945" i="13"/>
  <c r="Q946" i="13"/>
  <c r="Q947" i="13"/>
  <c r="Q948" i="13"/>
  <c r="Q949" i="13"/>
  <c r="Q950" i="13"/>
  <c r="Q951" i="13"/>
  <c r="Q952" i="13"/>
  <c r="Q953" i="13"/>
  <c r="Q954" i="13"/>
  <c r="Q955" i="13"/>
  <c r="Q956" i="13"/>
  <c r="Q957" i="13"/>
  <c r="Q958" i="13"/>
  <c r="Q959" i="13"/>
  <c r="Q960" i="13"/>
  <c r="Q961" i="13"/>
  <c r="Q962" i="13"/>
  <c r="Q963" i="13"/>
  <c r="Q964" i="13"/>
  <c r="Q965" i="13"/>
  <c r="Q966" i="13"/>
  <c r="Q967" i="13"/>
  <c r="Q968" i="13"/>
  <c r="Q969" i="13"/>
  <c r="Q970" i="13"/>
  <c r="Q971" i="13"/>
  <c r="Q972" i="13"/>
  <c r="Q973" i="13"/>
  <c r="Q974" i="13"/>
  <c r="Q975" i="13"/>
  <c r="Q976" i="13"/>
  <c r="Q977" i="13"/>
  <c r="Q978" i="13"/>
  <c r="Q979" i="13"/>
  <c r="Q980" i="13"/>
  <c r="Q981" i="13"/>
  <c r="Q982" i="13"/>
  <c r="Q983" i="13"/>
  <c r="Q984" i="13"/>
  <c r="Q985" i="13"/>
  <c r="Q986" i="13"/>
  <c r="Q987" i="13"/>
  <c r="Q988" i="13"/>
  <c r="Q989" i="13"/>
  <c r="Q990" i="13"/>
  <c r="Q991" i="13"/>
  <c r="Q992" i="13"/>
  <c r="Q993" i="13"/>
  <c r="Q994" i="13"/>
  <c r="Q995" i="13"/>
  <c r="Q996" i="13"/>
  <c r="Q997" i="13"/>
  <c r="Q1009" i="13"/>
  <c r="Q1010" i="13"/>
  <c r="Q1011" i="13"/>
  <c r="Q1012" i="13"/>
  <c r="Q1013" i="13"/>
  <c r="Q1014" i="13"/>
  <c r="Q1015" i="13"/>
  <c r="Q1016" i="13"/>
  <c r="Q1017" i="13"/>
  <c r="Q1018" i="13"/>
  <c r="Q1019" i="13"/>
  <c r="Q1020" i="13"/>
  <c r="Q1021" i="13"/>
  <c r="Q1022" i="13"/>
  <c r="Q1023" i="13"/>
  <c r="Q1024" i="13"/>
  <c r="Q1025" i="13"/>
  <c r="Q1026" i="13"/>
  <c r="Q1027" i="13"/>
  <c r="Q1028" i="13"/>
  <c r="Q1029" i="13"/>
  <c r="Q1030" i="13"/>
  <c r="Q1031" i="13"/>
  <c r="Q1032" i="13"/>
  <c r="Q1033" i="13"/>
  <c r="Q1034" i="13"/>
  <c r="Q1035" i="13"/>
  <c r="Q1036" i="13"/>
  <c r="Q1037" i="13"/>
  <c r="Q1038" i="13"/>
  <c r="Q1039" i="13"/>
  <c r="Q1040" i="13"/>
  <c r="Q1041" i="13"/>
  <c r="Q1042" i="13"/>
  <c r="Q1043" i="13"/>
  <c r="Q1044" i="13"/>
  <c r="Q1045" i="13"/>
  <c r="Q1046" i="13"/>
  <c r="Q1047" i="13"/>
  <c r="Q1048" i="13"/>
  <c r="Q1049" i="13"/>
  <c r="Q1050" i="13"/>
  <c r="Q1051" i="13"/>
  <c r="Q1052" i="13"/>
  <c r="Q1053" i="13"/>
  <c r="Q1054" i="13"/>
  <c r="Q1055" i="13"/>
  <c r="Q1056" i="13"/>
  <c r="Q1057" i="13"/>
  <c r="Q1058" i="13"/>
  <c r="Q1059" i="13"/>
  <c r="Q1060" i="13"/>
  <c r="Q1061" i="13"/>
  <c r="Q1062" i="13"/>
  <c r="Q1063" i="13"/>
  <c r="Q1064" i="13"/>
  <c r="Q1065" i="13"/>
  <c r="Q1066" i="13"/>
  <c r="Q1067" i="13"/>
  <c r="Q1068" i="13"/>
  <c r="Q1069" i="13"/>
  <c r="Q1070" i="13"/>
  <c r="Q1071" i="13"/>
  <c r="Q1072" i="13"/>
  <c r="Q1073" i="13"/>
  <c r="Q1074" i="13"/>
  <c r="Q1075" i="13"/>
  <c r="Q1076" i="13"/>
  <c r="Q1077" i="13"/>
  <c r="Q1078" i="13"/>
  <c r="Q1079" i="13"/>
  <c r="Q1080" i="13"/>
  <c r="Q1081" i="13"/>
  <c r="Q1082" i="13"/>
  <c r="Q1083" i="13"/>
  <c r="Q1084" i="13"/>
  <c r="Q1085" i="13"/>
  <c r="Q1086" i="13"/>
  <c r="Q1087" i="13"/>
  <c r="Q1088" i="13"/>
  <c r="Q1089" i="13"/>
  <c r="Q1090" i="13"/>
  <c r="Q1091" i="13"/>
  <c r="Q1092" i="13"/>
  <c r="Q1093" i="13"/>
  <c r="Q1098" i="13"/>
  <c r="Q1099" i="13"/>
  <c r="Q1100" i="13"/>
  <c r="Q1101" i="13"/>
  <c r="Q1102" i="13"/>
  <c r="Q1103" i="13"/>
  <c r="Q1104" i="13"/>
  <c r="Q1105" i="13"/>
  <c r="Q1106" i="13"/>
  <c r="Q1107" i="13"/>
  <c r="Q1108" i="13"/>
  <c r="Q1109" i="13"/>
  <c r="Q1110" i="13"/>
  <c r="Q1115" i="13"/>
  <c r="Q1116" i="13"/>
  <c r="Q1117" i="13"/>
  <c r="Q1118" i="13"/>
  <c r="Q1119" i="13"/>
  <c r="Q1120" i="13"/>
  <c r="Q1121" i="13"/>
  <c r="Q1122" i="13"/>
  <c r="Q1123" i="13"/>
  <c r="Q1124" i="13"/>
  <c r="Q1125" i="13"/>
  <c r="Q1131" i="13"/>
  <c r="Q1132" i="13"/>
  <c r="Q1133" i="13"/>
  <c r="Q1134" i="13"/>
  <c r="Q1135" i="13"/>
  <c r="Q1136" i="13"/>
  <c r="Q1137" i="13"/>
  <c r="Q1138" i="13"/>
  <c r="Q1139" i="13"/>
  <c r="Q1140" i="13"/>
  <c r="Q1141" i="13"/>
  <c r="Q1142" i="13"/>
  <c r="Q1143" i="13"/>
  <c r="Q1144" i="13"/>
  <c r="Q1145" i="13"/>
  <c r="Q1146" i="13"/>
  <c r="Q1167" i="13"/>
  <c r="Q1168" i="13"/>
  <c r="Q1169" i="13"/>
  <c r="Q1170" i="13"/>
  <c r="Q1171" i="13"/>
  <c r="Q1172" i="13"/>
  <c r="Q1173" i="13"/>
  <c r="Q1174" i="13"/>
  <c r="Q1175" i="13"/>
  <c r="Q1176" i="13"/>
  <c r="Q1186" i="13"/>
  <c r="Q1187" i="13"/>
  <c r="Q1188" i="13"/>
  <c r="Q1189" i="13"/>
  <c r="Q1203" i="13"/>
  <c r="Q1204" i="13"/>
  <c r="Q1205" i="13"/>
  <c r="Q2" i="13"/>
  <c r="Q31" i="13"/>
  <c r="Q59" i="13"/>
  <c r="Q83" i="13"/>
  <c r="Q111" i="13"/>
  <c r="Q135" i="13"/>
  <c r="Q151" i="13"/>
  <c r="Q179" i="13"/>
  <c r="Q203" i="13"/>
  <c r="Q219" i="13"/>
  <c r="Q243" i="13"/>
  <c r="Q267" i="13"/>
  <c r="Q295" i="13"/>
  <c r="Q311" i="13"/>
  <c r="Q327" i="13"/>
  <c r="Q347" i="13"/>
  <c r="Q363" i="13"/>
  <c r="Q379" i="13"/>
  <c r="Q411" i="13"/>
  <c r="Q431" i="13"/>
  <c r="Q447" i="13"/>
  <c r="Q479" i="13"/>
  <c r="Q511" i="13"/>
  <c r="Q619" i="13"/>
  <c r="Q635" i="13"/>
  <c r="Q651" i="13"/>
  <c r="Q1095" i="13"/>
  <c r="Q1151" i="13"/>
  <c r="Q1179" i="13"/>
  <c r="Q1199" i="13"/>
  <c r="Q30" i="13"/>
  <c r="Q94" i="13"/>
  <c r="Q178" i="13"/>
  <c r="Q40" i="13"/>
  <c r="Q76" i="13"/>
  <c r="Q108" i="13"/>
  <c r="Q136" i="13"/>
  <c r="Q156" i="13"/>
  <c r="Q180" i="13"/>
  <c r="Q196" i="13"/>
  <c r="Q212" i="13"/>
  <c r="Q244" i="13"/>
  <c r="Q260" i="13"/>
  <c r="Q276" i="13"/>
  <c r="Q300" i="13"/>
  <c r="Q320" i="13"/>
  <c r="Q336" i="13"/>
  <c r="Q356" i="13"/>
  <c r="Q372" i="13"/>
  <c r="Q388" i="13"/>
  <c r="Q420" i="13"/>
  <c r="Q464" i="13"/>
  <c r="Q516" i="13"/>
  <c r="Q624" i="13"/>
  <c r="Q648" i="13"/>
  <c r="Q1008" i="13"/>
  <c r="Q1148" i="13"/>
  <c r="Q1164" i="13"/>
  <c r="Q1196" i="13"/>
  <c r="Q1216" i="13"/>
  <c r="Q1185" i="13"/>
  <c r="Q34" i="13"/>
  <c r="Q74" i="13"/>
  <c r="Q134" i="13"/>
  <c r="Q13" i="13"/>
  <c r="Q37" i="13"/>
  <c r="Q53" i="13"/>
  <c r="Q73" i="13"/>
  <c r="Q105" i="13"/>
  <c r="Q133" i="13"/>
  <c r="Q153" i="13"/>
  <c r="Q177" i="13"/>
  <c r="Q193" i="13"/>
  <c r="Q209" i="13"/>
  <c r="Q241" i="13"/>
  <c r="Q257" i="13"/>
  <c r="Q277" i="13"/>
  <c r="Q301" i="13"/>
  <c r="Q317" i="13"/>
  <c r="Q333" i="13"/>
  <c r="Q349" i="13"/>
  <c r="Q365" i="13"/>
  <c r="Q381" i="13"/>
  <c r="Q421" i="13"/>
  <c r="Q441" i="13"/>
  <c r="Q469" i="13"/>
  <c r="Q493" i="13"/>
  <c r="Q617" i="13"/>
  <c r="Q637" i="13"/>
  <c r="Q653" i="13"/>
  <c r="Q1097" i="13"/>
  <c r="Q1157" i="13"/>
  <c r="Q1201" i="13"/>
  <c r="Q38" i="13"/>
  <c r="Q158" i="13"/>
  <c r="Q210" i="13"/>
  <c r="Q294" i="13"/>
  <c r="Q358" i="13"/>
  <c r="Q466" i="13"/>
  <c r="Q1006" i="13"/>
  <c r="Q1194" i="13"/>
  <c r="Q1206" i="13"/>
  <c r="Q342" i="13"/>
  <c r="Q214" i="13"/>
  <c r="Q322" i="13"/>
  <c r="Q378" i="13"/>
  <c r="Q518" i="13"/>
  <c r="Q1130" i="13"/>
  <c r="Q190" i="13"/>
  <c r="Q254" i="13"/>
  <c r="Q366" i="13"/>
  <c r="Q614" i="13"/>
  <c r="Q998" i="13"/>
  <c r="Q194" i="13"/>
  <c r="Q414" i="13"/>
  <c r="Q1002" i="13"/>
  <c r="Q71" i="13"/>
  <c r="Q123" i="13"/>
  <c r="Q191" i="13"/>
  <c r="Q259" i="13"/>
  <c r="Q319" i="13"/>
  <c r="Q371" i="13"/>
  <c r="Q439" i="13"/>
  <c r="Q519" i="13"/>
  <c r="Q1003" i="13"/>
  <c r="Q1191" i="13"/>
  <c r="Q130" i="13"/>
  <c r="Q96" i="13"/>
  <c r="Q43" i="13"/>
  <c r="Q67" i="13"/>
  <c r="Q87" i="13"/>
  <c r="Q115" i="13"/>
  <c r="Q139" i="13"/>
  <c r="Q159" i="13"/>
  <c r="Q183" i="13"/>
  <c r="Q207" i="13"/>
  <c r="Q223" i="13"/>
  <c r="Q251" i="13"/>
  <c r="Q275" i="13"/>
  <c r="Q299" i="13"/>
  <c r="Q315" i="13"/>
  <c r="Q331" i="13"/>
  <c r="Q351" i="13"/>
  <c r="Q367" i="13"/>
  <c r="Q383" i="13"/>
  <c r="Q415" i="13"/>
  <c r="Q435" i="13"/>
  <c r="Q463" i="13"/>
  <c r="Q483" i="13"/>
  <c r="Q515" i="13"/>
  <c r="Q623" i="13"/>
  <c r="Q639" i="13"/>
  <c r="Q999" i="13"/>
  <c r="Q1111" i="13"/>
  <c r="Q1155" i="13"/>
  <c r="Q1183" i="13"/>
  <c r="Q1207" i="13"/>
  <c r="Q58" i="13"/>
  <c r="Q118" i="13"/>
  <c r="Q24" i="13"/>
  <c r="Q48" i="13"/>
  <c r="Q92" i="13"/>
  <c r="Q112" i="13"/>
  <c r="Q140" i="13"/>
  <c r="Q164" i="13"/>
  <c r="Q184" i="13"/>
  <c r="Q200" i="13"/>
  <c r="Q216" i="13"/>
  <c r="Q248" i="13"/>
  <c r="Q264" i="13"/>
  <c r="Q280" i="13"/>
  <c r="Q304" i="13"/>
  <c r="Q324" i="13"/>
  <c r="Q340" i="13"/>
  <c r="Q360" i="13"/>
  <c r="Q376" i="13"/>
  <c r="Q392" i="13"/>
  <c r="Q424" i="13"/>
  <c r="Q468" i="13"/>
  <c r="Q612" i="13"/>
  <c r="Q632" i="13"/>
  <c r="Q652" i="13"/>
  <c r="Q1096" i="13"/>
  <c r="Q1152" i="13"/>
  <c r="Q1180" i="13"/>
  <c r="Q1200" i="13"/>
  <c r="Q1153" i="13"/>
  <c r="Q1197" i="13"/>
  <c r="Q42" i="13"/>
  <c r="Q98" i="13"/>
  <c r="Q138" i="13"/>
  <c r="Q25" i="13"/>
  <c r="Q41" i="13"/>
  <c r="Q57" i="13"/>
  <c r="Q77" i="13"/>
  <c r="Q113" i="13"/>
  <c r="Q137" i="13"/>
  <c r="Q165" i="13"/>
  <c r="Q181" i="13"/>
  <c r="Q197" i="13"/>
  <c r="Q213" i="13"/>
  <c r="Q245" i="13"/>
  <c r="Q261" i="13"/>
  <c r="Q281" i="13"/>
  <c r="Q305" i="13"/>
  <c r="Q321" i="13"/>
  <c r="Q337" i="13"/>
  <c r="Q353" i="13"/>
  <c r="Q369" i="13"/>
  <c r="Q389" i="13"/>
  <c r="Q425" i="13"/>
  <c r="Q445" i="13"/>
  <c r="Q481" i="13"/>
  <c r="Q513" i="13"/>
  <c r="Q621" i="13"/>
  <c r="Q641" i="13"/>
  <c r="Q657" i="13"/>
  <c r="Q1113" i="13"/>
  <c r="Q1165" i="13"/>
  <c r="Q1209" i="13"/>
  <c r="Q78" i="13"/>
  <c r="Q182" i="13"/>
  <c r="Q234" i="13"/>
  <c r="Q306" i="13"/>
  <c r="Q374" i="13"/>
  <c r="Q514" i="13"/>
  <c r="Q1114" i="13"/>
  <c r="Q1214" i="13"/>
  <c r="Q266" i="13"/>
  <c r="Q642" i="13"/>
  <c r="Q238" i="13"/>
  <c r="Q338" i="13"/>
  <c r="Q390" i="13"/>
  <c r="Q626" i="13"/>
  <c r="Q1162" i="13"/>
  <c r="Q202" i="13"/>
  <c r="Q274" i="13"/>
  <c r="Q382" i="13"/>
  <c r="Q638" i="13"/>
  <c r="Q1094" i="13"/>
  <c r="Q278" i="13"/>
  <c r="Q654" i="13"/>
  <c r="Q1210" i="13"/>
  <c r="Q47" i="13"/>
  <c r="Q143" i="13"/>
  <c r="Q211" i="13"/>
  <c r="Q279" i="13"/>
  <c r="Q335" i="13"/>
  <c r="Q419" i="13"/>
  <c r="Q487" i="13"/>
  <c r="Q643" i="13"/>
  <c r="Q1159" i="13"/>
  <c r="Q70" i="13"/>
  <c r="Q52" i="13"/>
  <c r="Q148" i="13"/>
  <c r="Q91" i="13"/>
  <c r="Q171" i="13"/>
  <c r="Q235" i="13"/>
  <c r="Q303" i="13"/>
  <c r="Q355" i="13"/>
  <c r="Q387" i="13"/>
  <c r="Q467" i="13"/>
  <c r="Q627" i="13"/>
  <c r="Q1127" i="13"/>
  <c r="Q1211" i="13"/>
  <c r="Q32" i="13"/>
  <c r="Q120" i="13"/>
  <c r="Q131" i="13"/>
  <c r="Q471" i="13"/>
  <c r="Q36" i="13"/>
  <c r="Q240" i="13"/>
  <c r="Q348" i="13"/>
  <c r="Q620" i="13"/>
  <c r="Q1212" i="13"/>
  <c r="Q33" i="13"/>
  <c r="Q121" i="13"/>
  <c r="Q253" i="13"/>
  <c r="Q361" i="13"/>
  <c r="Q613" i="13"/>
  <c r="Q1149" i="13"/>
  <c r="Q346" i="13"/>
  <c r="Q362" i="13"/>
  <c r="Q242" i="13"/>
  <c r="Q55" i="13"/>
  <c r="Q147" i="13"/>
  <c r="Q239" i="13"/>
  <c r="Q323" i="13"/>
  <c r="Q391" i="13"/>
  <c r="Q495" i="13"/>
  <c r="Q1007" i="13"/>
  <c r="Q1215" i="13"/>
  <c r="Q60" i="13"/>
  <c r="Q172" i="13"/>
  <c r="Q204" i="13"/>
  <c r="Q252" i="13"/>
  <c r="Q292" i="13"/>
  <c r="Q328" i="13"/>
  <c r="Q364" i="13"/>
  <c r="Q412" i="13"/>
  <c r="Q472" i="13"/>
  <c r="Q636" i="13"/>
  <c r="Q1112" i="13"/>
  <c r="Q1184" i="13"/>
  <c r="Q1161" i="13"/>
  <c r="Q54" i="13"/>
  <c r="Q150" i="13"/>
  <c r="Q45" i="13"/>
  <c r="Q81" i="13"/>
  <c r="Q141" i="13"/>
  <c r="Q185" i="13"/>
  <c r="Q217" i="13"/>
  <c r="Q269" i="13"/>
  <c r="Q309" i="13"/>
  <c r="Q341" i="13"/>
  <c r="Q373" i="13"/>
  <c r="Q433" i="13"/>
  <c r="Q485" i="13"/>
  <c r="Q625" i="13"/>
  <c r="Q1001" i="13"/>
  <c r="Q1181" i="13"/>
  <c r="Q90" i="13"/>
  <c r="Q258" i="13"/>
  <c r="Q426" i="13"/>
  <c r="Q1126" i="13"/>
  <c r="Q290" i="13"/>
  <c r="Q250" i="13"/>
  <c r="Q418" i="13"/>
  <c r="Q1178" i="13"/>
  <c r="Q310" i="13"/>
  <c r="Q650" i="13"/>
  <c r="Q330" i="13"/>
  <c r="Q107" i="13"/>
  <c r="Q291" i="13"/>
  <c r="Q443" i="13"/>
  <c r="Q631" i="13"/>
  <c r="Q142" i="13"/>
  <c r="Q188" i="13"/>
  <c r="Q268" i="13"/>
  <c r="Q344" i="13"/>
  <c r="Q428" i="13"/>
  <c r="Q616" i="13"/>
  <c r="Q1156" i="13"/>
  <c r="Q1213" i="13"/>
  <c r="Q29" i="13"/>
  <c r="Q169" i="13"/>
  <c r="Q249" i="13"/>
  <c r="Q325" i="13"/>
  <c r="Q393" i="13"/>
  <c r="Q517" i="13"/>
  <c r="Q1129" i="13"/>
  <c r="Q186" i="13"/>
  <c r="Q622" i="13"/>
  <c r="Q1154" i="13"/>
  <c r="Q634" i="13"/>
  <c r="Q422" i="13"/>
  <c r="Q302" i="13"/>
  <c r="Q215" i="13"/>
  <c r="Q375" i="13"/>
  <c r="Q1195" i="13"/>
  <c r="Q192" i="13"/>
  <c r="Q316" i="13"/>
  <c r="Q444" i="13"/>
  <c r="Q1160" i="13"/>
  <c r="Q122" i="13"/>
  <c r="Q69" i="13"/>
  <c r="Q205" i="13"/>
  <c r="Q329" i="13"/>
  <c r="Q465" i="13"/>
  <c r="Q10" i="13"/>
  <c r="Q630" i="13"/>
  <c r="Q1190" i="13"/>
  <c r="Q430" i="13"/>
  <c r="Q618" i="13"/>
  <c r="Q79" i="13"/>
  <c r="Q175" i="13"/>
  <c r="Q263" i="13"/>
  <c r="Q343" i="13"/>
  <c r="Q427" i="13"/>
  <c r="Q615" i="13"/>
  <c r="Q1147" i="13"/>
  <c r="Q82" i="13"/>
  <c r="Q100" i="13"/>
  <c r="Q176" i="13"/>
  <c r="Q208" i="13"/>
  <c r="Q256" i="13"/>
  <c r="Q296" i="13"/>
  <c r="Q332" i="13"/>
  <c r="Q368" i="13"/>
  <c r="Q416" i="13"/>
  <c r="Q512" i="13"/>
  <c r="Q640" i="13"/>
  <c r="Q1128" i="13"/>
  <c r="Q1192" i="13"/>
  <c r="Q1177" i="13"/>
  <c r="Q66" i="13"/>
  <c r="Q174" i="13"/>
  <c r="Q49" i="13"/>
  <c r="Q89" i="13"/>
  <c r="Q149" i="13"/>
  <c r="Q189" i="13"/>
  <c r="Q237" i="13"/>
  <c r="Q273" i="13"/>
  <c r="Q313" i="13"/>
  <c r="Q345" i="13"/>
  <c r="Q377" i="13"/>
  <c r="Q437" i="13"/>
  <c r="Q489" i="13"/>
  <c r="Q633" i="13"/>
  <c r="Q1005" i="13"/>
  <c r="Q1193" i="13"/>
  <c r="Q102" i="13"/>
  <c r="Q270" i="13"/>
  <c r="Q442" i="13"/>
  <c r="Q1158" i="13"/>
  <c r="Q314" i="13"/>
  <c r="Q262" i="13"/>
  <c r="Q470" i="13"/>
  <c r="Q1198" i="13"/>
  <c r="Q326" i="13"/>
  <c r="Q658" i="13"/>
  <c r="Q354" i="13"/>
  <c r="Q195" i="13"/>
  <c r="Q359" i="13"/>
  <c r="Q1163" i="13"/>
  <c r="Q132" i="13"/>
  <c r="Q236" i="13"/>
  <c r="Q312" i="13"/>
  <c r="Q380" i="13"/>
  <c r="Q1000" i="13"/>
  <c r="Q1208" i="13"/>
  <c r="Q110" i="13"/>
  <c r="Q61" i="13"/>
  <c r="Q117" i="13"/>
  <c r="Q201" i="13"/>
  <c r="Q289" i="13"/>
  <c r="Q357" i="13"/>
  <c r="Q449" i="13"/>
  <c r="Q645" i="13"/>
  <c r="Q1217" i="13"/>
  <c r="Q318" i="13"/>
  <c r="Q1150" i="13"/>
  <c r="Q350" i="13"/>
  <c r="Q218" i="13"/>
  <c r="Q1166" i="13"/>
  <c r="Q307" i="13"/>
  <c r="Q647" i="13"/>
  <c r="Q152" i="13"/>
  <c r="Q272" i="13"/>
  <c r="Q384" i="13"/>
  <c r="Q1004" i="13"/>
  <c r="Q26" i="13"/>
  <c r="Q173" i="13"/>
  <c r="Q293" i="13"/>
  <c r="Q413" i="13"/>
  <c r="Q649" i="13"/>
  <c r="Q198" i="13"/>
  <c r="Q1182" i="13"/>
  <c r="Q646" i="13"/>
  <c r="Q1202" i="13"/>
  <c r="D1" i="20" l="1"/>
  <c r="W1" i="17"/>
  <c r="C1" i="17"/>
  <c r="B1" i="17"/>
  <c r="W1" i="16"/>
  <c r="C1" i="16"/>
  <c r="B1" i="16"/>
  <c r="W1" i="15"/>
  <c r="C1" i="15"/>
  <c r="B1" i="15"/>
  <c r="W1" i="14"/>
  <c r="C1" i="14"/>
  <c r="B1" i="14"/>
  <c r="O1217" i="13"/>
  <c r="O1216" i="13"/>
  <c r="O1215" i="13"/>
  <c r="O1214" i="13"/>
  <c r="O1213" i="13"/>
  <c r="O1212" i="13"/>
  <c r="O1211" i="13"/>
  <c r="O1210" i="13"/>
  <c r="O1209" i="13"/>
  <c r="O1208" i="13"/>
  <c r="O1207" i="13"/>
  <c r="O1206" i="13"/>
  <c r="O1205" i="13"/>
  <c r="J1205" i="13"/>
  <c r="O1204" i="13"/>
  <c r="J1204" i="13"/>
  <c r="O1203" i="13"/>
  <c r="J1203" i="13"/>
  <c r="O1202" i="13"/>
  <c r="O1201" i="13"/>
  <c r="O1200" i="13"/>
  <c r="O1199" i="13"/>
  <c r="O1198" i="13"/>
  <c r="O1197" i="13"/>
  <c r="O1196" i="13"/>
  <c r="O1195" i="13"/>
  <c r="O1194" i="13"/>
  <c r="O1193" i="13"/>
  <c r="O1192" i="13"/>
  <c r="O1191" i="13"/>
  <c r="O1190" i="13"/>
  <c r="O1189" i="13"/>
  <c r="J1189" i="13"/>
  <c r="O1188" i="13"/>
  <c r="J1188" i="13"/>
  <c r="O1187" i="13"/>
  <c r="J1187" i="13"/>
  <c r="O1186" i="13"/>
  <c r="J1186" i="13"/>
  <c r="O1185" i="13"/>
  <c r="O1184" i="13"/>
  <c r="O1183" i="13"/>
  <c r="O1182" i="13"/>
  <c r="O1181" i="13"/>
  <c r="O1180" i="13"/>
  <c r="O1179" i="13"/>
  <c r="O1178" i="13"/>
  <c r="O1177" i="13"/>
  <c r="O1176" i="13"/>
  <c r="J1176" i="13"/>
  <c r="O1175" i="13"/>
  <c r="J1175" i="13"/>
  <c r="O1174" i="13"/>
  <c r="J1174" i="13"/>
  <c r="O1173" i="13"/>
  <c r="J1173" i="13"/>
  <c r="O1172" i="13"/>
  <c r="J1172" i="13"/>
  <c r="O1171" i="13"/>
  <c r="J1171" i="13"/>
  <c r="O1170" i="13"/>
  <c r="J1170" i="13"/>
  <c r="O1169" i="13"/>
  <c r="J1169" i="13"/>
  <c r="O1168" i="13"/>
  <c r="J1168" i="13"/>
  <c r="O1167" i="13"/>
  <c r="J1167" i="13"/>
  <c r="O1166" i="13"/>
  <c r="O1165" i="13"/>
  <c r="O1164" i="13"/>
  <c r="O1163" i="13"/>
  <c r="O1162" i="13"/>
  <c r="O1161" i="13"/>
  <c r="O1160" i="13"/>
  <c r="O1159" i="13"/>
  <c r="O1158" i="13"/>
  <c r="O1157" i="13"/>
  <c r="O1156" i="13"/>
  <c r="O1155" i="13"/>
  <c r="O1154" i="13"/>
  <c r="O1153" i="13"/>
  <c r="O1152" i="13"/>
  <c r="O1151" i="13"/>
  <c r="O1150" i="13"/>
  <c r="O1149" i="13"/>
  <c r="O1148" i="13"/>
  <c r="O1147" i="13"/>
  <c r="O1146" i="13"/>
  <c r="J1146" i="13"/>
  <c r="O1145" i="13"/>
  <c r="J1145" i="13"/>
  <c r="O1144" i="13"/>
  <c r="J1144" i="13"/>
  <c r="O1143" i="13"/>
  <c r="J1143" i="13"/>
  <c r="O1142" i="13"/>
  <c r="J1142" i="13"/>
  <c r="O1141" i="13"/>
  <c r="J1141" i="13"/>
  <c r="O1140" i="13"/>
  <c r="J1140" i="13"/>
  <c r="O1139" i="13"/>
  <c r="J1139" i="13"/>
  <c r="O1138" i="13"/>
  <c r="J1138" i="13"/>
  <c r="O1137" i="13"/>
  <c r="J1137" i="13"/>
  <c r="O1136" i="13"/>
  <c r="J1136" i="13"/>
  <c r="O1135" i="13"/>
  <c r="J1135" i="13"/>
  <c r="O1134" i="13"/>
  <c r="J1134" i="13"/>
  <c r="O1133" i="13"/>
  <c r="J1133" i="13"/>
  <c r="O1132" i="13"/>
  <c r="J1132" i="13"/>
  <c r="O1131" i="13"/>
  <c r="J1131" i="13"/>
  <c r="O1130" i="13"/>
  <c r="O1129" i="13"/>
  <c r="O1128" i="13"/>
  <c r="O1127" i="13"/>
  <c r="O1126" i="13"/>
  <c r="O1125" i="13"/>
  <c r="J1125" i="13"/>
  <c r="O1124" i="13"/>
  <c r="J1124" i="13"/>
  <c r="O1123" i="13"/>
  <c r="J1123" i="13"/>
  <c r="O1122" i="13"/>
  <c r="J1122" i="13"/>
  <c r="O1121" i="13"/>
  <c r="J1121" i="13"/>
  <c r="O1120" i="13"/>
  <c r="J1120" i="13"/>
  <c r="O1119" i="13"/>
  <c r="J1119" i="13"/>
  <c r="O1118" i="13"/>
  <c r="J1118" i="13"/>
  <c r="O1117" i="13"/>
  <c r="J1117" i="13"/>
  <c r="O1116" i="13"/>
  <c r="J1116" i="13"/>
  <c r="O1115" i="13"/>
  <c r="J1115" i="13"/>
  <c r="O1114" i="13"/>
  <c r="O1113" i="13"/>
  <c r="O1112" i="13"/>
  <c r="O1111" i="13"/>
  <c r="O1110" i="13"/>
  <c r="J1110" i="13"/>
  <c r="O1109" i="13"/>
  <c r="J1109" i="13"/>
  <c r="O1108" i="13"/>
  <c r="J1108" i="13"/>
  <c r="O1107" i="13"/>
  <c r="J1107" i="13"/>
  <c r="O1106" i="13"/>
  <c r="J1106" i="13"/>
  <c r="O1105" i="13"/>
  <c r="J1105" i="13"/>
  <c r="O1104" i="13"/>
  <c r="J1104" i="13"/>
  <c r="O1103" i="13"/>
  <c r="J1103" i="13"/>
  <c r="O1102" i="13"/>
  <c r="J1102" i="13"/>
  <c r="O1101" i="13"/>
  <c r="J1101" i="13"/>
  <c r="O1100" i="13"/>
  <c r="J1100" i="13"/>
  <c r="O1099" i="13"/>
  <c r="J1099" i="13"/>
  <c r="O1098" i="13"/>
  <c r="J1098" i="13"/>
  <c r="O1097" i="13"/>
  <c r="O1096" i="13"/>
  <c r="O1095" i="13"/>
  <c r="O1094" i="13"/>
  <c r="O1093" i="13"/>
  <c r="J1093" i="13"/>
  <c r="O1092" i="13"/>
  <c r="J1092" i="13"/>
  <c r="O1091" i="13"/>
  <c r="J1091" i="13"/>
  <c r="O1090" i="13"/>
  <c r="J1090" i="13"/>
  <c r="O1089" i="13"/>
  <c r="J1089" i="13"/>
  <c r="O1088" i="13"/>
  <c r="J1088" i="13"/>
  <c r="O1087" i="13"/>
  <c r="J1087" i="13"/>
  <c r="O1086" i="13"/>
  <c r="J1086" i="13"/>
  <c r="O1085" i="13"/>
  <c r="J1085" i="13"/>
  <c r="O1084" i="13"/>
  <c r="J1084" i="13"/>
  <c r="O1083" i="13"/>
  <c r="J1083" i="13"/>
  <c r="O1082" i="13"/>
  <c r="J1082" i="13"/>
  <c r="O1081" i="13"/>
  <c r="J1081" i="13"/>
  <c r="O1080" i="13"/>
  <c r="J1080" i="13"/>
  <c r="O1079" i="13"/>
  <c r="J1079" i="13"/>
  <c r="O1078" i="13"/>
  <c r="J1078" i="13"/>
  <c r="O1077" i="13"/>
  <c r="J1077" i="13"/>
  <c r="O1076" i="13"/>
  <c r="J1076" i="13"/>
  <c r="O1075" i="13"/>
  <c r="J1075" i="13"/>
  <c r="O1074" i="13"/>
  <c r="J1074" i="13"/>
  <c r="O1073" i="13"/>
  <c r="J1073" i="13"/>
  <c r="O1072" i="13"/>
  <c r="J1072" i="13"/>
  <c r="O1071" i="13"/>
  <c r="J1071" i="13"/>
  <c r="O1070" i="13"/>
  <c r="J1070" i="13"/>
  <c r="O1069" i="13"/>
  <c r="J1069" i="13"/>
  <c r="O1068" i="13"/>
  <c r="J1068" i="13"/>
  <c r="O1067" i="13"/>
  <c r="J1067" i="13"/>
  <c r="O1066" i="13"/>
  <c r="J1066" i="13"/>
  <c r="O1065" i="13"/>
  <c r="J1065" i="13"/>
  <c r="O1064" i="13"/>
  <c r="J1064" i="13"/>
  <c r="O1063" i="13"/>
  <c r="J1063" i="13"/>
  <c r="O1062" i="13"/>
  <c r="J1062" i="13"/>
  <c r="O1061" i="13"/>
  <c r="J1061" i="13"/>
  <c r="O1060" i="13"/>
  <c r="J1060" i="13"/>
  <c r="O1059" i="13"/>
  <c r="J1059" i="13"/>
  <c r="O1058" i="13"/>
  <c r="J1058" i="13"/>
  <c r="O1057" i="13"/>
  <c r="J1057" i="13"/>
  <c r="O1056" i="13"/>
  <c r="J1056" i="13"/>
  <c r="O1055" i="13"/>
  <c r="J1055" i="13"/>
  <c r="O1054" i="13"/>
  <c r="J1054" i="13"/>
  <c r="O1053" i="13"/>
  <c r="J1053" i="13"/>
  <c r="O1052" i="13"/>
  <c r="J1052" i="13"/>
  <c r="O1051" i="13"/>
  <c r="J1051" i="13"/>
  <c r="O1050" i="13"/>
  <c r="J1050" i="13"/>
  <c r="O1049" i="13"/>
  <c r="J1049" i="13"/>
  <c r="O1048" i="13"/>
  <c r="J1048" i="13"/>
  <c r="O1047" i="13"/>
  <c r="J1047" i="13"/>
  <c r="O1046" i="13"/>
  <c r="J1046" i="13"/>
  <c r="O1045" i="13"/>
  <c r="J1045" i="13"/>
  <c r="O1044" i="13"/>
  <c r="J1044" i="13"/>
  <c r="O1043" i="13"/>
  <c r="J1043" i="13"/>
  <c r="O1042" i="13"/>
  <c r="J1042" i="13"/>
  <c r="O1041" i="13"/>
  <c r="J1041" i="13"/>
  <c r="O1040" i="13"/>
  <c r="J1040" i="13"/>
  <c r="O1039" i="13"/>
  <c r="J1039" i="13"/>
  <c r="O1038" i="13"/>
  <c r="J1038" i="13"/>
  <c r="O1037" i="13"/>
  <c r="J1037" i="13"/>
  <c r="O1036" i="13"/>
  <c r="J1036" i="13"/>
  <c r="O1035" i="13"/>
  <c r="J1035" i="13"/>
  <c r="O1034" i="13"/>
  <c r="J1034" i="13"/>
  <c r="O1033" i="13"/>
  <c r="J1033" i="13"/>
  <c r="O1032" i="13"/>
  <c r="J1032" i="13"/>
  <c r="O1031" i="13"/>
  <c r="J1031" i="13"/>
  <c r="O1030" i="13"/>
  <c r="J1030" i="13"/>
  <c r="O1029" i="13"/>
  <c r="J1029" i="13"/>
  <c r="O1028" i="13"/>
  <c r="J1028" i="13"/>
  <c r="O1027" i="13"/>
  <c r="J1027" i="13"/>
  <c r="O1026" i="13"/>
  <c r="J1026" i="13"/>
  <c r="O1025" i="13"/>
  <c r="J1025" i="13"/>
  <c r="O1024" i="13"/>
  <c r="J1024" i="13"/>
  <c r="O1023" i="13"/>
  <c r="J1023" i="13"/>
  <c r="O1022" i="13"/>
  <c r="J1022" i="13"/>
  <c r="O1021" i="13"/>
  <c r="J1021" i="13"/>
  <c r="O1020" i="13"/>
  <c r="J1020" i="13"/>
  <c r="O1019" i="13"/>
  <c r="J1019" i="13"/>
  <c r="O1018" i="13"/>
  <c r="J1018" i="13"/>
  <c r="O1017" i="13"/>
  <c r="J1017" i="13"/>
  <c r="O1016" i="13"/>
  <c r="J1016" i="13"/>
  <c r="O1015" i="13"/>
  <c r="J1015" i="13"/>
  <c r="O1014" i="13"/>
  <c r="J1014" i="13"/>
  <c r="O1013" i="13"/>
  <c r="J1013" i="13"/>
  <c r="O1012" i="13"/>
  <c r="J1012" i="13"/>
  <c r="O1011" i="13"/>
  <c r="J1011" i="13"/>
  <c r="O1010" i="13"/>
  <c r="J1010" i="13"/>
  <c r="O1009" i="13"/>
  <c r="J1009" i="13"/>
  <c r="O1008" i="13"/>
  <c r="O1007" i="13"/>
  <c r="O1006" i="13"/>
  <c r="O1005" i="13"/>
  <c r="O1004" i="13"/>
  <c r="O1003" i="13"/>
  <c r="O1002" i="13"/>
  <c r="O1001" i="13"/>
  <c r="O1000" i="13"/>
  <c r="O999" i="13"/>
  <c r="O998" i="13"/>
  <c r="O997" i="13"/>
  <c r="J997" i="13"/>
  <c r="O996" i="13"/>
  <c r="J996" i="13"/>
  <c r="O995" i="13"/>
  <c r="J995" i="13"/>
  <c r="O994" i="13"/>
  <c r="J994" i="13"/>
  <c r="O993" i="13"/>
  <c r="J993" i="13"/>
  <c r="O992" i="13"/>
  <c r="J992" i="13"/>
  <c r="O991" i="13"/>
  <c r="J991" i="13"/>
  <c r="O990" i="13"/>
  <c r="J990" i="13"/>
  <c r="O989" i="13"/>
  <c r="J989" i="13"/>
  <c r="O988" i="13"/>
  <c r="J988" i="13"/>
  <c r="O987" i="13"/>
  <c r="J987" i="13"/>
  <c r="O986" i="13"/>
  <c r="J986" i="13"/>
  <c r="O985" i="13"/>
  <c r="J985" i="13"/>
  <c r="O984" i="13"/>
  <c r="J984" i="13"/>
  <c r="O983" i="13"/>
  <c r="J983" i="13"/>
  <c r="O982" i="13"/>
  <c r="J982" i="13"/>
  <c r="O981" i="13"/>
  <c r="J981" i="13"/>
  <c r="O980" i="13"/>
  <c r="J980" i="13"/>
  <c r="O979" i="13"/>
  <c r="J979" i="13"/>
  <c r="O978" i="13"/>
  <c r="J978" i="13"/>
  <c r="O977" i="13"/>
  <c r="J977" i="13"/>
  <c r="O976" i="13"/>
  <c r="J976" i="13"/>
  <c r="O975" i="13"/>
  <c r="J975" i="13"/>
  <c r="O974" i="13"/>
  <c r="J974" i="13"/>
  <c r="O973" i="13"/>
  <c r="J973" i="13"/>
  <c r="O972" i="13"/>
  <c r="J972" i="13"/>
  <c r="O971" i="13"/>
  <c r="J971" i="13"/>
  <c r="O970" i="13"/>
  <c r="J970" i="13"/>
  <c r="O969" i="13"/>
  <c r="J969" i="13"/>
  <c r="O968" i="13"/>
  <c r="J968" i="13"/>
  <c r="O967" i="13"/>
  <c r="J967" i="13"/>
  <c r="O966" i="13"/>
  <c r="J966" i="13"/>
  <c r="O965" i="13"/>
  <c r="J965" i="13"/>
  <c r="O964" i="13"/>
  <c r="J964" i="13"/>
  <c r="O963" i="13"/>
  <c r="J963" i="13"/>
  <c r="O962" i="13"/>
  <c r="J962" i="13"/>
  <c r="O961" i="13"/>
  <c r="J961" i="13"/>
  <c r="O960" i="13"/>
  <c r="J960" i="13"/>
  <c r="O959" i="13"/>
  <c r="J959" i="13"/>
  <c r="O958" i="13"/>
  <c r="J958" i="13"/>
  <c r="O957" i="13"/>
  <c r="J957" i="13"/>
  <c r="O956" i="13"/>
  <c r="J956" i="13"/>
  <c r="O955" i="13"/>
  <c r="J955" i="13"/>
  <c r="O954" i="13"/>
  <c r="J954" i="13"/>
  <c r="O953" i="13"/>
  <c r="J953" i="13"/>
  <c r="O952" i="13"/>
  <c r="J952" i="13"/>
  <c r="O951" i="13"/>
  <c r="J951" i="13"/>
  <c r="O950" i="13"/>
  <c r="J950" i="13"/>
  <c r="O949" i="13"/>
  <c r="J949" i="13"/>
  <c r="O948" i="13"/>
  <c r="J948" i="13"/>
  <c r="O947" i="13"/>
  <c r="J947" i="13"/>
  <c r="O946" i="13"/>
  <c r="J946" i="13"/>
  <c r="O945" i="13"/>
  <c r="J945" i="13"/>
  <c r="O944" i="13"/>
  <c r="J944" i="13"/>
  <c r="O943" i="13"/>
  <c r="J943" i="13"/>
  <c r="O942" i="13"/>
  <c r="J942" i="13"/>
  <c r="O941" i="13"/>
  <c r="J941" i="13"/>
  <c r="O940" i="13"/>
  <c r="J940" i="13"/>
  <c r="O939" i="13"/>
  <c r="J939" i="13"/>
  <c r="O938" i="13"/>
  <c r="J938" i="13"/>
  <c r="O937" i="13"/>
  <c r="J937" i="13"/>
  <c r="O936" i="13"/>
  <c r="J936" i="13"/>
  <c r="O935" i="13"/>
  <c r="J935" i="13"/>
  <c r="O934" i="13"/>
  <c r="J934" i="13"/>
  <c r="O933" i="13"/>
  <c r="J933" i="13"/>
  <c r="O932" i="13"/>
  <c r="J932" i="13"/>
  <c r="O931" i="13"/>
  <c r="J931" i="13"/>
  <c r="O930" i="13"/>
  <c r="J930" i="13"/>
  <c r="O929" i="13"/>
  <c r="J929" i="13"/>
  <c r="O928" i="13"/>
  <c r="J928" i="13"/>
  <c r="O927" i="13"/>
  <c r="J927" i="13"/>
  <c r="O926" i="13"/>
  <c r="J926" i="13"/>
  <c r="O925" i="13"/>
  <c r="J925" i="13"/>
  <c r="O924" i="13"/>
  <c r="J924" i="13"/>
  <c r="O923" i="13"/>
  <c r="J923" i="13"/>
  <c r="O922" i="13"/>
  <c r="J922" i="13"/>
  <c r="O921" i="13"/>
  <c r="J921" i="13"/>
  <c r="O920" i="13"/>
  <c r="J920" i="13"/>
  <c r="O919" i="13"/>
  <c r="J919" i="13"/>
  <c r="O918" i="13"/>
  <c r="J918" i="13"/>
  <c r="O917" i="13"/>
  <c r="J917" i="13"/>
  <c r="O916" i="13"/>
  <c r="J916" i="13"/>
  <c r="O915" i="13"/>
  <c r="J915" i="13"/>
  <c r="O914" i="13"/>
  <c r="J914" i="13"/>
  <c r="O913" i="13"/>
  <c r="J913" i="13"/>
  <c r="O912" i="13"/>
  <c r="J912" i="13"/>
  <c r="O911" i="13"/>
  <c r="J911" i="13"/>
  <c r="O910" i="13"/>
  <c r="J910" i="13"/>
  <c r="O909" i="13"/>
  <c r="J909" i="13"/>
  <c r="O908" i="13"/>
  <c r="J908" i="13"/>
  <c r="O907" i="13"/>
  <c r="J907" i="13"/>
  <c r="O906" i="13"/>
  <c r="J906" i="13"/>
  <c r="O905" i="13"/>
  <c r="J905" i="13"/>
  <c r="O904" i="13"/>
  <c r="J904" i="13"/>
  <c r="O903" i="13"/>
  <c r="J903" i="13"/>
  <c r="O902" i="13"/>
  <c r="J902" i="13"/>
  <c r="O901" i="13"/>
  <c r="J901" i="13"/>
  <c r="O900" i="13"/>
  <c r="J900" i="13"/>
  <c r="O899" i="13"/>
  <c r="J899" i="13"/>
  <c r="O898" i="13"/>
  <c r="J898" i="13"/>
  <c r="O897" i="13"/>
  <c r="J897" i="13"/>
  <c r="O896" i="13"/>
  <c r="J896" i="13"/>
  <c r="O895" i="13"/>
  <c r="J895" i="13"/>
  <c r="O894" i="13"/>
  <c r="J894" i="13"/>
  <c r="O893" i="13"/>
  <c r="J893" i="13"/>
  <c r="O892" i="13"/>
  <c r="J892" i="13"/>
  <c r="O891" i="13"/>
  <c r="J891" i="13"/>
  <c r="O890" i="13"/>
  <c r="J890" i="13"/>
  <c r="O889" i="13"/>
  <c r="J889" i="13"/>
  <c r="O888" i="13"/>
  <c r="J888" i="13"/>
  <c r="O887" i="13"/>
  <c r="J887" i="13"/>
  <c r="O886" i="13"/>
  <c r="J886" i="13"/>
  <c r="O885" i="13"/>
  <c r="J885" i="13"/>
  <c r="O884" i="13"/>
  <c r="J884" i="13"/>
  <c r="O883" i="13"/>
  <c r="J883" i="13"/>
  <c r="O882" i="13"/>
  <c r="J882" i="13"/>
  <c r="O881" i="13"/>
  <c r="J881" i="13"/>
  <c r="O880" i="13"/>
  <c r="J880" i="13"/>
  <c r="O879" i="13"/>
  <c r="J879" i="13"/>
  <c r="O878" i="13"/>
  <c r="J878" i="13"/>
  <c r="O877" i="13"/>
  <c r="J877" i="13"/>
  <c r="O876" i="13"/>
  <c r="J876" i="13"/>
  <c r="O875" i="13"/>
  <c r="J875" i="13"/>
  <c r="O874" i="13"/>
  <c r="J874" i="13"/>
  <c r="O873" i="13"/>
  <c r="J873" i="13"/>
  <c r="O872" i="13"/>
  <c r="J872" i="13"/>
  <c r="O871" i="13"/>
  <c r="J871" i="13"/>
  <c r="O870" i="13"/>
  <c r="J870" i="13"/>
  <c r="O869" i="13"/>
  <c r="J869" i="13"/>
  <c r="O868" i="13"/>
  <c r="J868" i="13"/>
  <c r="O867" i="13"/>
  <c r="J867" i="13"/>
  <c r="O866" i="13"/>
  <c r="J866" i="13"/>
  <c r="O865" i="13"/>
  <c r="J865" i="13"/>
  <c r="O864" i="13"/>
  <c r="J864" i="13"/>
  <c r="O863" i="13"/>
  <c r="J863" i="13"/>
  <c r="O862" i="13"/>
  <c r="J862" i="13"/>
  <c r="O861" i="13"/>
  <c r="J861" i="13"/>
  <c r="O860" i="13"/>
  <c r="J860" i="13"/>
  <c r="O859" i="13"/>
  <c r="J859" i="13"/>
  <c r="O858" i="13"/>
  <c r="J858" i="13"/>
  <c r="O857" i="13"/>
  <c r="J857" i="13"/>
  <c r="O856" i="13"/>
  <c r="J856" i="13"/>
  <c r="O855" i="13"/>
  <c r="J855" i="13"/>
  <c r="O854" i="13"/>
  <c r="J854" i="13"/>
  <c r="O853" i="13"/>
  <c r="J853" i="13"/>
  <c r="O852" i="13"/>
  <c r="J852" i="13"/>
  <c r="O851" i="13"/>
  <c r="J851" i="13"/>
  <c r="O850" i="13"/>
  <c r="J850" i="13"/>
  <c r="O849" i="13"/>
  <c r="J849" i="13"/>
  <c r="O848" i="13"/>
  <c r="J848" i="13"/>
  <c r="O847" i="13"/>
  <c r="J847" i="13"/>
  <c r="O846" i="13"/>
  <c r="J846" i="13"/>
  <c r="O845" i="13"/>
  <c r="J845" i="13"/>
  <c r="O844" i="13"/>
  <c r="J844" i="13"/>
  <c r="O843" i="13"/>
  <c r="J843" i="13"/>
  <c r="O842" i="13"/>
  <c r="J842" i="13"/>
  <c r="O841" i="13"/>
  <c r="J841" i="13"/>
  <c r="O840" i="13"/>
  <c r="J840" i="13"/>
  <c r="O839" i="13"/>
  <c r="J839" i="13"/>
  <c r="O838" i="13"/>
  <c r="J838" i="13"/>
  <c r="O837" i="13"/>
  <c r="J837" i="13"/>
  <c r="O836" i="13"/>
  <c r="J836" i="13"/>
  <c r="O835" i="13"/>
  <c r="J835" i="13"/>
  <c r="O834" i="13"/>
  <c r="J834" i="13"/>
  <c r="O833" i="13"/>
  <c r="J833" i="13"/>
  <c r="O832" i="13"/>
  <c r="J832" i="13"/>
  <c r="O831" i="13"/>
  <c r="J831" i="13"/>
  <c r="O830" i="13"/>
  <c r="J830" i="13"/>
  <c r="O829" i="13"/>
  <c r="J829" i="13"/>
  <c r="O828" i="13"/>
  <c r="J828" i="13"/>
  <c r="O827" i="13"/>
  <c r="J827" i="13"/>
  <c r="O826" i="13"/>
  <c r="J826" i="13"/>
  <c r="O825" i="13"/>
  <c r="J825" i="13"/>
  <c r="O824" i="13"/>
  <c r="J824" i="13"/>
  <c r="O823" i="13"/>
  <c r="J823" i="13"/>
  <c r="O822" i="13"/>
  <c r="J822" i="13"/>
  <c r="O821" i="13"/>
  <c r="J821" i="13"/>
  <c r="O820" i="13"/>
  <c r="J820" i="13"/>
  <c r="O819" i="13"/>
  <c r="J819" i="13"/>
  <c r="O818" i="13"/>
  <c r="J818" i="13"/>
  <c r="O817" i="13"/>
  <c r="J817" i="13"/>
  <c r="O816" i="13"/>
  <c r="J816" i="13"/>
  <c r="O815" i="13"/>
  <c r="J815" i="13"/>
  <c r="O814" i="13"/>
  <c r="J814" i="13"/>
  <c r="O813" i="13"/>
  <c r="J813" i="13"/>
  <c r="O812" i="13"/>
  <c r="J812" i="13"/>
  <c r="O811" i="13"/>
  <c r="J811" i="13"/>
  <c r="O810" i="13"/>
  <c r="J810" i="13"/>
  <c r="O809" i="13"/>
  <c r="J809" i="13"/>
  <c r="O808" i="13"/>
  <c r="J808" i="13"/>
  <c r="O807" i="13"/>
  <c r="J807" i="13"/>
  <c r="O806" i="13"/>
  <c r="J806" i="13"/>
  <c r="O805" i="13"/>
  <c r="J805" i="13"/>
  <c r="O804" i="13"/>
  <c r="J804" i="13"/>
  <c r="O803" i="13"/>
  <c r="J803" i="13"/>
  <c r="O802" i="13"/>
  <c r="J802" i="13"/>
  <c r="O801" i="13"/>
  <c r="J801" i="13"/>
  <c r="O800" i="13"/>
  <c r="J800" i="13"/>
  <c r="O799" i="13"/>
  <c r="J799" i="13"/>
  <c r="O798" i="13"/>
  <c r="J798" i="13"/>
  <c r="O797" i="13"/>
  <c r="J797" i="13"/>
  <c r="O796" i="13"/>
  <c r="J796" i="13"/>
  <c r="O795" i="13"/>
  <c r="J795" i="13"/>
  <c r="O794" i="13"/>
  <c r="J794" i="13"/>
  <c r="O793" i="13"/>
  <c r="J793" i="13"/>
  <c r="O792" i="13"/>
  <c r="J792" i="13"/>
  <c r="O791" i="13"/>
  <c r="J791" i="13"/>
  <c r="O790" i="13"/>
  <c r="J790" i="13"/>
  <c r="O789" i="13"/>
  <c r="J789" i="13"/>
  <c r="O788" i="13"/>
  <c r="J788" i="13"/>
  <c r="O787" i="13"/>
  <c r="J787" i="13"/>
  <c r="O786" i="13"/>
  <c r="J786" i="13"/>
  <c r="O785" i="13"/>
  <c r="J785" i="13"/>
  <c r="O784" i="13"/>
  <c r="J784" i="13"/>
  <c r="O783" i="13"/>
  <c r="J783" i="13"/>
  <c r="O782" i="13"/>
  <c r="J782" i="13"/>
  <c r="O781" i="13"/>
  <c r="J781" i="13"/>
  <c r="O780" i="13"/>
  <c r="J780" i="13"/>
  <c r="O779" i="13"/>
  <c r="J779" i="13"/>
  <c r="O778" i="13"/>
  <c r="J778" i="13"/>
  <c r="O777" i="13"/>
  <c r="J777" i="13"/>
  <c r="O776" i="13"/>
  <c r="J776" i="13"/>
  <c r="O775" i="13"/>
  <c r="J775" i="13"/>
  <c r="O774" i="13"/>
  <c r="J774" i="13"/>
  <c r="O773" i="13"/>
  <c r="J773" i="13"/>
  <c r="O772" i="13"/>
  <c r="J772" i="13"/>
  <c r="O771" i="13"/>
  <c r="J771" i="13"/>
  <c r="O770" i="13"/>
  <c r="J770" i="13"/>
  <c r="O769" i="13"/>
  <c r="J769" i="13"/>
  <c r="O768" i="13"/>
  <c r="J768" i="13"/>
  <c r="O767" i="13"/>
  <c r="J767" i="13"/>
  <c r="O766" i="13"/>
  <c r="J766" i="13"/>
  <c r="O765" i="13"/>
  <c r="J765" i="13"/>
  <c r="O764" i="13"/>
  <c r="J764" i="13"/>
  <c r="O763" i="13"/>
  <c r="J763" i="13"/>
  <c r="O762" i="13"/>
  <c r="J762" i="13"/>
  <c r="O761" i="13"/>
  <c r="J761" i="13"/>
  <c r="O760" i="13"/>
  <c r="J760" i="13"/>
  <c r="O759" i="13"/>
  <c r="J759" i="13"/>
  <c r="O758" i="13"/>
  <c r="J758" i="13"/>
  <c r="O757" i="13"/>
  <c r="J757" i="13"/>
  <c r="O756" i="13"/>
  <c r="J756" i="13"/>
  <c r="O755" i="13"/>
  <c r="J755" i="13"/>
  <c r="O754" i="13"/>
  <c r="J754" i="13"/>
  <c r="O753" i="13"/>
  <c r="J753" i="13"/>
  <c r="O752" i="13"/>
  <c r="J752" i="13"/>
  <c r="O751" i="13"/>
  <c r="J751" i="13"/>
  <c r="O750" i="13"/>
  <c r="J750" i="13"/>
  <c r="O749" i="13"/>
  <c r="J749" i="13"/>
  <c r="O748" i="13"/>
  <c r="J748" i="13"/>
  <c r="O747" i="13"/>
  <c r="J747" i="13"/>
  <c r="O746" i="13"/>
  <c r="J746" i="13"/>
  <c r="O745" i="13"/>
  <c r="J745" i="13"/>
  <c r="O744" i="13"/>
  <c r="J744" i="13"/>
  <c r="O743" i="13"/>
  <c r="J743" i="13"/>
  <c r="O742" i="13"/>
  <c r="J742" i="13"/>
  <c r="O741" i="13"/>
  <c r="J741" i="13"/>
  <c r="O740" i="13"/>
  <c r="J740" i="13"/>
  <c r="O739" i="13"/>
  <c r="J739" i="13"/>
  <c r="O738" i="13"/>
  <c r="J738" i="13"/>
  <c r="O737" i="13"/>
  <c r="J737" i="13"/>
  <c r="O736" i="13"/>
  <c r="J736" i="13"/>
  <c r="O735" i="13"/>
  <c r="J735" i="13"/>
  <c r="O734" i="13"/>
  <c r="J734" i="13"/>
  <c r="O733" i="13"/>
  <c r="J733" i="13"/>
  <c r="O732" i="13"/>
  <c r="J732" i="13"/>
  <c r="O731" i="13"/>
  <c r="J731" i="13"/>
  <c r="O730" i="13"/>
  <c r="J730" i="13"/>
  <c r="O729" i="13"/>
  <c r="J729" i="13"/>
  <c r="O728" i="13"/>
  <c r="J728" i="13"/>
  <c r="O727" i="13"/>
  <c r="J727" i="13"/>
  <c r="O726" i="13"/>
  <c r="J726" i="13"/>
  <c r="O725" i="13"/>
  <c r="J725" i="13"/>
  <c r="O724" i="13"/>
  <c r="J724" i="13"/>
  <c r="O723" i="13"/>
  <c r="J723" i="13"/>
  <c r="O722" i="13"/>
  <c r="J722" i="13"/>
  <c r="O721" i="13"/>
  <c r="J721" i="13"/>
  <c r="O720" i="13"/>
  <c r="J720" i="13"/>
  <c r="O719" i="13"/>
  <c r="J719" i="13"/>
  <c r="O718" i="13"/>
  <c r="J718" i="13"/>
  <c r="O717" i="13"/>
  <c r="J717" i="13"/>
  <c r="O716" i="13"/>
  <c r="J716" i="13"/>
  <c r="O715" i="13"/>
  <c r="J715" i="13"/>
  <c r="O714" i="13"/>
  <c r="J714" i="13"/>
  <c r="O713" i="13"/>
  <c r="J713" i="13"/>
  <c r="O712" i="13"/>
  <c r="J712" i="13"/>
  <c r="O711" i="13"/>
  <c r="J711" i="13"/>
  <c r="O710" i="13"/>
  <c r="J710" i="13"/>
  <c r="O709" i="13"/>
  <c r="J709" i="13"/>
  <c r="O708" i="13"/>
  <c r="J708" i="13"/>
  <c r="O707" i="13"/>
  <c r="J707" i="13"/>
  <c r="O706" i="13"/>
  <c r="J706" i="13"/>
  <c r="O705" i="13"/>
  <c r="J705" i="13"/>
  <c r="O704" i="13"/>
  <c r="J704" i="13"/>
  <c r="O703" i="13"/>
  <c r="J703" i="13"/>
  <c r="O702" i="13"/>
  <c r="J702" i="13"/>
  <c r="O701" i="13"/>
  <c r="J701" i="13"/>
  <c r="O700" i="13"/>
  <c r="J700" i="13"/>
  <c r="O699" i="13"/>
  <c r="J699" i="13"/>
  <c r="O698" i="13"/>
  <c r="J698" i="13"/>
  <c r="O697" i="13"/>
  <c r="J697" i="13"/>
  <c r="O696" i="13"/>
  <c r="J696" i="13"/>
  <c r="O695" i="13"/>
  <c r="J695" i="13"/>
  <c r="O694" i="13"/>
  <c r="J694" i="13"/>
  <c r="O693" i="13"/>
  <c r="J693" i="13"/>
  <c r="O692" i="13"/>
  <c r="J692" i="13"/>
  <c r="O691" i="13"/>
  <c r="J691" i="13"/>
  <c r="O690" i="13"/>
  <c r="J690" i="13"/>
  <c r="O689" i="13"/>
  <c r="J689" i="13"/>
  <c r="O688" i="13"/>
  <c r="J688" i="13"/>
  <c r="O687" i="13"/>
  <c r="J687" i="13"/>
  <c r="O686" i="13"/>
  <c r="J686" i="13"/>
  <c r="O685" i="13"/>
  <c r="J685" i="13"/>
  <c r="O684" i="13"/>
  <c r="J684" i="13"/>
  <c r="O683" i="13"/>
  <c r="J683" i="13"/>
  <c r="O682" i="13"/>
  <c r="J682" i="13"/>
  <c r="O681" i="13"/>
  <c r="J681" i="13"/>
  <c r="O680" i="13"/>
  <c r="J680" i="13"/>
  <c r="O679" i="13"/>
  <c r="J679" i="13"/>
  <c r="O678" i="13"/>
  <c r="J678" i="13"/>
  <c r="O677" i="13"/>
  <c r="J677" i="13"/>
  <c r="O676" i="13"/>
  <c r="J676" i="13"/>
  <c r="O675" i="13"/>
  <c r="J675" i="13"/>
  <c r="O674" i="13"/>
  <c r="J674" i="13"/>
  <c r="O673" i="13"/>
  <c r="J673" i="13"/>
  <c r="O672" i="13"/>
  <c r="J672" i="13"/>
  <c r="O671" i="13"/>
  <c r="J671" i="13"/>
  <c r="O670" i="13"/>
  <c r="J670" i="13"/>
  <c r="O669" i="13"/>
  <c r="J669" i="13"/>
  <c r="O668" i="13"/>
  <c r="J668" i="13"/>
  <c r="O667" i="13"/>
  <c r="J667" i="13"/>
  <c r="O666" i="13"/>
  <c r="J666" i="13"/>
  <c r="O665" i="13"/>
  <c r="J665" i="13"/>
  <c r="O664" i="13"/>
  <c r="J664" i="13"/>
  <c r="O663" i="13"/>
  <c r="J663" i="13"/>
  <c r="O662" i="13"/>
  <c r="J662" i="13"/>
  <c r="O661" i="13"/>
  <c r="J661" i="13"/>
  <c r="O660" i="13"/>
  <c r="J660" i="13"/>
  <c r="O659" i="13"/>
  <c r="J659" i="13"/>
  <c r="O658" i="13"/>
  <c r="O657" i="13"/>
  <c r="O656" i="13"/>
  <c r="J656" i="13"/>
  <c r="O655" i="13"/>
  <c r="J655" i="13"/>
  <c r="O654" i="13"/>
  <c r="O653" i="13"/>
  <c r="O652" i="13"/>
  <c r="O651" i="13"/>
  <c r="O650" i="13"/>
  <c r="O649" i="13"/>
  <c r="O648" i="13"/>
  <c r="O647" i="13"/>
  <c r="O646" i="13"/>
  <c r="O645" i="13"/>
  <c r="J644" i="13"/>
  <c r="O643" i="13"/>
  <c r="O642" i="13"/>
  <c r="O641" i="13"/>
  <c r="O640" i="13"/>
  <c r="O639" i="13"/>
  <c r="O638" i="13"/>
  <c r="O637" i="13"/>
  <c r="O636" i="13"/>
  <c r="O635" i="13"/>
  <c r="O634" i="13"/>
  <c r="O633" i="13"/>
  <c r="O632" i="13"/>
  <c r="O631" i="13"/>
  <c r="O630" i="13"/>
  <c r="O629" i="13"/>
  <c r="J629" i="13"/>
  <c r="O628" i="13"/>
  <c r="J628" i="13"/>
  <c r="O627" i="13"/>
  <c r="O626" i="13"/>
  <c r="O625" i="13"/>
  <c r="O624" i="13"/>
  <c r="O623" i="13"/>
  <c r="O622" i="13"/>
  <c r="O621" i="13"/>
  <c r="O620" i="13"/>
  <c r="O619" i="13"/>
  <c r="O618" i="13"/>
  <c r="O617" i="13"/>
  <c r="O616" i="13"/>
  <c r="O615" i="13"/>
  <c r="O614" i="13"/>
  <c r="O613" i="13"/>
  <c r="O612" i="13"/>
  <c r="O611" i="13"/>
  <c r="J611" i="13"/>
  <c r="O610" i="13"/>
  <c r="J610" i="13"/>
  <c r="O609" i="13"/>
  <c r="J609" i="13"/>
  <c r="O608" i="13"/>
  <c r="J608" i="13"/>
  <c r="O607" i="13"/>
  <c r="J607" i="13"/>
  <c r="O606" i="13"/>
  <c r="J606" i="13"/>
  <c r="O605" i="13"/>
  <c r="J605" i="13"/>
  <c r="O604" i="13"/>
  <c r="J604" i="13"/>
  <c r="O603" i="13"/>
  <c r="J603" i="13"/>
  <c r="O602" i="13"/>
  <c r="J602" i="13"/>
  <c r="O601" i="13"/>
  <c r="J601" i="13"/>
  <c r="O600" i="13"/>
  <c r="J600" i="13"/>
  <c r="O599" i="13"/>
  <c r="J599" i="13"/>
  <c r="O598" i="13"/>
  <c r="J598" i="13"/>
  <c r="O597" i="13"/>
  <c r="J597" i="13"/>
  <c r="O596" i="13"/>
  <c r="J596" i="13"/>
  <c r="O595" i="13"/>
  <c r="J595" i="13"/>
  <c r="O594" i="13"/>
  <c r="J594" i="13"/>
  <c r="O593" i="13"/>
  <c r="J593" i="13"/>
  <c r="O592" i="13"/>
  <c r="J592" i="13"/>
  <c r="O591" i="13"/>
  <c r="J591" i="13"/>
  <c r="O590" i="13"/>
  <c r="J590" i="13"/>
  <c r="O589" i="13"/>
  <c r="J589" i="13"/>
  <c r="O588" i="13"/>
  <c r="J588" i="13"/>
  <c r="O587" i="13"/>
  <c r="J587" i="13"/>
  <c r="O586" i="13"/>
  <c r="J586" i="13"/>
  <c r="O585" i="13"/>
  <c r="J585" i="13"/>
  <c r="O584" i="13"/>
  <c r="J584" i="13"/>
  <c r="O583" i="13"/>
  <c r="J583" i="13"/>
  <c r="O582" i="13"/>
  <c r="J582" i="13"/>
  <c r="O581" i="13"/>
  <c r="J581" i="13"/>
  <c r="O580" i="13"/>
  <c r="J580" i="13"/>
  <c r="O579" i="13"/>
  <c r="J579" i="13"/>
  <c r="O578" i="13"/>
  <c r="J578" i="13"/>
  <c r="O577" i="13"/>
  <c r="J577" i="13"/>
  <c r="O576" i="13"/>
  <c r="J576" i="13"/>
  <c r="O575" i="13"/>
  <c r="J575" i="13"/>
  <c r="O574" i="13"/>
  <c r="J574" i="13"/>
  <c r="O573" i="13"/>
  <c r="J573" i="13"/>
  <c r="O572" i="13"/>
  <c r="J572" i="13"/>
  <c r="O571" i="13"/>
  <c r="J571" i="13"/>
  <c r="O570" i="13"/>
  <c r="J570" i="13"/>
  <c r="O569" i="13"/>
  <c r="J569" i="13"/>
  <c r="O568" i="13"/>
  <c r="J568" i="13"/>
  <c r="O567" i="13"/>
  <c r="J567" i="13"/>
  <c r="O566" i="13"/>
  <c r="J566" i="13"/>
  <c r="O565" i="13"/>
  <c r="J565" i="13"/>
  <c r="O564" i="13"/>
  <c r="J564" i="13"/>
  <c r="O563" i="13"/>
  <c r="J563" i="13"/>
  <c r="O562" i="13"/>
  <c r="J562" i="13"/>
  <c r="O561" i="13"/>
  <c r="J561" i="13"/>
  <c r="O560" i="13"/>
  <c r="J560" i="13"/>
  <c r="O559" i="13"/>
  <c r="J559" i="13"/>
  <c r="O558" i="13"/>
  <c r="J558" i="13"/>
  <c r="O557" i="13"/>
  <c r="J557" i="13"/>
  <c r="O556" i="13"/>
  <c r="J556" i="13"/>
  <c r="O555" i="13"/>
  <c r="J555" i="13"/>
  <c r="O554" i="13"/>
  <c r="J554" i="13"/>
  <c r="O553" i="13"/>
  <c r="J553" i="13"/>
  <c r="O552" i="13"/>
  <c r="J552" i="13"/>
  <c r="O551" i="13"/>
  <c r="J551" i="13"/>
  <c r="O550" i="13"/>
  <c r="J550" i="13"/>
  <c r="O549" i="13"/>
  <c r="J549" i="13"/>
  <c r="O548" i="13"/>
  <c r="J548" i="13"/>
  <c r="O547" i="13"/>
  <c r="J547" i="13"/>
  <c r="O546" i="13"/>
  <c r="J546" i="13"/>
  <c r="O545" i="13"/>
  <c r="J545" i="13"/>
  <c r="O544" i="13"/>
  <c r="J544" i="13"/>
  <c r="O543" i="13"/>
  <c r="J543" i="13"/>
  <c r="O542" i="13"/>
  <c r="J542" i="13"/>
  <c r="O541" i="13"/>
  <c r="J541" i="13"/>
  <c r="O540" i="13"/>
  <c r="J540" i="13"/>
  <c r="O539" i="13"/>
  <c r="J539" i="13"/>
  <c r="O538" i="13"/>
  <c r="J538" i="13"/>
  <c r="O537" i="13"/>
  <c r="J537" i="13"/>
  <c r="O536" i="13"/>
  <c r="J536" i="13"/>
  <c r="O535" i="13"/>
  <c r="J535" i="13"/>
  <c r="O534" i="13"/>
  <c r="J534" i="13"/>
  <c r="O533" i="13"/>
  <c r="J533" i="13"/>
  <c r="O532" i="13"/>
  <c r="J532" i="13"/>
  <c r="O531" i="13"/>
  <c r="J531" i="13"/>
  <c r="O530" i="13"/>
  <c r="J530" i="13"/>
  <c r="O529" i="13"/>
  <c r="J529" i="13"/>
  <c r="O528" i="13"/>
  <c r="J528" i="13"/>
  <c r="O527" i="13"/>
  <c r="J527" i="13"/>
  <c r="O526" i="13"/>
  <c r="J526" i="13"/>
  <c r="O525" i="13"/>
  <c r="J525" i="13"/>
  <c r="O524" i="13"/>
  <c r="J524" i="13"/>
  <c r="O523" i="13"/>
  <c r="J523" i="13"/>
  <c r="O522" i="13"/>
  <c r="J522" i="13"/>
  <c r="O521" i="13"/>
  <c r="J521" i="13"/>
  <c r="O520" i="13"/>
  <c r="J520" i="13"/>
  <c r="O519" i="13"/>
  <c r="O518" i="13"/>
  <c r="O517" i="13"/>
  <c r="O516" i="13"/>
  <c r="O515" i="13"/>
  <c r="O514" i="13"/>
  <c r="O513" i="13"/>
  <c r="O512" i="13"/>
  <c r="O511" i="13"/>
  <c r="O510" i="13"/>
  <c r="J510" i="13"/>
  <c r="O509" i="13"/>
  <c r="J509" i="13"/>
  <c r="O508" i="13"/>
  <c r="J508" i="13"/>
  <c r="O507" i="13"/>
  <c r="J507" i="13"/>
  <c r="O506" i="13"/>
  <c r="J506" i="13"/>
  <c r="O505" i="13"/>
  <c r="J505" i="13"/>
  <c r="O504" i="13"/>
  <c r="J504" i="13"/>
  <c r="O503" i="13"/>
  <c r="J503" i="13"/>
  <c r="O502" i="13"/>
  <c r="J502" i="13"/>
  <c r="O501" i="13"/>
  <c r="J501" i="13"/>
  <c r="O500" i="13"/>
  <c r="J500" i="13"/>
  <c r="O499" i="13"/>
  <c r="J499" i="13"/>
  <c r="O498" i="13"/>
  <c r="J498" i="13"/>
  <c r="O497" i="13"/>
  <c r="J497" i="13"/>
  <c r="O496" i="13"/>
  <c r="J496" i="13"/>
  <c r="O495" i="13"/>
  <c r="O494" i="13"/>
  <c r="J494" i="13"/>
  <c r="O493" i="13"/>
  <c r="O492" i="13"/>
  <c r="J492" i="13"/>
  <c r="O491" i="13"/>
  <c r="J491" i="13"/>
  <c r="O490" i="13"/>
  <c r="J490" i="13"/>
  <c r="J488" i="13"/>
  <c r="J486" i="13"/>
  <c r="J484" i="13"/>
  <c r="O483" i="13"/>
  <c r="O482" i="13"/>
  <c r="J482" i="13"/>
  <c r="O481" i="13"/>
  <c r="O480" i="13"/>
  <c r="J480" i="13"/>
  <c r="O479" i="13"/>
  <c r="O478" i="13"/>
  <c r="J478" i="13"/>
  <c r="O477" i="13"/>
  <c r="J477" i="13"/>
  <c r="O476" i="13"/>
  <c r="J476" i="13"/>
  <c r="O475" i="13"/>
  <c r="J475" i="13"/>
  <c r="O474" i="13"/>
  <c r="J474" i="13"/>
  <c r="O473" i="13"/>
  <c r="J473" i="13"/>
  <c r="O472" i="13"/>
  <c r="O471" i="13"/>
  <c r="O470" i="13"/>
  <c r="O469" i="13"/>
  <c r="O468" i="13"/>
  <c r="O467" i="13"/>
  <c r="O466" i="13"/>
  <c r="O465" i="13"/>
  <c r="O464" i="13"/>
  <c r="O463" i="13"/>
  <c r="O462" i="13"/>
  <c r="J462" i="13"/>
  <c r="O461" i="13"/>
  <c r="J461" i="13"/>
  <c r="O460" i="13"/>
  <c r="J460" i="13"/>
  <c r="O459" i="13"/>
  <c r="J459" i="13"/>
  <c r="O458" i="13"/>
  <c r="J458" i="13"/>
  <c r="O457" i="13"/>
  <c r="J457" i="13"/>
  <c r="O456" i="13"/>
  <c r="J456" i="13"/>
  <c r="O455" i="13"/>
  <c r="J455" i="13"/>
  <c r="O454" i="13"/>
  <c r="J454" i="13"/>
  <c r="O453" i="13"/>
  <c r="J453" i="13"/>
  <c r="O452" i="13"/>
  <c r="J452" i="13"/>
  <c r="O451" i="13"/>
  <c r="J451" i="13"/>
  <c r="O450" i="13"/>
  <c r="J450" i="13"/>
  <c r="O449" i="13"/>
  <c r="O448" i="13"/>
  <c r="J448" i="13"/>
  <c r="O447" i="13"/>
  <c r="O446" i="13"/>
  <c r="J446" i="13"/>
  <c r="O445" i="13"/>
  <c r="O444" i="13"/>
  <c r="O443" i="13"/>
  <c r="O442" i="13"/>
  <c r="O441" i="13"/>
  <c r="O440" i="13"/>
  <c r="J440" i="13"/>
  <c r="O439" i="13"/>
  <c r="O438" i="13"/>
  <c r="J438" i="13"/>
  <c r="O437" i="13"/>
  <c r="O436" i="13"/>
  <c r="J436" i="13"/>
  <c r="O435" i="13"/>
  <c r="O434" i="13"/>
  <c r="J434" i="13"/>
  <c r="O433" i="13"/>
  <c r="O432" i="13"/>
  <c r="J432" i="13"/>
  <c r="O431" i="13"/>
  <c r="O430" i="13"/>
  <c r="O429" i="13"/>
  <c r="J429" i="13"/>
  <c r="O428" i="13"/>
  <c r="O427" i="13"/>
  <c r="O426" i="13"/>
  <c r="O425" i="13"/>
  <c r="O424" i="13"/>
  <c r="O423" i="13"/>
  <c r="J423" i="13"/>
  <c r="O422" i="13"/>
  <c r="O421" i="13"/>
  <c r="O420" i="13"/>
  <c r="O419" i="13"/>
  <c r="O418" i="13"/>
  <c r="O417" i="13"/>
  <c r="J417" i="13"/>
  <c r="O416" i="13"/>
  <c r="O415" i="13"/>
  <c r="O414" i="13"/>
  <c r="O413" i="13"/>
  <c r="O412" i="13"/>
  <c r="O411" i="13"/>
  <c r="O410" i="13"/>
  <c r="J410" i="13"/>
  <c r="O409" i="13"/>
  <c r="J409" i="13"/>
  <c r="O408" i="13"/>
  <c r="J408" i="13"/>
  <c r="O407" i="13"/>
  <c r="J407" i="13"/>
  <c r="O406" i="13"/>
  <c r="J406" i="13"/>
  <c r="O405" i="13"/>
  <c r="J405" i="13"/>
  <c r="O404" i="13"/>
  <c r="J404" i="13"/>
  <c r="O403" i="13"/>
  <c r="J403" i="13"/>
  <c r="O402" i="13"/>
  <c r="J402" i="13"/>
  <c r="O401" i="13"/>
  <c r="J401" i="13"/>
  <c r="O400" i="13"/>
  <c r="J400" i="13"/>
  <c r="O399" i="13"/>
  <c r="J399" i="13"/>
  <c r="O398" i="13"/>
  <c r="J398" i="13"/>
  <c r="O397" i="13"/>
  <c r="J397" i="13"/>
  <c r="O396" i="13"/>
  <c r="J396" i="13"/>
  <c r="O395" i="13"/>
  <c r="J395" i="13"/>
  <c r="O394" i="13"/>
  <c r="J394" i="13"/>
  <c r="O393" i="13"/>
  <c r="O392" i="13"/>
  <c r="O391" i="13"/>
  <c r="O390" i="13"/>
  <c r="O389" i="13"/>
  <c r="O388" i="13"/>
  <c r="O387" i="13"/>
  <c r="O386" i="13"/>
  <c r="J386" i="13"/>
  <c r="O385" i="13"/>
  <c r="J385" i="13"/>
  <c r="O384" i="13"/>
  <c r="O383" i="13"/>
  <c r="O382" i="13"/>
  <c r="O381" i="13"/>
  <c r="O380" i="13"/>
  <c r="O379" i="13"/>
  <c r="O378" i="13"/>
  <c r="O377" i="13"/>
  <c r="O376" i="13"/>
  <c r="O375" i="13"/>
  <c r="O374" i="13"/>
  <c r="O373" i="13"/>
  <c r="O372" i="13"/>
  <c r="O371" i="13"/>
  <c r="O370" i="13"/>
  <c r="J370" i="13"/>
  <c r="O369" i="13"/>
  <c r="O368" i="13"/>
  <c r="O367" i="13"/>
  <c r="O366" i="13"/>
  <c r="O365" i="13"/>
  <c r="O364" i="13"/>
  <c r="O363" i="13"/>
  <c r="O362" i="13"/>
  <c r="O361" i="13"/>
  <c r="O360" i="13"/>
  <c r="O359" i="13"/>
  <c r="O358" i="13"/>
  <c r="O357" i="13"/>
  <c r="O356" i="13"/>
  <c r="O355" i="13"/>
  <c r="O354" i="13"/>
  <c r="O353" i="13"/>
  <c r="O352" i="13"/>
  <c r="J352" i="13"/>
  <c r="O351" i="13"/>
  <c r="O350" i="13"/>
  <c r="O349" i="13"/>
  <c r="O348" i="13"/>
  <c r="O347" i="13"/>
  <c r="O346" i="13"/>
  <c r="O345" i="13"/>
  <c r="O344" i="13"/>
  <c r="O343" i="13"/>
  <c r="O342" i="13"/>
  <c r="O341" i="13"/>
  <c r="O340" i="13"/>
  <c r="J339" i="13"/>
  <c r="O338" i="13"/>
  <c r="O337" i="13"/>
  <c r="O336" i="13"/>
  <c r="O335" i="13"/>
  <c r="J334" i="13"/>
  <c r="O333" i="13"/>
  <c r="O332" i="13"/>
  <c r="O331" i="13"/>
  <c r="O330" i="13"/>
  <c r="O329" i="13"/>
  <c r="O328" i="13"/>
  <c r="O327" i="13"/>
  <c r="O326" i="13"/>
  <c r="O325" i="13"/>
  <c r="O324" i="13"/>
  <c r="O323" i="13"/>
  <c r="O322" i="13"/>
  <c r="O321" i="13"/>
  <c r="O320" i="13"/>
  <c r="O319" i="13"/>
  <c r="O318" i="13"/>
  <c r="O317" i="13"/>
  <c r="O316" i="13"/>
  <c r="O315" i="13"/>
  <c r="O314" i="13"/>
  <c r="O313" i="13"/>
  <c r="O312" i="13"/>
  <c r="O311" i="13"/>
  <c r="O310" i="13"/>
  <c r="O309" i="13"/>
  <c r="O308" i="13"/>
  <c r="J308" i="13"/>
  <c r="O307" i="13"/>
  <c r="O306" i="13"/>
  <c r="O305" i="13"/>
  <c r="O304" i="13"/>
  <c r="O303" i="13"/>
  <c r="O302" i="13"/>
  <c r="O301" i="13"/>
  <c r="O300" i="13"/>
  <c r="O299" i="13"/>
  <c r="O298" i="13"/>
  <c r="J298" i="13"/>
  <c r="O297" i="13"/>
  <c r="J297" i="13"/>
  <c r="O296" i="13"/>
  <c r="O295" i="13"/>
  <c r="O294" i="13"/>
  <c r="O293" i="13"/>
  <c r="O292" i="13"/>
  <c r="O291" i="13"/>
  <c r="O290" i="13"/>
  <c r="O289" i="13"/>
  <c r="O288" i="13"/>
  <c r="J288" i="13"/>
  <c r="O287" i="13"/>
  <c r="J287" i="13"/>
  <c r="O286" i="13"/>
  <c r="J286" i="13"/>
  <c r="O285" i="13"/>
  <c r="J285" i="13"/>
  <c r="O284" i="13"/>
  <c r="J284" i="13"/>
  <c r="O283" i="13"/>
  <c r="J283" i="13"/>
  <c r="O282" i="13"/>
  <c r="J282" i="13"/>
  <c r="O281" i="13"/>
  <c r="O280" i="13"/>
  <c r="O279" i="13"/>
  <c r="O278" i="13"/>
  <c r="O277" i="13"/>
  <c r="O276" i="13"/>
  <c r="O275" i="13"/>
  <c r="O274" i="13"/>
  <c r="O273" i="13"/>
  <c r="O272" i="13"/>
  <c r="O271" i="13"/>
  <c r="J271" i="13"/>
  <c r="O270" i="13"/>
  <c r="O269" i="13"/>
  <c r="O268" i="13"/>
  <c r="O267" i="13"/>
  <c r="O266" i="13"/>
  <c r="O265" i="13"/>
  <c r="J265" i="13"/>
  <c r="O264" i="13"/>
  <c r="O263" i="13"/>
  <c r="O262" i="13"/>
  <c r="O261" i="13"/>
  <c r="O260" i="13"/>
  <c r="O259" i="13"/>
  <c r="O258" i="13"/>
  <c r="O257" i="13"/>
  <c r="O256" i="13"/>
  <c r="O255" i="13"/>
  <c r="J255" i="13"/>
  <c r="O254" i="13"/>
  <c r="O253" i="13"/>
  <c r="O252" i="13"/>
  <c r="O251" i="13"/>
  <c r="O250" i="13"/>
  <c r="O249" i="13"/>
  <c r="O248" i="13"/>
  <c r="O247" i="13"/>
  <c r="J247" i="13"/>
  <c r="O246" i="13"/>
  <c r="J246" i="13"/>
  <c r="O245" i="13"/>
  <c r="O244" i="13"/>
  <c r="O243" i="13"/>
  <c r="O242" i="13"/>
  <c r="O241" i="13"/>
  <c r="O240" i="13"/>
  <c r="O239" i="13"/>
  <c r="O238" i="13"/>
  <c r="O237" i="13"/>
  <c r="O236" i="13"/>
  <c r="O235" i="13"/>
  <c r="O234" i="13"/>
  <c r="O233" i="13"/>
  <c r="J233" i="13"/>
  <c r="O232" i="13"/>
  <c r="J232" i="13"/>
  <c r="O231" i="13"/>
  <c r="J231" i="13"/>
  <c r="O230" i="13"/>
  <c r="J230" i="13"/>
  <c r="O229" i="13"/>
  <c r="J229" i="13"/>
  <c r="O228" i="13"/>
  <c r="J228" i="13"/>
  <c r="O227" i="13"/>
  <c r="J227" i="13"/>
  <c r="O226" i="13"/>
  <c r="J226" i="13"/>
  <c r="O225" i="13"/>
  <c r="J225" i="13"/>
  <c r="O224" i="13"/>
  <c r="J224" i="13"/>
  <c r="O223" i="13"/>
  <c r="O222" i="13"/>
  <c r="J222" i="13"/>
  <c r="O221" i="13"/>
  <c r="J221" i="13"/>
  <c r="O220" i="13"/>
  <c r="J220" i="13"/>
  <c r="O219" i="13"/>
  <c r="O218" i="13"/>
  <c r="O217" i="13"/>
  <c r="O216" i="13"/>
  <c r="O215" i="13"/>
  <c r="O214" i="13"/>
  <c r="O213" i="13"/>
  <c r="O212" i="13"/>
  <c r="O211" i="13"/>
  <c r="O210" i="13"/>
  <c r="O209" i="13"/>
  <c r="O208" i="13"/>
  <c r="O207" i="13"/>
  <c r="O206" i="13"/>
  <c r="J206" i="13"/>
  <c r="O205" i="13"/>
  <c r="O204" i="13"/>
  <c r="O203" i="13"/>
  <c r="O202" i="13"/>
  <c r="O201" i="13"/>
  <c r="O200" i="13"/>
  <c r="O199" i="13"/>
  <c r="J199" i="13"/>
  <c r="O198" i="13"/>
  <c r="O197" i="13"/>
  <c r="O196" i="13"/>
  <c r="O195" i="13"/>
  <c r="O194" i="13"/>
  <c r="O193" i="13"/>
  <c r="O192" i="13"/>
  <c r="O191" i="13"/>
  <c r="O190" i="13"/>
  <c r="O189" i="13"/>
  <c r="O188" i="13"/>
  <c r="O187" i="13"/>
  <c r="J187" i="13"/>
  <c r="O186" i="13"/>
  <c r="O185" i="13"/>
  <c r="O184" i="13"/>
  <c r="O183" i="13"/>
  <c r="O182" i="13"/>
  <c r="O181" i="13"/>
  <c r="O180" i="13"/>
  <c r="O179" i="13"/>
  <c r="O178" i="13"/>
  <c r="O177" i="13"/>
  <c r="O176" i="13"/>
  <c r="O175" i="13"/>
  <c r="O174" i="13"/>
  <c r="O173" i="13"/>
  <c r="O172" i="13"/>
  <c r="O171" i="13"/>
  <c r="O170" i="13"/>
  <c r="J170" i="13"/>
  <c r="J168" i="13"/>
  <c r="O167" i="13"/>
  <c r="J167" i="13"/>
  <c r="O166" i="13"/>
  <c r="J166" i="13"/>
  <c r="O165" i="13"/>
  <c r="O164" i="13"/>
  <c r="O163" i="13"/>
  <c r="J163" i="13"/>
  <c r="O162" i="13"/>
  <c r="J162" i="13"/>
  <c r="O161" i="13"/>
  <c r="J161" i="13"/>
  <c r="O160" i="13"/>
  <c r="J160" i="13"/>
  <c r="O159" i="13"/>
  <c r="O158" i="13"/>
  <c r="O157" i="13"/>
  <c r="J157" i="13"/>
  <c r="O156" i="13"/>
  <c r="O155" i="13"/>
  <c r="J155" i="13"/>
  <c r="O154" i="13"/>
  <c r="J154" i="13"/>
  <c r="O153" i="13"/>
  <c r="O152" i="13"/>
  <c r="O151" i="13"/>
  <c r="O150" i="13"/>
  <c r="O149" i="13"/>
  <c r="O148" i="13"/>
  <c r="O147" i="13"/>
  <c r="O146" i="13"/>
  <c r="J146" i="13"/>
  <c r="O145" i="13"/>
  <c r="J145" i="13"/>
  <c r="O144" i="13"/>
  <c r="J144" i="13"/>
  <c r="O143" i="13"/>
  <c r="O142" i="13"/>
  <c r="O141" i="13"/>
  <c r="O140" i="13"/>
  <c r="O139" i="13"/>
  <c r="O138" i="13"/>
  <c r="O137" i="13"/>
  <c r="O136" i="13"/>
  <c r="O135" i="13"/>
  <c r="O134" i="13"/>
  <c r="O133" i="13"/>
  <c r="O132" i="13"/>
  <c r="O131" i="13"/>
  <c r="O130" i="13"/>
  <c r="O129" i="13"/>
  <c r="J129" i="13"/>
  <c r="O128" i="13"/>
  <c r="J128" i="13"/>
  <c r="O127" i="13"/>
  <c r="J127" i="13"/>
  <c r="O126" i="13"/>
  <c r="J126" i="13"/>
  <c r="O125" i="13"/>
  <c r="J125" i="13"/>
  <c r="O124" i="13"/>
  <c r="J124" i="13"/>
  <c r="O123" i="13"/>
  <c r="O122" i="13"/>
  <c r="O121" i="13"/>
  <c r="O120" i="13"/>
  <c r="O119" i="13"/>
  <c r="J119" i="13"/>
  <c r="O118" i="13"/>
  <c r="O117" i="13"/>
  <c r="O116" i="13"/>
  <c r="J116" i="13"/>
  <c r="O115" i="13"/>
  <c r="O114" i="13"/>
  <c r="J114" i="13"/>
  <c r="O113" i="13"/>
  <c r="O112" i="13"/>
  <c r="O111" i="13"/>
  <c r="O110" i="13"/>
  <c r="O109" i="13"/>
  <c r="J109" i="13"/>
  <c r="O108" i="13"/>
  <c r="O107" i="13"/>
  <c r="O106" i="13"/>
  <c r="J106" i="13"/>
  <c r="O105" i="13"/>
  <c r="O104" i="13"/>
  <c r="J104" i="13"/>
  <c r="O103" i="13"/>
  <c r="J103" i="13"/>
  <c r="O102" i="13"/>
  <c r="O101" i="13"/>
  <c r="J101" i="13"/>
  <c r="O100" i="13"/>
  <c r="O99" i="13"/>
  <c r="J99" i="13"/>
  <c r="O98" i="13"/>
  <c r="O97" i="13"/>
  <c r="J97" i="13"/>
  <c r="O96" i="13"/>
  <c r="O95" i="13"/>
  <c r="J95" i="13"/>
  <c r="O94" i="13"/>
  <c r="O93" i="13"/>
  <c r="J93" i="13"/>
  <c r="O92" i="13"/>
  <c r="O91" i="13"/>
  <c r="O90" i="13"/>
  <c r="O89" i="13"/>
  <c r="O88" i="13"/>
  <c r="J88" i="13"/>
  <c r="O87" i="13"/>
  <c r="O86" i="13"/>
  <c r="J86" i="13"/>
  <c r="O85" i="13"/>
  <c r="J85" i="13"/>
  <c r="O84" i="13"/>
  <c r="J84" i="13"/>
  <c r="O83" i="13"/>
  <c r="O82" i="13"/>
  <c r="O81" i="13"/>
  <c r="O80" i="13"/>
  <c r="J80" i="13"/>
  <c r="O79" i="13"/>
  <c r="O78" i="13"/>
  <c r="O77" i="13"/>
  <c r="O76" i="13"/>
  <c r="O75" i="13"/>
  <c r="J75" i="13"/>
  <c r="O74" i="13"/>
  <c r="O73" i="13"/>
  <c r="O72" i="13"/>
  <c r="J72" i="13"/>
  <c r="O71" i="13"/>
  <c r="O70" i="13"/>
  <c r="O69" i="13"/>
  <c r="O68" i="13"/>
  <c r="J68" i="13"/>
  <c r="O67" i="13"/>
  <c r="O66" i="13"/>
  <c r="O65" i="13"/>
  <c r="J65" i="13"/>
  <c r="O64" i="13"/>
  <c r="J64" i="13"/>
  <c r="O63" i="13"/>
  <c r="J63" i="13"/>
  <c r="O62" i="13"/>
  <c r="J62" i="13"/>
  <c r="O61" i="13"/>
  <c r="O60" i="13"/>
  <c r="O59" i="13"/>
  <c r="O58" i="13"/>
  <c r="O57" i="13"/>
  <c r="O56" i="13"/>
  <c r="J56" i="13"/>
  <c r="O55" i="13"/>
  <c r="O54" i="13"/>
  <c r="O53" i="13"/>
  <c r="O52" i="13"/>
  <c r="O51" i="13"/>
  <c r="J51" i="13"/>
  <c r="O50" i="13"/>
  <c r="J50" i="13"/>
  <c r="O49" i="13"/>
  <c r="O48" i="13"/>
  <c r="O47" i="13"/>
  <c r="O46" i="13"/>
  <c r="J46" i="13"/>
  <c r="O45" i="13"/>
  <c r="O44" i="13"/>
  <c r="J44" i="13"/>
  <c r="O43" i="13"/>
  <c r="O42" i="13"/>
  <c r="O41" i="13"/>
  <c r="O40" i="13"/>
  <c r="O39" i="13"/>
  <c r="J39" i="13"/>
  <c r="O38" i="13"/>
  <c r="O37" i="13"/>
  <c r="O36" i="13"/>
  <c r="O35" i="13"/>
  <c r="J35" i="13"/>
  <c r="O34" i="13"/>
  <c r="O33" i="13"/>
  <c r="O32" i="13"/>
  <c r="O31" i="13"/>
  <c r="O30" i="13"/>
  <c r="O29" i="13"/>
  <c r="O28" i="13"/>
  <c r="J28" i="13"/>
  <c r="O27" i="13"/>
  <c r="J27" i="13"/>
  <c r="O26" i="13"/>
  <c r="O25" i="13"/>
  <c r="O24" i="13"/>
  <c r="O23" i="13"/>
  <c r="J23" i="13"/>
  <c r="O22" i="13"/>
  <c r="J22" i="13"/>
  <c r="O21" i="13"/>
  <c r="J21" i="13"/>
  <c r="O20" i="13"/>
  <c r="J20" i="13"/>
  <c r="O19" i="13"/>
  <c r="J19" i="13"/>
  <c r="O18" i="13"/>
  <c r="J18" i="13"/>
  <c r="O17" i="13"/>
  <c r="J17" i="13"/>
  <c r="O16" i="13"/>
  <c r="J16" i="13"/>
  <c r="O15" i="13"/>
  <c r="O14" i="13"/>
  <c r="J14" i="13"/>
  <c r="O13" i="13"/>
  <c r="O12" i="13"/>
  <c r="J12" i="13"/>
  <c r="O11" i="13"/>
  <c r="J11" i="13"/>
  <c r="O10" i="13"/>
  <c r="O9" i="13"/>
  <c r="J9" i="13"/>
  <c r="O8" i="13"/>
  <c r="J8" i="13"/>
  <c r="O7" i="13"/>
  <c r="J7" i="13"/>
  <c r="O6" i="13"/>
  <c r="J6" i="13"/>
  <c r="O5" i="13"/>
  <c r="J5" i="13"/>
  <c r="O4" i="13"/>
  <c r="J4" i="13"/>
  <c r="O3" i="13"/>
  <c r="J3" i="13"/>
  <c r="O2" i="13"/>
  <c r="J2" i="13"/>
  <c r="W1" i="13"/>
  <c r="H1" i="13"/>
  <c r="C1" i="13"/>
  <c r="B1" i="13"/>
  <c r="W1" i="12"/>
  <c r="H1" i="12"/>
  <c r="C1" i="12"/>
  <c r="B1" i="12"/>
  <c r="A14" i="11"/>
  <c r="A15" i="11" s="1"/>
  <c r="A16" i="11" s="1"/>
  <c r="A17" i="11" s="1"/>
  <c r="A18" i="11" s="1"/>
  <c r="A19" i="11" s="1"/>
  <c r="A20" i="11" s="1"/>
  <c r="A21" i="11" s="1"/>
  <c r="A22" i="11" s="1"/>
  <c r="Q13" i="11"/>
  <c r="O13" i="11"/>
  <c r="J13" i="11"/>
  <c r="A3" i="11"/>
  <c r="A4" i="11" s="1"/>
  <c r="A5" i="11" s="1"/>
  <c r="A6" i="11" s="1"/>
  <c r="A7" i="11" s="1"/>
  <c r="A8" i="11" s="1"/>
  <c r="A9" i="11" s="1"/>
  <c r="A10" i="11" s="1"/>
  <c r="A11" i="11" s="1"/>
  <c r="Q2" i="11"/>
  <c r="O2" i="11"/>
  <c r="J2" i="11"/>
  <c r="W1" i="11"/>
  <c r="H1" i="11"/>
  <c r="C1" i="11"/>
  <c r="B1" i="11"/>
  <c r="O23" i="10"/>
  <c r="Q22" i="10"/>
  <c r="J22" i="10"/>
  <c r="Q16" i="10"/>
  <c r="J16" i="10"/>
  <c r="Q4" i="10"/>
  <c r="J4" i="10"/>
  <c r="W1" i="10"/>
  <c r="H1" i="10"/>
  <c r="C1" i="10"/>
  <c r="B1" i="10"/>
  <c r="W1" i="9"/>
  <c r="H1" i="9"/>
  <c r="C1" i="9"/>
  <c r="B1" i="9"/>
  <c r="O32" i="8"/>
  <c r="O31" i="8"/>
  <c r="O30" i="8"/>
  <c r="O29" i="8"/>
  <c r="O28" i="8"/>
  <c r="O27" i="8"/>
  <c r="O26" i="8"/>
  <c r="O25" i="8"/>
  <c r="Q24" i="8"/>
  <c r="O24" i="8"/>
  <c r="J24" i="8"/>
  <c r="O23" i="8"/>
  <c r="O22" i="8"/>
  <c r="O21" i="8"/>
  <c r="O20" i="8"/>
  <c r="O19" i="8"/>
  <c r="O18" i="8"/>
  <c r="Q17" i="8"/>
  <c r="O17" i="8"/>
  <c r="J17" i="8"/>
  <c r="Q15" i="8"/>
  <c r="J15" i="8"/>
  <c r="Q14" i="8"/>
  <c r="O14" i="8"/>
  <c r="J14" i="8"/>
  <c r="O13" i="8"/>
  <c r="Q12" i="8"/>
  <c r="O12" i="8"/>
  <c r="J12" i="8"/>
  <c r="O11" i="8"/>
  <c r="O10" i="8"/>
  <c r="Q9" i="8"/>
  <c r="O9" i="8"/>
  <c r="J9" i="8"/>
  <c r="Q8" i="8"/>
  <c r="O8" i="8"/>
  <c r="J8" i="8"/>
  <c r="O7" i="8"/>
  <c r="O6" i="8"/>
  <c r="Q5" i="8"/>
  <c r="O5" i="8"/>
  <c r="J5" i="8"/>
  <c r="O4" i="8"/>
  <c r="Q3" i="8"/>
  <c r="O3" i="8"/>
  <c r="J3" i="8"/>
  <c r="Q2" i="8"/>
  <c r="O2" i="8"/>
  <c r="J2" i="8"/>
  <c r="W1" i="8"/>
  <c r="C1" i="8"/>
  <c r="B1" i="8"/>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O77" i="7"/>
  <c r="O76" i="7"/>
  <c r="O75" i="7"/>
  <c r="O74" i="7"/>
  <c r="O73" i="7"/>
  <c r="O72" i="7"/>
  <c r="O71" i="7"/>
  <c r="O70" i="7"/>
  <c r="O69" i="7"/>
  <c r="O68" i="7"/>
  <c r="O67" i="7"/>
  <c r="O66" i="7"/>
  <c r="O65" i="7"/>
  <c r="O64" i="7"/>
  <c r="Q63" i="7"/>
  <c r="O63" i="7"/>
  <c r="J63" i="7"/>
  <c r="Q62" i="7"/>
  <c r="O62" i="7"/>
  <c r="J62" i="7"/>
  <c r="O61" i="7"/>
  <c r="O60" i="7"/>
  <c r="Q59" i="7"/>
  <c r="O59" i="7"/>
  <c r="J59" i="7"/>
  <c r="Q58" i="7"/>
  <c r="O58" i="7"/>
  <c r="J58" i="7"/>
  <c r="O57" i="7"/>
  <c r="O56" i="7"/>
  <c r="O55" i="7"/>
  <c r="O54" i="7"/>
  <c r="O53" i="7"/>
  <c r="O52" i="7"/>
  <c r="O51" i="7"/>
  <c r="O50" i="7"/>
  <c r="O49" i="7"/>
  <c r="O48" i="7"/>
  <c r="Q47" i="7"/>
  <c r="J47" i="7"/>
  <c r="O46" i="7"/>
  <c r="O45" i="7"/>
  <c r="O44" i="7"/>
  <c r="O43" i="7"/>
  <c r="O42" i="7"/>
  <c r="O41" i="7"/>
  <c r="O40" i="7"/>
  <c r="O39" i="7"/>
  <c r="O38" i="7"/>
  <c r="O37" i="7"/>
  <c r="O36" i="7"/>
  <c r="O35" i="7"/>
  <c r="O34" i="7"/>
  <c r="O33" i="7"/>
  <c r="Q32" i="7"/>
  <c r="O32" i="7"/>
  <c r="J32" i="7"/>
  <c r="Q15" i="7"/>
  <c r="J15" i="7"/>
  <c r="Q14" i="7"/>
  <c r="J14" i="7"/>
  <c r="Q13" i="7"/>
  <c r="J13" i="7"/>
  <c r="Q12" i="7"/>
  <c r="J12" i="7"/>
  <c r="Q11" i="7"/>
  <c r="J11" i="7"/>
  <c r="Q10" i="7"/>
  <c r="J10" i="7"/>
  <c r="Q9" i="7"/>
  <c r="J9" i="7"/>
  <c r="Q8" i="7"/>
  <c r="J8" i="7"/>
  <c r="Q7" i="7"/>
  <c r="J7" i="7"/>
  <c r="Q6" i="7"/>
  <c r="J6" i="7"/>
  <c r="Q5" i="7"/>
  <c r="J5" i="7"/>
  <c r="Q4" i="7"/>
  <c r="J4" i="7"/>
  <c r="Q3" i="7"/>
  <c r="J3" i="7"/>
  <c r="Q2" i="7"/>
  <c r="J2" i="7"/>
  <c r="W1" i="7"/>
  <c r="H1" i="7"/>
  <c r="C1" i="7"/>
  <c r="B1" i="7"/>
  <c r="Q149" i="6"/>
  <c r="Q148" i="6"/>
  <c r="Q147" i="6"/>
  <c r="Q146" i="6"/>
  <c r="Q145" i="6"/>
  <c r="Q144" i="6"/>
  <c r="Q143" i="6"/>
  <c r="Q142" i="6"/>
  <c r="Q141" i="6"/>
  <c r="O141" i="6"/>
  <c r="J141" i="6"/>
  <c r="Q131" i="6"/>
  <c r="O131" i="6"/>
  <c r="J131" i="6"/>
  <c r="A116" i="6"/>
  <c r="A117" i="6" s="1"/>
  <c r="Q114" i="6"/>
  <c r="J114" i="6"/>
  <c r="Q106" i="6"/>
  <c r="J106" i="6"/>
  <c r="Q102" i="6"/>
  <c r="J102" i="6"/>
  <c r="Q90" i="6"/>
  <c r="J90" i="6"/>
  <c r="Q75" i="6"/>
  <c r="J75" i="6"/>
  <c r="Q58" i="6"/>
  <c r="J58" i="6"/>
  <c r="Q38" i="6"/>
  <c r="J38" i="6"/>
  <c r="Q33" i="6"/>
  <c r="J33" i="6"/>
  <c r="O32" i="6"/>
  <c r="O31" i="6"/>
  <c r="O30" i="6"/>
  <c r="O29" i="6"/>
  <c r="O28" i="6"/>
  <c r="O27" i="6"/>
  <c r="O26" i="6"/>
  <c r="O25" i="6"/>
  <c r="O24" i="6"/>
  <c r="O23" i="6"/>
  <c r="O22" i="6"/>
  <c r="O21" i="6"/>
  <c r="O20" i="6"/>
  <c r="O19" i="6"/>
  <c r="O18" i="6"/>
  <c r="O17" i="6"/>
  <c r="O16" i="6"/>
  <c r="O15" i="6"/>
  <c r="O14" i="6"/>
  <c r="Q13" i="6"/>
  <c r="J13" i="6"/>
  <c r="O12" i="6"/>
  <c r="O11" i="6"/>
  <c r="O10" i="6"/>
  <c r="O9" i="6"/>
  <c r="O8" i="6"/>
  <c r="O7" i="6"/>
  <c r="O6" i="6"/>
  <c r="O5" i="6"/>
  <c r="O4" i="6"/>
  <c r="Q3" i="6"/>
  <c r="O3" i="6"/>
  <c r="J3" i="6"/>
  <c r="Q2" i="6"/>
  <c r="O2" i="6"/>
  <c r="J2" i="6"/>
  <c r="W1" i="6"/>
  <c r="H1" i="6"/>
  <c r="C1" i="6"/>
  <c r="B1" i="6"/>
  <c r="Q173" i="5"/>
  <c r="O173" i="5"/>
  <c r="J173" i="5"/>
  <c r="Q169" i="5"/>
  <c r="O169" i="5"/>
  <c r="J169" i="5"/>
  <c r="O168" i="5"/>
  <c r="O167" i="5"/>
  <c r="O166" i="5"/>
  <c r="O165" i="5"/>
  <c r="O164" i="5"/>
  <c r="O163" i="5"/>
  <c r="Q162" i="5"/>
  <c r="O162" i="5"/>
  <c r="J162" i="5"/>
  <c r="O161" i="5"/>
  <c r="Q160" i="5"/>
  <c r="O160" i="5"/>
  <c r="J160" i="5"/>
  <c r="O159" i="5"/>
  <c r="Q158" i="5"/>
  <c r="O158" i="5"/>
  <c r="J158" i="5"/>
  <c r="O157" i="5"/>
  <c r="Q156" i="5"/>
  <c r="O156" i="5"/>
  <c r="J156" i="5"/>
  <c r="O155" i="5"/>
  <c r="Q154" i="5"/>
  <c r="O154" i="5"/>
  <c r="J154" i="5"/>
  <c r="O153" i="5"/>
  <c r="O152" i="5"/>
  <c r="O151" i="5"/>
  <c r="O150" i="5"/>
  <c r="O149" i="5"/>
  <c r="Q148" i="5"/>
  <c r="O148" i="5"/>
  <c r="J148" i="5"/>
  <c r="O147" i="5"/>
  <c r="Q146" i="5"/>
  <c r="O146" i="5"/>
  <c r="J146" i="5"/>
  <c r="O145" i="5"/>
  <c r="Q144" i="5"/>
  <c r="O144" i="5"/>
  <c r="J144" i="5"/>
  <c r="O143" i="5"/>
  <c r="O142" i="5"/>
  <c r="Q141" i="5"/>
  <c r="O141" i="5"/>
  <c r="J141" i="5"/>
  <c r="O140" i="5"/>
  <c r="O139" i="5"/>
  <c r="O138" i="5"/>
  <c r="O137" i="5"/>
  <c r="O136" i="5"/>
  <c r="Q135" i="5"/>
  <c r="O135" i="5"/>
  <c r="J135" i="5"/>
  <c r="O134" i="5"/>
  <c r="O133" i="5"/>
  <c r="O132" i="5"/>
  <c r="O131" i="5"/>
  <c r="O130" i="5"/>
  <c r="Q129" i="5"/>
  <c r="O129" i="5"/>
  <c r="J129" i="5"/>
  <c r="O128" i="5"/>
  <c r="O127" i="5"/>
  <c r="O126" i="5"/>
  <c r="O125" i="5"/>
  <c r="O124" i="5"/>
  <c r="O123" i="5"/>
  <c r="O122" i="5"/>
  <c r="Q121" i="5"/>
  <c r="O121" i="5"/>
  <c r="J121" i="5"/>
  <c r="O120" i="5"/>
  <c r="O119" i="5"/>
  <c r="O118" i="5"/>
  <c r="O117" i="5"/>
  <c r="O116" i="5"/>
  <c r="O115" i="5"/>
  <c r="O114" i="5"/>
  <c r="O113" i="5"/>
  <c r="O112" i="5"/>
  <c r="O111" i="5"/>
  <c r="O110" i="5"/>
  <c r="O109" i="5"/>
  <c r="O108" i="5"/>
  <c r="O107" i="5"/>
  <c r="O106" i="5"/>
  <c r="O105" i="5"/>
  <c r="Q104" i="5"/>
  <c r="J104" i="5"/>
  <c r="O103" i="5"/>
  <c r="O102" i="5"/>
  <c r="O101" i="5"/>
  <c r="O100" i="5"/>
  <c r="Q99" i="5"/>
  <c r="J99" i="5"/>
  <c r="O98" i="5"/>
  <c r="O97" i="5"/>
  <c r="O96" i="5"/>
  <c r="O95" i="5"/>
  <c r="O94" i="5"/>
  <c r="Q93" i="5"/>
  <c r="J93" i="5"/>
  <c r="O92" i="5"/>
  <c r="O91" i="5"/>
  <c r="O90" i="5"/>
  <c r="O89" i="5"/>
  <c r="O88" i="5"/>
  <c r="O87" i="5"/>
  <c r="O86" i="5"/>
  <c r="O85" i="5"/>
  <c r="O84" i="5"/>
  <c r="Q83" i="5"/>
  <c r="J83" i="5"/>
  <c r="O82" i="5"/>
  <c r="O81" i="5"/>
  <c r="O80" i="5"/>
  <c r="O79" i="5"/>
  <c r="Q78" i="5"/>
  <c r="J78" i="5"/>
  <c r="O77" i="5"/>
  <c r="O76" i="5"/>
  <c r="Q75" i="5"/>
  <c r="J75" i="5"/>
  <c r="O74" i="5"/>
  <c r="Q73" i="5"/>
  <c r="J73" i="5"/>
  <c r="O72" i="5"/>
  <c r="O71" i="5"/>
  <c r="O70" i="5"/>
  <c r="O69" i="5"/>
  <c r="Q68" i="5"/>
  <c r="J68" i="5"/>
  <c r="Q67" i="5"/>
  <c r="J67" i="5"/>
  <c r="O66" i="5"/>
  <c r="O65" i="5"/>
  <c r="O64" i="5"/>
  <c r="Q63" i="5"/>
  <c r="J63" i="5"/>
  <c r="O62" i="5"/>
  <c r="O61" i="5"/>
  <c r="O60" i="5"/>
  <c r="O59" i="5"/>
  <c r="Q58" i="5"/>
  <c r="J58" i="5"/>
  <c r="O57" i="5"/>
  <c r="O56" i="5"/>
  <c r="Q55" i="5"/>
  <c r="J55" i="5"/>
  <c r="O54" i="5"/>
  <c r="O53" i="5"/>
  <c r="O52" i="5"/>
  <c r="Q51" i="5"/>
  <c r="J51" i="5"/>
  <c r="O50" i="5"/>
  <c r="O49" i="5"/>
  <c r="Q48" i="5"/>
  <c r="J48" i="5"/>
  <c r="O47" i="5"/>
  <c r="Q46" i="5"/>
  <c r="J46" i="5"/>
  <c r="O45" i="5"/>
  <c r="O44" i="5"/>
  <c r="O43" i="5"/>
  <c r="O42" i="5"/>
  <c r="Q41" i="5"/>
  <c r="J41" i="5"/>
  <c r="O40" i="5"/>
  <c r="O39" i="5"/>
  <c r="O38" i="5"/>
  <c r="O37" i="5"/>
  <c r="O36" i="5"/>
  <c r="O35" i="5"/>
  <c r="O34" i="5"/>
  <c r="Q33" i="5"/>
  <c r="J33" i="5"/>
  <c r="O32" i="5"/>
  <c r="O31" i="5"/>
  <c r="O30" i="5"/>
  <c r="O29" i="5"/>
  <c r="O28" i="5"/>
  <c r="Q27" i="5"/>
  <c r="J27" i="5"/>
  <c r="O26" i="5"/>
  <c r="O25" i="5"/>
  <c r="O24" i="5"/>
  <c r="O23" i="5"/>
  <c r="Q22" i="5"/>
  <c r="J22" i="5"/>
  <c r="Q21" i="5"/>
  <c r="J21" i="5"/>
  <c r="O20" i="5"/>
  <c r="O19" i="5"/>
  <c r="O18" i="5"/>
  <c r="Q17" i="5"/>
  <c r="J17" i="5"/>
  <c r="O16" i="5"/>
  <c r="O15" i="5"/>
  <c r="O14" i="5"/>
  <c r="Q13" i="5"/>
  <c r="J13" i="5"/>
  <c r="O12" i="5"/>
  <c r="O11" i="5"/>
  <c r="O10" i="5"/>
  <c r="O9" i="5"/>
  <c r="O8" i="5"/>
  <c r="O7" i="5"/>
  <c r="Q6" i="5"/>
  <c r="J6" i="5"/>
  <c r="O5" i="5"/>
  <c r="O4" i="5"/>
  <c r="O3" i="5"/>
  <c r="Q2" i="5"/>
  <c r="J2" i="5"/>
  <c r="W1" i="5"/>
  <c r="H1" i="5"/>
  <c r="C1" i="5"/>
  <c r="B1" i="5"/>
  <c r="O126" i="4"/>
  <c r="O125" i="4"/>
  <c r="O124" i="4"/>
  <c r="O123" i="4"/>
  <c r="O122" i="4"/>
  <c r="O121" i="4"/>
  <c r="O120" i="4"/>
  <c r="O119" i="4"/>
  <c r="O118" i="4"/>
  <c r="O117" i="4"/>
  <c r="O116" i="4"/>
  <c r="O115" i="4"/>
  <c r="Q114" i="4"/>
  <c r="J114" i="4"/>
  <c r="O113" i="4"/>
  <c r="O112" i="4"/>
  <c r="O111" i="4"/>
  <c r="O110" i="4"/>
  <c r="O109" i="4"/>
  <c r="O108" i="4"/>
  <c r="O107" i="4"/>
  <c r="O106" i="4"/>
  <c r="Q104" i="4"/>
  <c r="O104" i="4"/>
  <c r="J104" i="4"/>
  <c r="O103" i="4"/>
  <c r="O102" i="4"/>
  <c r="O101" i="4"/>
  <c r="O100" i="4"/>
  <c r="O99" i="4"/>
  <c r="O98" i="4"/>
  <c r="O97" i="4"/>
  <c r="O96" i="4"/>
  <c r="O95" i="4"/>
  <c r="O94" i="4"/>
  <c r="Q93" i="4"/>
  <c r="J93" i="4"/>
  <c r="O92" i="4"/>
  <c r="Q91" i="4"/>
  <c r="J91" i="4"/>
  <c r="O90" i="4"/>
  <c r="O89" i="4"/>
  <c r="O88" i="4"/>
  <c r="O87" i="4"/>
  <c r="O86" i="4"/>
  <c r="O85" i="4"/>
  <c r="O84" i="4"/>
  <c r="O83" i="4"/>
  <c r="O82" i="4"/>
  <c r="O81" i="4"/>
  <c r="O80" i="4"/>
  <c r="O79" i="4"/>
  <c r="O78" i="4"/>
  <c r="O77" i="4"/>
  <c r="Q76" i="4"/>
  <c r="J76" i="4"/>
  <c r="O75" i="4"/>
  <c r="O74" i="4"/>
  <c r="O73" i="4"/>
  <c r="O72" i="4"/>
  <c r="O71" i="4"/>
  <c r="O70" i="4"/>
  <c r="O69" i="4"/>
  <c r="O68" i="4"/>
  <c r="O67" i="4"/>
  <c r="O66" i="4"/>
  <c r="O65" i="4"/>
  <c r="O64" i="4"/>
  <c r="O63" i="4"/>
  <c r="O62" i="4"/>
  <c r="O61" i="4"/>
  <c r="O60" i="4"/>
  <c r="O59" i="4"/>
  <c r="O58" i="4"/>
  <c r="O57" i="4"/>
  <c r="Q56" i="4"/>
  <c r="J56" i="4"/>
  <c r="Q55" i="4"/>
  <c r="J55" i="4"/>
  <c r="O54" i="4"/>
  <c r="O53" i="4"/>
  <c r="O52" i="4"/>
  <c r="O51" i="4"/>
  <c r="O50" i="4"/>
  <c r="O49" i="4"/>
  <c r="O48" i="4"/>
  <c r="O47" i="4"/>
  <c r="O46" i="4"/>
  <c r="O45" i="4"/>
  <c r="O44" i="4"/>
  <c r="Q43" i="4"/>
  <c r="J43" i="4"/>
  <c r="O42" i="4"/>
  <c r="O41" i="4"/>
  <c r="O40" i="4"/>
  <c r="O39" i="4"/>
  <c r="O38" i="4"/>
  <c r="O37" i="4"/>
  <c r="O36" i="4"/>
  <c r="Q35" i="4"/>
  <c r="J35" i="4"/>
  <c r="O34" i="4"/>
  <c r="O33" i="4"/>
  <c r="O32" i="4"/>
  <c r="O31" i="4"/>
  <c r="O30" i="4"/>
  <c r="O29" i="4"/>
  <c r="O28" i="4"/>
  <c r="O27" i="4"/>
  <c r="O26" i="4"/>
  <c r="O25" i="4"/>
  <c r="O24" i="4"/>
  <c r="O23" i="4"/>
  <c r="O22" i="4"/>
  <c r="O21" i="4"/>
  <c r="Q20" i="4"/>
  <c r="J20" i="4"/>
  <c r="Q19" i="4"/>
  <c r="J19" i="4"/>
  <c r="Q18" i="4"/>
  <c r="J18" i="4"/>
  <c r="Q17" i="4"/>
  <c r="J17" i="4"/>
  <c r="Q16" i="4"/>
  <c r="J16" i="4"/>
  <c r="Q15" i="4"/>
  <c r="Q14" i="4"/>
  <c r="J14" i="4"/>
  <c r="O13" i="4"/>
  <c r="Q12" i="4"/>
  <c r="J12" i="4"/>
  <c r="Q11" i="4"/>
  <c r="J11" i="4"/>
  <c r="O10" i="4"/>
  <c r="Q9" i="4"/>
  <c r="J9" i="4"/>
  <c r="Q8" i="4"/>
  <c r="J8" i="4"/>
  <c r="Q7" i="4"/>
  <c r="J7" i="4"/>
  <c r="Q6" i="4"/>
  <c r="J6" i="4"/>
  <c r="Q5" i="4"/>
  <c r="J5" i="4"/>
  <c r="Q4" i="4"/>
  <c r="J4" i="4"/>
  <c r="Q3" i="4"/>
  <c r="J3" i="4"/>
  <c r="Q2" i="4"/>
  <c r="J2" i="4"/>
  <c r="W1" i="4"/>
  <c r="H1" i="4"/>
  <c r="C1" i="4"/>
  <c r="B1" i="4"/>
  <c r="Q180" i="3"/>
  <c r="O180" i="3"/>
  <c r="J180" i="3"/>
  <c r="Q176" i="3"/>
  <c r="O176" i="3"/>
  <c r="J176" i="3"/>
  <c r="O175" i="3"/>
  <c r="O174" i="3"/>
  <c r="O173" i="3"/>
  <c r="O172" i="3"/>
  <c r="Q171" i="3"/>
  <c r="O171" i="3"/>
  <c r="J171" i="3"/>
  <c r="O170" i="3"/>
  <c r="O169" i="3"/>
  <c r="O168" i="3"/>
  <c r="O167" i="3"/>
  <c r="O166" i="3"/>
  <c r="Q165" i="3"/>
  <c r="O165" i="3"/>
  <c r="J165" i="3"/>
  <c r="O164" i="3"/>
  <c r="O163" i="3"/>
  <c r="O162" i="3"/>
  <c r="O161" i="3"/>
  <c r="O160" i="3"/>
  <c r="O159" i="3"/>
  <c r="O158" i="3"/>
  <c r="O157" i="3"/>
  <c r="O156" i="3"/>
  <c r="O155" i="3"/>
  <c r="O154" i="3"/>
  <c r="O153" i="3"/>
  <c r="O152" i="3"/>
  <c r="Q151" i="3"/>
  <c r="O151" i="3"/>
  <c r="J151" i="3"/>
  <c r="O150" i="3"/>
  <c r="O149" i="3"/>
  <c r="O148" i="3"/>
  <c r="O147" i="3"/>
  <c r="O146" i="3"/>
  <c r="O145" i="3"/>
  <c r="O144" i="3"/>
  <c r="O143" i="3"/>
  <c r="O142" i="3"/>
  <c r="O141" i="3"/>
  <c r="O140" i="3"/>
  <c r="Q139" i="3"/>
  <c r="O139" i="3"/>
  <c r="J139" i="3"/>
  <c r="O138" i="3"/>
  <c r="O137" i="3"/>
  <c r="O136" i="3"/>
  <c r="O135" i="3"/>
  <c r="O134" i="3"/>
  <c r="O133" i="3"/>
  <c r="O132" i="3"/>
  <c r="O131" i="3"/>
  <c r="O130" i="3"/>
  <c r="O129" i="3"/>
  <c r="O128" i="3"/>
  <c r="Q127" i="3"/>
  <c r="O127" i="3"/>
  <c r="J127" i="3"/>
  <c r="O126" i="3"/>
  <c r="O125" i="3"/>
  <c r="O124" i="3"/>
  <c r="O123" i="3"/>
  <c r="O122" i="3"/>
  <c r="O121" i="3"/>
  <c r="O120" i="3"/>
  <c r="O119" i="3"/>
  <c r="O118" i="3"/>
  <c r="O117" i="3"/>
  <c r="O116" i="3"/>
  <c r="O115" i="3"/>
  <c r="O114" i="3"/>
  <c r="O113" i="3"/>
  <c r="O112" i="3"/>
  <c r="O111" i="3"/>
  <c r="O110" i="3"/>
  <c r="O109" i="3"/>
  <c r="O108" i="3"/>
  <c r="O107" i="3"/>
  <c r="O106" i="3"/>
  <c r="O105" i="3"/>
  <c r="O104" i="3"/>
  <c r="O103" i="3"/>
  <c r="O102" i="3"/>
  <c r="Q101" i="3"/>
  <c r="O101" i="3"/>
  <c r="J101" i="3"/>
  <c r="O100" i="3"/>
  <c r="O99" i="3"/>
  <c r="O98" i="3"/>
  <c r="O97" i="3"/>
  <c r="O96" i="3"/>
  <c r="O95" i="3"/>
  <c r="O94" i="3"/>
  <c r="O93" i="3"/>
  <c r="O92" i="3"/>
  <c r="O91" i="3"/>
  <c r="O90" i="3"/>
  <c r="O89" i="3"/>
  <c r="O88" i="3"/>
  <c r="Q87" i="3"/>
  <c r="O87" i="3"/>
  <c r="J87" i="3"/>
  <c r="O86" i="3"/>
  <c r="Q85" i="3"/>
  <c r="O85" i="3"/>
  <c r="J85" i="3"/>
  <c r="O84" i="3"/>
  <c r="Q83" i="3"/>
  <c r="O83" i="3"/>
  <c r="J83" i="3"/>
  <c r="Q82" i="3"/>
  <c r="O82" i="3"/>
  <c r="J82" i="3"/>
  <c r="Q81" i="3"/>
  <c r="O81" i="3"/>
  <c r="J81" i="3"/>
  <c r="Q79" i="3"/>
  <c r="J79" i="3"/>
  <c r="Q77" i="3"/>
  <c r="J77" i="3"/>
  <c r="Q75" i="3"/>
  <c r="J75" i="3"/>
  <c r="Q73" i="3"/>
  <c r="J73" i="3"/>
  <c r="O72" i="3"/>
  <c r="Q71" i="3"/>
  <c r="J71" i="3"/>
  <c r="O70" i="3"/>
  <c r="Q69" i="3"/>
  <c r="J69" i="3"/>
  <c r="O68" i="3"/>
  <c r="O67" i="3"/>
  <c r="O66" i="3"/>
  <c r="O65" i="3"/>
  <c r="O64" i="3"/>
  <c r="O63" i="3"/>
  <c r="O62" i="3"/>
  <c r="O61" i="3"/>
  <c r="O60" i="3"/>
  <c r="O59" i="3"/>
  <c r="Q58" i="3"/>
  <c r="J58" i="3"/>
  <c r="O57" i="3"/>
  <c r="O56" i="3"/>
  <c r="O55" i="3"/>
  <c r="O54" i="3"/>
  <c r="O53" i="3"/>
  <c r="O52" i="3"/>
  <c r="O51" i="3"/>
  <c r="O50" i="3"/>
  <c r="O49" i="3"/>
  <c r="O48" i="3"/>
  <c r="O47" i="3"/>
  <c r="O46" i="3"/>
  <c r="O45" i="3"/>
  <c r="O44" i="3"/>
  <c r="O43" i="3"/>
  <c r="O42" i="3"/>
  <c r="Q41" i="3"/>
  <c r="O41" i="3"/>
  <c r="J41" i="3"/>
  <c r="O40" i="3"/>
  <c r="O39" i="3"/>
  <c r="Q38" i="3"/>
  <c r="J38" i="3"/>
  <c r="O37" i="3"/>
  <c r="Q36" i="3"/>
  <c r="J36" i="3"/>
  <c r="Q35" i="3"/>
  <c r="J35" i="3"/>
  <c r="O34" i="3"/>
  <c r="Q33" i="3"/>
  <c r="J33" i="3"/>
  <c r="O32" i="3"/>
  <c r="Q31" i="3"/>
  <c r="J31" i="3"/>
  <c r="O30" i="3"/>
  <c r="Q29" i="3"/>
  <c r="J29" i="3"/>
  <c r="O28" i="3"/>
  <c r="Q27" i="3"/>
  <c r="J27" i="3"/>
  <c r="O26" i="3"/>
  <c r="Q25" i="3"/>
  <c r="J25" i="3"/>
  <c r="O24" i="3"/>
  <c r="O23" i="3"/>
  <c r="O22" i="3"/>
  <c r="O21" i="3"/>
  <c r="Q20" i="3"/>
  <c r="J20" i="3"/>
  <c r="O19" i="3"/>
  <c r="Q18" i="3"/>
  <c r="J18" i="3"/>
  <c r="O17" i="3"/>
  <c r="O16" i="3"/>
  <c r="Q15" i="3"/>
  <c r="J15" i="3"/>
  <c r="O14" i="3"/>
  <c r="O13" i="3"/>
  <c r="O12" i="3"/>
  <c r="O11" i="3"/>
  <c r="O10" i="3"/>
  <c r="O9" i="3"/>
  <c r="O8" i="3"/>
  <c r="O7" i="3"/>
  <c r="O6" i="3"/>
  <c r="O5" i="3"/>
  <c r="O4" i="3"/>
  <c r="O3" i="3"/>
  <c r="Q2" i="3"/>
  <c r="J2" i="3"/>
  <c r="W1" i="3"/>
  <c r="H1" i="3"/>
  <c r="C1" i="3"/>
  <c r="B1" i="3"/>
  <c r="Q758" i="2"/>
  <c r="O758" i="2"/>
  <c r="J758" i="2"/>
  <c r="Q757" i="2"/>
  <c r="O757" i="2"/>
  <c r="J757" i="2"/>
  <c r="Q756" i="2"/>
  <c r="O756" i="2"/>
  <c r="J756" i="2"/>
  <c r="Q755" i="2"/>
  <c r="O755" i="2"/>
  <c r="J755" i="2"/>
  <c r="Q754" i="2"/>
  <c r="O754" i="2"/>
  <c r="J754" i="2"/>
  <c r="Q753" i="2"/>
  <c r="O753" i="2"/>
  <c r="J753" i="2"/>
  <c r="Q752" i="2"/>
  <c r="O752" i="2"/>
  <c r="J752" i="2"/>
  <c r="Q751" i="2"/>
  <c r="O751" i="2"/>
  <c r="J751" i="2"/>
  <c r="Q750" i="2"/>
  <c r="O750" i="2"/>
  <c r="J750" i="2"/>
  <c r="Q749" i="2"/>
  <c r="O749" i="2"/>
  <c r="J749" i="2"/>
  <c r="Q748" i="2"/>
  <c r="O748" i="2"/>
  <c r="J748" i="2"/>
  <c r="Q747" i="2"/>
  <c r="O747" i="2"/>
  <c r="J747" i="2"/>
  <c r="Q746" i="2"/>
  <c r="O746" i="2"/>
  <c r="J746" i="2"/>
  <c r="Q745" i="2"/>
  <c r="O745" i="2"/>
  <c r="J745" i="2"/>
  <c r="Q744" i="2"/>
  <c r="O744" i="2"/>
  <c r="J744" i="2"/>
  <c r="Q743" i="2"/>
  <c r="O743" i="2"/>
  <c r="J743" i="2"/>
  <c r="Q742" i="2"/>
  <c r="O742" i="2"/>
  <c r="Q741" i="2"/>
  <c r="O741" i="2"/>
  <c r="J741" i="2"/>
  <c r="Q740" i="2"/>
  <c r="O740" i="2"/>
  <c r="J740" i="2"/>
  <c r="Q739" i="2"/>
  <c r="O739" i="2"/>
  <c r="J739" i="2"/>
  <c r="Q738" i="2"/>
  <c r="O738" i="2"/>
  <c r="J738" i="2"/>
  <c r="Q737" i="2"/>
  <c r="O737" i="2"/>
  <c r="J737" i="2"/>
  <c r="Q736" i="2"/>
  <c r="O736" i="2"/>
  <c r="J736" i="2"/>
  <c r="Q735" i="2"/>
  <c r="O735" i="2"/>
  <c r="J735" i="2"/>
  <c r="Q734" i="2"/>
  <c r="O734" i="2"/>
  <c r="J734" i="2"/>
  <c r="Q733" i="2"/>
  <c r="O733" i="2"/>
  <c r="J733" i="2"/>
  <c r="Q732" i="2"/>
  <c r="O732" i="2"/>
  <c r="J732" i="2"/>
  <c r="Q731" i="2"/>
  <c r="O731" i="2"/>
  <c r="J731" i="2"/>
  <c r="Q730" i="2"/>
  <c r="O730" i="2"/>
  <c r="J730" i="2"/>
  <c r="Q729" i="2"/>
  <c r="O729" i="2"/>
  <c r="J729" i="2"/>
  <c r="Q728" i="2"/>
  <c r="O728" i="2"/>
  <c r="J728" i="2"/>
  <c r="Q727" i="2"/>
  <c r="O727" i="2"/>
  <c r="J727" i="2"/>
  <c r="Q726" i="2"/>
  <c r="O726" i="2"/>
  <c r="J726" i="2"/>
  <c r="Q725" i="2"/>
  <c r="O725" i="2"/>
  <c r="J725" i="2"/>
  <c r="Q724" i="2"/>
  <c r="O724" i="2"/>
  <c r="J724" i="2"/>
  <c r="Q723" i="2"/>
  <c r="O723" i="2"/>
  <c r="J723" i="2"/>
  <c r="Q722" i="2"/>
  <c r="O722" i="2"/>
  <c r="J722" i="2"/>
  <c r="Q721" i="2"/>
  <c r="O721" i="2"/>
  <c r="J721" i="2"/>
  <c r="Q720" i="2"/>
  <c r="O720" i="2"/>
  <c r="J720" i="2"/>
  <c r="Q719" i="2"/>
  <c r="O719" i="2"/>
  <c r="J719" i="2"/>
  <c r="Q718" i="2"/>
  <c r="O718" i="2"/>
  <c r="J718" i="2"/>
  <c r="Q717" i="2"/>
  <c r="O717" i="2"/>
  <c r="J717" i="2"/>
  <c r="Q716" i="2"/>
  <c r="O716" i="2"/>
  <c r="J716" i="2"/>
  <c r="Q715" i="2"/>
  <c r="O715" i="2"/>
  <c r="J715" i="2"/>
  <c r="Q714" i="2"/>
  <c r="O714" i="2"/>
  <c r="J714" i="2"/>
  <c r="Q713" i="2"/>
  <c r="O713" i="2"/>
  <c r="J713" i="2"/>
  <c r="Q712" i="2"/>
  <c r="O712" i="2"/>
  <c r="J712" i="2"/>
  <c r="Q711" i="2"/>
  <c r="O711" i="2"/>
  <c r="J711" i="2"/>
  <c r="Q710" i="2"/>
  <c r="O710" i="2"/>
  <c r="J710" i="2"/>
  <c r="Q709" i="2"/>
  <c r="O709" i="2"/>
  <c r="J709" i="2"/>
  <c r="Q708" i="2"/>
  <c r="O708" i="2"/>
  <c r="J708" i="2"/>
  <c r="Q707" i="2"/>
  <c r="O707" i="2"/>
  <c r="J707" i="2"/>
  <c r="Q706" i="2"/>
  <c r="O706" i="2"/>
  <c r="J706" i="2"/>
  <c r="Q705" i="2"/>
  <c r="O705" i="2"/>
  <c r="J705" i="2"/>
  <c r="Q704" i="2"/>
  <c r="O704" i="2"/>
  <c r="J704" i="2"/>
  <c r="Q703" i="2"/>
  <c r="O703" i="2"/>
  <c r="J703" i="2"/>
  <c r="Q702" i="2"/>
  <c r="O702" i="2"/>
  <c r="J702" i="2"/>
  <c r="Q701" i="2"/>
  <c r="O701" i="2"/>
  <c r="J701" i="2"/>
  <c r="Q700" i="2"/>
  <c r="O700" i="2"/>
  <c r="J700" i="2"/>
  <c r="Q699" i="2"/>
  <c r="O699" i="2"/>
  <c r="J699" i="2"/>
  <c r="Q698" i="2"/>
  <c r="O698" i="2"/>
  <c r="J698" i="2"/>
  <c r="Q697" i="2"/>
  <c r="O697" i="2"/>
  <c r="J697" i="2"/>
  <c r="Q696" i="2"/>
  <c r="O696" i="2"/>
  <c r="J696" i="2"/>
  <c r="Q695" i="2"/>
  <c r="O695" i="2"/>
  <c r="J695" i="2"/>
  <c r="Q694" i="2"/>
  <c r="O694" i="2"/>
  <c r="J694" i="2"/>
  <c r="Q693" i="2"/>
  <c r="O693" i="2"/>
  <c r="J693" i="2"/>
  <c r="Q692" i="2"/>
  <c r="O692" i="2"/>
  <c r="J692" i="2"/>
  <c r="Q691" i="2"/>
  <c r="O691" i="2"/>
  <c r="J691" i="2"/>
  <c r="Q690" i="2"/>
  <c r="O690" i="2"/>
  <c r="J690" i="2"/>
  <c r="Q689" i="2"/>
  <c r="O689" i="2"/>
  <c r="J689" i="2"/>
  <c r="Q688" i="2"/>
  <c r="O688" i="2"/>
  <c r="J688" i="2"/>
  <c r="Q687" i="2"/>
  <c r="O687" i="2"/>
  <c r="J687" i="2"/>
  <c r="Q686" i="2"/>
  <c r="O686" i="2"/>
  <c r="J686" i="2"/>
  <c r="Q685" i="2"/>
  <c r="O685" i="2"/>
  <c r="J685" i="2"/>
  <c r="Q684" i="2"/>
  <c r="O684" i="2"/>
  <c r="J684" i="2"/>
  <c r="Q683" i="2"/>
  <c r="O683" i="2"/>
  <c r="J683" i="2"/>
  <c r="Q682" i="2"/>
  <c r="O682" i="2"/>
  <c r="J682" i="2"/>
  <c r="Q681" i="2"/>
  <c r="O681" i="2"/>
  <c r="J681" i="2"/>
  <c r="Q680" i="2"/>
  <c r="O680" i="2"/>
  <c r="J680" i="2"/>
  <c r="Q679" i="2"/>
  <c r="O679" i="2"/>
  <c r="J679" i="2"/>
  <c r="Q678" i="2"/>
  <c r="O678" i="2"/>
  <c r="J678" i="2"/>
  <c r="Q677" i="2"/>
  <c r="O677" i="2"/>
  <c r="J677" i="2"/>
  <c r="Q676" i="2"/>
  <c r="O676" i="2"/>
  <c r="J676" i="2"/>
  <c r="Q675" i="2"/>
  <c r="O675" i="2"/>
  <c r="J675" i="2"/>
  <c r="Q674" i="2"/>
  <c r="O674" i="2"/>
  <c r="J674" i="2"/>
  <c r="Q673" i="2"/>
  <c r="O673" i="2"/>
  <c r="J673" i="2"/>
  <c r="Q672" i="2"/>
  <c r="O672" i="2"/>
  <c r="J672" i="2"/>
  <c r="Q671" i="2"/>
  <c r="O671" i="2"/>
  <c r="J671" i="2"/>
  <c r="Q670" i="2"/>
  <c r="O670" i="2"/>
  <c r="J670" i="2"/>
  <c r="Q669" i="2"/>
  <c r="O669" i="2"/>
  <c r="J669" i="2"/>
  <c r="Q668" i="2"/>
  <c r="O668" i="2"/>
  <c r="J668" i="2"/>
  <c r="Q667" i="2"/>
  <c r="O667" i="2"/>
  <c r="J667" i="2"/>
  <c r="Q666" i="2"/>
  <c r="O666" i="2"/>
  <c r="J666" i="2"/>
  <c r="Q665" i="2"/>
  <c r="O665" i="2"/>
  <c r="J665" i="2"/>
  <c r="Q664" i="2"/>
  <c r="O664" i="2"/>
  <c r="J664" i="2"/>
  <c r="Q663" i="2"/>
  <c r="O663" i="2"/>
  <c r="J663" i="2"/>
  <c r="Q662" i="2"/>
  <c r="O662" i="2"/>
  <c r="J662" i="2"/>
  <c r="Q661" i="2"/>
  <c r="O661" i="2"/>
  <c r="J661" i="2"/>
  <c r="Q660" i="2"/>
  <c r="O660" i="2"/>
  <c r="J660" i="2"/>
  <c r="Q659" i="2"/>
  <c r="O659" i="2"/>
  <c r="J659" i="2"/>
  <c r="Q658" i="2"/>
  <c r="O658" i="2"/>
  <c r="J658" i="2"/>
  <c r="Q657" i="2"/>
  <c r="O657" i="2"/>
  <c r="J657" i="2"/>
  <c r="Q656" i="2"/>
  <c r="O656" i="2"/>
  <c r="J656" i="2"/>
  <c r="Q655" i="2"/>
  <c r="O655" i="2"/>
  <c r="J655" i="2"/>
  <c r="Q654" i="2"/>
  <c r="O654" i="2"/>
  <c r="J654" i="2"/>
  <c r="Q653" i="2"/>
  <c r="O653" i="2"/>
  <c r="J653" i="2"/>
  <c r="Q652" i="2"/>
  <c r="O652" i="2"/>
  <c r="J652" i="2"/>
  <c r="Q651" i="2"/>
  <c r="O651" i="2"/>
  <c r="J651" i="2"/>
  <c r="Q650" i="2"/>
  <c r="O650" i="2"/>
  <c r="J650" i="2"/>
  <c r="Q649" i="2"/>
  <c r="O649" i="2"/>
  <c r="J649" i="2"/>
  <c r="Q648" i="2"/>
  <c r="O648" i="2"/>
  <c r="J648" i="2"/>
  <c r="Q647" i="2"/>
  <c r="O647" i="2"/>
  <c r="J647" i="2"/>
  <c r="Q646" i="2"/>
  <c r="O646" i="2"/>
  <c r="J646" i="2"/>
  <c r="Q645" i="2"/>
  <c r="O645" i="2"/>
  <c r="J645" i="2"/>
  <c r="Q644" i="2"/>
  <c r="O644" i="2"/>
  <c r="J644" i="2"/>
  <c r="Q643" i="2"/>
  <c r="O643" i="2"/>
  <c r="J643" i="2"/>
  <c r="Q642" i="2"/>
  <c r="O642" i="2"/>
  <c r="J642" i="2"/>
  <c r="Q641" i="2"/>
  <c r="O641" i="2"/>
  <c r="J641" i="2"/>
  <c r="Q640" i="2"/>
  <c r="O640" i="2"/>
  <c r="J640" i="2"/>
  <c r="Q639" i="2"/>
  <c r="O639" i="2"/>
  <c r="J639" i="2"/>
  <c r="Q638" i="2"/>
  <c r="O638" i="2"/>
  <c r="J638" i="2"/>
  <c r="Q637" i="2"/>
  <c r="O637" i="2"/>
  <c r="J637" i="2"/>
  <c r="Q636" i="2"/>
  <c r="O636" i="2"/>
  <c r="J636" i="2"/>
  <c r="Q635" i="2"/>
  <c r="O635" i="2"/>
  <c r="J635" i="2"/>
  <c r="Q634" i="2"/>
  <c r="O634" i="2"/>
  <c r="J634" i="2"/>
  <c r="Q633" i="2"/>
  <c r="O633" i="2"/>
  <c r="J633" i="2"/>
  <c r="Q632" i="2"/>
  <c r="O632" i="2"/>
  <c r="J632" i="2"/>
  <c r="Q631" i="2"/>
  <c r="O631" i="2"/>
  <c r="J631" i="2"/>
  <c r="Q630" i="2"/>
  <c r="O630" i="2"/>
  <c r="J630" i="2"/>
  <c r="Q629" i="2"/>
  <c r="O629" i="2"/>
  <c r="J629" i="2"/>
  <c r="Q628" i="2"/>
  <c r="O628" i="2"/>
  <c r="J628" i="2"/>
  <c r="Q627" i="2"/>
  <c r="O627" i="2"/>
  <c r="J627" i="2"/>
  <c r="Q626" i="2"/>
  <c r="O626" i="2"/>
  <c r="J626" i="2"/>
  <c r="Q625" i="2"/>
  <c r="O625" i="2"/>
  <c r="J625" i="2"/>
  <c r="Q624" i="2"/>
  <c r="O624" i="2"/>
  <c r="J624" i="2"/>
  <c r="Q623" i="2"/>
  <c r="O623" i="2"/>
  <c r="J623" i="2"/>
  <c r="Q622" i="2"/>
  <c r="O622" i="2"/>
  <c r="J622" i="2"/>
  <c r="Q621" i="2"/>
  <c r="O621" i="2"/>
  <c r="J621" i="2"/>
  <c r="Q620" i="2"/>
  <c r="O620" i="2"/>
  <c r="J620" i="2"/>
  <c r="Q619" i="2"/>
  <c r="O619" i="2"/>
  <c r="J619" i="2"/>
  <c r="Q618" i="2"/>
  <c r="O618" i="2"/>
  <c r="J618" i="2"/>
  <c r="Q617" i="2"/>
  <c r="O617" i="2"/>
  <c r="J617" i="2"/>
  <c r="Q616" i="2"/>
  <c r="O616" i="2"/>
  <c r="J616" i="2"/>
  <c r="Q615" i="2"/>
  <c r="O615" i="2"/>
  <c r="J615" i="2"/>
  <c r="Q614" i="2"/>
  <c r="O614" i="2"/>
  <c r="J614" i="2"/>
  <c r="Q613" i="2"/>
  <c r="O613" i="2"/>
  <c r="J613" i="2"/>
  <c r="Q612" i="2"/>
  <c r="O612" i="2"/>
  <c r="J612" i="2"/>
  <c r="Q611" i="2"/>
  <c r="O611" i="2"/>
  <c r="J611" i="2"/>
  <c r="Q610" i="2"/>
  <c r="O610" i="2"/>
  <c r="J610" i="2"/>
  <c r="Q609" i="2"/>
  <c r="O609" i="2"/>
  <c r="J609" i="2"/>
  <c r="Q608" i="2"/>
  <c r="O608" i="2"/>
  <c r="J608" i="2"/>
  <c r="Q607" i="2"/>
  <c r="O607" i="2"/>
  <c r="J607" i="2"/>
  <c r="Q606" i="2"/>
  <c r="O606" i="2"/>
  <c r="J606" i="2"/>
  <c r="Q605" i="2"/>
  <c r="O605" i="2"/>
  <c r="J605" i="2"/>
  <c r="Q604" i="2"/>
  <c r="O604" i="2"/>
  <c r="J604" i="2"/>
  <c r="Q603" i="2"/>
  <c r="O603" i="2"/>
  <c r="J603" i="2"/>
  <c r="Q602" i="2"/>
  <c r="O602" i="2"/>
  <c r="J602" i="2"/>
  <c r="Q601" i="2"/>
  <c r="O601" i="2"/>
  <c r="J601" i="2"/>
  <c r="Q600" i="2"/>
  <c r="O600" i="2"/>
  <c r="J600" i="2"/>
  <c r="Q599" i="2"/>
  <c r="O599" i="2"/>
  <c r="J599" i="2"/>
  <c r="Q598" i="2"/>
  <c r="O598" i="2"/>
  <c r="J598" i="2"/>
  <c r="Q597" i="2"/>
  <c r="O597" i="2"/>
  <c r="J597" i="2"/>
  <c r="Q596" i="2"/>
  <c r="O596" i="2"/>
  <c r="J596" i="2"/>
  <c r="Q595" i="2"/>
  <c r="O595" i="2"/>
  <c r="J595" i="2"/>
  <c r="Q594" i="2"/>
  <c r="O594" i="2"/>
  <c r="J594" i="2"/>
  <c r="Q593" i="2"/>
  <c r="O593" i="2"/>
  <c r="J593" i="2"/>
  <c r="Q592" i="2"/>
  <c r="O592" i="2"/>
  <c r="J592" i="2"/>
  <c r="Q591" i="2"/>
  <c r="O591" i="2"/>
  <c r="J591" i="2"/>
  <c r="Q590" i="2"/>
  <c r="O590" i="2"/>
  <c r="J590" i="2"/>
  <c r="Q589" i="2"/>
  <c r="O589" i="2"/>
  <c r="J589" i="2"/>
  <c r="Q588" i="2"/>
  <c r="O588" i="2"/>
  <c r="J588" i="2"/>
  <c r="Q587" i="2"/>
  <c r="O587" i="2"/>
  <c r="J587" i="2"/>
  <c r="Q586" i="2"/>
  <c r="O586" i="2"/>
  <c r="J586" i="2"/>
  <c r="Q585" i="2"/>
  <c r="O585" i="2"/>
  <c r="J585" i="2"/>
  <c r="Q584" i="2"/>
  <c r="O584" i="2"/>
  <c r="J584" i="2"/>
  <c r="Q583" i="2"/>
  <c r="O583" i="2"/>
  <c r="J583" i="2"/>
  <c r="Q582" i="2"/>
  <c r="O582" i="2"/>
  <c r="J582" i="2"/>
  <c r="Q581" i="2"/>
  <c r="O581" i="2"/>
  <c r="J581" i="2"/>
  <c r="Q580" i="2"/>
  <c r="O580" i="2"/>
  <c r="J580" i="2"/>
  <c r="Q579" i="2"/>
  <c r="O579" i="2"/>
  <c r="J579" i="2"/>
  <c r="Q578" i="2"/>
  <c r="O578" i="2"/>
  <c r="J578" i="2"/>
  <c r="Q577" i="2"/>
  <c r="O577" i="2"/>
  <c r="J577" i="2"/>
  <c r="Q576" i="2"/>
  <c r="O576" i="2"/>
  <c r="J576" i="2"/>
  <c r="Q575" i="2"/>
  <c r="O575" i="2"/>
  <c r="J575" i="2"/>
  <c r="Q574" i="2"/>
  <c r="O574" i="2"/>
  <c r="J574" i="2"/>
  <c r="Q573" i="2"/>
  <c r="O573" i="2"/>
  <c r="J573" i="2"/>
  <c r="Q572" i="2"/>
  <c r="O572" i="2"/>
  <c r="J572" i="2"/>
  <c r="Q571" i="2"/>
  <c r="O571" i="2"/>
  <c r="J571" i="2"/>
  <c r="Q570" i="2"/>
  <c r="O570" i="2"/>
  <c r="J570" i="2"/>
  <c r="Q569" i="2"/>
  <c r="O569" i="2"/>
  <c r="J569" i="2"/>
  <c r="Q568" i="2"/>
  <c r="O568" i="2"/>
  <c r="J568" i="2"/>
  <c r="Q567" i="2"/>
  <c r="O567" i="2"/>
  <c r="J567" i="2"/>
  <c r="Q566" i="2"/>
  <c r="O566" i="2"/>
  <c r="J566" i="2"/>
  <c r="Q565" i="2"/>
  <c r="O565" i="2"/>
  <c r="J565" i="2"/>
  <c r="Q564" i="2"/>
  <c r="O564" i="2"/>
  <c r="J564" i="2"/>
  <c r="Q563" i="2"/>
  <c r="O563" i="2"/>
  <c r="J563" i="2"/>
  <c r="Q562" i="2"/>
  <c r="O562" i="2"/>
  <c r="J562" i="2"/>
  <c r="Q561" i="2"/>
  <c r="O561" i="2"/>
  <c r="J561" i="2"/>
  <c r="Q560" i="2"/>
  <c r="O560" i="2"/>
  <c r="J560" i="2"/>
  <c r="Q559" i="2"/>
  <c r="O559" i="2"/>
  <c r="J559" i="2"/>
  <c r="Q558" i="2"/>
  <c r="O558" i="2"/>
  <c r="J558" i="2"/>
  <c r="Q557" i="2"/>
  <c r="O557" i="2"/>
  <c r="J557" i="2"/>
  <c r="Q556" i="2"/>
  <c r="O556" i="2"/>
  <c r="J556" i="2"/>
  <c r="Q555" i="2"/>
  <c r="O555" i="2"/>
  <c r="J555" i="2"/>
  <c r="Q554" i="2"/>
  <c r="O554" i="2"/>
  <c r="J554" i="2"/>
  <c r="Q553" i="2"/>
  <c r="O553" i="2"/>
  <c r="J553" i="2"/>
  <c r="Q552" i="2"/>
  <c r="O552" i="2"/>
  <c r="J552" i="2"/>
  <c r="Q551" i="2"/>
  <c r="O551" i="2"/>
  <c r="J551" i="2"/>
  <c r="Q550" i="2"/>
  <c r="O550" i="2"/>
  <c r="J550" i="2"/>
  <c r="Q549" i="2"/>
  <c r="O549" i="2"/>
  <c r="J549" i="2"/>
  <c r="Q548" i="2"/>
  <c r="O548" i="2"/>
  <c r="J548" i="2"/>
  <c r="Q547" i="2"/>
  <c r="O547" i="2"/>
  <c r="J547" i="2"/>
  <c r="Q546" i="2"/>
  <c r="O546" i="2"/>
  <c r="J546" i="2"/>
  <c r="Q545" i="2"/>
  <c r="O545" i="2"/>
  <c r="J545" i="2"/>
  <c r="Q544" i="2"/>
  <c r="O544" i="2"/>
  <c r="J544" i="2"/>
  <c r="Q543" i="2"/>
  <c r="O543" i="2"/>
  <c r="J543" i="2"/>
  <c r="Q542" i="2"/>
  <c r="O542" i="2"/>
  <c r="J542" i="2"/>
  <c r="Q541" i="2"/>
  <c r="O541" i="2"/>
  <c r="J541" i="2"/>
  <c r="Q540" i="2"/>
  <c r="O540" i="2"/>
  <c r="J540" i="2"/>
  <c r="Q539" i="2"/>
  <c r="O539" i="2"/>
  <c r="J539" i="2"/>
  <c r="Q538" i="2"/>
  <c r="O538" i="2"/>
  <c r="J538" i="2"/>
  <c r="Q537" i="2"/>
  <c r="O537" i="2"/>
  <c r="J537" i="2"/>
  <c r="Q536" i="2"/>
  <c r="O536" i="2"/>
  <c r="J536" i="2"/>
  <c r="Q535" i="2"/>
  <c r="O535" i="2"/>
  <c r="J535" i="2"/>
  <c r="Q534" i="2"/>
  <c r="O534" i="2"/>
  <c r="J534" i="2"/>
  <c r="Q533" i="2"/>
  <c r="O533" i="2"/>
  <c r="J533" i="2"/>
  <c r="Q532" i="2"/>
  <c r="O532" i="2"/>
  <c r="J532" i="2"/>
  <c r="Q531" i="2"/>
  <c r="O531" i="2"/>
  <c r="J531" i="2"/>
  <c r="Q530" i="2"/>
  <c r="O530" i="2"/>
  <c r="J530" i="2"/>
  <c r="Q529" i="2"/>
  <c r="O529" i="2"/>
  <c r="J529" i="2"/>
  <c r="Q528" i="2"/>
  <c r="O528" i="2"/>
  <c r="J528" i="2"/>
  <c r="Q527" i="2"/>
  <c r="O527" i="2"/>
  <c r="J527" i="2"/>
  <c r="Q526" i="2"/>
  <c r="O526" i="2"/>
  <c r="J526" i="2"/>
  <c r="Q525" i="2"/>
  <c r="O525" i="2"/>
  <c r="J525" i="2"/>
  <c r="Q524" i="2"/>
  <c r="O524" i="2"/>
  <c r="J524" i="2"/>
  <c r="Q523" i="2"/>
  <c r="O523" i="2"/>
  <c r="J523" i="2"/>
  <c r="Q522" i="2"/>
  <c r="O522" i="2"/>
  <c r="J522" i="2"/>
  <c r="Q521" i="2"/>
  <c r="O521" i="2"/>
  <c r="J521" i="2"/>
  <c r="Q520" i="2"/>
  <c r="O520" i="2"/>
  <c r="J520" i="2"/>
  <c r="Q519" i="2"/>
  <c r="O519" i="2"/>
  <c r="J519" i="2"/>
  <c r="Q518" i="2"/>
  <c r="O518" i="2"/>
  <c r="J518" i="2"/>
  <c r="Q517" i="2"/>
  <c r="O517" i="2"/>
  <c r="J517" i="2"/>
  <c r="Q516" i="2"/>
  <c r="O516" i="2"/>
  <c r="J516" i="2"/>
  <c r="Q515" i="2"/>
  <c r="O515" i="2"/>
  <c r="J515" i="2"/>
  <c r="Q514" i="2"/>
  <c r="O514" i="2"/>
  <c r="J514" i="2"/>
  <c r="Q513" i="2"/>
  <c r="O513" i="2"/>
  <c r="J513" i="2"/>
  <c r="Q512" i="2"/>
  <c r="O512" i="2"/>
  <c r="J512" i="2"/>
  <c r="Q511" i="2"/>
  <c r="O511" i="2"/>
  <c r="J511" i="2"/>
  <c r="Q510" i="2"/>
  <c r="O510" i="2"/>
  <c r="J510" i="2"/>
  <c r="Q509" i="2"/>
  <c r="O509" i="2"/>
  <c r="J509" i="2"/>
  <c r="Q508" i="2"/>
  <c r="O508" i="2"/>
  <c r="J508" i="2"/>
  <c r="Q507" i="2"/>
  <c r="O507" i="2"/>
  <c r="J507" i="2"/>
  <c r="Q506" i="2"/>
  <c r="O506" i="2"/>
  <c r="J506" i="2"/>
  <c r="Q505" i="2"/>
  <c r="O505" i="2"/>
  <c r="J505" i="2"/>
  <c r="Q504" i="2"/>
  <c r="O504" i="2"/>
  <c r="J504" i="2"/>
  <c r="Q503" i="2"/>
  <c r="O503" i="2"/>
  <c r="J503" i="2"/>
  <c r="Q502" i="2"/>
  <c r="O502" i="2"/>
  <c r="J502" i="2"/>
  <c r="Q501" i="2"/>
  <c r="O501" i="2"/>
  <c r="J501" i="2"/>
  <c r="Q500" i="2"/>
  <c r="O500" i="2"/>
  <c r="J500" i="2"/>
  <c r="Q499" i="2"/>
  <c r="O499" i="2"/>
  <c r="J499" i="2"/>
  <c r="Q498" i="2"/>
  <c r="O498" i="2"/>
  <c r="J498" i="2"/>
  <c r="Q497" i="2"/>
  <c r="O497" i="2"/>
  <c r="J497" i="2"/>
  <c r="Q496" i="2"/>
  <c r="O496" i="2"/>
  <c r="J496" i="2"/>
  <c r="Q495" i="2"/>
  <c r="O495" i="2"/>
  <c r="J495" i="2"/>
  <c r="Q494" i="2"/>
  <c r="O494" i="2"/>
  <c r="J494" i="2"/>
  <c r="Q493" i="2"/>
  <c r="O493" i="2"/>
  <c r="J493" i="2"/>
  <c r="Q492" i="2"/>
  <c r="O492" i="2"/>
  <c r="J492" i="2"/>
  <c r="Q491" i="2"/>
  <c r="O491" i="2"/>
  <c r="J491" i="2"/>
  <c r="Q490" i="2"/>
  <c r="O490" i="2"/>
  <c r="J490" i="2"/>
  <c r="Q489" i="2"/>
  <c r="O489" i="2"/>
  <c r="J489" i="2"/>
  <c r="Q488" i="2"/>
  <c r="O488" i="2"/>
  <c r="J488" i="2"/>
  <c r="Q487" i="2"/>
  <c r="O487" i="2"/>
  <c r="J487" i="2"/>
  <c r="Q486" i="2"/>
  <c r="O486" i="2"/>
  <c r="J486" i="2"/>
  <c r="Q485" i="2"/>
  <c r="O485" i="2"/>
  <c r="J485" i="2"/>
  <c r="Q484" i="2"/>
  <c r="O484" i="2"/>
  <c r="J484" i="2"/>
  <c r="Q483" i="2"/>
  <c r="O483" i="2"/>
  <c r="J483" i="2"/>
  <c r="Q482" i="2"/>
  <c r="O482" i="2"/>
  <c r="J482" i="2"/>
  <c r="Q481" i="2"/>
  <c r="O481" i="2"/>
  <c r="J481" i="2"/>
  <c r="Q480" i="2"/>
  <c r="O480" i="2"/>
  <c r="J480" i="2"/>
  <c r="Q479" i="2"/>
  <c r="O479" i="2"/>
  <c r="J479" i="2"/>
  <c r="Q478" i="2"/>
  <c r="O478" i="2"/>
  <c r="J478" i="2"/>
  <c r="Q477" i="2"/>
  <c r="O477" i="2"/>
  <c r="J477" i="2"/>
  <c r="Q476" i="2"/>
  <c r="O476" i="2"/>
  <c r="J476" i="2"/>
  <c r="Q475" i="2"/>
  <c r="O475" i="2"/>
  <c r="J475" i="2"/>
  <c r="Q474" i="2"/>
  <c r="O474" i="2"/>
  <c r="J474" i="2"/>
  <c r="Q473" i="2"/>
  <c r="O473" i="2"/>
  <c r="J473" i="2"/>
  <c r="Q472" i="2"/>
  <c r="O472" i="2"/>
  <c r="J472" i="2"/>
  <c r="Q471" i="2"/>
  <c r="O471" i="2"/>
  <c r="J471" i="2"/>
  <c r="Q470" i="2"/>
  <c r="O470" i="2"/>
  <c r="J470" i="2"/>
  <c r="Q469" i="2"/>
  <c r="O469" i="2"/>
  <c r="J469" i="2"/>
  <c r="Q468" i="2"/>
  <c r="O468" i="2"/>
  <c r="J468" i="2"/>
  <c r="Q467" i="2"/>
  <c r="O467" i="2"/>
  <c r="J467" i="2"/>
  <c r="Q466" i="2"/>
  <c r="O466" i="2"/>
  <c r="J466" i="2"/>
  <c r="Q465" i="2"/>
  <c r="O465" i="2"/>
  <c r="J465" i="2"/>
  <c r="Q464" i="2"/>
  <c r="O464" i="2"/>
  <c r="J464" i="2"/>
  <c r="Q463" i="2"/>
  <c r="O463" i="2"/>
  <c r="J463" i="2"/>
  <c r="Q462" i="2"/>
  <c r="O462" i="2"/>
  <c r="J462" i="2"/>
  <c r="Q461" i="2"/>
  <c r="O461" i="2"/>
  <c r="J461" i="2"/>
  <c r="Q460" i="2"/>
  <c r="O460" i="2"/>
  <c r="J460" i="2"/>
  <c r="Q459" i="2"/>
  <c r="O459" i="2"/>
  <c r="J459" i="2"/>
  <c r="Q458" i="2"/>
  <c r="O458" i="2"/>
  <c r="J458" i="2"/>
  <c r="Q457" i="2"/>
  <c r="O457" i="2"/>
  <c r="J457" i="2"/>
  <c r="Q456" i="2"/>
  <c r="O456" i="2"/>
  <c r="J456" i="2"/>
  <c r="Q455" i="2"/>
  <c r="O455" i="2"/>
  <c r="J455" i="2"/>
  <c r="Q454" i="2"/>
  <c r="O454" i="2"/>
  <c r="J454" i="2"/>
  <c r="Q453" i="2"/>
  <c r="O453" i="2"/>
  <c r="J453" i="2"/>
  <c r="Q452" i="2"/>
  <c r="O452" i="2"/>
  <c r="J452" i="2"/>
  <c r="Q451" i="2"/>
  <c r="O451" i="2"/>
  <c r="J451" i="2"/>
  <c r="Q450" i="2"/>
  <c r="O450" i="2"/>
  <c r="J450" i="2"/>
  <c r="Q449" i="2"/>
  <c r="O449" i="2"/>
  <c r="J449" i="2"/>
  <c r="Q448" i="2"/>
  <c r="O448" i="2"/>
  <c r="J448" i="2"/>
  <c r="Q447" i="2"/>
  <c r="O447" i="2"/>
  <c r="J447" i="2"/>
  <c r="Q446" i="2"/>
  <c r="O446" i="2"/>
  <c r="J446" i="2"/>
  <c r="Q445" i="2"/>
  <c r="O445" i="2"/>
  <c r="J445" i="2"/>
  <c r="Q444" i="2"/>
  <c r="O444" i="2"/>
  <c r="J444" i="2"/>
  <c r="Q443" i="2"/>
  <c r="O443" i="2"/>
  <c r="J443" i="2"/>
  <c r="Q442" i="2"/>
  <c r="O442" i="2"/>
  <c r="J442" i="2"/>
  <c r="Q441" i="2"/>
  <c r="O441" i="2"/>
  <c r="J441" i="2"/>
  <c r="Q440" i="2"/>
  <c r="O440" i="2"/>
  <c r="J440" i="2"/>
  <c r="Q439" i="2"/>
  <c r="O439" i="2"/>
  <c r="J439" i="2"/>
  <c r="Q438" i="2"/>
  <c r="O438" i="2"/>
  <c r="J438" i="2"/>
  <c r="Q437" i="2"/>
  <c r="O437" i="2"/>
  <c r="J437" i="2"/>
  <c r="Q436" i="2"/>
  <c r="O436" i="2"/>
  <c r="J436" i="2"/>
  <c r="Q435" i="2"/>
  <c r="O435" i="2"/>
  <c r="J435" i="2"/>
  <c r="Q434" i="2"/>
  <c r="O434" i="2"/>
  <c r="J434" i="2"/>
  <c r="Q433" i="2"/>
  <c r="O433" i="2"/>
  <c r="J433" i="2"/>
  <c r="Q432" i="2"/>
  <c r="O432" i="2"/>
  <c r="J432" i="2"/>
  <c r="Q431" i="2"/>
  <c r="O431" i="2"/>
  <c r="J431" i="2"/>
  <c r="Q430" i="2"/>
  <c r="O430" i="2"/>
  <c r="J430" i="2"/>
  <c r="Q429" i="2"/>
  <c r="O429" i="2"/>
  <c r="J429" i="2"/>
  <c r="Q428" i="2"/>
  <c r="O428" i="2"/>
  <c r="J428" i="2"/>
  <c r="Q427" i="2"/>
  <c r="O427" i="2"/>
  <c r="J427" i="2"/>
  <c r="Q426" i="2"/>
  <c r="O426" i="2"/>
  <c r="J426" i="2"/>
  <c r="Q425" i="2"/>
  <c r="O425" i="2"/>
  <c r="J425" i="2"/>
  <c r="Q424" i="2"/>
  <c r="O424" i="2"/>
  <c r="J424" i="2"/>
  <c r="Q423" i="2"/>
  <c r="O423" i="2"/>
  <c r="J423" i="2"/>
  <c r="Q422" i="2"/>
  <c r="O422" i="2"/>
  <c r="J422" i="2"/>
  <c r="Q421" i="2"/>
  <c r="O421" i="2"/>
  <c r="J421" i="2"/>
  <c r="Q420" i="2"/>
  <c r="O420" i="2"/>
  <c r="J420" i="2"/>
  <c r="Q419" i="2"/>
  <c r="O419" i="2"/>
  <c r="J419" i="2"/>
  <c r="Q418" i="2"/>
  <c r="O418" i="2"/>
  <c r="J418" i="2"/>
  <c r="Q417" i="2"/>
  <c r="O417" i="2"/>
  <c r="J417" i="2"/>
  <c r="Q416" i="2"/>
  <c r="O416" i="2"/>
  <c r="J416" i="2"/>
  <c r="Q415" i="2"/>
  <c r="O415" i="2"/>
  <c r="J415" i="2"/>
  <c r="Q414" i="2"/>
  <c r="O414" i="2"/>
  <c r="J414" i="2"/>
  <c r="Q413" i="2"/>
  <c r="O413" i="2"/>
  <c r="J413" i="2"/>
  <c r="Q412" i="2"/>
  <c r="O412" i="2"/>
  <c r="J412" i="2"/>
  <c r="Q411" i="2"/>
  <c r="O411" i="2"/>
  <c r="J411" i="2"/>
  <c r="Q410" i="2"/>
  <c r="O410" i="2"/>
  <c r="J410" i="2"/>
  <c r="Q409" i="2"/>
  <c r="O409" i="2"/>
  <c r="J409" i="2"/>
  <c r="Q408" i="2"/>
  <c r="O408" i="2"/>
  <c r="J408" i="2"/>
  <c r="Q407" i="2"/>
  <c r="O407" i="2"/>
  <c r="J407" i="2"/>
  <c r="Q406" i="2"/>
  <c r="O406" i="2"/>
  <c r="J406" i="2"/>
  <c r="Q405" i="2"/>
  <c r="O405" i="2"/>
  <c r="J405" i="2"/>
  <c r="Q404" i="2"/>
  <c r="O404" i="2"/>
  <c r="J404" i="2"/>
  <c r="Q403" i="2"/>
  <c r="O403" i="2"/>
  <c r="J403" i="2"/>
  <c r="Q402" i="2"/>
  <c r="O402" i="2"/>
  <c r="J402" i="2"/>
  <c r="Q401" i="2"/>
  <c r="O401" i="2"/>
  <c r="J401" i="2"/>
  <c r="Q400" i="2"/>
  <c r="O400" i="2"/>
  <c r="J400" i="2"/>
  <c r="Q399" i="2"/>
  <c r="O399" i="2"/>
  <c r="J399" i="2"/>
  <c r="Q398" i="2"/>
  <c r="O398" i="2"/>
  <c r="J398" i="2"/>
  <c r="Q397" i="2"/>
  <c r="O397" i="2"/>
  <c r="J397" i="2"/>
  <c r="Q396" i="2"/>
  <c r="O396" i="2"/>
  <c r="J396" i="2"/>
  <c r="Q395" i="2"/>
  <c r="O395" i="2"/>
  <c r="J395" i="2"/>
  <c r="Q394" i="2"/>
  <c r="O394" i="2"/>
  <c r="J394" i="2"/>
  <c r="Q393" i="2"/>
  <c r="O393" i="2"/>
  <c r="J393" i="2"/>
  <c r="Q392" i="2"/>
  <c r="O392" i="2"/>
  <c r="J392" i="2"/>
  <c r="Q391" i="2"/>
  <c r="O391" i="2"/>
  <c r="J391" i="2"/>
  <c r="Q390" i="2"/>
  <c r="O390" i="2"/>
  <c r="J390" i="2"/>
  <c r="Q389" i="2"/>
  <c r="O389" i="2"/>
  <c r="J389" i="2"/>
  <c r="Q388" i="2"/>
  <c r="O388" i="2"/>
  <c r="J388" i="2"/>
  <c r="Q387" i="2"/>
  <c r="O387" i="2"/>
  <c r="J387" i="2"/>
  <c r="Q386" i="2"/>
  <c r="O386" i="2"/>
  <c r="J386" i="2"/>
  <c r="Q385" i="2"/>
  <c r="O385" i="2"/>
  <c r="J385" i="2"/>
  <c r="Q384" i="2"/>
  <c r="O384" i="2"/>
  <c r="J384" i="2"/>
  <c r="Q383" i="2"/>
  <c r="O383" i="2"/>
  <c r="J383" i="2"/>
  <c r="Q382" i="2"/>
  <c r="O382" i="2"/>
  <c r="J382" i="2"/>
  <c r="Q381" i="2"/>
  <c r="O381" i="2"/>
  <c r="J381" i="2"/>
  <c r="Q380" i="2"/>
  <c r="O380" i="2"/>
  <c r="J380" i="2"/>
  <c r="Q379" i="2"/>
  <c r="O379" i="2"/>
  <c r="J379" i="2"/>
  <c r="Q378" i="2"/>
  <c r="O378" i="2"/>
  <c r="J378" i="2"/>
  <c r="Q377" i="2"/>
  <c r="O377" i="2"/>
  <c r="J377" i="2"/>
  <c r="Q376" i="2"/>
  <c r="O376" i="2"/>
  <c r="J376" i="2"/>
  <c r="Q375" i="2"/>
  <c r="O375" i="2"/>
  <c r="J375" i="2"/>
  <c r="Q374" i="2"/>
  <c r="O374" i="2"/>
  <c r="J374" i="2"/>
  <c r="Q373" i="2"/>
  <c r="O373" i="2"/>
  <c r="J373" i="2"/>
  <c r="Q372" i="2"/>
  <c r="O372" i="2"/>
  <c r="J372" i="2"/>
  <c r="Q371" i="2"/>
  <c r="O371" i="2"/>
  <c r="J371" i="2"/>
  <c r="Q370" i="2"/>
  <c r="O370" i="2"/>
  <c r="J370" i="2"/>
  <c r="Q369" i="2"/>
  <c r="O369" i="2"/>
  <c r="J369" i="2"/>
  <c r="Q368" i="2"/>
  <c r="O368" i="2"/>
  <c r="J368" i="2"/>
  <c r="Q367" i="2"/>
  <c r="O367" i="2"/>
  <c r="J367" i="2"/>
  <c r="Q366" i="2"/>
  <c r="O366" i="2"/>
  <c r="J366" i="2"/>
  <c r="Q365" i="2"/>
  <c r="O365" i="2"/>
  <c r="J365" i="2"/>
  <c r="Q364" i="2"/>
  <c r="O364" i="2"/>
  <c r="J364" i="2"/>
  <c r="Q363" i="2"/>
  <c r="O363" i="2"/>
  <c r="J363" i="2"/>
  <c r="Q362" i="2"/>
  <c r="O362" i="2"/>
  <c r="J362" i="2"/>
  <c r="Q361" i="2"/>
  <c r="O361" i="2"/>
  <c r="J361" i="2"/>
  <c r="Q360" i="2"/>
  <c r="O360" i="2"/>
  <c r="J360" i="2"/>
  <c r="Q359" i="2"/>
  <c r="O359" i="2"/>
  <c r="J359" i="2"/>
  <c r="Q358" i="2"/>
  <c r="O358" i="2"/>
  <c r="J358" i="2"/>
  <c r="Q357" i="2"/>
  <c r="O357" i="2"/>
  <c r="J357" i="2"/>
  <c r="Q356" i="2"/>
  <c r="O356" i="2"/>
  <c r="J356" i="2"/>
  <c r="Q355" i="2"/>
  <c r="O355" i="2"/>
  <c r="J355" i="2"/>
  <c r="Q354" i="2"/>
  <c r="O354" i="2"/>
  <c r="J354" i="2"/>
  <c r="Q353" i="2"/>
  <c r="O353" i="2"/>
  <c r="J353" i="2"/>
  <c r="Q352" i="2"/>
  <c r="O352" i="2"/>
  <c r="J352" i="2"/>
  <c r="Q351" i="2"/>
  <c r="O351" i="2"/>
  <c r="J351" i="2"/>
  <c r="Q350" i="2"/>
  <c r="O350" i="2"/>
  <c r="J350" i="2"/>
  <c r="Q349" i="2"/>
  <c r="O349" i="2"/>
  <c r="J349" i="2"/>
  <c r="Q348" i="2"/>
  <c r="O348" i="2"/>
  <c r="J348" i="2"/>
  <c r="Q347" i="2"/>
  <c r="O347" i="2"/>
  <c r="J347" i="2"/>
  <c r="Q346" i="2"/>
  <c r="O346" i="2"/>
  <c r="J346" i="2"/>
  <c r="Q345" i="2"/>
  <c r="O345" i="2"/>
  <c r="J345" i="2"/>
  <c r="Q344" i="2"/>
  <c r="O344" i="2"/>
  <c r="J344" i="2"/>
  <c r="Q343" i="2"/>
  <c r="O343" i="2"/>
  <c r="J343" i="2"/>
  <c r="Q342" i="2"/>
  <c r="O342" i="2"/>
  <c r="J342" i="2"/>
  <c r="Q341" i="2"/>
  <c r="O341" i="2"/>
  <c r="J341" i="2"/>
  <c r="Q340" i="2"/>
  <c r="O340" i="2"/>
  <c r="J340" i="2"/>
  <c r="Q339" i="2"/>
  <c r="O339" i="2"/>
  <c r="J339" i="2"/>
  <c r="Q338" i="2"/>
  <c r="O338" i="2"/>
  <c r="J338" i="2"/>
  <c r="Q337" i="2"/>
  <c r="O337" i="2"/>
  <c r="J337" i="2"/>
  <c r="Q336" i="2"/>
  <c r="O336" i="2"/>
  <c r="J336" i="2"/>
  <c r="Q335" i="2"/>
  <c r="O335" i="2"/>
  <c r="J335" i="2"/>
  <c r="Q334" i="2"/>
  <c r="O334" i="2"/>
  <c r="J334" i="2"/>
  <c r="Q333" i="2"/>
  <c r="O333" i="2"/>
  <c r="J333" i="2"/>
  <c r="Q332" i="2"/>
  <c r="O332" i="2"/>
  <c r="J332" i="2"/>
  <c r="Q331" i="2"/>
  <c r="O331" i="2"/>
  <c r="J331" i="2"/>
  <c r="Q330" i="2"/>
  <c r="O330" i="2"/>
  <c r="J330" i="2"/>
  <c r="Q329" i="2"/>
  <c r="O329" i="2"/>
  <c r="J329" i="2"/>
  <c r="Q328" i="2"/>
  <c r="O328" i="2"/>
  <c r="J328" i="2"/>
  <c r="Q327" i="2"/>
  <c r="O327" i="2"/>
  <c r="J327" i="2"/>
  <c r="Q326" i="2"/>
  <c r="O326" i="2"/>
  <c r="J326" i="2"/>
  <c r="Q325" i="2"/>
  <c r="O325" i="2"/>
  <c r="J325" i="2"/>
  <c r="Q324" i="2"/>
  <c r="O324" i="2"/>
  <c r="J324" i="2"/>
  <c r="Q323" i="2"/>
  <c r="O323" i="2"/>
  <c r="J323" i="2"/>
  <c r="Q322" i="2"/>
  <c r="O322" i="2"/>
  <c r="J322" i="2"/>
  <c r="Q321" i="2"/>
  <c r="O321" i="2"/>
  <c r="J321" i="2"/>
  <c r="Q320" i="2"/>
  <c r="O320" i="2"/>
  <c r="J320" i="2"/>
  <c r="Q319" i="2"/>
  <c r="O319" i="2"/>
  <c r="J319" i="2"/>
  <c r="Q318" i="2"/>
  <c r="O318" i="2"/>
  <c r="J318" i="2"/>
  <c r="Q317" i="2"/>
  <c r="O317" i="2"/>
  <c r="J317" i="2"/>
  <c r="Q316" i="2"/>
  <c r="O316" i="2"/>
  <c r="J316" i="2"/>
  <c r="Q315" i="2"/>
  <c r="O315" i="2"/>
  <c r="J315" i="2"/>
  <c r="Q314" i="2"/>
  <c r="O314" i="2"/>
  <c r="J314" i="2"/>
  <c r="Q313" i="2"/>
  <c r="O313" i="2"/>
  <c r="J313" i="2"/>
  <c r="Q312" i="2"/>
  <c r="O312" i="2"/>
  <c r="J312" i="2"/>
  <c r="Q311" i="2"/>
  <c r="O311" i="2"/>
  <c r="J311" i="2"/>
  <c r="Q310" i="2"/>
  <c r="O310" i="2"/>
  <c r="J310" i="2"/>
  <c r="Q309" i="2"/>
  <c r="O309" i="2"/>
  <c r="J309" i="2"/>
  <c r="Q308" i="2"/>
  <c r="O308" i="2"/>
  <c r="J308" i="2"/>
  <c r="Q307" i="2"/>
  <c r="O307" i="2"/>
  <c r="J307" i="2"/>
  <c r="Q306" i="2"/>
  <c r="O306" i="2"/>
  <c r="J306" i="2"/>
  <c r="Q305" i="2"/>
  <c r="O305" i="2"/>
  <c r="J305" i="2"/>
  <c r="Q304" i="2"/>
  <c r="O304" i="2"/>
  <c r="J304" i="2"/>
  <c r="Q303" i="2"/>
  <c r="O303" i="2"/>
  <c r="J303" i="2"/>
  <c r="Q302" i="2"/>
  <c r="O302" i="2"/>
  <c r="J302" i="2"/>
  <c r="Q301" i="2"/>
  <c r="O301" i="2"/>
  <c r="J301" i="2"/>
  <c r="Q300" i="2"/>
  <c r="O300" i="2"/>
  <c r="J300" i="2"/>
  <c r="Q299" i="2"/>
  <c r="O299" i="2"/>
  <c r="J299" i="2"/>
  <c r="Q298" i="2"/>
  <c r="O298" i="2"/>
  <c r="J298" i="2"/>
  <c r="Q297" i="2"/>
  <c r="O297" i="2"/>
  <c r="J297" i="2"/>
  <c r="Q296" i="2"/>
  <c r="O296" i="2"/>
  <c r="J296" i="2"/>
  <c r="Q295" i="2"/>
  <c r="O295" i="2"/>
  <c r="J295" i="2"/>
  <c r="Q294" i="2"/>
  <c r="O294" i="2"/>
  <c r="J294" i="2"/>
  <c r="Q293" i="2"/>
  <c r="O293" i="2"/>
  <c r="J293" i="2"/>
  <c r="Q292" i="2"/>
  <c r="O292" i="2"/>
  <c r="J292" i="2"/>
  <c r="Q291" i="2"/>
  <c r="O291" i="2"/>
  <c r="J291" i="2"/>
  <c r="Q290" i="2"/>
  <c r="O290" i="2"/>
  <c r="J290" i="2"/>
  <c r="Q289" i="2"/>
  <c r="O289" i="2"/>
  <c r="J289" i="2"/>
  <c r="Q288" i="2"/>
  <c r="O288" i="2"/>
  <c r="J288" i="2"/>
  <c r="Q287" i="2"/>
  <c r="O287" i="2"/>
  <c r="J287" i="2"/>
  <c r="Q286" i="2"/>
  <c r="O286" i="2"/>
  <c r="J286" i="2"/>
  <c r="Q285" i="2"/>
  <c r="O285" i="2"/>
  <c r="J285" i="2"/>
  <c r="Q284" i="2"/>
  <c r="O284" i="2"/>
  <c r="J284" i="2"/>
  <c r="Q283" i="2"/>
  <c r="O283" i="2"/>
  <c r="J283" i="2"/>
  <c r="Q282" i="2"/>
  <c r="O282" i="2"/>
  <c r="J282" i="2"/>
  <c r="Q281" i="2"/>
  <c r="O281" i="2"/>
  <c r="J281" i="2"/>
  <c r="Q280" i="2"/>
  <c r="O280" i="2"/>
  <c r="J280" i="2"/>
  <c r="Q279" i="2"/>
  <c r="O279" i="2"/>
  <c r="J279" i="2"/>
  <c r="Q278" i="2"/>
  <c r="O278" i="2"/>
  <c r="J278" i="2"/>
  <c r="Q277" i="2"/>
  <c r="O277" i="2"/>
  <c r="J277" i="2"/>
  <c r="Q276" i="2"/>
  <c r="O276" i="2"/>
  <c r="J276" i="2"/>
  <c r="Q275" i="2"/>
  <c r="O275" i="2"/>
  <c r="J275" i="2"/>
  <c r="Q274" i="2"/>
  <c r="O274" i="2"/>
  <c r="J274" i="2"/>
  <c r="Q273" i="2"/>
  <c r="O273" i="2"/>
  <c r="J273" i="2"/>
  <c r="Q272" i="2"/>
  <c r="O272" i="2"/>
  <c r="J272" i="2"/>
  <c r="Q271" i="2"/>
  <c r="O271" i="2"/>
  <c r="J271" i="2"/>
  <c r="Q270" i="2"/>
  <c r="O270" i="2"/>
  <c r="J270" i="2"/>
  <c r="Q269" i="2"/>
  <c r="O269" i="2"/>
  <c r="J269" i="2"/>
  <c r="Q268" i="2"/>
  <c r="O268" i="2"/>
  <c r="J268" i="2"/>
  <c r="Q267" i="2"/>
  <c r="O267" i="2"/>
  <c r="J267" i="2"/>
  <c r="Q266" i="2"/>
  <c r="O266" i="2"/>
  <c r="J266" i="2"/>
  <c r="Q265" i="2"/>
  <c r="O265" i="2"/>
  <c r="J265" i="2"/>
  <c r="Q264" i="2"/>
  <c r="O264" i="2"/>
  <c r="J264" i="2"/>
  <c r="Q263" i="2"/>
  <c r="O263" i="2"/>
  <c r="J263" i="2"/>
  <c r="Q262" i="2"/>
  <c r="O262" i="2"/>
  <c r="J262" i="2"/>
  <c r="Q261" i="2"/>
  <c r="O261" i="2"/>
  <c r="J261" i="2"/>
  <c r="Q260" i="2"/>
  <c r="O260" i="2"/>
  <c r="J260" i="2"/>
  <c r="Q259" i="2"/>
  <c r="O259" i="2"/>
  <c r="J259" i="2"/>
  <c r="Q258" i="2"/>
  <c r="O258" i="2"/>
  <c r="J258" i="2"/>
  <c r="Q257" i="2"/>
  <c r="O257" i="2"/>
  <c r="J257" i="2"/>
  <c r="Q256" i="2"/>
  <c r="O256" i="2"/>
  <c r="J256" i="2"/>
  <c r="Q255" i="2"/>
  <c r="O255" i="2"/>
  <c r="J255" i="2"/>
  <c r="Q254" i="2"/>
  <c r="O254" i="2"/>
  <c r="J254" i="2"/>
  <c r="Q253" i="2"/>
  <c r="O253" i="2"/>
  <c r="J253" i="2"/>
  <c r="Q252" i="2"/>
  <c r="O252" i="2"/>
  <c r="J252" i="2"/>
  <c r="Q251" i="2"/>
  <c r="O251" i="2"/>
  <c r="J251" i="2"/>
  <c r="Q250" i="2"/>
  <c r="O250" i="2"/>
  <c r="J250" i="2"/>
  <c r="Q249" i="2"/>
  <c r="O249" i="2"/>
  <c r="J249" i="2"/>
  <c r="Q248" i="2"/>
  <c r="O248" i="2"/>
  <c r="J248" i="2"/>
  <c r="Q247" i="2"/>
  <c r="O247" i="2"/>
  <c r="J247" i="2"/>
  <c r="Q246" i="2"/>
  <c r="O246" i="2"/>
  <c r="J246" i="2"/>
  <c r="Q245" i="2"/>
  <c r="O245" i="2"/>
  <c r="J245" i="2"/>
  <c r="Q244" i="2"/>
  <c r="O244" i="2"/>
  <c r="J244" i="2"/>
  <c r="Q243" i="2"/>
  <c r="O243" i="2"/>
  <c r="J243" i="2"/>
  <c r="Q242" i="2"/>
  <c r="O242" i="2"/>
  <c r="J242" i="2"/>
  <c r="Q241" i="2"/>
  <c r="O241" i="2"/>
  <c r="J241" i="2"/>
  <c r="Q240" i="2"/>
  <c r="O240" i="2"/>
  <c r="J240" i="2"/>
  <c r="Q239" i="2"/>
  <c r="O239" i="2"/>
  <c r="J239" i="2"/>
  <c r="Q238" i="2"/>
  <c r="O238" i="2"/>
  <c r="J238" i="2"/>
  <c r="Q237" i="2"/>
  <c r="O237" i="2"/>
  <c r="J237" i="2"/>
  <c r="Q236" i="2"/>
  <c r="O236" i="2"/>
  <c r="J236" i="2"/>
  <c r="Q235" i="2"/>
  <c r="O235" i="2"/>
  <c r="J235" i="2"/>
  <c r="Q234" i="2"/>
  <c r="O234" i="2"/>
  <c r="J234" i="2"/>
  <c r="Q233" i="2"/>
  <c r="O233" i="2"/>
  <c r="J233" i="2"/>
  <c r="Q232" i="2"/>
  <c r="O232" i="2"/>
  <c r="J232" i="2"/>
  <c r="Q231" i="2"/>
  <c r="O231" i="2"/>
  <c r="J231" i="2"/>
  <c r="Q230" i="2"/>
  <c r="O230" i="2"/>
  <c r="J230" i="2"/>
  <c r="Q229" i="2"/>
  <c r="O229" i="2"/>
  <c r="J229" i="2"/>
  <c r="Q228" i="2"/>
  <c r="O228" i="2"/>
  <c r="J228" i="2"/>
  <c r="Q227" i="2"/>
  <c r="O227" i="2"/>
  <c r="J227" i="2"/>
  <c r="Q226" i="2"/>
  <c r="O226" i="2"/>
  <c r="J226" i="2"/>
  <c r="Q225" i="2"/>
  <c r="O225" i="2"/>
  <c r="J225" i="2"/>
  <c r="Q224" i="2"/>
  <c r="O224" i="2"/>
  <c r="J224" i="2"/>
  <c r="Q223" i="2"/>
  <c r="O223" i="2"/>
  <c r="J223" i="2"/>
  <c r="Q222" i="2"/>
  <c r="O222" i="2"/>
  <c r="J222" i="2"/>
  <c r="Q221" i="2"/>
  <c r="O221" i="2"/>
  <c r="J221" i="2"/>
  <c r="Q220" i="2"/>
  <c r="O220" i="2"/>
  <c r="J220" i="2"/>
  <c r="Q219" i="2"/>
  <c r="O219" i="2"/>
  <c r="J219" i="2"/>
  <c r="Q218" i="2"/>
  <c r="O218" i="2"/>
  <c r="J218" i="2"/>
  <c r="Q217" i="2"/>
  <c r="O217" i="2"/>
  <c r="J217" i="2"/>
  <c r="Q216" i="2"/>
  <c r="O216" i="2"/>
  <c r="J216" i="2"/>
  <c r="Q215" i="2"/>
  <c r="O215" i="2"/>
  <c r="J215" i="2"/>
  <c r="Q214" i="2"/>
  <c r="O214" i="2"/>
  <c r="J214" i="2"/>
  <c r="Q213" i="2"/>
  <c r="O213" i="2"/>
  <c r="J213" i="2"/>
  <c r="Q212" i="2"/>
  <c r="O212" i="2"/>
  <c r="J212" i="2"/>
  <c r="Q211" i="2"/>
  <c r="O211" i="2"/>
  <c r="J211" i="2"/>
  <c r="Q210" i="2"/>
  <c r="O210" i="2"/>
  <c r="J210" i="2"/>
  <c r="Q209" i="2"/>
  <c r="O209" i="2"/>
  <c r="J209" i="2"/>
  <c r="Q208" i="2"/>
  <c r="O208" i="2"/>
  <c r="J208" i="2"/>
  <c r="Q207" i="2"/>
  <c r="O207" i="2"/>
  <c r="J207" i="2"/>
  <c r="Q206" i="2"/>
  <c r="O206" i="2"/>
  <c r="J206" i="2"/>
  <c r="Q205" i="2"/>
  <c r="O205" i="2"/>
  <c r="J205" i="2"/>
  <c r="Q204" i="2"/>
  <c r="O204" i="2"/>
  <c r="J204" i="2"/>
  <c r="Q203" i="2"/>
  <c r="O203" i="2"/>
  <c r="J203" i="2"/>
  <c r="Q202" i="2"/>
  <c r="O202" i="2"/>
  <c r="J202" i="2"/>
  <c r="Q201" i="2"/>
  <c r="O201" i="2"/>
  <c r="J201" i="2"/>
  <c r="Q200" i="2"/>
  <c r="O200" i="2"/>
  <c r="J200" i="2"/>
  <c r="Q199" i="2"/>
  <c r="O199" i="2"/>
  <c r="J199" i="2"/>
  <c r="Q198" i="2"/>
  <c r="O198" i="2"/>
  <c r="J198" i="2"/>
  <c r="Q197" i="2"/>
  <c r="O197" i="2"/>
  <c r="J197" i="2"/>
  <c r="Q196" i="2"/>
  <c r="O196" i="2"/>
  <c r="J196" i="2"/>
  <c r="Q195" i="2"/>
  <c r="O195" i="2"/>
  <c r="J195" i="2"/>
  <c r="Q194" i="2"/>
  <c r="O194" i="2"/>
  <c r="J194" i="2"/>
  <c r="Q193" i="2"/>
  <c r="O193" i="2"/>
  <c r="J193" i="2"/>
  <c r="Q192" i="2"/>
  <c r="O192" i="2"/>
  <c r="J192" i="2"/>
  <c r="Q191" i="2"/>
  <c r="O191" i="2"/>
  <c r="J191" i="2"/>
  <c r="Q190" i="2"/>
  <c r="O190" i="2"/>
  <c r="J190" i="2"/>
  <c r="Q189" i="2"/>
  <c r="O189" i="2"/>
  <c r="J189" i="2"/>
  <c r="Q188" i="2"/>
  <c r="O188" i="2"/>
  <c r="J188" i="2"/>
  <c r="Q187" i="2"/>
  <c r="O187" i="2"/>
  <c r="J187" i="2"/>
  <c r="Q186" i="2"/>
  <c r="O186" i="2"/>
  <c r="J186" i="2"/>
  <c r="Q185" i="2"/>
  <c r="O185" i="2"/>
  <c r="J185" i="2"/>
  <c r="Q184" i="2"/>
  <c r="O184" i="2"/>
  <c r="J184" i="2"/>
  <c r="Q183" i="2"/>
  <c r="O183" i="2"/>
  <c r="J183" i="2"/>
  <c r="Q182" i="2"/>
  <c r="O182" i="2"/>
  <c r="J182" i="2"/>
  <c r="Q181" i="2"/>
  <c r="O181" i="2"/>
  <c r="J181" i="2"/>
  <c r="Q180" i="2"/>
  <c r="O180" i="2"/>
  <c r="J180" i="2"/>
  <c r="Q179" i="2"/>
  <c r="O179" i="2"/>
  <c r="J179" i="2"/>
  <c r="Q178" i="2"/>
  <c r="O178" i="2"/>
  <c r="J178" i="2"/>
  <c r="Q177" i="2"/>
  <c r="O177" i="2"/>
  <c r="J177" i="2"/>
  <c r="Q176" i="2"/>
  <c r="O176" i="2"/>
  <c r="J176" i="2"/>
  <c r="Q175" i="2"/>
  <c r="O175" i="2"/>
  <c r="J175" i="2"/>
  <c r="Q174" i="2"/>
  <c r="O174" i="2"/>
  <c r="J174" i="2"/>
  <c r="Q173" i="2"/>
  <c r="O173" i="2"/>
  <c r="J173" i="2"/>
  <c r="Q172" i="2"/>
  <c r="O172" i="2"/>
  <c r="J172" i="2"/>
  <c r="Q171" i="2"/>
  <c r="O171" i="2"/>
  <c r="J171" i="2"/>
  <c r="Q170" i="2"/>
  <c r="O170" i="2"/>
  <c r="J170" i="2"/>
  <c r="Q169" i="2"/>
  <c r="O169" i="2"/>
  <c r="J169" i="2"/>
  <c r="Q168" i="2"/>
  <c r="O168" i="2"/>
  <c r="J168" i="2"/>
  <c r="Q167" i="2"/>
  <c r="O167" i="2"/>
  <c r="J167" i="2"/>
  <c r="Q166" i="2"/>
  <c r="O166" i="2"/>
  <c r="J166" i="2"/>
  <c r="Q165" i="2"/>
  <c r="O165" i="2"/>
  <c r="J165" i="2"/>
  <c r="Q164" i="2"/>
  <c r="O164" i="2"/>
  <c r="J164" i="2"/>
  <c r="Q163" i="2"/>
  <c r="O163" i="2"/>
  <c r="J163" i="2"/>
  <c r="Q162" i="2"/>
  <c r="O162" i="2"/>
  <c r="J162" i="2"/>
  <c r="Q161" i="2"/>
  <c r="O161" i="2"/>
  <c r="J161" i="2"/>
  <c r="Q160" i="2"/>
  <c r="O160" i="2"/>
  <c r="J160" i="2"/>
  <c r="Q159" i="2"/>
  <c r="O159" i="2"/>
  <c r="J159" i="2"/>
  <c r="Q158" i="2"/>
  <c r="O158" i="2"/>
  <c r="J158" i="2"/>
  <c r="Q157" i="2"/>
  <c r="O157" i="2"/>
  <c r="J157" i="2"/>
  <c r="Q156" i="2"/>
  <c r="O156" i="2"/>
  <c r="J156" i="2"/>
  <c r="Q155" i="2"/>
  <c r="O155" i="2"/>
  <c r="J155" i="2"/>
  <c r="Q154" i="2"/>
  <c r="O154" i="2"/>
  <c r="J154" i="2"/>
  <c r="Q153" i="2"/>
  <c r="O153" i="2"/>
  <c r="J153" i="2"/>
  <c r="Q152" i="2"/>
  <c r="O152" i="2"/>
  <c r="J152" i="2"/>
  <c r="Q151" i="2"/>
  <c r="O151" i="2"/>
  <c r="J151" i="2"/>
  <c r="Q150" i="2"/>
  <c r="O150" i="2"/>
  <c r="J150" i="2"/>
  <c r="Q149" i="2"/>
  <c r="O149" i="2"/>
  <c r="J149" i="2"/>
  <c r="Q148" i="2"/>
  <c r="O148" i="2"/>
  <c r="J148" i="2"/>
  <c r="Q147" i="2"/>
  <c r="O147" i="2"/>
  <c r="J147" i="2"/>
  <c r="Q146" i="2"/>
  <c r="O146" i="2"/>
  <c r="J146" i="2"/>
  <c r="Q145" i="2"/>
  <c r="O145" i="2"/>
  <c r="J145" i="2"/>
  <c r="Q144" i="2"/>
  <c r="O144" i="2"/>
  <c r="J144" i="2"/>
  <c r="Q143" i="2"/>
  <c r="O143" i="2"/>
  <c r="J143" i="2"/>
  <c r="Q142" i="2"/>
  <c r="O142" i="2"/>
  <c r="J142" i="2"/>
  <c r="Q141" i="2"/>
  <c r="O141" i="2"/>
  <c r="J141" i="2"/>
  <c r="Q140" i="2"/>
  <c r="O140" i="2"/>
  <c r="J140" i="2"/>
  <c r="Q139" i="2"/>
  <c r="O139" i="2"/>
  <c r="J139" i="2"/>
  <c r="Q138" i="2"/>
  <c r="O138" i="2"/>
  <c r="J138" i="2"/>
  <c r="Q137" i="2"/>
  <c r="O137" i="2"/>
  <c r="J137" i="2"/>
  <c r="Q136" i="2"/>
  <c r="O136" i="2"/>
  <c r="J136" i="2"/>
  <c r="Q135" i="2"/>
  <c r="O135" i="2"/>
  <c r="J135" i="2"/>
  <c r="Q134" i="2"/>
  <c r="O134" i="2"/>
  <c r="J134" i="2"/>
  <c r="Q133" i="2"/>
  <c r="O133" i="2"/>
  <c r="J133" i="2"/>
  <c r="Q132" i="2"/>
  <c r="O132" i="2"/>
  <c r="J132" i="2"/>
  <c r="Q131" i="2"/>
  <c r="O131" i="2"/>
  <c r="J131" i="2"/>
  <c r="Q130" i="2"/>
  <c r="O130" i="2"/>
  <c r="J130" i="2"/>
  <c r="Q129" i="2"/>
  <c r="O129" i="2"/>
  <c r="J129" i="2"/>
  <c r="Q128" i="2"/>
  <c r="O128" i="2"/>
  <c r="J128" i="2"/>
  <c r="Q127" i="2"/>
  <c r="O127" i="2"/>
  <c r="J127" i="2"/>
  <c r="Q126" i="2"/>
  <c r="O126" i="2"/>
  <c r="J126" i="2"/>
  <c r="Q125" i="2"/>
  <c r="O125" i="2"/>
  <c r="J125" i="2"/>
  <c r="Q124" i="2"/>
  <c r="O124" i="2"/>
  <c r="J124" i="2"/>
  <c r="Q123" i="2"/>
  <c r="O123" i="2"/>
  <c r="J123" i="2"/>
  <c r="Q122" i="2"/>
  <c r="O122" i="2"/>
  <c r="J122" i="2"/>
  <c r="Q121" i="2"/>
  <c r="O121" i="2"/>
  <c r="J121" i="2"/>
  <c r="Q120" i="2"/>
  <c r="O120" i="2"/>
  <c r="J120" i="2"/>
  <c r="Q119" i="2"/>
  <c r="O119" i="2"/>
  <c r="J119" i="2"/>
  <c r="Q118" i="2"/>
  <c r="O118" i="2"/>
  <c r="J118" i="2"/>
  <c r="Q117" i="2"/>
  <c r="O117" i="2"/>
  <c r="J117" i="2"/>
  <c r="Q116" i="2"/>
  <c r="O116" i="2"/>
  <c r="J116" i="2"/>
  <c r="Q115" i="2"/>
  <c r="O115" i="2"/>
  <c r="J115" i="2"/>
  <c r="Q114" i="2"/>
  <c r="O114" i="2"/>
  <c r="J114" i="2"/>
  <c r="Q113" i="2"/>
  <c r="O113" i="2"/>
  <c r="J113" i="2"/>
  <c r="Q112" i="2"/>
  <c r="O112" i="2"/>
  <c r="J112" i="2"/>
  <c r="Q111" i="2"/>
  <c r="O111" i="2"/>
  <c r="J111" i="2"/>
  <c r="Q110" i="2"/>
  <c r="O110" i="2"/>
  <c r="J110" i="2"/>
  <c r="Q109" i="2"/>
  <c r="O109" i="2"/>
  <c r="J109" i="2"/>
  <c r="Q108" i="2"/>
  <c r="O108" i="2"/>
  <c r="J108" i="2"/>
  <c r="Q107" i="2"/>
  <c r="O107" i="2"/>
  <c r="J107" i="2"/>
  <c r="Q106" i="2"/>
  <c r="O106" i="2"/>
  <c r="J106" i="2"/>
  <c r="Q105" i="2"/>
  <c r="O105" i="2"/>
  <c r="J105" i="2"/>
  <c r="Q104" i="2"/>
  <c r="O104" i="2"/>
  <c r="J104" i="2"/>
  <c r="Q103" i="2"/>
  <c r="O103" i="2"/>
  <c r="J103" i="2"/>
  <c r="Q102" i="2"/>
  <c r="O102" i="2"/>
  <c r="J102" i="2"/>
  <c r="Q101" i="2"/>
  <c r="O101" i="2"/>
  <c r="J101" i="2"/>
  <c r="Q100" i="2"/>
  <c r="O100" i="2"/>
  <c r="J100" i="2"/>
  <c r="Q99" i="2"/>
  <c r="O99" i="2"/>
  <c r="J99" i="2"/>
  <c r="Q98" i="2"/>
  <c r="O98" i="2"/>
  <c r="J98" i="2"/>
  <c r="Q97" i="2"/>
  <c r="O97" i="2"/>
  <c r="J97" i="2"/>
  <c r="Q96" i="2"/>
  <c r="O96" i="2"/>
  <c r="J96" i="2"/>
  <c r="Q95" i="2"/>
  <c r="O95" i="2"/>
  <c r="J95" i="2"/>
  <c r="Q94" i="2"/>
  <c r="O94" i="2"/>
  <c r="J94" i="2"/>
  <c r="Q93" i="2"/>
  <c r="O93" i="2"/>
  <c r="J93" i="2"/>
  <c r="Q92" i="2"/>
  <c r="O92" i="2"/>
  <c r="J92" i="2"/>
  <c r="Q91" i="2"/>
  <c r="O91" i="2"/>
  <c r="J91" i="2"/>
  <c r="Q90" i="2"/>
  <c r="O90" i="2"/>
  <c r="J90" i="2"/>
  <c r="Q89" i="2"/>
  <c r="O89" i="2"/>
  <c r="J89" i="2"/>
  <c r="Q88" i="2"/>
  <c r="O88" i="2"/>
  <c r="J88" i="2"/>
  <c r="Q87" i="2"/>
  <c r="O87" i="2"/>
  <c r="J87" i="2"/>
  <c r="Q86" i="2"/>
  <c r="O86" i="2"/>
  <c r="J86" i="2"/>
  <c r="Q85" i="2"/>
  <c r="O85" i="2"/>
  <c r="J85" i="2"/>
  <c r="Q84" i="2"/>
  <c r="O84" i="2"/>
  <c r="J84" i="2"/>
  <c r="Q83" i="2"/>
  <c r="O83" i="2"/>
  <c r="J83" i="2"/>
  <c r="Q82" i="2"/>
  <c r="O82" i="2"/>
  <c r="J82" i="2"/>
  <c r="Q81" i="2"/>
  <c r="O81" i="2"/>
  <c r="J81" i="2"/>
  <c r="Q80" i="2"/>
  <c r="O80" i="2"/>
  <c r="J80" i="2"/>
  <c r="Q79" i="2"/>
  <c r="O79" i="2"/>
  <c r="J79" i="2"/>
  <c r="Q78" i="2"/>
  <c r="O78" i="2"/>
  <c r="J78" i="2"/>
  <c r="Q77" i="2"/>
  <c r="O77" i="2"/>
  <c r="J77" i="2"/>
  <c r="Q76" i="2"/>
  <c r="O76" i="2"/>
  <c r="J76" i="2"/>
  <c r="Q75" i="2"/>
  <c r="O75" i="2"/>
  <c r="J75" i="2"/>
  <c r="Q74" i="2"/>
  <c r="O74" i="2"/>
  <c r="J74" i="2"/>
  <c r="Q73" i="2"/>
  <c r="O73" i="2"/>
  <c r="J73" i="2"/>
  <c r="Q72" i="2"/>
  <c r="O72" i="2"/>
  <c r="J72" i="2"/>
  <c r="Q71" i="2"/>
  <c r="O71" i="2"/>
  <c r="J71" i="2"/>
  <c r="Q70" i="2"/>
  <c r="O70" i="2"/>
  <c r="J70" i="2"/>
  <c r="Q69" i="2"/>
  <c r="O69" i="2"/>
  <c r="J69" i="2"/>
  <c r="Q68" i="2"/>
  <c r="O68" i="2"/>
  <c r="J68" i="2"/>
  <c r="Q67" i="2"/>
  <c r="O67" i="2"/>
  <c r="J67" i="2"/>
  <c r="Q66" i="2"/>
  <c r="O66" i="2"/>
  <c r="J66" i="2"/>
  <c r="Q65" i="2"/>
  <c r="O65" i="2"/>
  <c r="J65" i="2"/>
  <c r="Q64" i="2"/>
  <c r="O64" i="2"/>
  <c r="J64" i="2"/>
  <c r="Q63" i="2"/>
  <c r="O63" i="2"/>
  <c r="J63" i="2"/>
  <c r="Q62" i="2"/>
  <c r="O62" i="2"/>
  <c r="J62" i="2"/>
  <c r="Q61" i="2"/>
  <c r="O61" i="2"/>
  <c r="J61" i="2"/>
  <c r="Q60" i="2"/>
  <c r="O60" i="2"/>
  <c r="J60" i="2"/>
  <c r="Q59" i="2"/>
  <c r="O59" i="2"/>
  <c r="J59" i="2"/>
  <c r="Q58" i="2"/>
  <c r="O58" i="2"/>
  <c r="J58" i="2"/>
  <c r="Q57" i="2"/>
  <c r="O57" i="2"/>
  <c r="J57" i="2"/>
  <c r="Q56" i="2"/>
  <c r="O56" i="2"/>
  <c r="J56" i="2"/>
  <c r="Q55" i="2"/>
  <c r="O55" i="2"/>
  <c r="J55" i="2"/>
  <c r="Q54" i="2"/>
  <c r="O54" i="2"/>
  <c r="J54" i="2"/>
  <c r="Q53" i="2"/>
  <c r="O53" i="2"/>
  <c r="J53" i="2"/>
  <c r="Q52" i="2"/>
  <c r="O52" i="2"/>
  <c r="J52" i="2"/>
  <c r="Q51" i="2"/>
  <c r="O51" i="2"/>
  <c r="J51" i="2"/>
  <c r="Q50" i="2"/>
  <c r="O50" i="2"/>
  <c r="J50" i="2"/>
  <c r="Q49" i="2"/>
  <c r="O49" i="2"/>
  <c r="J49" i="2"/>
  <c r="Q48" i="2"/>
  <c r="O48" i="2"/>
  <c r="J48" i="2"/>
  <c r="Q47" i="2"/>
  <c r="O47" i="2"/>
  <c r="J47" i="2"/>
  <c r="Q46" i="2"/>
  <c r="O46" i="2"/>
  <c r="J46" i="2"/>
  <c r="Q45" i="2"/>
  <c r="O45" i="2"/>
  <c r="J45" i="2"/>
  <c r="Q44" i="2"/>
  <c r="O44" i="2"/>
  <c r="J44" i="2"/>
  <c r="Q43" i="2"/>
  <c r="O43" i="2"/>
  <c r="J43" i="2"/>
  <c r="Q42" i="2"/>
  <c r="O42" i="2"/>
  <c r="J42" i="2"/>
  <c r="Q41" i="2"/>
  <c r="O41" i="2"/>
  <c r="J41" i="2"/>
  <c r="Q40" i="2"/>
  <c r="O40" i="2"/>
  <c r="J40" i="2"/>
  <c r="Q39" i="2"/>
  <c r="O39" i="2"/>
  <c r="J39" i="2"/>
  <c r="Q38" i="2"/>
  <c r="O38" i="2"/>
  <c r="J38" i="2"/>
  <c r="Q37" i="2"/>
  <c r="O37" i="2"/>
  <c r="J37" i="2"/>
  <c r="Q36" i="2"/>
  <c r="O36" i="2"/>
  <c r="J36" i="2"/>
  <c r="Q35" i="2"/>
  <c r="O35" i="2"/>
  <c r="J35" i="2"/>
  <c r="Q34" i="2"/>
  <c r="O34" i="2"/>
  <c r="J34" i="2"/>
  <c r="Q33" i="2"/>
  <c r="O33" i="2"/>
  <c r="J33" i="2"/>
  <c r="Q32" i="2"/>
  <c r="O32" i="2"/>
  <c r="J32" i="2"/>
  <c r="Q31" i="2"/>
  <c r="O31" i="2"/>
  <c r="J31" i="2"/>
  <c r="Q30" i="2"/>
  <c r="O30" i="2"/>
  <c r="J30" i="2"/>
  <c r="Q29" i="2"/>
  <c r="O29" i="2"/>
  <c r="J29" i="2"/>
  <c r="Q28" i="2"/>
  <c r="O28" i="2"/>
  <c r="J28" i="2"/>
  <c r="Q27" i="2"/>
  <c r="O27" i="2"/>
  <c r="J27" i="2"/>
  <c r="Q26" i="2"/>
  <c r="O26" i="2"/>
  <c r="J26" i="2"/>
  <c r="Q25" i="2"/>
  <c r="O25" i="2"/>
  <c r="J25" i="2"/>
  <c r="Q24" i="2"/>
  <c r="O24" i="2"/>
  <c r="J24" i="2"/>
  <c r="Q23" i="2"/>
  <c r="O23" i="2"/>
  <c r="J23" i="2"/>
  <c r="Q22" i="2"/>
  <c r="O22" i="2"/>
  <c r="J22" i="2"/>
  <c r="Q21" i="2"/>
  <c r="O21" i="2"/>
  <c r="J21" i="2"/>
  <c r="Q20" i="2"/>
  <c r="O20" i="2"/>
  <c r="J20" i="2"/>
  <c r="Q19" i="2"/>
  <c r="O19" i="2"/>
  <c r="J19" i="2"/>
  <c r="Q18" i="2"/>
  <c r="O18" i="2"/>
  <c r="J18" i="2"/>
  <c r="Q17" i="2"/>
  <c r="O17" i="2"/>
  <c r="J17" i="2"/>
  <c r="Q16" i="2"/>
  <c r="O16" i="2"/>
  <c r="J16" i="2"/>
  <c r="Q15" i="2"/>
  <c r="O15" i="2"/>
  <c r="J15" i="2"/>
  <c r="Q14" i="2"/>
  <c r="O14" i="2"/>
  <c r="J14" i="2"/>
  <c r="Q13" i="2"/>
  <c r="O13" i="2"/>
  <c r="Q12" i="2"/>
  <c r="O12" i="2"/>
  <c r="J12" i="2"/>
  <c r="Q11" i="2"/>
  <c r="O11" i="2"/>
  <c r="J11" i="2"/>
  <c r="Q10" i="2"/>
  <c r="O10" i="2"/>
  <c r="J10" i="2"/>
  <c r="Q9" i="2"/>
  <c r="O9" i="2"/>
  <c r="J9" i="2"/>
  <c r="Q8" i="2"/>
  <c r="O8" i="2"/>
  <c r="J8" i="2"/>
  <c r="Q7" i="2"/>
  <c r="O7" i="2"/>
  <c r="J7" i="2"/>
  <c r="Q6" i="2"/>
  <c r="O6" i="2"/>
  <c r="J6" i="2"/>
  <c r="Q5" i="2"/>
  <c r="O5" i="2"/>
  <c r="J5" i="2"/>
  <c r="Q4" i="2"/>
  <c r="O4" i="2"/>
  <c r="J4" i="2"/>
  <c r="Q3" i="2"/>
  <c r="O3" i="2"/>
  <c r="J3" i="2"/>
  <c r="Q2" i="2"/>
  <c r="O2" i="2"/>
  <c r="J2" i="2"/>
  <c r="W1" i="2"/>
  <c r="C1" i="2"/>
  <c r="B1" i="2"/>
  <c r="C20" i="1"/>
  <c r="C19" i="1"/>
  <c r="B2" i="1"/>
  <c r="Q22" i="8"/>
  <c r="Q6" i="8"/>
  <c r="Q71" i="7"/>
  <c r="Q60" i="7"/>
  <c r="Q51" i="7"/>
  <c r="Q41" i="7"/>
  <c r="Q33" i="7"/>
  <c r="Q16" i="7"/>
  <c r="Q29" i="8"/>
  <c r="Q4" i="8"/>
  <c r="Q19" i="7"/>
  <c r="Q23" i="8"/>
  <c r="Q7" i="8"/>
  <c r="Q70" i="7"/>
  <c r="Q61" i="7"/>
  <c r="Q50" i="7"/>
  <c r="Q42" i="7"/>
  <c r="Q34" i="7"/>
  <c r="Q18" i="7"/>
  <c r="Q32" i="8"/>
  <c r="Q13" i="8"/>
  <c r="Q17" i="7"/>
  <c r="Q157" i="5"/>
  <c r="Q140" i="5"/>
  <c r="Q125" i="5"/>
  <c r="Q98" i="4"/>
  <c r="Q90" i="4"/>
  <c r="Q82" i="4"/>
  <c r="Q72" i="4"/>
  <c r="Q64" i="4"/>
  <c r="Q54" i="4"/>
  <c r="Q46" i="4"/>
  <c r="Q38" i="4"/>
  <c r="Q30" i="4"/>
  <c r="Q22" i="4"/>
  <c r="Q148" i="3"/>
  <c r="Q140" i="3"/>
  <c r="Q119" i="3"/>
  <c r="Q111" i="3"/>
  <c r="Q103" i="3"/>
  <c r="Q70" i="3"/>
  <c r="Q62" i="3"/>
  <c r="Q52" i="3"/>
  <c r="Q44" i="3"/>
  <c r="Q19" i="6"/>
  <c r="Q30" i="6"/>
  <c r="Q22" i="6"/>
  <c r="Q14" i="6"/>
  <c r="Q6" i="6"/>
  <c r="Q163" i="5"/>
  <c r="Q132" i="5"/>
  <c r="Q115" i="5"/>
  <c r="Q107" i="5"/>
  <c r="Q97" i="5"/>
  <c r="Q87" i="5"/>
  <c r="Q77" i="5"/>
  <c r="Q61" i="5"/>
  <c r="Q49" i="5"/>
  <c r="Q39" i="5"/>
  <c r="Q29" i="5"/>
  <c r="Q15" i="5"/>
  <c r="Q5" i="5"/>
  <c r="Q122" i="4"/>
  <c r="Q112" i="4"/>
  <c r="Q13" i="4"/>
  <c r="Q161" i="3"/>
  <c r="Q153" i="3"/>
  <c r="Q132" i="3"/>
  <c r="Q97" i="3"/>
  <c r="Q89" i="3"/>
  <c r="Q34" i="3"/>
  <c r="Q26" i="3"/>
  <c r="Q14" i="3"/>
  <c r="Q6" i="3"/>
  <c r="Q21" i="6"/>
  <c r="Q161" i="5"/>
  <c r="Q139" i="5"/>
  <c r="Q124" i="5"/>
  <c r="Q99" i="4"/>
  <c r="Q87" i="4"/>
  <c r="Q79" i="4"/>
  <c r="Q71" i="4"/>
  <c r="Q63" i="4"/>
  <c r="Q53" i="4"/>
  <c r="Q45" i="4"/>
  <c r="Q33" i="4"/>
  <c r="Q25" i="4"/>
  <c r="Q168" i="3"/>
  <c r="Q145" i="3"/>
  <c r="Q124" i="3"/>
  <c r="Q116" i="3"/>
  <c r="Q108" i="3"/>
  <c r="Q76" i="3"/>
  <c r="Q61" i="3"/>
  <c r="Q53" i="3"/>
  <c r="Q45" i="3"/>
  <c r="Q17" i="6"/>
  <c r="Q159" i="5"/>
  <c r="Q94" i="5"/>
  <c r="Q70" i="5"/>
  <c r="Q119" i="4"/>
  <c r="Q152" i="3"/>
  <c r="Q88" i="3"/>
  <c r="Q147" i="5"/>
  <c r="Q96" i="5"/>
  <c r="Q72" i="5"/>
  <c r="Q26" i="5"/>
  <c r="Q121" i="4"/>
  <c r="Q162" i="3"/>
  <c r="Q90" i="3"/>
  <c r="Q116" i="5"/>
  <c r="Q88" i="5"/>
  <c r="Q50" i="5"/>
  <c r="Q18" i="5"/>
  <c r="Q113" i="4"/>
  <c r="Q100" i="3"/>
  <c r="Q7" i="3"/>
  <c r="Q56" i="5"/>
  <c r="Q125" i="4"/>
  <c r="Q142" i="5"/>
  <c r="Q54" i="5"/>
  <c r="Q158" i="3"/>
  <c r="Q9" i="3"/>
  <c r="Q69" i="7"/>
  <c r="Q39" i="7"/>
  <c r="Q139" i="6"/>
  <c r="Q31" i="7"/>
  <c r="Q21" i="8"/>
  <c r="Q68" i="7"/>
  <c r="Q48" i="7"/>
  <c r="Q30" i="7"/>
  <c r="Q30" i="8"/>
  <c r="Q136" i="6"/>
  <c r="Q138" i="5"/>
  <c r="Q96" i="4"/>
  <c r="Q80" i="4"/>
  <c r="Q62" i="4"/>
  <c r="Q44" i="4"/>
  <c r="Q28" i="4"/>
  <c r="Q146" i="3"/>
  <c r="Q117" i="3"/>
  <c r="Q86" i="3"/>
  <c r="Q60" i="3"/>
  <c r="Q42" i="3"/>
  <c r="Q28" i="6"/>
  <c r="Q12" i="6"/>
  <c r="Q155" i="5"/>
  <c r="Q113" i="5"/>
  <c r="Q95" i="5"/>
  <c r="Q59" i="5"/>
  <c r="Q37" i="5"/>
  <c r="Q11" i="5"/>
  <c r="Q120" i="4"/>
  <c r="Q174" i="3"/>
  <c r="Q138" i="3"/>
  <c r="Q95" i="3"/>
  <c r="Q32" i="3"/>
  <c r="Q12" i="3"/>
  <c r="Q15" i="6"/>
  <c r="Q137" i="5"/>
  <c r="Q97" i="4"/>
  <c r="Q77" i="4"/>
  <c r="Q69" i="4"/>
  <c r="Q51" i="4"/>
  <c r="Q31" i="4"/>
  <c r="Q143" i="3"/>
  <c r="Q114" i="3"/>
  <c r="Q67" i="3"/>
  <c r="Q51" i="3"/>
  <c r="Q11" i="6"/>
  <c r="Q92" i="5"/>
  <c r="Q109" i="4"/>
  <c r="Q23" i="3"/>
  <c r="Q86" i="5"/>
  <c r="Q60" i="5"/>
  <c r="Q111" i="4"/>
  <c r="Q78" i="3"/>
  <c r="Q64" i="5"/>
  <c r="Q16" i="5"/>
  <c r="Q92" i="3"/>
  <c r="Q44" i="5"/>
  <c r="Q118" i="5"/>
  <c r="Q135" i="3"/>
  <c r="Q75" i="7"/>
  <c r="Q55" i="7"/>
  <c r="Q24" i="7"/>
  <c r="Q27" i="7"/>
  <c r="Q66" i="7"/>
  <c r="Q46" i="7"/>
  <c r="Q26" i="7"/>
  <c r="Q25" i="7"/>
  <c r="Q136" i="5"/>
  <c r="Q86" i="4"/>
  <c r="Q60" i="4"/>
  <c r="Q34" i="4"/>
  <c r="Q144" i="3"/>
  <c r="Q66" i="3"/>
  <c r="Q29" i="6"/>
  <c r="Q18" i="6"/>
  <c r="Q167" i="5"/>
  <c r="Q111" i="5"/>
  <c r="Q81" i="5"/>
  <c r="Q57" i="5"/>
  <c r="Q23" i="5"/>
  <c r="Q118" i="4"/>
  <c r="Q136" i="3"/>
  <c r="Q74" i="3"/>
  <c r="Q10" i="3"/>
  <c r="Q128" i="5"/>
  <c r="Q83" i="4"/>
  <c r="Q67" i="4"/>
  <c r="Q39" i="4"/>
  <c r="Q149" i="3"/>
  <c r="Q112" i="3"/>
  <c r="Q57" i="3"/>
  <c r="Q31" i="6"/>
  <c r="Q84" i="5"/>
  <c r="Q129" i="3"/>
  <c r="Q38" i="5"/>
  <c r="Q131" i="3"/>
  <c r="Q100" i="5"/>
  <c r="Q156" i="3"/>
  <c r="Q80" i="5"/>
  <c r="Q102" i="5"/>
  <c r="Q73" i="7"/>
  <c r="Q43" i="7"/>
  <c r="Q31" i="8"/>
  <c r="Q115" i="6"/>
  <c r="Q64" i="7"/>
  <c r="Q36" i="7"/>
  <c r="Q26" i="8"/>
  <c r="Q145" i="5"/>
  <c r="Q92" i="4"/>
  <c r="Q66" i="4"/>
  <c r="Q40" i="4"/>
  <c r="Q150" i="3"/>
  <c r="Q113" i="3"/>
  <c r="Q64" i="3"/>
  <c r="Q25" i="6"/>
  <c r="Q16" i="6"/>
  <c r="Q134" i="5"/>
  <c r="Q101" i="5"/>
  <c r="Q65" i="5"/>
  <c r="Q31" i="5"/>
  <c r="Q124" i="4"/>
  <c r="Q163" i="3"/>
  <c r="Q99" i="3"/>
  <c r="Q28" i="3"/>
  <c r="Q20" i="8"/>
  <c r="Q77" i="7"/>
  <c r="Q57" i="7"/>
  <c r="Q49" i="7"/>
  <c r="Q28" i="7"/>
  <c r="Q27" i="8"/>
  <c r="Q138" i="6"/>
  <c r="Q76" i="7"/>
  <c r="Q56" i="7"/>
  <c r="Q40" i="7"/>
  <c r="Q137" i="6"/>
  <c r="Q29" i="7"/>
  <c r="Q152" i="5"/>
  <c r="Q123" i="5"/>
  <c r="Q88" i="4"/>
  <c r="Q70" i="4"/>
  <c r="Q52" i="4"/>
  <c r="Q36" i="4"/>
  <c r="Q169" i="3"/>
  <c r="Q125" i="3"/>
  <c r="Q109" i="3"/>
  <c r="Q68" i="3"/>
  <c r="Q50" i="3"/>
  <c r="Q7" i="6"/>
  <c r="Q20" i="6"/>
  <c r="Q4" i="6"/>
  <c r="Q130" i="5"/>
  <c r="Q105" i="5"/>
  <c r="Q85" i="5"/>
  <c r="Q71" i="5"/>
  <c r="Q47" i="5"/>
  <c r="Q25" i="5"/>
  <c r="Q3" i="5"/>
  <c r="Q110" i="4"/>
  <c r="Q159" i="3"/>
  <c r="Q130" i="3"/>
  <c r="Q84" i="3"/>
  <c r="Q24" i="3"/>
  <c r="Q4" i="3"/>
  <c r="Q153" i="5"/>
  <c r="Q122" i="5"/>
  <c r="Q85" i="4"/>
  <c r="Q61" i="4"/>
  <c r="Q41" i="4"/>
  <c r="Q23" i="4"/>
  <c r="Q166" i="3"/>
  <c r="Q122" i="3"/>
  <c r="Q106" i="3"/>
  <c r="Q59" i="3"/>
  <c r="Q43" i="3"/>
  <c r="Q131" i="5"/>
  <c r="Q36" i="5"/>
  <c r="Q137" i="3"/>
  <c r="Q133" i="5"/>
  <c r="Q14" i="5"/>
  <c r="Q154" i="3"/>
  <c r="Q108" i="5"/>
  <c r="Q42" i="5"/>
  <c r="Q164" i="3"/>
  <c r="Q110" i="5"/>
  <c r="Q107" i="4"/>
  <c r="Q32" i="5"/>
  <c r="Q67" i="7"/>
  <c r="Q37" i="7"/>
  <c r="Q25" i="8"/>
  <c r="Q19" i="8"/>
  <c r="Q38" i="7"/>
  <c r="Q28" i="8"/>
  <c r="Q150" i="5"/>
  <c r="Q94" i="4"/>
  <c r="Q68" i="4"/>
  <c r="Q42" i="4"/>
  <c r="Q167" i="3"/>
  <c r="Q115" i="3"/>
  <c r="Q80" i="3"/>
  <c r="Q48" i="3"/>
  <c r="Q26" i="6"/>
  <c r="Q143" i="5"/>
  <c r="Q103" i="5"/>
  <c r="Q69" i="5"/>
  <c r="Q35" i="5"/>
  <c r="Q9" i="5"/>
  <c r="Q108" i="4"/>
  <c r="Q157" i="3"/>
  <c r="Q93" i="3"/>
  <c r="Q22" i="3"/>
  <c r="Q151" i="5"/>
  <c r="Q95" i="4"/>
  <c r="Q59" i="4"/>
  <c r="Q29" i="4"/>
  <c r="Q141" i="3"/>
  <c r="Q104" i="3"/>
  <c r="Q49" i="3"/>
  <c r="Q120" i="5"/>
  <c r="Q173" i="3"/>
  <c r="Q114" i="5"/>
  <c r="Q12" i="5"/>
  <c r="Q13" i="3"/>
  <c r="Q40" i="5"/>
  <c r="Q39" i="3"/>
  <c r="Q21" i="3"/>
  <c r="Q94" i="3"/>
  <c r="Q11" i="8"/>
  <c r="Q53" i="7"/>
  <c r="Q20" i="7"/>
  <c r="Q23" i="7"/>
  <c r="Q72" i="7"/>
  <c r="Q44" i="7"/>
  <c r="Q23" i="10"/>
  <c r="Q116" i="6"/>
  <c r="Q100" i="4"/>
  <c r="Q74" i="4"/>
  <c r="Q48" i="4"/>
  <c r="Q24" i="4"/>
  <c r="Q121" i="3"/>
  <c r="Q72" i="3"/>
  <c r="Q46" i="3"/>
  <c r="Q24" i="6"/>
  <c r="Q165" i="5"/>
  <c r="Q109" i="5"/>
  <c r="Q79" i="5"/>
  <c r="Q43" i="5"/>
  <c r="Q7" i="5"/>
  <c r="Q106" i="4"/>
  <c r="Q134" i="3"/>
  <c r="Q40" i="3"/>
  <c r="Q18" i="8"/>
  <c r="Q45" i="7"/>
  <c r="Q135" i="6"/>
  <c r="Q134" i="6"/>
  <c r="Q74" i="7"/>
  <c r="Q54" i="7"/>
  <c r="Q133" i="6"/>
  <c r="Q132" i="6"/>
  <c r="Q102" i="4"/>
  <c r="Q78" i="4"/>
  <c r="Q50" i="4"/>
  <c r="Q26" i="4"/>
  <c r="Q123" i="3"/>
  <c r="Q107" i="3"/>
  <c r="Q56" i="3"/>
  <c r="Q168" i="5"/>
  <c r="Q10" i="6"/>
  <c r="Q119" i="5"/>
  <c r="Q91" i="5"/>
  <c r="Q45" i="5"/>
  <c r="Q126" i="4"/>
  <c r="Q172" i="3"/>
  <c r="Q128" i="3"/>
  <c r="Q30" i="3"/>
  <c r="Q9" i="6"/>
  <c r="Q103" i="4"/>
  <c r="Q75" i="4"/>
  <c r="Q49" i="4"/>
  <c r="Q21" i="4"/>
  <c r="Q120" i="3"/>
  <c r="Q65" i="3"/>
  <c r="Q5" i="6"/>
  <c r="Q24" i="5"/>
  <c r="Q11" i="3"/>
  <c r="Q76" i="5"/>
  <c r="Q10" i="4"/>
  <c r="Q62" i="5"/>
  <c r="Q123" i="4"/>
  <c r="Q34" i="5"/>
  <c r="Q8" i="5"/>
  <c r="Q65" i="7"/>
  <c r="Q35" i="7"/>
  <c r="Q16" i="8"/>
  <c r="Q10" i="8"/>
  <c r="Q52" i="7"/>
  <c r="Q22" i="7"/>
  <c r="Q21" i="7"/>
  <c r="Q127" i="5"/>
  <c r="Q84" i="4"/>
  <c r="Q58" i="4"/>
  <c r="Q32" i="4"/>
  <c r="Q142" i="3"/>
  <c r="Q105" i="3"/>
  <c r="Q54" i="3"/>
  <c r="Q32" i="6"/>
  <c r="Q8" i="6"/>
  <c r="Q117" i="5"/>
  <c r="Q89" i="5"/>
  <c r="Q53" i="5"/>
  <c r="Q19" i="5"/>
  <c r="Q116" i="4"/>
  <c r="Q155" i="3"/>
  <c r="Q91" i="3"/>
  <c r="Q16" i="3"/>
  <c r="Q27" i="6"/>
  <c r="Q101" i="4"/>
  <c r="Q65" i="4"/>
  <c r="Q27" i="4"/>
  <c r="Q118" i="3"/>
  <c r="Q55" i="3"/>
  <c r="Q112" i="5"/>
  <c r="Q96" i="3"/>
  <c r="Q28" i="5"/>
  <c r="Q5" i="3"/>
  <c r="Q115" i="4"/>
  <c r="Q19" i="3"/>
  <c r="Q166" i="5"/>
  <c r="Q89" i="4"/>
  <c r="Q57" i="4"/>
  <c r="Q170" i="3"/>
  <c r="Q110" i="3"/>
  <c r="Q47" i="3"/>
  <c r="Q82" i="5"/>
  <c r="Q3" i="3"/>
  <c r="Q4" i="5"/>
  <c r="Q98" i="5"/>
  <c r="Q133" i="3"/>
  <c r="Q17" i="3"/>
  <c r="Q126" i="5"/>
  <c r="Q126" i="3"/>
  <c r="Q160" i="3"/>
  <c r="Q30" i="5"/>
  <c r="Q20" i="5"/>
  <c r="Q149" i="5"/>
  <c r="Q81" i="4"/>
  <c r="Q47" i="4"/>
  <c r="Q147" i="3"/>
  <c r="Q102" i="3"/>
  <c r="Q23" i="6"/>
  <c r="Q10" i="5"/>
  <c r="Q106" i="5"/>
  <c r="Q175" i="3"/>
  <c r="Q52" i="5"/>
  <c r="Q37" i="3"/>
  <c r="Q90" i="5"/>
  <c r="Q8" i="3"/>
  <c r="Q37" i="4"/>
  <c r="Q164" i="5"/>
  <c r="Q98" i="3"/>
  <c r="Q117" i="4"/>
  <c r="Q73" i="4"/>
  <c r="Q63" i="3"/>
  <c r="Q74" i="5"/>
  <c r="Q66" i="5"/>
  <c r="A118" i="6" l="1"/>
  <c r="A119" i="6"/>
  <c r="Q117" i="6"/>
  <c r="Q118" i="6"/>
  <c r="A120" i="6" l="1"/>
  <c r="Q119" i="6"/>
  <c r="A121" i="6" l="1"/>
  <c r="Q120" i="6"/>
  <c r="A122" i="6" l="1"/>
  <c r="Q121" i="6"/>
  <c r="A123" i="6" l="1"/>
  <c r="Q122" i="6"/>
  <c r="A124" i="6" l="1"/>
  <c r="Q123" i="6"/>
  <c r="A125" i="6" l="1"/>
  <c r="Q124" i="6"/>
  <c r="A126" i="6" l="1"/>
  <c r="Q125" i="6"/>
  <c r="A127" i="6" l="1"/>
  <c r="Q126" i="6"/>
  <c r="A128" i="6" l="1"/>
  <c r="Q127" i="6"/>
  <c r="A129" i="6" l="1"/>
  <c r="Q128" i="6"/>
  <c r="A130" i="6" l="1"/>
  <c r="Q129" i="6"/>
  <c r="Q13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100-000001000000}">
      <text>
        <r>
          <rPr>
            <sz val="11"/>
            <color rgb="FF000000"/>
            <rFont val="Calibri"/>
          </rPr>
          <t>Hari Thapliyal:
When content is good but record quality is bad.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200-000001000000}">
      <text>
        <r>
          <rPr>
            <sz val="11"/>
            <color rgb="FF000000"/>
            <rFont val="Calibri"/>
          </rPr>
          <t>Hari Thapliyal:
When content is good but record quality is bad.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300-000001000000}">
      <text>
        <r>
          <rPr>
            <sz val="11"/>
            <color rgb="FF000000"/>
            <rFont val="Calibri"/>
          </rPr>
          <t>Hari Thapliyal:
When content is good but record quality is bad.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400-000001000000}">
      <text>
        <r>
          <rPr>
            <sz val="11"/>
            <color rgb="FF000000"/>
            <rFont val="Calibri"/>
          </rPr>
          <t>Hari Thapliyal:
When content is good but record quality is bad.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500-000001000000}">
      <text>
        <r>
          <rPr>
            <sz val="11"/>
            <color rgb="FF000000"/>
            <rFont val="Calibri"/>
          </rPr>
          <t>Hari Thapliyal:
When content is good but record quality is bad.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600-000001000000}">
      <text>
        <r>
          <rPr>
            <sz val="11"/>
            <color rgb="FF000000"/>
            <rFont val="Calibri"/>
          </rPr>
          <t>Hari Thapliyal:
When content is good but record quality is bad.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700-000001000000}">
      <text>
        <r>
          <rPr>
            <sz val="11"/>
            <color rgb="FF000000"/>
            <rFont val="Calibri"/>
          </rPr>
          <t>Hari Thapliyal:
When content is good but record quality is bad.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800-000001000000}">
      <text>
        <r>
          <rPr>
            <sz val="11"/>
            <color rgb="FF000000"/>
            <rFont val="Calibri"/>
          </rPr>
          <t>Hari Thapliyal:
When content is good but record quality is bad.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900-000001000000}">
      <text>
        <r>
          <rPr>
            <sz val="11"/>
            <color rgb="FF000000"/>
            <rFont val="Calibri"/>
          </rPr>
          <t>Hari Thapliyal:
When content is good but record quality is bad.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A00-000001000000}">
      <text>
        <r>
          <rPr>
            <sz val="11"/>
            <color rgb="FF000000"/>
            <rFont val="Calibri"/>
          </rPr>
          <t>Hari Thapliyal:
When content is good but record quality is bad.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B00-000001000000}">
      <text>
        <r>
          <rPr>
            <sz val="11"/>
            <color rgb="FF000000"/>
            <rFont val="Calibri"/>
          </rPr>
          <t>Hari Thapliyal:
When content is good but record quality is bad.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K1" authorId="0" shapeId="0" xr:uid="{00000000-0006-0000-0C00-000002000000}">
      <text>
        <r>
          <rPr>
            <sz val="11"/>
            <color rgb="FF000000"/>
            <rFont val="Calibri"/>
          </rPr>
          <t>Total 315 Hours
	-Hari Thapliyal</t>
        </r>
      </text>
    </comment>
    <comment ref="X1" authorId="0" shapeId="0" xr:uid="{00000000-0006-0000-0C00-000001000000}">
      <text>
        <r>
          <rPr>
            <sz val="11"/>
            <color rgb="FF000000"/>
            <rFont val="Calibri"/>
          </rPr>
          <t>Hari Thapliyal:
When content is good but record quality is bad.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D00-000001000000}">
      <text>
        <r>
          <rPr>
            <sz val="11"/>
            <color rgb="FF000000"/>
            <rFont val="Calibri"/>
          </rPr>
          <t>Hari Thapliyal:
When content is good but record quality is bad.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E00-000001000000}">
      <text>
        <r>
          <rPr>
            <sz val="11"/>
            <color rgb="FF000000"/>
            <rFont val="Calibri"/>
          </rPr>
          <t>Hari Thapliyal:
When content is good but record quality is bad.</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0F00-000001000000}">
      <text>
        <r>
          <rPr>
            <sz val="11"/>
            <color rgb="FF000000"/>
            <rFont val="Calibri"/>
          </rPr>
          <t>Hari Thapliyal:
When content is good but record quality is bad.</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X1" authorId="0" shapeId="0" xr:uid="{00000000-0006-0000-1000-000001000000}">
      <text>
        <r>
          <rPr>
            <sz val="11"/>
            <color rgb="FF000000"/>
            <rFont val="Calibri"/>
          </rPr>
          <t>Hari Thapliyal:
When content is good but record quality is bad.</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1300-000001000000}">
      <text>
        <r>
          <rPr>
            <sz val="11"/>
            <color rgb="FF000000"/>
            <rFont val="Calibri"/>
          </rPr>
          <t>In your worksheet, use these keywords for tagging purpose.
	-Hari Thapliyal</t>
        </r>
      </text>
    </comment>
    <comment ref="C1" authorId="0" shapeId="0" xr:uid="{00000000-0006-0000-1300-000002000000}">
      <text>
        <r>
          <rPr>
            <sz val="11"/>
            <color rgb="FF000000"/>
            <rFont val="Calibri"/>
          </rPr>
          <t>Write Parent Keyword only if it exists for Keyword else it it blank.
	-Hari Thapliyal</t>
        </r>
      </text>
    </comment>
  </commentList>
</comments>
</file>

<file path=xl/sharedStrings.xml><?xml version="1.0" encoding="utf-8"?>
<sst xmlns="http://schemas.openxmlformats.org/spreadsheetml/2006/main" count="17409" uniqueCount="3521">
  <si>
    <t>M</t>
  </si>
  <si>
    <t>#</t>
  </si>
  <si>
    <t>Instructions</t>
  </si>
  <si>
    <t>DON'T Create copy of this file. Please do not be CREATIVE with this file. This is both project output and project report docment</t>
  </si>
  <si>
    <t>Don't Download/ Upldate this file from/to here</t>
  </si>
  <si>
    <t>How to start the work on any video (All Team Members)</t>
  </si>
  <si>
    <t>Final Status</t>
  </si>
  <si>
    <t>Search video in "MasterList" sheet</t>
  </si>
  <si>
    <t>Update "Content owner" column</t>
  </si>
  <si>
    <t>Update "Final status" = "Content-WIP"</t>
  </si>
  <si>
    <t>Update "Work Date"= Today's date in DD-MMM-YY format</t>
  </si>
  <si>
    <t>Copy entire row of that video into your sheet</t>
  </si>
  <si>
    <t>Video URL</t>
  </si>
  <si>
    <t>Do not modify ANY existing information of this copied row</t>
  </si>
  <si>
    <t>Create your own row under this if you want to create clip</t>
  </si>
  <si>
    <t>Enter time in hh:mm:ss format for example clip 0:3:40 to 0:5:20 mean 3 min 40 sec (start) to 5 min 20 sec (end)</t>
  </si>
  <si>
    <t>Video Title</t>
  </si>
  <si>
    <t>"Clip Title" lenght should be in 5-10 words range. This is used for SEO purpose, therefore it should have Noun &amp; Verbs and Minimum usage of other kind of words.</t>
  </si>
  <si>
    <t>Clip Title</t>
  </si>
  <si>
    <t>Content team should update on the column of this color</t>
  </si>
  <si>
    <t>Description</t>
  </si>
  <si>
    <t>Video team should update only the column of this color</t>
  </si>
  <si>
    <t>Tags</t>
  </si>
  <si>
    <t>SEO/Marketing team should update only the column of this color</t>
  </si>
  <si>
    <t>Views as on 10-Sep-17</t>
  </si>
  <si>
    <t>Duration (315 Hours)</t>
  </si>
  <si>
    <t>Reuse of old content Team should USE this column to TAKE action</t>
  </si>
  <si>
    <t>Posted Date</t>
  </si>
  <si>
    <t xml:space="preserve">Start </t>
  </si>
  <si>
    <t>End</t>
  </si>
  <si>
    <t>Clip Duration</t>
  </si>
  <si>
    <t>Work Date</t>
  </si>
  <si>
    <t>Clip URL</t>
  </si>
  <si>
    <t>Video Quality</t>
  </si>
  <si>
    <t>Audio Quality</t>
  </si>
  <si>
    <t>Content Quality</t>
  </si>
  <si>
    <t>Raw Footage Available</t>
  </si>
  <si>
    <t>Market Logical Clip</t>
  </si>
  <si>
    <t>Update "Work Date"= Today's date in DD-MMM-YY format in your clip row</t>
  </si>
  <si>
    <t>For working, use the older video first. So follow the order of videos, do not jump much in sequence. Little bit based on the interest is ok.</t>
  </si>
  <si>
    <t>Do not create any new column or write anything in jargon in your worksheet. We use the information here to update "Final" sheet</t>
  </si>
  <si>
    <t>When clipping work is done, then go and update "Final-Status" = Content-Done in the "MasterList" worksheet also</t>
  </si>
  <si>
    <t>How to update the final sheet (by Hari)</t>
  </si>
  <si>
    <t>Once team member mention his/her logical video cliping work is done, Final Status="Done Content". After that Hari will copy that row of team-member's work into "Final" sheet</t>
  </si>
  <si>
    <t>Backup (by Hari)</t>
  </si>
  <si>
    <t>Everyday copy file with different date suffix.</t>
  </si>
  <si>
    <t>Offline Working</t>
  </si>
  <si>
    <t>Because of some reasons if you want to work offline then</t>
  </si>
  <si>
    <t>Download your copy on your machine</t>
  </si>
  <si>
    <t>Re-Record</t>
  </si>
  <si>
    <t>Work only on your sheet.</t>
  </si>
  <si>
    <t>Copy and paste only those rows from local sheet to google sheet which you have worked/modified. DON'T over-write this file</t>
  </si>
  <si>
    <t>Editor's Note</t>
  </si>
  <si>
    <t>Remarks</t>
  </si>
  <si>
    <t>RKT</t>
  </si>
  <si>
    <t>HT</t>
  </si>
  <si>
    <t>Done-Content</t>
  </si>
  <si>
    <t>https://www.youtube.com/watch?v=79r5KYH0nBI</t>
  </si>
  <si>
    <t>https://www.youtube.com/watch?v=RD7JpM4UrUA</t>
  </si>
  <si>
    <t>Aditi Banerjee Recollects How We Started Responding </t>
  </si>
  <si>
    <t>"Breaking India" book launch - Swami Dayananda Saraswati - Part 1.wmv</t>
  </si>
  <si>
    <t>6 years ago</t>
  </si>
  <si>
    <t>6 days ago</t>
  </si>
  <si>
    <t>Good</t>
  </si>
  <si>
    <t>Yes</t>
  </si>
  <si>
    <t>https://www.youtube.com/watch?v=jKuCWHsoXmQ</t>
  </si>
  <si>
    <t>Rajiv Malhotra's Book "Breaking India" Launch by Pujya Swami Dayananda Saraswati - Part 2</t>
  </si>
  <si>
    <t>Clip is short, need to combine with other msgs from this video</t>
  </si>
  <si>
    <t>Aditi Banerjee describes her experience of hinduphobia</t>
  </si>
  <si>
    <t>Chicago public school teacher laughs at garlanding of pilot</t>
  </si>
  <si>
    <t>https://www.youtube.com/watch?v=21ZKFBL-Yc0</t>
  </si>
  <si>
    <t>"Breaking India" book launch - Admiral Nayyar.wmv</t>
  </si>
  <si>
    <t>RISA Lila article, Sulekha &amp; Rajiv Malhotra Controversy</t>
  </si>
  <si>
    <t>Risa Lila article and hinduphobia</t>
  </si>
  <si>
    <t>https://www.youtube.com/watch?v=FytdS2vMJfU</t>
  </si>
  <si>
    <t>Cho Ramaswamy - "Breaking India" Book Launch</t>
  </si>
  <si>
    <t>Good content on what awakened people</t>
  </si>
  <si>
    <t>Understanding of Rajiv Malhotra's work by ABCD</t>
  </si>
  <si>
    <t>How Indian groups in Us did not support RM</t>
  </si>
  <si>
    <t>https://www.youtube.com/watch?v=7WsGnkGob7A</t>
  </si>
  <si>
    <t>"Breaking India" Launch Ritual</t>
  </si>
  <si>
    <t>How RM had to fight alone to awaken people (esp Hindus) to the hinduphobia that happens around us</t>
  </si>
  <si>
    <t>Naughty work of Wendy Doniger and her student Martha Nussbaum</t>
  </si>
  <si>
    <t>Wrongly represent holi, Mahabharatha, Bhagavad Gita etc</t>
  </si>
  <si>
    <t>https://www.youtube.com/watch?v=WU456HIXN5U</t>
  </si>
  <si>
    <t>S. Ramachandran - "Breaking India" Book Launch</t>
  </si>
  <si>
    <t>Description and summaries of wendy Doninger's books and works that demosntrated hindupobia</t>
  </si>
  <si>
    <t>Books by Ramakrishna missions considered inappropriate for children</t>
  </si>
  <si>
    <t>Wendy Doninger's talk - "Bhagavad Gita is a dishonest book"</t>
  </si>
  <si>
    <t>Should this be combined with previous?</t>
  </si>
  <si>
    <t>https://www.youtube.com/watch?v=PcNDlU0LyJk</t>
  </si>
  <si>
    <t>S. Gurumurthy - Chennai Launch of "Breaking India"</t>
  </si>
  <si>
    <t>Jeffrey Kripal's book misrepresentaitons of Ramakrishna Mission</t>
  </si>
  <si>
    <t>Such leading academicians can have a strong influence even on Hindus who have grown up learning from the Indian culture and can shake their beliefs</t>
  </si>
  <si>
    <t>Good length and very strong example of hinduphobia in western academia</t>
  </si>
  <si>
    <t>Hinduphobia from Paul Courtright's book about Ganesh</t>
  </si>
  <si>
    <t>https://www.youtube.com/watch?v=mjFek0gF97s</t>
  </si>
  <si>
    <t>The Authors Discuss Breaking India</t>
  </si>
  <si>
    <t>David Gordon delinking popular movements from hinduism, opression by brahmanas</t>
  </si>
  <si>
    <t>Kiss of the yogini, about tantra - delinking popular movements from hinduism, supression by bramanas</t>
  </si>
  <si>
    <t>https://www.youtube.com/watch?v=0_EJXPWJN4E</t>
  </si>
  <si>
    <t>"Breaking India" Panel #1</t>
  </si>
  <si>
    <t>Good length and good example of delinking popular movements from hinduism</t>
  </si>
  <si>
    <t>Sara Caldwell award winning paper - improper psychoanalysis of hinduism</t>
  </si>
  <si>
    <t>Improper psychoanalysis of hinduism an expression of author's own trauma</t>
  </si>
  <si>
    <t>https://www.youtube.com/watch?v=Kxuiy8OL30w</t>
  </si>
  <si>
    <t>"Breaking India" Panel #6</t>
  </si>
  <si>
    <t>Good length and very strong example of hinduphobia and psychanalysis of hinduism</t>
  </si>
  <si>
    <t>Western academicians infiltrate and coopt indians</t>
  </si>
  <si>
    <t>https://www.youtube.com/watch?v=jMgGGixmfus</t>
  </si>
  <si>
    <t>"Breaking India" panel # 4</t>
  </si>
  <si>
    <t>Our vedic scholars dont qualify in the western academia</t>
  </si>
  <si>
    <t>https://www.youtube.com/watch?v=2UnJMns3fjs</t>
  </si>
  <si>
    <t>Jack Hawley and his book on Neo Hinduism</t>
  </si>
  <si>
    <t>"Breaking India" panel #8</t>
  </si>
  <si>
    <t>Response to this "Neo Hinduism" in RMs book Indra's Net</t>
  </si>
  <si>
    <t>https://www.youtube.com/watch?v=KVDRl_wLqdM</t>
  </si>
  <si>
    <t>"Breaking India" panel #5</t>
  </si>
  <si>
    <t>Swami Dayananda Saraswati Ji on the Theory of Invasion</t>
  </si>
  <si>
    <t>Swami Dayananda Saraswati Ji is talking about the book and huge efforts of Rajiv Malhotra in writing this book. He talks about how people madely talking about invasion theory and trying to create conflict in the Indian society. Also talks about Saraswati River.</t>
  </si>
  <si>
    <t>https://www.youtube.com/watch?v=iS7CE9mrtI4</t>
  </si>
  <si>
    <t>God and Identity: Rajiv Malhotra &amp; Joshua Stanton #1</t>
  </si>
  <si>
    <t>https://www.youtube.com/watch?v=Smd_3o5vtLo</t>
  </si>
  <si>
    <t>"Breaking India" Panel #2</t>
  </si>
  <si>
    <t>No dualism, Creator and the created are One</t>
  </si>
  <si>
    <t>if you take delta from the an infinitesimal x, the x still remains</t>
  </si>
  <si>
    <t>https://www.youtube.com/watch?v=iBwpK4_JtEw</t>
  </si>
  <si>
    <t>"Breaking India" Panel #3</t>
  </si>
  <si>
    <t>Swami Dayananda Saraswati Ji on minority appeasement</t>
  </si>
  <si>
    <t>Majority feels prosecuted. Minority has previledges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t>
  </si>
  <si>
    <t>https://www.youtube.com/watch?v=NCOKqHoIW7M</t>
  </si>
  <si>
    <t>Average</t>
  </si>
  <si>
    <t>"Breaking India" Panel #7</t>
  </si>
  <si>
    <t>Good content although audio quality needs to be addressed</t>
  </si>
  <si>
    <t>Admiral Nayyar on Tolerance &amp; Partition of India</t>
  </si>
  <si>
    <t>Admiral Nayyar says we are product and prisoner of our time. In the name of tolerance we cannot afford to have another partition of this country as it happened in 1947</t>
  </si>
  <si>
    <t>MS</t>
  </si>
  <si>
    <t>God, cosmos and creation - everything is sacred</t>
  </si>
  <si>
    <t>Manifestation of God in various forms of his creation</t>
  </si>
  <si>
    <t>WIP-Content</t>
  </si>
  <si>
    <t>https://www.youtube.com/watch?v=tkF_3Ixn02I</t>
  </si>
  <si>
    <t>"Breaking India" Panel #9</t>
  </si>
  <si>
    <t>Drop</t>
  </si>
  <si>
    <t>https://www.youtube.com/watch?v=THua8SMPtK4</t>
  </si>
  <si>
    <t>Brahman and Karma: Rajiv Malhotra &amp; Joshua Stanton #2</t>
  </si>
  <si>
    <t>Cho Ramaswamy on Secularism</t>
  </si>
  <si>
    <t>https://www.youtube.com/watch?v=0Y3z-QStbk8</t>
  </si>
  <si>
    <t>"Breaking India" panel #11</t>
  </si>
  <si>
    <t>No Msg</t>
  </si>
  <si>
    <t>Brahman and Karma explained</t>
  </si>
  <si>
    <t>Brahman does not have an anti-brahman, karma is the equalization/ justice</t>
  </si>
  <si>
    <t>No</t>
  </si>
  <si>
    <t>https://www.youtube.com/watch?v=Wpkt3HpzBTs</t>
  </si>
  <si>
    <t>"Breaking India" panel #10</t>
  </si>
  <si>
    <t>NR</t>
  </si>
  <si>
    <t>JB</t>
  </si>
  <si>
    <t>Aaudio needs to be better, tilte to be edited</t>
  </si>
  <si>
    <t>https://www.youtube.com/watch?v=_IcfDP-ezpo</t>
  </si>
  <si>
    <t>Princeton University: Talk by Rajiv Malhotra - Part 1</t>
  </si>
  <si>
    <t>Msg in Tamil Language. I do not know title!</t>
  </si>
  <si>
    <t>https://www.youtube.com/watch?v=6_9IYK6ZlyY</t>
  </si>
  <si>
    <t>Why Reincarnation: Rajiv Malhotra &amp; Joshua Stanton #3</t>
  </si>
  <si>
    <t>Title required in English/Hindi</t>
  </si>
  <si>
    <t xml:space="preserve">Reincarnation frees from History centrism </t>
  </si>
  <si>
    <t>nicely explains how Hindu Dharma frees us from history centrism</t>
  </si>
  <si>
    <t>S Gurumurthy on Dharma, Secularism, dravidian movement, tiruvallur and Christianity</t>
  </si>
  <si>
    <t>https://www.youtube.com/watch?v=DMG2XD9_nTI</t>
  </si>
  <si>
    <t>Princeton University: Introduction by Vineet Chander</t>
  </si>
  <si>
    <t xml:space="preserve">Aravindan Neelakandan &amp; Rajiv Malhotra on how "Breaking India" book was conceived. </t>
  </si>
  <si>
    <t>Three international nexuses 1- Bahabism vs Indian Islam, 2- China &amp; Maoism 3-Dalit &amp; Christianity are disucssed. Dravidian Christianity is also discussed. How can we be model of diversity is being discussed.</t>
  </si>
  <si>
    <t>https://www.youtube.com/watch?v=Uq2PJjcHiqI</t>
  </si>
  <si>
    <t>Princeton University: Talk by Rajiv Malhotra - Part 2</t>
  </si>
  <si>
    <t>Abrahamic religions do not explain birth inequalities</t>
  </si>
  <si>
    <t>Like the dna/ genes drive a person's physical appearance, karma drives the soul's birth as a certain form</t>
  </si>
  <si>
    <t>Remove noise, if possible.</t>
  </si>
  <si>
    <t>Dravidian Christian Movement in Tamil Nadu</t>
  </si>
  <si>
    <t>Content is good, can be recast with new title</t>
  </si>
  <si>
    <t>https://www.youtube.com/watch?v=5LJPOCxc3E8</t>
  </si>
  <si>
    <t>Does karma absolve social accountability</t>
  </si>
  <si>
    <t>Princeton University: Talk by Rajiv Malhotra - Part 3</t>
  </si>
  <si>
    <t>Since everyone is brahman, you help the brahman</t>
  </si>
  <si>
    <t>Some unnecessary music in background. Phone sound.</t>
  </si>
  <si>
    <t>Focus of "Breaking India" Book as per various well known readers</t>
  </si>
  <si>
    <t xml:space="preserve">Book touches social, cultural narrative. It is not political. </t>
  </si>
  <si>
    <t>https://www.youtube.com/watch?v=LdrmgXtd_rs</t>
  </si>
  <si>
    <t>Who does accounting of karma</t>
  </si>
  <si>
    <t>Princeton University: Talk by Reverend Thompson - Part 1</t>
  </si>
  <si>
    <t>it is the nature of existence, vittam virtue of dharma - once you realize that you are brahman then karma is driven by this realization</t>
  </si>
  <si>
    <t>Title required in English/Hindi for Tamil testimony. Must play again.</t>
  </si>
  <si>
    <t>Impact of Saint Thomas on Tamil Classics</t>
  </si>
  <si>
    <t>Jesus, Vedic culture &amp; diversity</t>
  </si>
  <si>
    <t>https://www.youtube.com/watch?v=LXrKKz7Mld8</t>
  </si>
  <si>
    <t>Limits &amp; Possibilities of Self: Rajiv Malhotra &amp; Joshua Stanton #4</t>
  </si>
  <si>
    <t>https://www.youtube.com/watch?v=gbWoqwJKhbM</t>
  </si>
  <si>
    <t>Princeton University: Talk by Reverend Thompson - Part 2</t>
  </si>
  <si>
    <t>If Jesus would have born in India</t>
  </si>
  <si>
    <t>Dharma is deconstruction of the "I" in self</t>
  </si>
  <si>
    <t>Meditation and other dharmic paths lead to the realization of brahman in self</t>
  </si>
  <si>
    <t>https://www.youtube.com/watch?v=RdBz1kIwrqo</t>
  </si>
  <si>
    <t>Princeton University: Questions and Answers - Part 1</t>
  </si>
  <si>
    <t>Why "Breaking India" book critisizes Dravidian Movement?</t>
  </si>
  <si>
    <t>Dravdian movement is racial idea of social reforms and does not deliver justice to the all section of society.</t>
  </si>
  <si>
    <t>Content is good, though video is a bit long, can this be condensed and recast with new title</t>
  </si>
  <si>
    <t>https://www.youtube.com/watch?v=ufZ1BZcZzKI</t>
  </si>
  <si>
    <t>History &amp; Dharmic Traditions: Rajiv Malhotra &amp; Joshua Stanton #8</t>
  </si>
  <si>
    <t>https://www.youtube.com/watch?v=WsjxXfklatk</t>
  </si>
  <si>
    <t>Princeton University: Questions and Answers Unfortunate Incident</t>
  </si>
  <si>
    <t>Tamil culture &amp; Vedic Sanskrit culture</t>
  </si>
  <si>
    <t>Digesting Hinduism into Dravidian Christianity</t>
  </si>
  <si>
    <t>Swa-dharma, mutual respect - celebrate the diversity</t>
  </si>
  <si>
    <t>https://www.youtube.com/watch?v=N0PD3TuLvoo</t>
  </si>
  <si>
    <t>Brahman in different forms, allows people to follow their own swa-dharma, does not promote conversion to any one belief</t>
  </si>
  <si>
    <t>Princeton University: Questions and Answers - Part 2</t>
  </si>
  <si>
    <t>Are dravidian black of India?</t>
  </si>
  <si>
    <t>How white vs black theory of racism being created in India.</t>
  </si>
  <si>
    <t>https://www.youtube.com/watch?v=C3_6Ub1GnfA</t>
  </si>
  <si>
    <t>Princeton University: Response by Rajiv Malhotra to Reverend Thompson</t>
  </si>
  <si>
    <t>https://www.youtube.com/watch?v=rNhQIKC2jPM</t>
  </si>
  <si>
    <t>Human right, conversion theory and Mahatma Gandhi</t>
  </si>
  <si>
    <t>Personal Motivations: Rajiv Malhotra &amp; Joshua Stanton #5</t>
  </si>
  <si>
    <t>https://www.youtube.com/watch?v=dp7l5qmLHJI</t>
  </si>
  <si>
    <t>Princeton University: Reactions After Event</t>
  </si>
  <si>
    <t>Soul, Salvation,  Atman, Moksha are not same concepts</t>
  </si>
  <si>
    <t xml:space="preserve">Conspiracy theory and "Breaking India" book </t>
  </si>
  <si>
    <t>Need to introduce sanskrit words into English</t>
  </si>
  <si>
    <t>https://www.youtube.com/watch?v=elqL0Sr_sVU</t>
  </si>
  <si>
    <t>Atlanta April 23rd, 2011: Introduction by Krishna Kirti Das, President, The Samprajyna Institute</t>
  </si>
  <si>
    <t>Contribution of St Thomas to Indian Christianity. Temple vs Churches.</t>
  </si>
  <si>
    <t>St Thomas came to Pakistan area not South of India. Even after 200 years of death of Jesus Kerala has only 8 families. In 1816 Kerala had 35000 christians and 55 churches, 19600 temples. In 1876 Temples reduced to 962 Churches &gt; 1000. During freedom fight kerala churches was praying for British Govt. Churches are opportunists. In order to convert Brahmins into christianity a paadri from Italy came and settled in Madurai, learned sanskrit, translated bible into sanskrit and started church prayers in sanskrit.</t>
  </si>
  <si>
    <t>https://www.youtube.com/watch?v=FndfcBhZklU</t>
  </si>
  <si>
    <t>Dharma &amp; Modern India: Rajiv Malhotra &amp; Joshua Stanton #9</t>
  </si>
  <si>
    <t>https://www.youtube.com/watch?v=ryQMb29oX3s</t>
  </si>
  <si>
    <t>Atlanta April 23rd, 2011: Introduction by Dr. Basant K. Tariyal</t>
  </si>
  <si>
    <t>Get name of Italian Paadri for description.</t>
  </si>
  <si>
    <t>https://www.youtube.com/watch?v=ByaheAphduQ</t>
  </si>
  <si>
    <t>Hindu Unity Day: Dallas August, 2011</t>
  </si>
  <si>
    <t>What is Purva-Paksha - in dharmic tradition</t>
  </si>
  <si>
    <t>respecting differences and having a healthy debate</t>
  </si>
  <si>
    <t>https://www.youtube.com/watch?v=BEz8X5SUwjY</t>
  </si>
  <si>
    <t>Atlanta April 23rd, 2011: Talk by Rajiv Malhotra - Part 1</t>
  </si>
  <si>
    <t>In some parts, the video quality is not good but improves later. Exact video as 47. So may not be needed</t>
  </si>
  <si>
    <t>What Rajiv Malhotra is try to do?</t>
  </si>
  <si>
    <t>Analyse how Hindu Sampradya, Parampara, Family system, festivals are being viewed, misintepreted and appropriated by west</t>
  </si>
  <si>
    <t>https://www.youtube.com/watch?v=20u8yHim1tM</t>
  </si>
  <si>
    <t>Educating the Next Generation: Rajiv Malhotra &amp; Joshua Stanton #11</t>
  </si>
  <si>
    <t>https://www.youtube.com/watch?v=lzMEDrUFlpw</t>
  </si>
  <si>
    <t>Atlanta April 23rd, 2011: Talk by Rajiv Malhotra - Part 2</t>
  </si>
  <si>
    <t>What is Afro-Dalit project of missionaries in India?</t>
  </si>
  <si>
    <t>This project was the seed of writing book called "Breaking India"</t>
  </si>
  <si>
    <t>Educating the next generation</t>
  </si>
  <si>
    <t>How churches creating dominance in India?</t>
  </si>
  <si>
    <t>Churches buy huge land in remote part of India to create dominance</t>
  </si>
  <si>
    <t>https://www.youtube.com/watch?v=qCG2vqnaUx4</t>
  </si>
  <si>
    <t>Atlanta April 23rd, 2011: Talk by Rajiv Malhotra - Part 3</t>
  </si>
  <si>
    <t>This video is good, does not need change</t>
  </si>
  <si>
    <t>https://www.youtube.com/watch?v=K9s433rQloA</t>
  </si>
  <si>
    <t>Dharmic Framework for Dialogue: Rajiv Malhotra &amp; Joshua Stanton #10</t>
  </si>
  <si>
    <t>https://www.youtube.com/watch?v=ycnvyB8pDEM</t>
  </si>
  <si>
    <t>Atlanta April 23rd, 2011: Questions and Answers - Part 1</t>
  </si>
  <si>
    <t>Content same as 45.1 above, hence no change needed</t>
  </si>
  <si>
    <t>Churches and their human right arguments</t>
  </si>
  <si>
    <t>Churches using human right as a tool for conversion and spreading base</t>
  </si>
  <si>
    <t>https://www.youtube.com/watch?v=QEUeYDEFtsE</t>
  </si>
  <si>
    <t>Language and Difference: Rajiv Malhotra &amp; Joshua Stanton #6</t>
  </si>
  <si>
    <t>https://www.youtube.com/watch?v=xANxZaCCD70</t>
  </si>
  <si>
    <t>Atlanta April 23rd, 2011: Questions and Answers - Part 2</t>
  </si>
  <si>
    <t>Hindu dharma respects diversity</t>
  </si>
  <si>
    <t>Nexus of US Govt, Foundations and Churches from US</t>
  </si>
  <si>
    <t>What is US Commision on International Religious Freedom and their relation with US Political system</t>
  </si>
  <si>
    <t>some of this content is similar to 44.1 and 45.1</t>
  </si>
  <si>
    <t>https://www.youtube.com/watch?v=VeR7IhIkDk0</t>
  </si>
  <si>
    <t>Atlanta April 23rd, 2011: Conclusion by Gokul Kunnath</t>
  </si>
  <si>
    <t>People behind religious freedom project of US Commision</t>
  </si>
  <si>
    <t>https://www.youtube.com/watch?v=Yhp3rFuo5Cw</t>
  </si>
  <si>
    <t>History Centrism As the Problem: Rajiv Malhotra and Joshua Stanton #7</t>
  </si>
  <si>
    <t>Who created Dravid Identify in India?</t>
  </si>
  <si>
    <t>History centricism vs. Dharmic Brahman concept</t>
  </si>
  <si>
    <t>21st Century methods to divide to rule the India</t>
  </si>
  <si>
    <t>Aryan-Dravinian Divide -&gt; Dalit-non-Dalit Divide, Majority-minority divide =&gt; Hindu vs Dravid + Dalit divide in society</t>
  </si>
  <si>
    <t>Content is good, can be recast with new title? Or do we retain as is</t>
  </si>
  <si>
    <t xml:space="preserve">History centrisim, the cause for Institutionalization of Abrahamic traditions </t>
  </si>
  <si>
    <t>Who is responsible for asaulting indian culture</t>
  </si>
  <si>
    <t xml:space="preserve">A book on Chritian Media in India by Pradip N Thomas </t>
  </si>
  <si>
    <t>https://www.youtube.com/watch?v=4yz6ZL-TC94</t>
  </si>
  <si>
    <t>Mark Tully Discusses Rajiv Malhotra's Book BEING DIFFERENT</t>
  </si>
  <si>
    <t>Left-Right unity in India</t>
  </si>
  <si>
    <t>5 years ago</t>
  </si>
  <si>
    <t>Christianity-Islam opposing history-centric views</t>
  </si>
  <si>
    <t>What is minority community?</t>
  </si>
  <si>
    <t>Islam requires Jesus to be a prophet (not son of God), while xtians belive in virgin birth/ son of God - opposing views</t>
  </si>
  <si>
    <t>Background noise needs to be addressed?</t>
  </si>
  <si>
    <t>Human right in India vs China from the US lenses</t>
  </si>
  <si>
    <t>Nicene creed/ history-centrism drives powerful protestant Xtianity (in US)</t>
  </si>
  <si>
    <t>Semiticied, history-centric Hinduism - new phenomenon but no Exclusivity</t>
  </si>
  <si>
    <t>In fighting of Hinduism, sufism and uniting Hindus strategy</t>
  </si>
  <si>
    <t>Principle of Karma, reincarnation, cosmic unity are non-negotiable. No-history is suprior, many path to the truth is the Hindu way. To unite Hindus we should compare how other traditions are different from Hindu tradition rather than how we are different within.</t>
  </si>
  <si>
    <t>How west was unified by Hegal in 17th Century</t>
  </si>
  <si>
    <t>Hegal is orignator of western sense of unity. Hindus need this same concept for unity.</t>
  </si>
  <si>
    <t>How to be a good Christian without history-centric, exclusivity view</t>
  </si>
  <si>
    <t>https://www.youtube.com/watch?v=s3LVHHEe2vc</t>
  </si>
  <si>
    <t>Rajiv Malhotra: #2 Seminar in Houston, Book: Breaking India</t>
  </si>
  <si>
    <t>Hindu guru-hub do not respect the Abhrahamic view</t>
  </si>
  <si>
    <t>3 Naxus against India</t>
  </si>
  <si>
    <t>Hindu "Murti" is not an idol</t>
  </si>
  <si>
    <t>What is being Broken &amp; Why?</t>
  </si>
  <si>
    <t>Sense of continuity, Teertha, Secrad Geography, Collective Destinity, Symbols, abusing some tradition, psychological sense of unity, sense of identify are being broken.</t>
  </si>
  <si>
    <t>Montheism (of xtianity) not very elastic, has limitations</t>
  </si>
  <si>
    <t>Dravidian Aryan Artificial Theory</t>
  </si>
  <si>
    <t>Stage of development of Drvaidian theory. Linguistic separation-&gt; culture different-&gt; race different-&gt; religion -&gt; now Dravidian is not secular but Christian Dravdian.</t>
  </si>
  <si>
    <t>Love &amp; Morality common themes of Hindu/Xtianity for dialogue NOT for destruction of native culture</t>
  </si>
  <si>
    <t>Objective of DFN (Dalit Freedom Network)</t>
  </si>
  <si>
    <t>Work of Lutherian Church of Northen Europe in India</t>
  </si>
  <si>
    <t>Rajiv's views on Churches, missionaries and conversions</t>
  </si>
  <si>
    <t>US Govt Role as a Part of Nexus</t>
  </si>
  <si>
    <t>How Breaking India forces are studying India?</t>
  </si>
  <si>
    <t xml:space="preserve">In the US Xtianity founded on history-centrism </t>
  </si>
  <si>
    <t>https://www.youtube.com/watch?v=8qjQH_-WzyE</t>
  </si>
  <si>
    <t>Rajiv Malhotra California June 2011 - 1: Importance of Managing our Civilization Discourse</t>
  </si>
  <si>
    <t>https://www.youtube.com/watch?v=YFmL65VsWdk</t>
  </si>
  <si>
    <t>Rajiv Malhotra's Book "Being Different" Event with Swami Dayananda Saraswati</t>
  </si>
  <si>
    <t>Rajiv Malhotra on "Sapeksha Dharma" and Nirpeksha Dharma</t>
  </si>
  <si>
    <t>https://www.youtube.com/watch?v=vHWsmGyjOk0</t>
  </si>
  <si>
    <t>Rajiv Malhotra California June 2011 - 2: Changing the Game through Non-Ignorable Interventions</t>
  </si>
  <si>
    <t>Low</t>
  </si>
  <si>
    <t>Yagya is not equal to sacrfice</t>
  </si>
  <si>
    <t>Retain fundamental difference in Hindu &amp; Xtian cosmologies -  but not history-centric</t>
  </si>
  <si>
    <t>Ok</t>
  </si>
  <si>
    <t>https://www.youtube.com/watch?v=-udb2VYB5uo</t>
  </si>
  <si>
    <t>Rajiv Malhotra California June 2011 - 3: Anti-India Nexuses</t>
  </si>
  <si>
    <t>Mysticism in christianity and Sachitanand in Hinduism</t>
  </si>
  <si>
    <t>Non Translatable Sanskrit Words</t>
  </si>
  <si>
    <t>Prophet is not Rishi, Energy in Shakti, Soul is not  Atman, Gym is not Yoga? Civilization and words for something which they have experienced. Prophet does not have experience of unity but rishi has. Prophet is non producable. Rishi potential is with everyone.</t>
  </si>
  <si>
    <t>https://www.youtube.com/watch?v=f-MLHIb4dFU</t>
  </si>
  <si>
    <t>Rajiv Malhotra California: #4 Exploiting India's Minorities</t>
  </si>
  <si>
    <t>Resurrection and Sachidanand are "Truth claims" with diff that Sachidanand achievable (in theory)</t>
  </si>
  <si>
    <t>What is digestion of civilization?</t>
  </si>
  <si>
    <t>Outward hatred between religions - in India bieng Hindu not secular</t>
  </si>
  <si>
    <t>https://www.youtube.com/watch?v=m3jwqSSyVkg</t>
  </si>
  <si>
    <t>Rajiv Malhotra California June 2011 - 5: Q &amp; A (Los Angeles) 1</t>
  </si>
  <si>
    <t>How to avoid digestion of civilization?</t>
  </si>
  <si>
    <t>Karma, Reincarnation cannot be digested in Christianity.</t>
  </si>
  <si>
    <t>Indian media, academics and politics hindu hatred and secularism</t>
  </si>
  <si>
    <t>https://www.youtube.com/watch?v=QWaXqmcxm94</t>
  </si>
  <si>
    <t>Rajiv Malhotra California June 2011 - 6: Q &amp; A (Los Angeles) 2</t>
  </si>
  <si>
    <t>Why virgin birth so critical in Christianity?</t>
  </si>
  <si>
    <t>https://www.youtube.com/watch?v=T0iutxik1Eg</t>
  </si>
  <si>
    <t>Vedic Culture Center, March 18, 2012</t>
  </si>
  <si>
    <t>People born before Jesus and original sin.</t>
  </si>
  <si>
    <t>https://www.youtube.com/watch?v=JXjMYvGqqDE</t>
  </si>
  <si>
    <t>Rajiv Malhotra California June 2011 - 7: Q &amp; A (Los Angeles) 3</t>
  </si>
  <si>
    <t>What is nicene creed?</t>
  </si>
  <si>
    <t>Breaking India - Appropriation and Distortions by Germans</t>
  </si>
  <si>
    <t>https://www.youtube.com/watch?v=TGgYE0Ui0co</t>
  </si>
  <si>
    <t>Rajiv Malhotra California June 2011 - 8: Q &amp; A (Bay Area) 4</t>
  </si>
  <si>
    <t>What is history centrism?</t>
  </si>
  <si>
    <t>Status of Jesus in Islam</t>
  </si>
  <si>
    <t>https://www.youtube.com/watch?v=xtHzknvaS7s</t>
  </si>
  <si>
    <t>Rajiv Malhotra California June 2011 - 9: Q &amp; A (Bay Area) 5</t>
  </si>
  <si>
    <t>Jewism &amp; Dharma breaking myths about swastika and "Aryan"</t>
  </si>
  <si>
    <t>Intergral Unity vs Synthetic Unity</t>
  </si>
  <si>
    <t>Sufism &amp; Islam and Ahmadiyya</t>
  </si>
  <si>
    <t>Unity consiousness is blasphamy</t>
  </si>
  <si>
    <t>Reclaiming our symbols - teaching in schools</t>
  </si>
  <si>
    <t>https://www.youtube.com/watch?v=NPNImjeRrF8</t>
  </si>
  <si>
    <t>Rajiv Malhotra talk at Arsha Vidya</t>
  </si>
  <si>
    <t>Why Hindu Identify?</t>
  </si>
  <si>
    <t>Why we need Hindu Identify 
   Will it not create conflict?
                No Because we have concept of mutual respect. Other has concept of tolerance. We do not claim exclusivity.
   We all are American, why does it matter that we are Hindu, Chinese or Japanese?
                America is fine with hyphenated Identify - African American, Native American, British American etc.
                hyphenated is fine with Religious Identify - Catholic American, Jews American, American Muslim etc.
   As per Advaita Vedanta everything is Maya. So identify is useless. Identify only belongs to Dualistic. So why need Idenity?
                In Leela you have identity and you play your role as per Identify.</t>
  </si>
  <si>
    <t>North/South-Aryan/Dravidian divide - political opportunism</t>
  </si>
  <si>
    <t>Following questions raised but not answered in this Video. 
What is Hindu Identify? 
How to present Hindu identify in a respectable manner?</t>
  </si>
  <si>
    <t>https://www.youtube.com/watch?v=8RSu4ymCgp4</t>
  </si>
  <si>
    <t>Rajiv Malhotra's Lecture on U-Turn Theory, Lady Sri Ram College, Delhi</t>
  </si>
  <si>
    <t>https://www.youtube.com/watch?v=sc4OOSLMiQQ</t>
  </si>
  <si>
    <t>Dalit and breaking India</t>
  </si>
  <si>
    <t>Rajiv Malhotra: #1 Seminar in Houston, Book: Breaking India</t>
  </si>
  <si>
    <t>Five stage of U-Turn Theory</t>
  </si>
  <si>
    <t>1- Understanding the Indian thought with great respect
2- Erase the Indian origin and consider it generic, because of various reasons
3- Behave like it is part of their own culture. Like christian, jews or scientific idea. 
4- Hate the India source
5- Final knowledge is imported into India as a new Idea</t>
  </si>
  <si>
    <t>Being different: Sanskrit Non-translatables</t>
  </si>
  <si>
    <t>https://www.youtube.com/watch?v=QZxRsM9xvK4</t>
  </si>
  <si>
    <t>Rajiv Malhotra: #3 Seminar in Houston, Book: Breaking India</t>
  </si>
  <si>
    <t>U-Turn of Dr. Herb Benson</t>
  </si>
  <si>
    <t>We want mutual respect not tolerance</t>
  </si>
  <si>
    <t>Dharma brings pleuralism</t>
  </si>
  <si>
    <t>AA</t>
  </si>
  <si>
    <t>U-Turn of Daniel Goleman</t>
  </si>
  <si>
    <t>https://www.youtube.com/watch?v=-3rtVbNkNNQ</t>
  </si>
  <si>
    <t>Rajiv Malhotra: #4 Seminar in Houston, Book: Breaking India</t>
  </si>
  <si>
    <t>How to inspire young gen on dharmic principles</t>
  </si>
  <si>
    <t>U-Turn of Dean Ornish</t>
  </si>
  <si>
    <t>https://www.youtube.com/watch?v=ytrFjytVgtk</t>
  </si>
  <si>
    <t>Seminar in Houston, Book: Breaking India #5</t>
  </si>
  <si>
    <t>U-Turn of John Kabat Zinn</t>
  </si>
  <si>
    <t>Foudar of Mindfull Mediation. Which is originally Vipasana</t>
  </si>
  <si>
    <t xml:space="preserve">Retaining the sanctity of dhama </t>
  </si>
  <si>
    <t>https://www.youtube.com/watch?v=28dLjjiriJA</t>
  </si>
  <si>
    <t>Seminar in Houston, Book: Breaking India #6</t>
  </si>
  <si>
    <t>U-Turn of Stephen LaBerge</t>
  </si>
  <si>
    <t>https://www.youtube.com/watch?v=ucgD3lqwZX0</t>
  </si>
  <si>
    <t>Prominient Professor of Cognitive Sciences At Stanford University. Yoga Nidra, Lucid Dreaming expermentor.</t>
  </si>
  <si>
    <t>Rajiv Malhotra on the Need of Academic Study of Hinduism at WAVES 2008 - Vid 1</t>
  </si>
  <si>
    <t>https://www.youtube.com/watch?v=mhHQNrL_bkM</t>
  </si>
  <si>
    <t xml:space="preserve">Need to bring back Purva-paksha - learning the "other view" </t>
  </si>
  <si>
    <t>Houston Seminar on Breaking India: September 11, 2011 - Audience Q &amp; A with Rajiv Malhotra Vid 7</t>
  </si>
  <si>
    <t>U-Turn of Francisco Varela</t>
  </si>
  <si>
    <t>Late Professor, Cognitive Nerosciences and brain Imaging Laboratory, Paris</t>
  </si>
  <si>
    <t>https://www.youtube.com/watch?v=HZ6X5Xt1nS8</t>
  </si>
  <si>
    <t>U-Trun of Evan Thompson</t>
  </si>
  <si>
    <t>Student of Francisco Varela</t>
  </si>
  <si>
    <t>Houston Seminar on Breaking India: September 11, 2011 - Jayakumar (Chief Organizer) Vid 8</t>
  </si>
  <si>
    <t>https://www.youtube.com/watch?v=5bAuJCTjg8s</t>
  </si>
  <si>
    <t>Rajiv Malhotra on Challenges facing Hinduism in USA at WAVES 2008 - Vid 2</t>
  </si>
  <si>
    <t xml:space="preserve">U-Trun of Roberto Assagioli </t>
  </si>
  <si>
    <t>Roberto Assagioli - Contemporary of Freud and the foundaer of psycho-synthesis. Transpersonal Psychology</t>
  </si>
  <si>
    <t>https://www.youtube.com/watch?v=IAmXafhUmYc</t>
  </si>
  <si>
    <t>Dharma - challenges in the US</t>
  </si>
  <si>
    <t>Introductory talk at Uberoi Foundation - Oct 1st, 2011</t>
  </si>
  <si>
    <t>U-Turn of Ken Welber</t>
  </si>
  <si>
    <t>Latest icon of Transpersonal Pschology in west</t>
  </si>
  <si>
    <t>https://www.youtube.com/watch?v=d9KgrM48iGg</t>
  </si>
  <si>
    <t>https://www.youtube.com/watch?v=M-zdPqtp9Kk</t>
  </si>
  <si>
    <t>Rajiv Malhotra on Challenges for Hindus in Academics at Waves 2008 - Vid 3</t>
  </si>
  <si>
    <t>Rajiv Malhotra at Univ. of Delhi, Psychology Department, presenting BEING DIFFERENT</t>
  </si>
  <si>
    <t>Institutional U-Turn- California Institute of Integral Studies</t>
  </si>
  <si>
    <t>https://www.youtube.com/watch?v=J5mYtIH7Pho</t>
  </si>
  <si>
    <t>HarperCollins launch of BEING DIFFERENT by Rajiv Malhotra - Part 1 - Preliminaries</t>
  </si>
  <si>
    <t>Challenges from maxist Indians</t>
  </si>
  <si>
    <t>Institutional U-Turn- Esalen - Original Influenced by JD Krishnamurthi</t>
  </si>
  <si>
    <t>Institutional U-Turn- Institute of Noetic Sciences - IONS</t>
  </si>
  <si>
    <t>U-Turn of Karl Jung</t>
  </si>
  <si>
    <t>Father of modern pyschology</t>
  </si>
  <si>
    <t>https://www.youtube.com/watch?v=OpsoPcAUMbw</t>
  </si>
  <si>
    <t>HarperCollins launch of BEING DIFFERENT - Pt 2 Pavan Verma Indian Ambassador to Bhutan</t>
  </si>
  <si>
    <t>U-Turn of Poly Trout</t>
  </si>
  <si>
    <t>https://www.youtube.com/watch?v=4h6drLmYTr8</t>
  </si>
  <si>
    <t>Rajiv Malhotra on European race theory and conversion of Jatis into Castes at Waves 2008 - Vid 4</t>
  </si>
  <si>
    <t>U-Trun Eugene Taylor</t>
  </si>
  <si>
    <t>Impact of Transcendental Meditation</t>
  </si>
  <si>
    <t>Good content, need to redo audio, current audio very bad quality</t>
  </si>
  <si>
    <t>https://www.youtube.com/watch?v=MlTxtaiX1xI</t>
  </si>
  <si>
    <t>HarperCollins launch of BEING DIFFERENT by Rajiv Malhotra Part 3 - Madhu Khanna, Prof of Religion</t>
  </si>
  <si>
    <t>Five stage of U-Turn Theory in Detail</t>
  </si>
  <si>
    <t>Risley's race theory - different evolutions Europe &amp; India</t>
  </si>
  <si>
    <t>Digestion of Ayurveda into Estee Lauder (Aveda)</t>
  </si>
  <si>
    <t>Poor</t>
  </si>
  <si>
    <t>https://www.youtube.com/watch?v=2uOiM67vK6A</t>
  </si>
  <si>
    <t>How yoga could have benefited Indian Economy</t>
  </si>
  <si>
    <t>Rajiv Malhotra on Creation of Dravidian Identity among Indians at Waves 2008 - Vid 5</t>
  </si>
  <si>
    <t>https://www.youtube.com/watch?v=Vf5BOYF0S3Y</t>
  </si>
  <si>
    <t>American Theory-Making on India: "Saving Indians from India" by Rajiv Malhotra 2005 at IIC Delhi</t>
  </si>
  <si>
    <t>How Indologists created Dravidianism</t>
  </si>
  <si>
    <t>Human Right Policing in India by USA</t>
  </si>
  <si>
    <t>https://www.youtube.com/watch?v=29-xoooHPaw</t>
  </si>
  <si>
    <t>Being Different at YPO/WPO, Madras: Rajiv Malhotra's Talk</t>
  </si>
  <si>
    <t>https://www.youtube.com/watch?v=Y1SUVA0PU1o</t>
  </si>
  <si>
    <t>Rajiv Malhotra on Mapping of India onto European framework at Waves 2008 - Vid 6</t>
  </si>
  <si>
    <t>Does the west of superior human right records?</t>
  </si>
  <si>
    <t xml:space="preserve">British Indology: Orientalists, Aglicists and Imperialists - Shifting attitudes </t>
  </si>
  <si>
    <t>Dowry murders Delhi and Insurance Killing in New York a comparision</t>
  </si>
  <si>
    <t>https://www.youtube.com/watch?v=y1fdkGgCt64</t>
  </si>
  <si>
    <t>IIT Madras: Rajiv Malhotra talk on "Being Different" Part 1</t>
  </si>
  <si>
    <t>https://www.youtube.com/watch?v=yaOVnZ7W-Qc</t>
  </si>
  <si>
    <t>Rajiv Malhotra on Colonial Institutional infrastructure in India at Waves 2008 - Vid 7</t>
  </si>
  <si>
    <t>India's Pluralism is Under-appreciated!</t>
  </si>
  <si>
    <t>Academic studies about India are pre-judice</t>
  </si>
  <si>
    <t>https://www.youtube.com/watch?v=FNqQxPkLmPI</t>
  </si>
  <si>
    <t>Being Different: IIT Madras Part 3 - Q&amp;A</t>
  </si>
  <si>
    <t>Links not opening, search for video also no results</t>
  </si>
  <si>
    <t>https://www.youtube.com/watch?v=hgdVPIrlSPU</t>
  </si>
  <si>
    <t>Rajiv Malhotra on British justification for colonizing India at Waves 2008 - Vid 8</t>
  </si>
  <si>
    <t>Biased linking between the social problem and Hinduism</t>
  </si>
  <si>
    <t>https://www.youtube.com/watch?v=54lSHTtU68A</t>
  </si>
  <si>
    <t>Rajiv Malhotra's Opening Remarks- His Discussion with Prof Francis Clooney of Harvard: UMass 1</t>
  </si>
  <si>
    <t>American encouraged topics vs discouraged topic in India study</t>
  </si>
  <si>
    <t>https://www.youtube.com/watch?v=8iuVX1AkV_0</t>
  </si>
  <si>
    <t>Rajiv Malhotra on 'Good Cop Bad Cop' method and expansion of West in India at Waves 2008 - Vid 9</t>
  </si>
  <si>
    <t>A comparison of sharp criticism of India vs USA.</t>
  </si>
  <si>
    <t>https://www.youtube.com/watch?v=uDANJcQm-So</t>
  </si>
  <si>
    <t>Response to BEING DIFFERENT by Prof Francis Clooney of Harvard: UMass 2</t>
  </si>
  <si>
    <t>How anthropologists, publishers, religion academician &amp; historians make a bad gang</t>
  </si>
  <si>
    <t>Breaking India - Good Cop/ Bad Cop method</t>
  </si>
  <si>
    <t>https://www.youtube.com/watch?v=aXm-YqwVmbs</t>
  </si>
  <si>
    <t>Rajiv Malhotra's Response to Francis Clooney on BEING DIFFERENT: UMass 3</t>
  </si>
  <si>
    <t>How this whole theater of Breaking India forces works?</t>
  </si>
  <si>
    <t>https://www.youtube.com/watch?v=wH8I0vSB-Os</t>
  </si>
  <si>
    <t>Rajiv Malhotra on Origin of Liberalism in India at Waves 2008 - Vid 10</t>
  </si>
  <si>
    <t>https://www.youtube.com/watch?v=4eM5V0OXNNU</t>
  </si>
  <si>
    <t>Being Different —Rajiv &amp; Francis Clooney's Q&amp;A with Students of UMass: 4</t>
  </si>
  <si>
    <t>How the rich of the world are re-writing history.</t>
  </si>
  <si>
    <t>Sansar Chanra Advisor from People First on Hidden Mystry Book Series in America has 13 books. It is about how the history is re-written by rich people?</t>
  </si>
  <si>
    <t xml:space="preserve">Breaking India - British Indologists and Liberalism </t>
  </si>
  <si>
    <t>Relationship between Economic performance of a country and its Cultural capital</t>
  </si>
  <si>
    <t>https://www.youtube.com/watch?v=knJJGEYwaZw</t>
  </si>
  <si>
    <t>IIT Madras Part 2 - Comments on BEING DIFFERENT by Prof. Nellickappilly &amp; Prof. Venkatakrishnan</t>
  </si>
  <si>
    <t>The whole system of economic growth is unsustainable.</t>
  </si>
  <si>
    <t>https://www.youtube.com/watch?v=3pxgnl2fHZg</t>
  </si>
  <si>
    <t>Part 2- Mata Amritanandamayi's Univ: Ann Berliner, Prof. CA State Univ. Comments on BEING DIFFERENT</t>
  </si>
  <si>
    <t>What is Indian Grand Narrantive?</t>
  </si>
  <si>
    <t>Indians in denial of our history/ culture</t>
  </si>
  <si>
    <t>ND</t>
  </si>
  <si>
    <t>https://www.youtube.com/watch?v=TEUt7CVuFbI</t>
  </si>
  <si>
    <t>Being Different: India's Challenge to Western Universalism_Full Talk</t>
  </si>
  <si>
    <t>https://www.youtube.com/watch?v=z1wT-GurohQ</t>
  </si>
  <si>
    <t>IISc Video 2 - Comments by T.V. Mohandas Pai, Former Board member of Infosys</t>
  </si>
  <si>
    <t>Sanskrit Non-Translatable words</t>
  </si>
  <si>
    <t>https://www.youtube.com/watch?v=f-XdG6v-RWk</t>
  </si>
  <si>
    <t>Rajiv Malhotra explains his Systems Model of History Centrism at IISc</t>
  </si>
  <si>
    <t>Gurus also responsible in creating "sameness" leading to distortion</t>
  </si>
  <si>
    <t>https://www.youtube.com/watch?v=fjD9BVlmPoA</t>
  </si>
  <si>
    <t>Rajiv Malhotra's Keynote Address at Institute of Social &amp; Economical Change, Bangalore</t>
  </si>
  <si>
    <t>https://www.youtube.com/watch?v=BcDC-Op1hJc</t>
  </si>
  <si>
    <t>IISc Video 3 - Comments by Roddam Narasimha, Scientist</t>
  </si>
  <si>
    <t>Why should we care about being "digested"</t>
  </si>
  <si>
    <t>How Indian Psychology became serious subject in western world</t>
  </si>
  <si>
    <t xml:space="preserve">Challenges in identifying commonalities within different Indian philosophies </t>
  </si>
  <si>
    <t>https://www.youtube.com/watch?v=lXmhJr1LDyI</t>
  </si>
  <si>
    <t>IISc Video 4 - Q &amp; A</t>
  </si>
  <si>
    <t xml:space="preserve">Uniqueness of Western belief based on history-centric views </t>
  </si>
  <si>
    <t>What is Protestant Ethics (Western Model) and its impact on India</t>
  </si>
  <si>
    <t>World is for man's exploitation. Man centric, selfish. This model is not viable, scalable.</t>
  </si>
  <si>
    <t>https://www.youtube.com/watch?v=Wrs0XEoFHAM</t>
  </si>
  <si>
    <t>Rajiv Malhotra's TV Interview with Prof. Thakur of Jawaharlal Nehru University</t>
  </si>
  <si>
    <t>Indian Ashrama system and cosumerism</t>
  </si>
  <si>
    <t>Indians &amp; Western attitudes to order and chaos</t>
  </si>
  <si>
    <t>https://www.youtube.com/watch?v=O0wEzvYOTJw</t>
  </si>
  <si>
    <t>Breaking India book by Rajiv Malhotra Bangalore_ Intro by TS Mohan #1</t>
  </si>
  <si>
    <t>Does Sanskrit represent a pan-Indian culture? - the Aryan Dravidian argument</t>
  </si>
  <si>
    <t>Indian Decentralized Structures</t>
  </si>
  <si>
    <t>How can Indian beat the western model of development?</t>
  </si>
  <si>
    <t>https://www.youtube.com/watch?v=G3NpQQMh8jQ</t>
  </si>
  <si>
    <t>Breaking India book by Rajiv Malhotra: Talk by Dr Swamy Part 2</t>
  </si>
  <si>
    <t xml:space="preserve">The Western philosophy is a " truth claim" and not "universalism" </t>
  </si>
  <si>
    <t>How to get our work scientifically validated?</t>
  </si>
  <si>
    <t>U turner's work is very helpful in this</t>
  </si>
  <si>
    <t>History-centric views - incompatability between Xtianity vs Islam</t>
  </si>
  <si>
    <t>https://www.youtube.com/watch?v=VP5gPVW3XDM</t>
  </si>
  <si>
    <t>Being Different or Being Digested - Univ of Massachusetts</t>
  </si>
  <si>
    <t>How to counter the Weber's critique about India</t>
  </si>
  <si>
    <t>Indian Diasphora and U-turn theory</t>
  </si>
  <si>
    <t>Indian Diasphora types: Spritual, Modern Professional, Language based</t>
  </si>
  <si>
    <t>https://www.youtube.com/watch?v=0uPW7Jf9y7o</t>
  </si>
  <si>
    <t>Christian belief in Nicene creed is a requirement, not a myth</t>
  </si>
  <si>
    <t>Rajiv Malhotra's Talk at Kitab Khana, Mumbai's Premier Bookstore</t>
  </si>
  <si>
    <t>Women not found in classical indian tradition with equal rights</t>
  </si>
  <si>
    <t>How can we undo what Western Indologists have done to India</t>
  </si>
  <si>
    <t>Using dharmic civilization as a base does not mean we want to go back to Vedic age</t>
  </si>
  <si>
    <t>History of Indian contribution to Science &amp; Technology</t>
  </si>
  <si>
    <t>https://www.youtube.com/watch?v=iGpYgqX-p8c</t>
  </si>
  <si>
    <t>Rajiv Malhotra at Somaiya Institutes, Mumbai - Part 1: Introduction (in Sanskrit &amp; English)</t>
  </si>
  <si>
    <t>https://www.youtube.com/watch?v=cpZPvFvzNlc</t>
  </si>
  <si>
    <t>Rajiv Malhotra: Debating Identity with NRI Youths</t>
  </si>
  <si>
    <t>How to retain Indian Unity within the diversity</t>
  </si>
  <si>
    <t>4 years ago</t>
  </si>
  <si>
    <t>https://www.youtube.com/watch?v=schP-IZS5Sw</t>
  </si>
  <si>
    <t>Rajiv Malhotra at Somaiya Institute, Mumbai: #3 Hindi Q&amp;A</t>
  </si>
  <si>
    <t>Strategy: Handling multiple questions on Hindu Identify.</t>
  </si>
  <si>
    <t>https://www.youtube.com/watch?v=gmu_fBglk-A</t>
  </si>
  <si>
    <t>Strategy
        Rajiv Malahotra using a strategy of consolidating various questions into one
        0:2:11-&gt; 0:10:20
        Now let us agree that we need an identify
        0:42:57-&gt;0:45:56
        What is Hindu Identify &amp; Dilema
        0:47:00-&gt; 0:49:50
        0:51:17-&gt; 0:55:17
        0:57:45-&gt; 1:00:01</t>
  </si>
  <si>
    <t>Rajiv Malhotra at Somaiya Institutes, Mumbai - Part 4: English Q&amp;A</t>
  </si>
  <si>
    <t>Satges 1-5 of West appropriating Indian culture</t>
  </si>
  <si>
    <t>Brayan: Please create a separate clip combining time stamp mentioned in Editor's Note</t>
  </si>
  <si>
    <t>If you are identity-less then you are disempowering yourself</t>
  </si>
  <si>
    <t>American Identify shifted from English to Christian to White
- Italian chatholic -&gt; protestant -&gt; christian (journey of catholic assimilation in white)
- Book: How Irish become white. How Jews became white.
- America's journey of assimilation. Black were never assimilative.
- Identity war with gays, muslim, chienese, italian, spanish. Choice in America in not identify less society. 
- Whether I define or I reject my identity, I will be given identity. If I reject they will define my identity. So It is important for me to define my positive identity.
- Spanish people created their identity based on spanish language
- Historical societies of America is very important topic to be searched for understanding identity business.</t>
  </si>
  <si>
    <t>Bad</t>
  </si>
  <si>
    <t>Audio needs significant improvement</t>
  </si>
  <si>
    <t>https://www.youtube.com/watch?v=-WPYCv8jdJc</t>
  </si>
  <si>
    <t>Rajiv Malhotra at Somaiya Institutes, Mumbai - Part 2: Lecture</t>
  </si>
  <si>
    <t>Assymetry of power = Abusive appropriation</t>
  </si>
  <si>
    <t>Neuroscientists study meditation - "buddism/Indians" as their specimen</t>
  </si>
  <si>
    <t>https://www.youtube.com/watch?v=91dtNzk71IA</t>
  </si>
  <si>
    <t>Rajiv Malhotra Lecture at Young Presidents' Organization, Kolkata</t>
  </si>
  <si>
    <t>Difference between identity struggle in America and Canada</t>
  </si>
  <si>
    <t>US is called melting point. In Canada they want everyone to remain distinctive. In American it is either fight or melt is down.</t>
  </si>
  <si>
    <t>Appropriation of Meditation, denegrading/ not acknowledging Indian/ buddist sources</t>
  </si>
  <si>
    <t>https://www.youtube.com/watch?v=SrCfhdoTLfg</t>
  </si>
  <si>
    <t>Keynote at Spirituality &amp; Management Conference, IIM B</t>
  </si>
  <si>
    <t>The key model used for appropriation of Indian culture</t>
  </si>
  <si>
    <t>All are one and children of God then why Hindu seeks differnet identify?</t>
  </si>
  <si>
    <t>https://www.youtube.com/watch?v=nmbYnYYpa6g</t>
  </si>
  <si>
    <t>Talk at Bhabha Atomic Research Center, Mumbai: Rajiv Malhotra</t>
  </si>
  <si>
    <t>Identity is forced upon us and in reality we have to deal with enforced identity issue</t>
  </si>
  <si>
    <t>Herb Benson's model of Appropriation</t>
  </si>
  <si>
    <t>For transendance of the idenitfy/ego knowing identity is important.</t>
  </si>
  <si>
    <t>Daniel Goleman's - Stress Management - later distanced from Indian roots</t>
  </si>
  <si>
    <t>Why civilization identify is required?</t>
  </si>
  <si>
    <t>How Carabian Hindu feels in US?</t>
  </si>
  <si>
    <t>Dean Ornish guru Swami Satchitananda - now books called "Western Science"</t>
  </si>
  <si>
    <t>Who should define identity for Hindu?</t>
  </si>
  <si>
    <t xml:space="preserve">Jon Kabt Zinn - Appropriated Vipasana as "Mindfulness" </t>
  </si>
  <si>
    <t>Audio needs to be significantly improved</t>
  </si>
  <si>
    <t>Stephen LaBerge appropriated Yoga Nidra = Lucid Dreaming</t>
  </si>
  <si>
    <t>https://www.youtube.com/watch?v=MOkWSa69NKA</t>
  </si>
  <si>
    <t>Tsunami: The Untold Story by Rajiv Malhotra, 2005</t>
  </si>
  <si>
    <t>4 differences between Indian and western</t>
  </si>
  <si>
    <t>Key inst in cognitive sciences in appropriation &amp; New Translation</t>
  </si>
  <si>
    <t>https://www.youtube.com/watch?v=k_PhmmAyLFg</t>
  </si>
  <si>
    <t>Rajiv Malhotra: Globalization &amp; World Peace, Asian Indian Chamber of Commerce, Nov 16 2008</t>
  </si>
  <si>
    <t>Transpersonal psychology - E.g. Wilber early and later stages of appropriation</t>
  </si>
  <si>
    <t>US</t>
  </si>
  <si>
    <t>What is the impact, if the sense of Difference is over emphasied in multi-cultural society</t>
  </si>
  <si>
    <t>https://www.youtube.com/watch?v=tUBrwCmKx8s</t>
  </si>
  <si>
    <t>Rajiv Malhotra's Where is India in the Eagle's Eye?</t>
  </si>
  <si>
    <t>E.g of Western Inst set up to support appropriation</t>
  </si>
  <si>
    <t>A good example of Jaati system in India</t>
  </si>
  <si>
    <t>Carl Jung's U-turn from Indian thought - I</t>
  </si>
  <si>
    <t>Synthetic identify vs Integral Identity</t>
  </si>
  <si>
    <t>Values and problems of the caste system</t>
  </si>
  <si>
    <t>https://www.youtube.com/watch?v=WMf0Mau2TzE</t>
  </si>
  <si>
    <t>Where is India in the Encounter of Civilizations? by Rajiv Malhotra, 2009</t>
  </si>
  <si>
    <t>Carl Jung's U-turn from Indian thought - II</t>
  </si>
  <si>
    <t>Impact of western culture on Indian culture and how should we go ahead.</t>
  </si>
  <si>
    <t>The concept of the tolerance vs mutual respect</t>
  </si>
  <si>
    <t>Hindu legacies in American religious thought</t>
  </si>
  <si>
    <t>https://www.youtube.com/watch?v=apOba1F4MT4</t>
  </si>
  <si>
    <t>Rajiv Malhotra's Lecture on Academic Colonization Delivered at Uberoi Foundation 2010</t>
  </si>
  <si>
    <t>Is christianity declining in the West?</t>
  </si>
  <si>
    <t>How sanskrit protect dharma from digestion?</t>
  </si>
  <si>
    <t>Eugene Taylor's physical, psychological effects of Meditation</t>
  </si>
  <si>
    <t>Critical edition of some Ramayana is not good idea.</t>
  </si>
  <si>
    <t>https://www.youtube.com/watch?v=CtiARMXwI0Q</t>
  </si>
  <si>
    <t>Rajiv Malhotra Invading the Sacred Book Launch Best of Mumbai &amp; Delhi July 1st &amp; 2nd, 2007</t>
  </si>
  <si>
    <t>The difference between Dharma and Religion &amp; Secularism</t>
  </si>
  <si>
    <t>U-turn by Western philosophers - explained</t>
  </si>
  <si>
    <t>https://www.youtube.com/watch?v=61LvuBJ6Ojs</t>
  </si>
  <si>
    <t>Seminar on BEING DIFFERENT at Banaras Hindu University: Vid 1 - Introductions</t>
  </si>
  <si>
    <t>U-Turn theory &amp; Reverse-U Turn</t>
  </si>
  <si>
    <t>U-turn by Western philosophers - stages</t>
  </si>
  <si>
    <t>https://www.youtube.com/watch?v=nQhpJFt2KG8</t>
  </si>
  <si>
    <t>Seminar on BEING DIFFERENT at BHU: Vid 3 - Indranath Chaudhuri, Ex-Director, Sahitya Academy</t>
  </si>
  <si>
    <t>Western U-turn influence on Indians - Desi shame</t>
  </si>
  <si>
    <t>https://www.youtube.com/watch?v=myZqody8PTw</t>
  </si>
  <si>
    <t>Seminar on BEING DIFFERENT at Banaras Hindu University #2</t>
  </si>
  <si>
    <t xml:space="preserve">Return of Desi Pride </t>
  </si>
  <si>
    <t>Civilizational Darwinism and its consequences</t>
  </si>
  <si>
    <t>https://www.youtube.com/watch?v=iFLc0n8RSAA</t>
  </si>
  <si>
    <t>Seminar on BEING DIFFERENT at Banaras Hindu University: Vid 5 - Bettina Baumer, Indologist, Varanasi</t>
  </si>
  <si>
    <t>Cultural appropriation - E.g Ayurveda, consequences</t>
  </si>
  <si>
    <t>https://www.youtube.com/watch?v=eKtCOiQbVX0</t>
  </si>
  <si>
    <t>Seminar on BEING DIFFERENT at BHU: Vid 4 - Oscar Pujol, Director Institute Cervates, Delhi</t>
  </si>
  <si>
    <t>Varna, Jathi and Caste explained</t>
  </si>
  <si>
    <t>https://www.youtube.com/watch?v=vnw9dW2QgYk</t>
  </si>
  <si>
    <t>Seminar on BEING DIFFERENT at Banaras Hindu University: Vid 6 - Kamal Datt Tripathi, IGNCA, Varanasi</t>
  </si>
  <si>
    <t>Respecting our tradition - key to creating growth opportunities - eg Indian Cuisine</t>
  </si>
  <si>
    <t>https://www.youtube.com/watch?v=TxC_8Xllf-M</t>
  </si>
  <si>
    <t>Seminar on BEING DIFFERENT at Banaras Hindu University: 7 - Rajiv Malhotra</t>
  </si>
  <si>
    <t>https://www.youtube.com/watch?v=4W3kmjNG_K8</t>
  </si>
  <si>
    <t>In Conversation With General GD Bakshi</t>
  </si>
  <si>
    <t>9 months ago</t>
  </si>
  <si>
    <t>https://www.youtube.com/watch?v=nbZhVwfCRMU</t>
  </si>
  <si>
    <t>Seminar on BEING DIFFERENT at Banaras Hindu University: Vid 8 - Audience Q&amp;A, Comments</t>
  </si>
  <si>
    <t>Security of Bharat - internal faultlines - Mughal &amp; British rule</t>
  </si>
  <si>
    <t>https://www.youtube.com/watch?v=rdyZwjy8Wko</t>
  </si>
  <si>
    <t>Manindra Thakur Event Jan 2012 Vid 3 - Debating Western Universalism, Digestion, &amp; U-Turns</t>
  </si>
  <si>
    <t>Security of Bharat - internal faultlines - our Universities</t>
  </si>
  <si>
    <t xml:space="preserve">distortion of Indian history, deep-rooted inferiority complex </t>
  </si>
  <si>
    <t>https://www.youtube.com/watch?v=v6It_CJ27bg</t>
  </si>
  <si>
    <t>Manindra Thakur Event Jan 2012 Vid 4 - Book Project: Indian Approach to Social Sciences</t>
  </si>
  <si>
    <t>Intellectual illiticsm - threat to cultural unity</t>
  </si>
  <si>
    <t>https://www.youtube.com/watch?v=vSLKEwGRgbY</t>
  </si>
  <si>
    <t>Manindra Thakur Event Jan 2012 Vid 2 - Participants remarks on Decolonizing the Social Sciences</t>
  </si>
  <si>
    <t>Great cultural continuity - Saraswathi river civilization</t>
  </si>
  <si>
    <t>https://www.youtube.com/watch?v=67Y76FPHZ-g</t>
  </si>
  <si>
    <t>Status of our army post independence</t>
  </si>
  <si>
    <t>Rajiv Malhotra Lecture on Gandhi "US-India Relations at the Crossroads" UMASS Dartmouth Oct 8, 2009</t>
  </si>
  <si>
    <t>India is not a pacifist Nation - Dharmic wars are the proofs</t>
  </si>
  <si>
    <t>https://www.youtube.com/watch?v=qDcBHNXLxdc</t>
  </si>
  <si>
    <t>Rajiv Malhotra Lecture on Gandhi "Using Gandhi's Lens Today" UMASS Dartmouth Oct 9, 2009</t>
  </si>
  <si>
    <t>India-US relations China and Islam common threats</t>
  </si>
  <si>
    <t>https://www.youtube.com/watch?v=BF7tCmPOjs4</t>
  </si>
  <si>
    <t>Manindra Thakur Event Jan 2012 Vid 1 - Introduction by Prof. Thakur (JNU) &amp; Rajiv Malhotra</t>
  </si>
  <si>
    <t>Triumph of Trump should be leveraged by India</t>
  </si>
  <si>
    <t>India needs military approach in In'tl relations &amp; Indianization of weaponery</t>
  </si>
  <si>
    <t>https://www.youtube.com/watch?v=UrWQfScMALY</t>
  </si>
  <si>
    <t>Rajiv Malhotra Talk at Auroville Video 1 - Differences in Philosophy</t>
  </si>
  <si>
    <t>https://www.youtube.com/watch?v=6LOxjxiZ3NQ</t>
  </si>
  <si>
    <t>Pakistan and their deep complexes - handling Pakistan</t>
  </si>
  <si>
    <t>Rajiv Malhotra at Auroville Video 2 - Q&amp;A with Audience</t>
  </si>
  <si>
    <t>https://www.youtube.com/watch?v=XWeFa6jUiPw</t>
  </si>
  <si>
    <t>Talk on Swadeshi Indology at IGNCA, New Delhi</t>
  </si>
  <si>
    <t>https://www.youtube.com/watch?v=08Xwx9vsy6w</t>
  </si>
  <si>
    <t>Rajiv Malhotra Keynote Address at JNU on: Science &amp; Indian Traditions</t>
  </si>
  <si>
    <t>https://www.youtube.com/watch?v=JErwMUETzvU</t>
  </si>
  <si>
    <t>Pondy Event Vid 4 - Comments by five prominent scholars of Sri Aurobindo</t>
  </si>
  <si>
    <t>Swadeshi Indology Vs Vidheshi Indology - impact of colonization</t>
  </si>
  <si>
    <t>Why is it important to understand vidheshi Indology and decolonize ourselves</t>
  </si>
  <si>
    <t>https://www.youtube.com/watch?v=SS0UQNsxhus</t>
  </si>
  <si>
    <t>Rajiv Malhotra Debates a German U-Turner who returned to Christ from Sri Aurobindo</t>
  </si>
  <si>
    <t>Colonization Vs Oppression</t>
  </si>
  <si>
    <t>https://www.youtube.com/watch?v=g-xyM5pVESg</t>
  </si>
  <si>
    <t>Pondy Event Vid 1 - Introduction by Anand Reddy, SACAR</t>
  </si>
  <si>
    <t>How the British colonized Bharat</t>
  </si>
  <si>
    <t>https://www.youtube.com/watch?v=vHGejHQUoio</t>
  </si>
  <si>
    <t>Pondy Event Vid 7 - Q&amp;A - New Western religions that are not history centric</t>
  </si>
  <si>
    <t>Post Independence -  videshi Indology wave</t>
  </si>
  <si>
    <t>https://www.youtube.com/watch?v=3f7b_ZE5B1Y</t>
  </si>
  <si>
    <t xml:space="preserve">Latest trend in videshi Indology - Infilteration by American think tanks </t>
  </si>
  <si>
    <t>Pondy Event Vid 8 - Q&amp;A - Relevance to Modern Youth</t>
  </si>
  <si>
    <t>Colonization - where are we today</t>
  </si>
  <si>
    <t>https://www.youtube.com/watch?v=kQP4pUPNjqs</t>
  </si>
  <si>
    <t>Pondicherry Event Vid 2_Rajiv Malhotra's Talk Part 1 - U Turn Theory</t>
  </si>
  <si>
    <t>Lack of serious intellectual research on Dharma</t>
  </si>
  <si>
    <t>https://www.youtube.com/watch?v=hWBzG7eVqVg</t>
  </si>
  <si>
    <t>Pondy Event Vid 3 - Rajiv Malhotra Talk Part 2: BEING DIFFERENT book</t>
  </si>
  <si>
    <t>Swadeshi Indology - establishing an Institution of thought</t>
  </si>
  <si>
    <t>Rajiv's yagna and the krukshetra for Swadeshi Indology - 1</t>
  </si>
  <si>
    <t>https://www.youtube.com/watch?v=7jIfpSOnmK8</t>
  </si>
  <si>
    <t>Pondy Event Vid 5 - Rajiv Malhotra's Response to the Expert Comments</t>
  </si>
  <si>
    <t>Rajiv's yagna and the krukshetra for Swadeshi Indology - 2</t>
  </si>
  <si>
    <t>https://www.youtube.com/watch?v=qd7yTtTb_Fc</t>
  </si>
  <si>
    <t>Pondy Event Vid 9 - Director's Concluding Remarks</t>
  </si>
  <si>
    <t>https://www.youtube.com/watch?v=JB_lc00AWIE</t>
  </si>
  <si>
    <t>V. Ramachandran, the Noted Neuroscientist, In Conversation with Rajiv Malhotra</t>
  </si>
  <si>
    <t>https://www.youtube.com/watch?v=2WYZtS_LLog</t>
  </si>
  <si>
    <t>3 weeks ago</t>
  </si>
  <si>
    <t>Indian Knowledge Systems: IIT Alumni Event, Washington DC #1</t>
  </si>
  <si>
    <t>Debate on oral vs written traditions</t>
  </si>
  <si>
    <t>https://www.youtube.com/watch?v=agP31XI_FxA</t>
  </si>
  <si>
    <t>Chinmaya Mission Washington, DC Vid 1 - Introduction</t>
  </si>
  <si>
    <t>Sounds = distinct vibrations = emotions, irrespective of language</t>
  </si>
  <si>
    <t>https://www.youtube.com/watch?v=7ZD3D4mAoaE</t>
  </si>
  <si>
    <t>Indian Knowledge Systems Vid 2 - Rajiv Malhotra Q &amp; A</t>
  </si>
  <si>
    <t>Writing is unidimensional &amp; linear whereas senses are not</t>
  </si>
  <si>
    <t>https://www.youtube.com/watch?v=ANSSQQ6ZauM</t>
  </si>
  <si>
    <t>Chinmaya Mission Washington, DC Vid 2 - Difference &amp; Related Issues</t>
  </si>
  <si>
    <t>Are we atrophying faculties by not using them</t>
  </si>
  <si>
    <t>Nexus of Foreign NGOs and their role in BI</t>
  </si>
  <si>
    <t>RM reveals how foreign NGOs are systematically working towards breaking India.</t>
  </si>
  <si>
    <t>https://www.youtube.com/watch?v=OBViSvvLu-s</t>
  </si>
  <si>
    <t>Chinmaya Mission Washington, DC Vid 3 - Digestion: What, Why, How</t>
  </si>
  <si>
    <t>Importance of rythmic singing/ intonation and body movements in mind development</t>
  </si>
  <si>
    <t>https://www.youtube.com/watch?v=k54XQ5I1Nzo</t>
  </si>
  <si>
    <t>Reconnecting new age consciousness studies to their roots</t>
  </si>
  <si>
    <t>Chinmaya Mission Washington, DC Vid 4 - History Centrism &amp; Identity Issues</t>
  </si>
  <si>
    <t>The Christianity ambush on multiple fronts</t>
  </si>
  <si>
    <t>Aryan theory, Dravidian theory, Dravidian Christianity, Appropriation of Mahabharata etc into Christian frameworks</t>
  </si>
  <si>
    <t>Traditional Indian sciences - need for empirical evidence</t>
  </si>
  <si>
    <t>Human rights and its use for conversion</t>
  </si>
  <si>
    <t>How missionaries use religion and human rights as pretext to promote their conversion agenda</t>
  </si>
  <si>
    <t>https://www.youtube.com/watch?v=vdwHHPZwNEo</t>
  </si>
  <si>
    <t>Chinmaya Mission Washington, DC Vid 5 - Integral Unity, Chaos, Self-Organization</t>
  </si>
  <si>
    <t>Unrealized/ unstudied potential of the mind</t>
  </si>
  <si>
    <t>https://www.youtube.com/watch?v=q1K9wPDzMjU</t>
  </si>
  <si>
    <t>Chinmaya Mission Washington, DC Vid 6 - Indian Contributions Define our Difference</t>
  </si>
  <si>
    <t>Agamas in vedic traditions and their role in mind development</t>
  </si>
  <si>
    <t>Ambedkar's views on conversion</t>
  </si>
  <si>
    <t>Ambedkar was opposed to conversion as he believed this would break up the unity of India owing to the foreign hands involved.</t>
  </si>
  <si>
    <t>https://www.youtube.com/watch?v=75OFJ9IX4tI</t>
  </si>
  <si>
    <t>Third eye awakening - needs empirical proof</t>
  </si>
  <si>
    <t>Chinmaya Mission Washington, DC Vid 7 - Other Q &amp; A</t>
  </si>
  <si>
    <t>Conversion to Christianity and the demonization of Hinduism, ancient Indian culture</t>
  </si>
  <si>
    <t>When Indian convert to Christianity, irrespective of the reasons behind it they tend to distance themselves from the indigenous culture and practices slowly. Instead they develop their own clique encouraged by the perpetrators of conversion.</t>
  </si>
  <si>
    <t>https://www.youtube.com/watch?v=p6HgGSKj2m8</t>
  </si>
  <si>
    <t>Chinmaya Mission Washington, DC Vid 8 -Book Signing</t>
  </si>
  <si>
    <t>Cultural universlas - West Vs India - 1</t>
  </si>
  <si>
    <t>Improvement in conditions of Dalits is not connected to conversion</t>
  </si>
  <si>
    <t>The improvement in the conditions of Dalits was due to the excellent initiatives from the Government of India and not because of conversion as is wrongly believed.</t>
  </si>
  <si>
    <t>https://www.youtube.com/watch?v=cKIAV15AZcI</t>
  </si>
  <si>
    <t>University of Toronto - Q&amp;A with Rajiv Malhotra</t>
  </si>
  <si>
    <t>Conversion does not solve casteism problem - the sub topic can be this too</t>
  </si>
  <si>
    <t>Cultural universlas - West Vs India - 2</t>
  </si>
  <si>
    <t>Nexus of foreign NGOs and their role in human rights</t>
  </si>
  <si>
    <t>RM reveals how foreign NGOs are systematically working towards breaking India. He gives specific examples to illustrate his point.</t>
  </si>
  <si>
    <t>Rajiv Malhotra on Christian media network</t>
  </si>
  <si>
    <t>https://www.youtube.com/watch?v=sdhISUDYvX4</t>
  </si>
  <si>
    <t xml:space="preserve">Christian media worldwide orchestrate efforts to deliberately project India as a country where all sort of atrocities occur.  </t>
  </si>
  <si>
    <t>Is a group identity part of a universal? respecting differences</t>
  </si>
  <si>
    <t>Toronto Civic Center, March 17, 2012 - Q&amp;A</t>
  </si>
  <si>
    <t>Is such a short clip ok?</t>
  </si>
  <si>
    <t>Defining who is a minority</t>
  </si>
  <si>
    <t xml:space="preserve">RM argues that we need to relook at the way we define minorities. It should be viewed in the light that certain minorities are governed by foreign players and hence definitely not be considered as a minority. </t>
  </si>
  <si>
    <t>https://www.youtube.com/watch?v=4ej2lqB-kjM</t>
  </si>
  <si>
    <t>Pollock's Desacralisation of the Indian Rasa Tradition - Ashay Naik</t>
  </si>
  <si>
    <t>3 months ago</t>
  </si>
  <si>
    <t>Pollock's distortion politicization of Kavya - Ashay Naik</t>
  </si>
  <si>
    <t>https://www.youtube.com/watch?v=PjvzuUMMZs4</t>
  </si>
  <si>
    <t>U of Toronto - Talks</t>
  </si>
  <si>
    <t>Christian controlled media and literature</t>
  </si>
  <si>
    <t>There is a steady stream of Christian propaganda from foreign controlled sources with good credentials.</t>
  </si>
  <si>
    <t xml:space="preserve">Radicalization of Christianity in India </t>
  </si>
  <si>
    <t>Christians in the West are more liberal in their thinking and open to many ideas. Whereas this kind of thinking will not sell the conversion agenda in India and instead a more radical approach is propagated.</t>
  </si>
  <si>
    <t>Pollock wilfully demishes imp of scholars emphasizing rasa in kavya - Ashay Naik</t>
  </si>
  <si>
    <t>https://www.youtube.com/watch?v=HdBCunbR_jE</t>
  </si>
  <si>
    <t>Toronto Civic Center, March 17, 2012 - Lecture</t>
  </si>
  <si>
    <t>Role of US government, donors and NGOs in conversion</t>
  </si>
  <si>
    <t>Foreign policy makers in the US need to rethink the Christianity agenda in India. The earlier thinking of dividing India based on religion should be changed.</t>
  </si>
  <si>
    <t>Pollock promotes socio-political message of kavya (eg scholars Bhoja)  - Ashay Naik</t>
  </si>
  <si>
    <t>https://www.youtube.com/watch?v=vKGL9b0x_K8</t>
  </si>
  <si>
    <t>U Ontario - Lecture March 19, 2012</t>
  </si>
  <si>
    <t xml:space="preserve">The systematic approach to converting people to Christianity in India is objectionable. </t>
  </si>
  <si>
    <t>Pollock's criticism of Kavyasastra tradition &amp; contributions of Bhatanaik - Ashay Naik</t>
  </si>
  <si>
    <t>https://www.youtube.com/watch?v=5K-nmVDwXW0</t>
  </si>
  <si>
    <t>U Ontario - Q and A, March 19, 2012</t>
  </si>
  <si>
    <t>Can also be called Systematic approach to changing human behaviour</t>
  </si>
  <si>
    <t>Western Indologists' marxist interpretation of rasa &amp; Kavya - Ashay Naik</t>
  </si>
  <si>
    <t>Does Christianity respect other religions?</t>
  </si>
  <si>
    <t>Rev. Thompson's response is that not all churches aim to convert people. Only a narrow-minded set of Christians refuse to acknowledge other religions.</t>
  </si>
  <si>
    <t>https://www.youtube.com/watch?v=R7mzbp-9vbk</t>
  </si>
  <si>
    <t>Hindi Mahaotsav May 12, 2012</t>
  </si>
  <si>
    <t>https://www.youtube.com/watch?v=Ts09Fp7M53k</t>
  </si>
  <si>
    <t>The divine nature of the Vedas - Alok Mishra</t>
  </si>
  <si>
    <t>Christian powered violence against Hindus</t>
  </si>
  <si>
    <t>In pockets of India which have a Christian majority, they have an issue in co-existing with Hindus and in fact turn violent against them.</t>
  </si>
  <si>
    <t>Mimamsa: Dharma = Yagna contradicts Pollok's views  (Alok Misra in Hindi)</t>
  </si>
  <si>
    <t>Mimamsa - all cognitions are true until falsified (Alok Misra in Hindi)</t>
  </si>
  <si>
    <t>Nothing of value to record here</t>
  </si>
  <si>
    <t>Vedas are apouresheya - belief contested by Pollock (Alok Misra in Hindi)</t>
  </si>
  <si>
    <t>Expectations from the church in India</t>
  </si>
  <si>
    <t>Christianity practiced without an institutionalized approach to conversion is not a problem. It is only when it is thrust upon the people and Hindus protest that tension arises.</t>
  </si>
  <si>
    <t>Contesting Sheldon Pollock's views on Vedas (Alok  Misra in Hindi)</t>
  </si>
  <si>
    <t>Link between reservation, conversion and college admissions</t>
  </si>
  <si>
    <t>Rev. Thompson's views on whether reservation based college admissions influences conversions.</t>
  </si>
  <si>
    <t>https://www.youtube.com/watch?v=vmOlaD1O5rg</t>
  </si>
  <si>
    <t>Did the "Art of Living" Event Destroy The Yamuna, as Alleged?</t>
  </si>
  <si>
    <t>4 months ago</t>
  </si>
  <si>
    <t>Rev Thomas' responds to this question</t>
  </si>
  <si>
    <t>Why does Christianity promote conversions?</t>
  </si>
  <si>
    <t>Conversion implies that Christianity believes it is superior to other religions. Rev. Thompson responds to a question on that.</t>
  </si>
  <si>
    <t>Methodology behind BI research</t>
  </si>
  <si>
    <t xml:space="preserve">RM explains the methodology used to arrive at the conclusion that there is a large scale orchestration effort based in the US to promote the conversion agenda. </t>
  </si>
  <si>
    <t>8:47 - 10:05 - Rev. Thomas's addition to RM's points - don’t think it is needed - your call</t>
  </si>
  <si>
    <t>https://www.youtube.com/watch?v=ZErxsCxSQsA</t>
  </si>
  <si>
    <t>Pollock's "Death of Sanskrit" - An Analysis - Jayaraman Mahadevan</t>
  </si>
  <si>
    <t>RM presents examples of books written by Western authors on the propagation of Christianity by the US.</t>
  </si>
  <si>
    <t>Christianity does not believe in pluralism unlike Hinduism and this therefore reduces diversity. Religious freedom is curtailed when you join a religion of exclusivity such as CHristianity.</t>
  </si>
  <si>
    <t>Video link not working</t>
  </si>
  <si>
    <t>Conversion does not solve casteism problem</t>
  </si>
  <si>
    <t>Christianity in India has a thriving caste system built into it. It is a myth that Christianity has overcome the caste problem.</t>
  </si>
  <si>
    <t>Rajiv Malhotra on Buddhism in India</t>
  </si>
  <si>
    <t xml:space="preserve">Buddhism in India flourished for nearly 1000 years in India before its decline. </t>
  </si>
  <si>
    <t>RM refutes Rev. Thompson's statement on the existence of Hindutva during St. Thomas' time.</t>
  </si>
  <si>
    <t>Dr. Subramanian Swamy on Building an identity of India</t>
  </si>
  <si>
    <t>Defining who an Indian is</t>
  </si>
  <si>
    <t>https://www.youtube.com/watch?v=Um1LJAfSPoo</t>
  </si>
  <si>
    <t>Why Tibet is Important to People Everywhere: Rajiv Malhotra</t>
  </si>
  <si>
    <t>https://www.youtube.com/watch?v=itgdRwuvtN0</t>
  </si>
  <si>
    <t>Chicago June 2nd 2012</t>
  </si>
  <si>
    <t>Dr. Subramanian Swamy on Breaking India forces at play</t>
  </si>
  <si>
    <t>The forces at play to break India over the years</t>
  </si>
  <si>
    <t>Dr. Subramanian Swamy on the Aryan - Dravidian myth</t>
  </si>
  <si>
    <t>Debunking the Aryan Dravidian divide</t>
  </si>
  <si>
    <t>https://www.youtube.com/watch?v=Z7B5IZZhoAI</t>
  </si>
  <si>
    <t>Q&amp;A at two Chicago temples, June 3, 2012</t>
  </si>
  <si>
    <t>This clip is longer than usual but Dr. Swamy is talking on the same topic for this length of time</t>
  </si>
  <si>
    <t>Dr. Subramanian Swamy on how India has retained a Hindu majority</t>
  </si>
  <si>
    <t>How India has managed to maintain its Hindu majority</t>
  </si>
  <si>
    <t>https://www.youtube.com/watch?v=UuJzHq-Ont4</t>
  </si>
  <si>
    <t>Lecture on BEING DIFFERENT, June 3, 2012</t>
  </si>
  <si>
    <t>Dr. Subramanian Swamy on developing a Hindu identity</t>
  </si>
  <si>
    <t>Creating a collective consciousness among Hindus</t>
  </si>
  <si>
    <t>https://www.youtube.com/watch?v=fQxUVyFqzpA</t>
  </si>
  <si>
    <t>Introduction by head of Chinmaya Mission, Toronto May 2012</t>
  </si>
  <si>
    <t>Why Rajv Malhotra's arguments work for the Western audience?</t>
  </si>
  <si>
    <t>RM uses the same language and articulation style as the Western world</t>
  </si>
  <si>
    <t>https://www.youtube.com/watch?v=wgud4Fi47XA</t>
  </si>
  <si>
    <t>Q&amp;A at Chinmaya Mission, Toronto, May 2012</t>
  </si>
  <si>
    <t>https://www.youtube.com/watch?v=2Ew9deAuPwU</t>
  </si>
  <si>
    <t>Talk at Chinmaya Mission, Toronto, May 2012</t>
  </si>
  <si>
    <t>Dr. Subramanian Swamy on reservation &amp; caste system in India</t>
  </si>
  <si>
    <t>Thoughts on reservation, varna and jati</t>
  </si>
  <si>
    <t>https://www.youtube.com/watch?v=Au_HvuB2IQc</t>
  </si>
  <si>
    <t>Christianity Explained by Rajiv Malhotra</t>
  </si>
  <si>
    <t>Princeton University  discussion on "Breaking India" - speaker Reverend Thompson.</t>
  </si>
  <si>
    <t>https://www.youtube.com/watch?v=t_J24YUQNK4</t>
  </si>
  <si>
    <t>Talk at Lakshmi Narayan Mandir, Toronto, May 25, 2012</t>
  </si>
  <si>
    <t>Content is mediocre but retaining it as it shows the quality of the argument</t>
  </si>
  <si>
    <t>Rev. Thompson on forcible conversion to Christianity</t>
  </si>
  <si>
    <t>Rev. Thompson says conversion is a religious right and dismisses claims of forcible conversion</t>
  </si>
  <si>
    <t>https://www.youtube.com/watch?v=MfzPrOKKZVo</t>
  </si>
  <si>
    <t>Keynote address at 14th annual Indian heritage day, toronto, May 26, 2012</t>
  </si>
  <si>
    <t>Rev. Thompson's reasoning for conversion</t>
  </si>
  <si>
    <t>Rev. Thompson explains why his family converted to Christianity from being a Hindu; social oppression owing to belonging to a lower caste is his reasoning</t>
  </si>
  <si>
    <t>https://www.youtube.com/watch?v=57-MHC42i7g</t>
  </si>
  <si>
    <t>Toronto Public Discussions on Dharma Civilization, May 26 - 29, 2012</t>
  </si>
  <si>
    <t>Rev. Thompson explains why anti-Brahmin feelings rose</t>
  </si>
  <si>
    <t>Rev. Thompson gives the example of the Tamil movie Parashakti where Brahmins are cast in the worst light possible. This movie was a super hit and made Sivaji Ganesan a superstar</t>
  </si>
  <si>
    <t>https://www.youtube.com/watch?v=pO9qCeA640E</t>
  </si>
  <si>
    <t>Lecture-Duscussion at Vidya Bharati Foundation of Canada, May 27, 2012</t>
  </si>
  <si>
    <t>Rev. Thompson speaks in support of the Aryan - Dravidian theory</t>
  </si>
  <si>
    <t>Rev. Thompson cites the work of a few historians to support the theory that Dravidians were the original inhabitants of the Indus valley civilization</t>
  </si>
  <si>
    <t>https://www.youtube.com/watch?v=17Jnr2hr0ro</t>
  </si>
  <si>
    <t>Swami Dayanand Saraswati introduces Rajiv Malhotra at The Hindu Dharma Acharya Sabha, 07 Nov 2012</t>
  </si>
  <si>
    <t>Content is mediocre but retaining it as it shows the low quality of the argument</t>
  </si>
  <si>
    <t>Rev. Thompson continues with his argument that Dravidians were the superior race and Aryans borrowed many of the original ideas of Dravidians. Aryans brought about the caste system.</t>
  </si>
  <si>
    <t>https://www.youtube.com/watch?v=MBzty84VgRo</t>
  </si>
  <si>
    <t>Interview on Sudarshan TV, April 2013</t>
  </si>
  <si>
    <t>https://www.youtube.com/watch?v=nCmJgIvSqfU</t>
  </si>
  <si>
    <t>Brand India &amp; Narayan Murthy: Rajiv Malhotra #1</t>
  </si>
  <si>
    <t>Using the Dalit cause as a Breaking India factor</t>
  </si>
  <si>
    <t>The Dalit identity and using the victimhood card are used as a divisive strategy. It is a well-thought through and funded campaign including from US based organizations.</t>
  </si>
  <si>
    <t>https://www.youtube.com/watch?v=qsCWK-TQVsk</t>
  </si>
  <si>
    <t>Are Indians Buying Back Their Knowledge From the West #5</t>
  </si>
  <si>
    <t>https://www.youtube.com/watch?v=r5r1yU9O2ag</t>
  </si>
  <si>
    <t>Is Written Evidence Needed to Authenticate a Source #2</t>
  </si>
  <si>
    <t>In the initial part, the video jumps around quite a bit</t>
  </si>
  <si>
    <t>https://www.youtube.com/watch?v=MFVzVjuj90E</t>
  </si>
  <si>
    <t>Argument with a Social Scientist at IIT Bombay: Rajiv Malhotra #3</t>
  </si>
  <si>
    <t>Who is behind the Breaking India movement?</t>
  </si>
  <si>
    <t>RM has meticulously researched the forces behind the Dalit movement and exposes their hidden agenda. There are several organizations based mainly in the US which have targeted India for conversion.</t>
  </si>
  <si>
    <t>https://www.youtube.com/watch?v=Wu9WbgwxgjI</t>
  </si>
  <si>
    <t>How &amp; Why Rajiv Malhotra Got Involved In These Activities #4</t>
  </si>
  <si>
    <t>https://www.youtube.com/watch?v=zqnotAbf-Cc</t>
  </si>
  <si>
    <t>Chaos, Decentralization, Self Organization - Pros &amp; Cons #10</t>
  </si>
  <si>
    <t>https://www.youtube.com/watch?v=oeFU8Lk35BI</t>
  </si>
  <si>
    <t>U-Turns Caused By Our Neglect #6</t>
  </si>
  <si>
    <t>The systematic campaign to tag India as a place where there is no religious freedom.</t>
  </si>
  <si>
    <t xml:space="preserve">Extensive research by RM has revealed how churches, governments, private think-tanks, foundations, academic institutions provide funding, ideology and manpower. Media also cooperates by painting a biased view of the happenings in India. </t>
  </si>
  <si>
    <t>https://www.youtube.com/watch?v=NfO_yqDrGWs</t>
  </si>
  <si>
    <t>Loss of Purva-paksha Tradition and Consequences #7</t>
  </si>
  <si>
    <t>Some Liberal Christians who get involved unknowingly in the Breaking India movement</t>
  </si>
  <si>
    <t xml:space="preserve">Some prestigious think tanks and liberal Christians in the US unknowingly get involved in the Breaking India activities without realizing the consequences of some of the actions they take. </t>
  </si>
  <si>
    <t>https://www.youtube.com/watch?v=uNPifASaoFM</t>
  </si>
  <si>
    <t>Social Sciences In Indian Colleges is Modelled On Western Social Constructs #9</t>
  </si>
  <si>
    <t xml:space="preserve">Understanding the campaign by vested interests for a Dravidian identity </t>
  </si>
  <si>
    <t>RM explains how the Dravidian narrative is carefully built by a well-executed campaign over several years involving even famous names.</t>
  </si>
  <si>
    <t>https://www.youtube.com/watch?v=0-LZkVdXTnc</t>
  </si>
  <si>
    <t>Decolonization, Purvapaksha, Secularism, Indian Identity #8</t>
  </si>
  <si>
    <t>https://www.youtube.com/watch?v=yIUwgFjMrg8</t>
  </si>
  <si>
    <t>Relevance of Indian Knowledge Systems: Rajiv Malhotra</t>
  </si>
  <si>
    <t>Using the minority card to create a divide</t>
  </si>
  <si>
    <t>Minorities are being whitewashed into believing they are victims leading to divisiveness and even violent confrontations.</t>
  </si>
  <si>
    <t>https://www.youtube.com/watch?v=pAHRrR6eeDU</t>
  </si>
  <si>
    <t>History of Indian Science Technology, SIES Mgt School, Mumbai: Rajiv Malhotra</t>
  </si>
  <si>
    <t>GoI intervention is needed to stem the Breaking India movement</t>
  </si>
  <si>
    <t>The Govt. of India has strangely remained quiet with regard to the Breaking India movement. In addition to private stakeholders, the government should also get involved and protest to the US government. The Chinese response to similar situations is interesting.</t>
  </si>
  <si>
    <t>https://www.youtube.com/watch?v=EWnc9FdyP7s</t>
  </si>
  <si>
    <t>Commerce College 2013 1. Introduction</t>
  </si>
  <si>
    <t>https://www.youtube.com/watch?v=LI3VwCn-0WI</t>
  </si>
  <si>
    <t>Commerce College . 13 3.Discussion: We Understand the Americans better than we Understand Ourselves</t>
  </si>
  <si>
    <t>How to make more people aware of the Breaking India movement</t>
  </si>
  <si>
    <t>Steps need to be taken beyond publishing the book to spread the message from the book to a larger audience. Some measures include Tamil translation, debates, lobbying with the US government etc.</t>
  </si>
  <si>
    <t>https://www.youtube.com/watch?v=yVdcSMOWtxM</t>
  </si>
  <si>
    <t>Commerce College 2013 2. - Lecture: My journey; the Indian crisis; Sensex economy and modern shudras</t>
  </si>
  <si>
    <t>In the initial part, the video jumps around quite a bit and then settles down.</t>
  </si>
  <si>
    <t>https://www.youtube.com/watch?v=Yf6-fJ-LcU8</t>
  </si>
  <si>
    <t>Commerce College 2013 4. Discussion: Assimilation and retaining Civilizational Distinctiveness</t>
  </si>
  <si>
    <t>Why are Indian leaders unable to take bold steps on anti-conversion?</t>
  </si>
  <si>
    <t>RM's view is that we need strong and clean leaders to initiate bold steps against conversion. Sadly, India lacks that and hence most leaders can be compromised.</t>
  </si>
  <si>
    <t>https://www.youtube.com/watch?v=L2rJctVLi3M</t>
  </si>
  <si>
    <t>Commerce College 2013 5. Discussion: What inspired me and the role of my sadhana</t>
  </si>
  <si>
    <t xml:space="preserve">The challenges in getting organized support against Breaking India forces in India </t>
  </si>
  <si>
    <t>Media, politicians, corporates cannot be relied on to support campaign against Breaking India forces as they have their own agendas to fulfill. However, the defence sector is cognizant of the challenges that India as a nation faces from such forces and are supportive.</t>
  </si>
  <si>
    <t>https://www.youtube.com/watch?v=wm8QHjKcDf8</t>
  </si>
  <si>
    <t>the audio quality when the question is being asked is not good</t>
  </si>
  <si>
    <t>Commerce College 2013 6. Discussion: What should be goal of students - career or serve the culture</t>
  </si>
  <si>
    <t>The three external threats that India faces</t>
  </si>
  <si>
    <t>The West, Islam and China are always at work to convert the large Indian population to their agenda. The inaction of the Indian Government enables them to get away with such activities.</t>
  </si>
  <si>
    <t>https://www.youtube.com/watch?v=U37L8EPVc5s</t>
  </si>
  <si>
    <t>Commerce College 2013 7. Role of Indian languages, control of global standards discourse, &amp; power</t>
  </si>
  <si>
    <t>https://www.youtube.com/watch?v=ja-cxuo3ugc</t>
  </si>
  <si>
    <t>Commerce College 2013 8. Discussion: Causes of youth disconnect from deep knowledge of roots</t>
  </si>
  <si>
    <t>Can India's inherent strengths not protect her from Breaking India forces?</t>
  </si>
  <si>
    <t>Over 2000 years ago, India extended from Afghanistan to Bali. The country has lost 80% of its land to the two new religions that have been expanding aggressively. The partition threat is alive even today in Kashmir, NE and Tamil Nadu.</t>
  </si>
  <si>
    <t>https://www.youtube.com/watch?v=F95dqGlnggo</t>
  </si>
  <si>
    <t>Indian Qualities that are Special &amp; Exportable_Commerce College 2013 #9</t>
  </si>
  <si>
    <t>https://www.youtube.com/watch?v=9IzjjqFO5c8</t>
  </si>
  <si>
    <t>Baba Ramdev's Ashram: A Welcome Hug &amp; Discussion on Reversing the Gaze #1</t>
  </si>
  <si>
    <t>Will truth not prevail over the Breaking India forces?</t>
  </si>
  <si>
    <t>Like in any competitive arena, the best team wins irrespective of whether they are speaking the truth or not.</t>
  </si>
  <si>
    <t>3 years ago</t>
  </si>
  <si>
    <t>the audio quality when the question is being asked is not good; video jumps around initially</t>
  </si>
  <si>
    <t>https://www.youtube.com/watch?v=5YuNKvTZtdM</t>
  </si>
  <si>
    <t>Baba Ramdev's Ashram Vid 11: How to Name &amp; Position Hindi Edition of Breaking India</t>
  </si>
  <si>
    <t>Willingness of people to contribute to Rajiv Malhotra's efforts</t>
  </si>
  <si>
    <t xml:space="preserve">RM describes the attitude of people when it comes to contributing to the anti - Breaking India efforts. Most Indians tend to be cheerleaders rather than active participants despite the gravity of the situation. </t>
  </si>
  <si>
    <t>Please see if this clip is required in terms of content.</t>
  </si>
  <si>
    <t>https://www.youtube.com/watch?v=XeCuvEX-tow</t>
  </si>
  <si>
    <t>Baba Ramdev's Ashram: Rajiv &amp; Baba Brainstorm #14</t>
  </si>
  <si>
    <t>This can be dropped</t>
  </si>
  <si>
    <t>https://www.youtube.com/watch?v=182HueOxCaU</t>
  </si>
  <si>
    <t>Baba Ramdev Introduces Rajiv Malhotra to his Ashram Audience #2</t>
  </si>
  <si>
    <t>Why is there a need to manage our Hindu civilization discourse?</t>
  </si>
  <si>
    <t>https://www.youtube.com/watch?v=t63m6GCrKbw</t>
  </si>
  <si>
    <t>Discourses shape social realities and therefore the future. It is imperative to therefore have a discourse on our civilization so that we have a say in our future rather than allow others to dictate it.</t>
  </si>
  <si>
    <t>How Ayurveda Got Plagiarized by the Aveda Brand #5</t>
  </si>
  <si>
    <t>https://www.youtube.com/watch?v=Dymxd9hAemA</t>
  </si>
  <si>
    <t>Rajiv Malhotra Exposes How Foreign Nexuses Operate in India #4</t>
  </si>
  <si>
    <t>What is a discourse?</t>
  </si>
  <si>
    <t xml:space="preserve">Borrowing IT terminology, discourse is like the "apps" part of the equation if you consider temple etc. as the infrastructure. </t>
  </si>
  <si>
    <t>The content is generic</t>
  </si>
  <si>
    <t>Is Western collaboration necessary to manage the Hindu discourse?</t>
  </si>
  <si>
    <t>Involving Western institutions will mean giving up control of what will be disseminated to them. This is like colonization all over again.</t>
  </si>
  <si>
    <t>https://www.youtube.com/watch?v=RKYffxIB9EM</t>
  </si>
  <si>
    <t>Baba Ramdev's Ashram Vid 3: Rajiv &amp; Baba Ramdev Discuss Long Range Forces Breaking India</t>
  </si>
  <si>
    <t>Are Hindus present in the discourse forums?</t>
  </si>
  <si>
    <t>Hindus are not sufficiently present in discourse forums, Even our gurus and acharyas are unprepared when it comes to understanding the Western point of view and presenting a solid argument. The concept of purva paksha has been forgotten. Independent thinkers are necessary to change perspectives.</t>
  </si>
  <si>
    <t>https://www.youtube.com/watch?v=gU4jkSa9phY</t>
  </si>
  <si>
    <t>Overview of Rajiv's Mission to Decolonize India Studies #6</t>
  </si>
  <si>
    <t>https://www.youtube.com/watch?v=y-v-Ijc7W3Y</t>
  </si>
  <si>
    <t>Baba Ramdev's Ashram Vid 10: What inspired Rajiv to Research &amp; Write</t>
  </si>
  <si>
    <t>How Hindus can initiate discourses that cannot be ignored</t>
  </si>
  <si>
    <t>What is effective is for Hindus to hold public discourses that challenge institutions and people of today rather than criticize history. Avoiding naming names ensures that your discourse is ignored by your opponent. RM's approach has therefore been to take on public discourses/intellectual discussions with living thinkers.</t>
  </si>
  <si>
    <t>https://www.youtube.com/watch?v=zVH1ZOi2_yk</t>
  </si>
  <si>
    <t>Baba Ramdev's Ashram Vid 12: Baba Ramdev's Comments on Rajiv's Talk &amp; Work</t>
  </si>
  <si>
    <t>There is some coughing that I hear in the background. Can this be removed?</t>
  </si>
  <si>
    <t>https://www.youtube.com/watch?v=F-ZzB9uBQNs</t>
  </si>
  <si>
    <t>Why People of India did not get Genocided like Native Americans: Rajiv Malhotra #9</t>
  </si>
  <si>
    <t>https://www.youtube.com/watch?v=AOQPqjRx-0c</t>
  </si>
  <si>
    <t>Baba Ramdev's Ashram Vid 8: Indian Civilization Spread by Different Means than Others</t>
  </si>
  <si>
    <t>https://www.youtube.com/watch?v=8ZJ9Ubv74Fc</t>
  </si>
  <si>
    <t>Why Rajiv Malhotra Endorses Baba Ramdev as President of India #7</t>
  </si>
  <si>
    <t>Tracing the growth of Anti-India causes</t>
  </si>
  <si>
    <t>RM explains how causes such as the Dravidian  identity and Dalit movement have been created and nurtured by vested interests over the years.</t>
  </si>
  <si>
    <t>https://www.youtube.com/watch?v=9ScY3DQ8lnM</t>
  </si>
  <si>
    <t>Rajiv Malhotra's Google Hangout for a Better India</t>
  </si>
  <si>
    <t>Who is involved in the Anti-India nexus and their modus operandi</t>
  </si>
  <si>
    <t>The Western church, evangelists, right wing politicians are the key powers and they make use of people from India to play the Dalit face.</t>
  </si>
  <si>
    <t>https://www.youtube.com/watch?v=gKt4SG-pAmw</t>
  </si>
  <si>
    <t>Introduction by the Director of Vivekananda Int'l Foundation</t>
  </si>
  <si>
    <t>The anti-India forces are church based, secular left-wing think tanks, government agencies, and academics  in the US and Europe. In India the left is aligned with the right wing Christians as the common goal is to break India.</t>
  </si>
  <si>
    <t>https://www.youtube.com/watch?v=2p91-Fy5A6Q</t>
  </si>
  <si>
    <t>Arun Shourie quotes Indra's Net to clarify 'vasudhaiva kutumbakam'</t>
  </si>
  <si>
    <t>The content is similar or can be clubbed with clip 33.02</t>
  </si>
  <si>
    <t>Defining who is a minority in India</t>
  </si>
  <si>
    <t>https://www.youtube.com/watch?v=30958J1ez4k</t>
  </si>
  <si>
    <t>Conclusion and Book Signing</t>
  </si>
  <si>
    <t>The content is similar or can be clubbed with clip 22.06</t>
  </si>
  <si>
    <t>Corruption in the Christian conversion process</t>
  </si>
  <si>
    <t>Many middlemen siphon off grant money from the West to be used for conversion purposes.</t>
  </si>
  <si>
    <t>https://www.youtube.com/watch?v=nEEhdprZ-EE</t>
  </si>
  <si>
    <t>Arun Shourie's Lecture on Rajiv Malhotra's Book "Indra's Net"</t>
  </si>
  <si>
    <t>The content is similar or can be clubbed with clip 29.03</t>
  </si>
  <si>
    <t>https://www.youtube.com/watch?v=dXkhbNnOMy0</t>
  </si>
  <si>
    <t>Rajiv Malhotra's Lecture on Indra's Net</t>
  </si>
  <si>
    <t>What is Western Universalism?</t>
  </si>
  <si>
    <t>The West's point of view of the world, the truth, history, philosophy, religion and so on has become universal, although no one school of thought can claim to be an absolute authority.  Just like the Chinese and Islam have managed to create their own identity, can India do the same?</t>
  </si>
  <si>
    <t>https://www.youtube.com/watch?v=YD-IKZbbHeU</t>
  </si>
  <si>
    <t>Public Meeting &amp; Talk on 'Indra's Net' in Bangalore, 19 Jan 2014: Opening Ceremonies</t>
  </si>
  <si>
    <t>https://www.youtube.com/watch?v=mLEhBqCBBYE</t>
  </si>
  <si>
    <t>Public Meeting &amp; Talk on 'Indra's Net' Bangalore, 1/19/2014: Is Hinduism defined as a way of life?</t>
  </si>
  <si>
    <t>Why Being Different is important for India</t>
  </si>
  <si>
    <t>The alternative to being different is to be digested  - this means homogenous cultures which is not a good thing as diversity is essential in the universe. Borrowing without harming the source is a good thing. It is how humanity advances by learning from each other. But in Digestion per se, there is no trace of the source left - as Pagans getting digested into Christianity</t>
  </si>
  <si>
    <t>Why do Westerners disassociate from their Indian source of knowledge?</t>
  </si>
  <si>
    <t>https://www.youtube.com/watch?v=cshbkDak_p0</t>
  </si>
  <si>
    <t>RM and Dr. Singh, Center of Indic Studies at UMass discuss this issue. While younger Americans are sincere in their quest for knowledge, however, as they learn more, they reach a point (RM calls it the U-turn) where they have to give up their Western identity. Most Westerners are unwilling to do that.</t>
  </si>
  <si>
    <t>Public Meeting &amp; Talk on 'Indra's Net' Bangalore, 1/19/2014: Why is the book titled 'Indra's Net'?</t>
  </si>
  <si>
    <t>How Hindu Gurus are furthering Western universalism and the digestion process</t>
  </si>
  <si>
    <t>Indians help Western universalism by translating Sanskrit text into English although it distorts the meaning, and compromise on our tradition.</t>
  </si>
  <si>
    <t>https://www.youtube.com/watch?v=kmJLZRzZhUA</t>
  </si>
  <si>
    <t>Rajiv Malhotra Talk on new Book 'Indra's Net' Bengaluru: What should we do about media biases</t>
  </si>
  <si>
    <t>Spreading the Being Different revolution</t>
  </si>
  <si>
    <t>Targeting three key stakeholders - academia, gurus and corporates, and engaging with them will help spread the Being Different revolution</t>
  </si>
  <si>
    <t>https://www.youtube.com/watch?v=myyrtrylWQs</t>
  </si>
  <si>
    <t>Public Meeting &amp; Talk on "Indra's Net" Bangalore 1/19/14: Where do you see India in the year 2020?</t>
  </si>
  <si>
    <t>Inspiration behind Being DIfferent</t>
  </si>
  <si>
    <t>https://www.youtube.com/watch?v=v6x52noLJOo</t>
  </si>
  <si>
    <t>RM worked with several academics to write about Hinduism but his experience was not satisfactory, he started writing blogs, talking in conferences and writing books on his own to express his ideas.</t>
  </si>
  <si>
    <t>Talk on 'Indra's Net': Clarification on Mutual Respect</t>
  </si>
  <si>
    <t>The Hindu viewpoint present at the table</t>
  </si>
  <si>
    <t>BY reviving the roots of our civilization, we will be able to present solutions from our view point to many of the challenges plaguing the people today.</t>
  </si>
  <si>
    <t>https://www.youtube.com/watch?v=7zvf9bnLgs8</t>
  </si>
  <si>
    <t>What is wrong with Ford Foundation: Rajiv Malhotra</t>
  </si>
  <si>
    <t>Why is the Indian civilization under-represented in the cross-fertilization of civilization discussions?</t>
  </si>
  <si>
    <t>https://www.youtube.com/watch?v=7RTlRYpr7o8</t>
  </si>
  <si>
    <t>Public Meeting &amp; Talk on 'Indra's Net' in Bangalore 1/19/14: Description of Rajiv's Bangalore trip</t>
  </si>
  <si>
    <t>How can the Indic voice get created?</t>
  </si>
  <si>
    <t>By using the Purva Paksha method or studying the other view, it is possible to arrive at the commonalities within the Indic tradition and develop an Indic voice. It will help show what is different and non-digestible about the Indian civilization.</t>
  </si>
  <si>
    <t>https://www.youtube.com/watch?v=Th1s8XrKhnk</t>
  </si>
  <si>
    <t>Public Meeting/Talk on 'Indra's Net' Bangalore 1/19/14: Release Kannada edition of Being Different</t>
  </si>
  <si>
    <t>https://www.youtube.com/watch?v=oYXPvuD_ejM</t>
  </si>
  <si>
    <t>Talk on his The Book 'Indra's Net' by Rajiv Malhotra in Bangalore</t>
  </si>
  <si>
    <t>The West's point of view of the world, the truth, history, philosophy, religion and so on has become universal, although no one school of thought can claim to be an absolute authority.  Just like the Chinese and Japanese have managed to create their own identity while becoming modern, can India do the same?</t>
  </si>
  <si>
    <t>https://www.youtube.com/watch?v=Cs9JbmZ0poM</t>
  </si>
  <si>
    <t>'Indra's Net': Sri Sri Sri Nirmalanandanath Swamy's Address</t>
  </si>
  <si>
    <t>Content is similar to 92.01</t>
  </si>
  <si>
    <t>https://www.youtube.com/watch?v=xGvABG6vfLg</t>
  </si>
  <si>
    <t>Public Meeting/Talk Indra's Net, Bangalore 1/19/14: N Kumar-Justice of Karnataka High Court Address</t>
  </si>
  <si>
    <t>Being digested results in adopting the Western way of thinking for everything. Western countries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t>
  </si>
  <si>
    <t>https://www.youtube.com/watch?v=QfYz6BBYpWg</t>
  </si>
  <si>
    <t>Public Meeting &amp; Talk on 'Indra's Net' Bangalore 1/19/14: Conclusion of the event</t>
  </si>
  <si>
    <t>Content is similar to 92.02</t>
  </si>
  <si>
    <t>What should India do to prevent being digested?</t>
  </si>
  <si>
    <t>Focus on the non-digestible factors - 1.Adhyatma Vidya (embodied knowing) 2. Integral Unity 3. Attitude towards chaos 4. Certain Sanskrit words need to be non-translatable</t>
  </si>
  <si>
    <t>https://www.youtube.com/watch?v=-rJtFWVJpjA</t>
  </si>
  <si>
    <t>Ramakrishna Mission's Institute of Culture, Kolkata: Relationship between spirituality &amp; science?</t>
  </si>
  <si>
    <t>Audio quality dips towards the end but mostly ok. This is a long clip as RM talks about 4 non-digestible aspects of Indian culture in some detail. I thought it made better sense to retain it as 1 clip instead of breaking it into 4 diff. ones</t>
  </si>
  <si>
    <t xml:space="preserve">Why is there no Sanskrit equivalent for the word chaos? </t>
  </si>
  <si>
    <t xml:space="preserve">Absence of a particular word indicates that that civilization has not had the experience. RM explains about the differences between using "tolerance" and "mutual respect" and urges us to use "Mutual Respect". </t>
  </si>
  <si>
    <t>https://www.youtube.com/watch?v=iY88UCitwGY</t>
  </si>
  <si>
    <t>Ramakrishna Mission's Institute of Culture, Kolkata: Q&amp;A - Concerning the use of the word "Hindu"</t>
  </si>
  <si>
    <t>Purva Paksha as a technique to oppose Western universalism</t>
  </si>
  <si>
    <t xml:space="preserve">RM uses the Purva Paksha technique to make our views and customs known and show how different they are </t>
  </si>
  <si>
    <t>https://www.youtube.com/watch?v=KBA7GLExw3o</t>
  </si>
  <si>
    <t>Ramakrishna Mission's Institute of Culture, Kolkata: Q&amp;A - Who composes a Grand Narrative?</t>
  </si>
  <si>
    <t>https://www.youtube.com/watch?v=DoYL7K2djDY</t>
  </si>
  <si>
    <t>Is The Grand Narrative Divisive? How To Protect Our Openness?</t>
  </si>
  <si>
    <t>https://www.youtube.com/watch?v=GajqTVRZzfE</t>
  </si>
  <si>
    <t>Ramakrishna Mission's Institute of Culture, Kolkata: Rajiv Malhotra's Lecture</t>
  </si>
  <si>
    <t>AIM for Seva and its work in Tamilnadu</t>
  </si>
  <si>
    <t xml:space="preserve">RM's trip to India to visit the AIM for Seva organization in TN and understand its work better. AIM for Seva has helped restore livelihoods in the Tsunami hit villages of Tamil Nadu  </t>
  </si>
  <si>
    <t>https://www.youtube.com/watch?v=QPVDHJcsv5U</t>
  </si>
  <si>
    <t>Let's Protect Our Adhyatmic (Inner) Sciences From Quackery: Rajiv Malhotra</t>
  </si>
  <si>
    <t>This clip is all about AIM Seva and its work in TN. Please see if this is required as the content is not of the usual type</t>
  </si>
  <si>
    <t>The Christian evangelisation agenda</t>
  </si>
  <si>
    <t>Christian institutions used the post-Tsunami period to spread their agenda under the guise of restoration. However, the help they rendered was not significant and in some cases not relevant too.</t>
  </si>
  <si>
    <t>https://www.youtube.com/watch?v=pfw-rEK12IA</t>
  </si>
  <si>
    <t>IITK Indian Mind Sciences &amp; Their Importance Today:Loss of Liberal Arts &amp; Creativity in Indian Univ</t>
  </si>
  <si>
    <t>Some of the audio is feeble and accent may be difficult to decipher. Suggest using sub-titles</t>
  </si>
  <si>
    <t>Conversion of temples into monuments by ASI</t>
  </si>
  <si>
    <t>The Tsunami exposed several deities which were under the sea in Mahabalipuram. Now ASI is declaring these to be monuments, in essence declaring these religious assets to be dead.</t>
  </si>
  <si>
    <t>https://www.youtube.com/watch?v=4H5piNrmsCU</t>
  </si>
  <si>
    <t>IIT Kharagpur Indian Mind Sciences &amp; Their Importance Today: Rajiv's Guest Lecture</t>
  </si>
  <si>
    <t>Busting some caste based myths</t>
  </si>
  <si>
    <t>An example is shown - A priest from Vanniyar community (classified as most backward caste) performs the puja in an old temple in TN and has been doing it for 50 years. He has taken this over from his father. This dismisses the theory of only Brahmin priests being allowed to function in temples. ANother example is shown from a Veda patashala</t>
  </si>
  <si>
    <t>https://www.youtube.com/watch?v=bEc29vVNLOc</t>
  </si>
  <si>
    <t>IITK Indian Mind Sciences &amp; Their Importance Today: correct histories to pursue inner sciences</t>
  </si>
  <si>
    <t>Audio is not clear; sub-titles need to be reworked - it is not legible and in some places rushes by without giving time for the viewer to read; there is a lag between the audio and lip movement</t>
  </si>
  <si>
    <t>https://www.youtube.com/watch?v=7WA-8QBd5Tk</t>
  </si>
  <si>
    <t>IIT Kharagpur Indian Mind Sciences &amp; Their Importance Today: Inner Sciences &amp; Simple Living</t>
  </si>
  <si>
    <t>Dr. Subramanian Swamy on World Peace &amp; Globalization</t>
  </si>
  <si>
    <t xml:space="preserve">Dr. Swamy offers a different perspective on achieving world peace. He says that appeasement will never help achieve peace. For peace to exist: human rights have to be secured and religious conversions have to be stopped. Globalization does not mean the use of only cheap labour. It has to be morally and socially tolerant. For world peace and globalization to succeed, we also need to become spiritually intelligent. </t>
  </si>
  <si>
    <t>https://www.youtube.com/watch?v=3asYCknfoMo</t>
  </si>
  <si>
    <t>IITK Indian Mind Sciences &amp; Their Importance Today: Advance Indian Ed Beyond Supplying Tech Coolies</t>
  </si>
  <si>
    <t>Audio can be louder although there is clarity</t>
  </si>
  <si>
    <t>https://www.youtube.com/watch?v=4gAHt9ki2xY</t>
  </si>
  <si>
    <t xml:space="preserve">Rajiv Malhotra on mutual respect in religion </t>
  </si>
  <si>
    <t>Dr. Deepika Kothari introduces her film at launch of 'History of Yoga' film, Mumbai 1/26/2014</t>
  </si>
  <si>
    <t>Religious conversion, absence of respect for the other religion and need for "exclusivity" all lead to conflict.</t>
  </si>
  <si>
    <t>Rajiv Malhotra on fabrication of history to create an ethnic identity</t>
  </si>
  <si>
    <t>Selling people a history that creates an identity and a conflict. RM provides examples to show how Germans, British etc. created an identity for themselves. The Dravidian identity was similarly by the British. This formed the basis for conversion to Christianity and creating a divide through the Dalit movement, youth empowerment and women's empowerment in Tamil Nadu and AP. So this false history has to be corrected.</t>
  </si>
  <si>
    <t>https://www.youtube.com/watch?v=TbQkh6axHEM</t>
  </si>
  <si>
    <t>Rajiv Malhotra Lecture as Chief Guest at launch of 'History of Yoga' film, Mumbai 1/26/2014</t>
  </si>
  <si>
    <t>https://www.youtube.com/watch?v=1_8y5fSSOlE</t>
  </si>
  <si>
    <t>Rajiv Malhotra's Endorsement of the Film, "History of Yoga"</t>
  </si>
  <si>
    <t>Content similar to clip 22.06</t>
  </si>
  <si>
    <t>https://www.youtube.com/watch?v=jaw4U_s24zo</t>
  </si>
  <si>
    <t>Alternatives to Western Universalism</t>
  </si>
  <si>
    <t>Event Introduction - Indus University Release of Indra's Net Jan 29 2014</t>
  </si>
  <si>
    <t xml:space="preserve">RM explains how China has come up with a Confucian model as an alternative to Western Universalism. They did not want to accept the Western view of globalization. Similarly, Islam has come up with its own model. However, Indians are embarrassed to establish their own identity similarly. </t>
  </si>
  <si>
    <t>https://www.youtube.com/watch?v=R2XPp4eJXLk</t>
  </si>
  <si>
    <t>Indus University Release of The Book Indra's Net_Q&amp;A</t>
  </si>
  <si>
    <t>Rajiv Malhotra on what liberalism means today</t>
  </si>
  <si>
    <t>Liberalism started out as economic egalitarianism in America. Today racial parity is also being sought. However, religious equality is still far away.</t>
  </si>
  <si>
    <t>https://www.youtube.com/watch?v=d9iObjKR5yI</t>
  </si>
  <si>
    <t>India's Grand Narrative &amp; Talk on The Book 'Indra's Net' at Indus Uniersity</t>
  </si>
  <si>
    <t xml:space="preserve">Enforcing an international code of ethics </t>
  </si>
  <si>
    <t>Dr. Swamy and RM's views on dealing with violations of trade agreements when dealing with countries such as China.</t>
  </si>
  <si>
    <t>While content is good, not sure if this is relevant for a clip</t>
  </si>
  <si>
    <t>https://www.youtube.com/watch?v=Ow3nJA8fhhQ</t>
  </si>
  <si>
    <t>Rajiv Malhotra in Conversation with Mohandas Pai - Bangalore Literary Festival</t>
  </si>
  <si>
    <t>The expected benefits and flipside of globalization</t>
  </si>
  <si>
    <t>Globalization should happen in such a way that it ensures economic harmony, is socially tolerable and morally adequate. The flip side of globalization which will intensify conflicts is when competing forces fight for resources. Example is  Christian evangelisation and this is a new perspective.</t>
  </si>
  <si>
    <t>2 years ago</t>
  </si>
  <si>
    <t>https://www.youtube.com/watch?v=yr_-UHm07rM</t>
  </si>
  <si>
    <t>Rajiv Malhotra Panel Bangalore Literature Festival Sept, 2014</t>
  </si>
  <si>
    <t>Is the minority card being used correctly?</t>
  </si>
  <si>
    <t>RM gives the example of President Obama who ran as an American and not as someone representing a minority. We need similar thinking mirrored in India among the politicians who tend to carry a chip over their shoulder as a minority.</t>
  </si>
  <si>
    <t>https://www.youtube.com/watch?v=JNg9hu1QURw</t>
  </si>
  <si>
    <t>Rajiv in conversation w/ Rajendra Pawar Chairman &amp; Harpal Singh Trustee, NIIT</t>
  </si>
  <si>
    <t>Should commonalities between various religions be focused on over differences?</t>
  </si>
  <si>
    <t>Differences should not be treated as problem, rather they should be celebrated. Looking for sameness can lead to pressures and conflict.</t>
  </si>
  <si>
    <t>https://www.youtube.com/watch?v=11Ben3IvDQ0</t>
  </si>
  <si>
    <t>Rajiv Malhotra's inaugural message at the launch of the ASIAN LENS initiative by NIIT University</t>
  </si>
  <si>
    <t>Conflict between Christianity and Islam</t>
  </si>
  <si>
    <t>Both religions are trying to establish a supremacy and as a result target people belonging to non-proselytizing religions. In fact, Christianity has a systematic plan with targets by zip codes in countries such as India to achieve this.</t>
  </si>
  <si>
    <t>https://www.youtube.com/watch?v=xjZO-uNelDI</t>
  </si>
  <si>
    <t>1. Introduction to Q&amp;A session in Washington DC</t>
  </si>
  <si>
    <t>The Varna system in today's context</t>
  </si>
  <si>
    <t>The four Varnas are based on skills and not by birth and not to be confused with caste.</t>
  </si>
  <si>
    <t>https://www.youtube.com/watch?v=6oKx_bFPSSA</t>
  </si>
  <si>
    <t>2. Rajiv describes the stages of his own journey over the past 20 years</t>
  </si>
  <si>
    <t>Religious freedom involves being responsible and ethical and not exploiting poor people.</t>
  </si>
  <si>
    <t>Religious organizations like churches should be responsible about their messages they promote especially in countries like India. It is immoral to state that a person will go to hell for following another religion.Churches use their financial muscle to convert people in India which is not morally correct.</t>
  </si>
  <si>
    <t>https://www.youtube.com/watch?v=_Anq0CTYGt8</t>
  </si>
  <si>
    <t>3. Who is Rajiv's guru</t>
  </si>
  <si>
    <t>Conversion to Christianity does not solve caste problems</t>
  </si>
  <si>
    <t>Christianity in India has a thriving caste system built into it. This is the same in places like the Philippines and even in America there is a hierarchy. It is a myth that Christianity has overcome the caste problem.</t>
  </si>
  <si>
    <t>https://www.youtube.com/watch?v=_xIbCmTtK8s</t>
  </si>
  <si>
    <t>4. What are the four books Rajiv has published thus far</t>
  </si>
  <si>
    <t>History of Indian education - the British impact</t>
  </si>
  <si>
    <t xml:space="preserve">The British rule in India did away with the traditional methods of learning and instead brought about a system that did not encourage thinking. Today we look upon our culture and heritage with an inferiority complex and view it favourably only when a foreign scholar lectures on it. </t>
  </si>
  <si>
    <t>https://www.youtube.com/watch?v=qGie_-i1j6o</t>
  </si>
  <si>
    <t>What is Neo Hinduism &amp; Why Our Opponents Want to Propagate it #5</t>
  </si>
  <si>
    <t>Dr. Subramanian Swamy on why India should be concerned about conversion to Christianity?</t>
  </si>
  <si>
    <t>Conversions are funded by limitless foreign resources and it is not a level playing field.</t>
  </si>
  <si>
    <t>https://www.youtube.com/watch?v=VwTbkm1NN4Y</t>
  </si>
  <si>
    <t>Why is Namaz Practice in Islam Not 'Embodied' in the Dharma Sense #6</t>
  </si>
  <si>
    <t>https://www.youtube.com/watch?v=WQObFfIG62Q</t>
  </si>
  <si>
    <t>7. Explain your goal of being non ignorable</t>
  </si>
  <si>
    <t>What is Colonization?</t>
  </si>
  <si>
    <t>What is colonization? Who is a Colonizer, who gets colonized? What does decolonization and recolonization mean?</t>
  </si>
  <si>
    <t>https://www.youtube.com/watch?v=CouNRYMLDmY</t>
  </si>
  <si>
    <t>8. What are your issues with funding India related chairs in the West</t>
  </si>
  <si>
    <t>Losing the identity of your tradition</t>
  </si>
  <si>
    <t>We sacrifice our traditions to the influence of stronger forces. Gandhi is a striking example of someone who stuck to dharmic traditions always.</t>
  </si>
  <si>
    <t>https://www.youtube.com/watch?v=ZWkU2WQv4mM</t>
  </si>
  <si>
    <t>9. How should we infiltrate the Western academy</t>
  </si>
  <si>
    <t>What does de-colonization entail?</t>
  </si>
  <si>
    <t xml:space="preserve">This involves taking on living mechanisms including scholars and being clear in the message delivery instead of issuing vague statements. Some taboos in academic circles will also need  to be overcome. </t>
  </si>
  <si>
    <t>https://www.youtube.com/watch?v=ziCW-l-SXRM</t>
  </si>
  <si>
    <t>What Should Hindus do to Compete Against Church Seminaries Producing Research #10</t>
  </si>
  <si>
    <t>How academic institutions compare India &amp; China</t>
  </si>
  <si>
    <t>When it comes to China, these institutions stay away from forbidden topics such as Tibet whereas they focus exclusively on such topics for India. The Chinese govt. carefully controls the visas of Western scholars whereas India is open. India does not evaluate the agenda of such scholars who come to our country. The Ford Foundation is an example of such an institution which has a biased agenda in India and is not open or transparent about it.</t>
  </si>
  <si>
    <t>https://www.youtube.com/watch?v=mNRX-8C-RmY</t>
  </si>
  <si>
    <t>11. How to scale up Rajiv's work to become like a research seminary</t>
  </si>
  <si>
    <t>https://www.youtube.com/watch?v=hH3jbt-s4aY</t>
  </si>
  <si>
    <t>Rajiv Malhotra in conversation with Aam Admi Party leaders just before election</t>
  </si>
  <si>
    <t>Colonization - a definition</t>
  </si>
  <si>
    <t>Islamic colonization has also spread its wings - usage of purdah is an example of how Hindu tradition has adopted this custom from Islam to make ourselves more like them. This is because of the anxiety to reduce differences between cultures instead of celebrating them.</t>
  </si>
  <si>
    <t>https://www.youtube.com/watch?v=zyTsxv3NJzA</t>
  </si>
  <si>
    <t>Decolonization mindset among Indian academia</t>
  </si>
  <si>
    <t>Rajiv Malhotra: Chief Guest Manipal Univ_Intl Conf on Language &amp; Literature</t>
  </si>
  <si>
    <t>Most Indian academic scholars find it difficult to voice their opinions on decolonization. Hindu scholars are unable to overcome their mindset and refuse to be a gamechanger and court controversy. There are a few exceptions only.</t>
  </si>
  <si>
    <t>https://www.youtube.com/watch?v=yYhGJH2NjBA</t>
  </si>
  <si>
    <t>Western Dichotomies towards Dharma - Rajiv Malhotra Lecture at India House, Houston Dec 13 2014</t>
  </si>
  <si>
    <t>Who has adhikar to speak on Dharma?</t>
  </si>
  <si>
    <t>In the Hindu tradition, the guru who has had embodied experience, has the adhikar. This is very different from the Western intellectual approach. Accepting the western way of evaluating gurus implies a colonized mind.</t>
  </si>
  <si>
    <t>https://www.youtube.com/watch?v=R_G2Gd70LiY</t>
  </si>
  <si>
    <t>Hindu-Christian Debate Between Rajiv Malhotra &amp; Christian Eberhart</t>
  </si>
  <si>
    <t>https://www.youtube.com/watch?v=k6dsew1B6SE</t>
  </si>
  <si>
    <t>Indian Americans &amp; Indian Grand Narrative - Rajiv Malhotra Lecture/Q&amp;A Woodlands Temple Dec 14 2014</t>
  </si>
  <si>
    <t>Is model-centric Science the only kind of science?</t>
  </si>
  <si>
    <t>Western science relies on empirical evidence.  On the other hand, Acupuncture is a science that has been empirically verifiable. However, it has not been accepted by Western practitioners because the model it does not fit in what they are used to. Even among the western models, each science, biology, physics, psychology and sociology, is independent and not integrated.</t>
  </si>
  <si>
    <t>At one point, the camera goes off focus and we see a part of RM's arm.</t>
  </si>
  <si>
    <t>https://www.youtube.com/watch?v=X4TDNzwe3s4</t>
  </si>
  <si>
    <t>John Dayal - Debating foreign funded NGOs with John Dayal and others</t>
  </si>
  <si>
    <t>Indian science is heuristic and algorithm based</t>
  </si>
  <si>
    <t>Heuristic approach involves trying something and see how it works. Improvement comes from actual experience. Algorithmic based approach is a practical one. These alternative approaches to science also work proving that model based ones are the not the only way as believed by the West.</t>
  </si>
  <si>
    <t>Evidence of scientific activity in ancient India</t>
  </si>
  <si>
    <t xml:space="preserve">RM's Infinity Foundation is carrying out research that looks at physical and empirical verifiable evidence of early scientific activity in India. There are cases where there is physical evidence - example: evidence that zinc was distilled first in India for Ayurveda usage.  In some cases, there is text available (eg. Pushpak Vimana) but no physical evidence exists. </t>
  </si>
  <si>
    <t>https://www.youtube.com/watch?v=_OWY_haNDNI</t>
  </si>
  <si>
    <t>Rajiv Malhotra: Debating Foreign Funded NGOs with John Dayal &amp; others</t>
  </si>
  <si>
    <t>Some Indian traditional sciences are probabilistic in nature</t>
  </si>
  <si>
    <t>Science cannot be deterministic every time - economics and medicine are examples. Indian traditional sciences fall into this category - astrology, vastu etc. They should be subjected to clinical trials like in the case of acupuncture to show their validity.</t>
  </si>
  <si>
    <t>https://www.youtube.com/watch?v=s1VIjn0qPQg</t>
  </si>
  <si>
    <t>NDTV 'We the People' debate on Foreign NGOs moderated by Barkha Dutt</t>
  </si>
  <si>
    <t>Traditional Indian Sciences - how to show that it works</t>
  </si>
  <si>
    <t>Claims from traditional Indian Sciences have to be tested and proved. Controversial topics such as breath control/stopping, Kumbh mela have to be studied. Western scientists are also very interested in neurosciences practiced by Buddhist monks and yogis. Similarly botany text from ancient India(Ayurveda) is a great source of information. We need to show that a model is not required for an approach to be validated.</t>
  </si>
  <si>
    <t>https://www.youtube.com/watch?v=NpqJHyWjh7A</t>
  </si>
  <si>
    <t>Rajiv Opening Remarks - JNU Roundtable on Decolonizing the Academy &amp; Debating breaking India forces</t>
  </si>
  <si>
    <t>Sumeet Verma on history-centrism</t>
  </si>
  <si>
    <t>Comments by Sumeet Verma, Prof. of Psychology, Univ.of Delhi on history centrism after listening to RM's talk on his book Being Different. He links spiritual pyschology, integral unity and Sri Aurobindo's teachings.</t>
  </si>
  <si>
    <t>https://www.youtube.com/watch?v=m9xF54UZFuY</t>
  </si>
  <si>
    <t>Dr. Tribhuvan Singh - JNU Roundtable on Decolonizing the Academy &amp; Debating breaking India forces</t>
  </si>
  <si>
    <t>Not sure if these clips are required or can be dropped.</t>
  </si>
  <si>
    <t>Vladmir Yatsenko on the book Being DIfferent</t>
  </si>
  <si>
    <t>Comments by Vladmir Yatsenko, Scholar of Sanskrit and Sri Aurobindo on RM's book Being Different. He talks about being digested, embodied knowledge, history-centrism.</t>
  </si>
  <si>
    <t>https://www.youtube.com/watch?v=srr9jTynwdo</t>
  </si>
  <si>
    <t>Dr. Udit Raj Talk - JNU Roundtable on Decolonizing the Academy &amp; Debating Breaking India Forces</t>
  </si>
  <si>
    <t>Alok Pandey on RM's talk on the book Being DIfferent</t>
  </si>
  <si>
    <t>Comments by Alok Pandey, Scholar of Sri Aurobindo on being digested, fundamentalism, culture sensitivity, U-turn theory, non-transability of certain Sanskrit words.</t>
  </si>
  <si>
    <t>https://www.youtube.com/watch?v=w5KPpzfrQQY</t>
  </si>
  <si>
    <t>Prof Girish Nath Jha - JNU Roundtable on Decolonizing the Academy &amp; Debating Breaking India Forces</t>
  </si>
  <si>
    <t>Larry Seidlitz gives a Western perspective on the book Being DIfferent</t>
  </si>
  <si>
    <t>Comments by Larry Seidlitz, Scholar of Sri Aurobindo gives his Western perspective on the book Being Different. He feels that not all Westerners feel the same way as is depicted in the book. Indians should feel more confident about their own culture and practices and this would disallow unwanted Western influences.</t>
  </si>
  <si>
    <t>Sampadananda Mishra on translating Sanskrit to any European language</t>
  </si>
  <si>
    <t>Comments by Sampadananda Mishra, Director Sri Aurobindo Foundation for Indian Culture on translating Sanskrit text. His view is that this cannot be done and provides few examples. This was also not approved by Sri Aurobindo.</t>
  </si>
  <si>
    <t>https://www.youtube.com/watch?v=AuVaei10Du0</t>
  </si>
  <si>
    <t>Concluding discussion turns into shouting match between students &amp; Udit Raj - JNU Roundtable</t>
  </si>
  <si>
    <t>https://www.youtube.com/watch?v=1GLaXQ6Rgcg</t>
  </si>
  <si>
    <t>Rajiv Malhotra's Talk at Art of Living: Where is Dharma in the 21st Century</t>
  </si>
  <si>
    <t>A U-turn: From Sri Aurobindo back to Christ</t>
  </si>
  <si>
    <t>After exposure to the teachings of Sri Aurobindo, the German lady decided to take a U-turn back to Christianity. RM questions her on how she could integrate the concept of karma with the Christian view of being born as a sinner (the Adam-Eve connection), redeeming sins is only possible through Jesus etc. The German has taken concepts from Sri Aurobindo's philosophy and conveniently portrays it in a Christian context.</t>
  </si>
  <si>
    <t>Video jumps in some places</t>
  </si>
  <si>
    <t>Dharmic tradition is not history-centric</t>
  </si>
  <si>
    <t>Dr. Anand Reddy, SACAR adds his comments on why Dharmic tradition is not dependent on history and that is why it is alive after thousands of years.</t>
  </si>
  <si>
    <t>https://www.youtube.com/watch?v=FKg_FjS3qZw</t>
  </si>
  <si>
    <t>The Evolution of Yajna: Rajiv Malhotra at Maharishi University</t>
  </si>
  <si>
    <t>https://www.youtube.com/watch?v=EHQ6eLHDs78</t>
  </si>
  <si>
    <t>Are Indians ignoring our civilization while the West appropriates it</t>
  </si>
  <si>
    <t>Dr. Anand Reddy introduces RM.</t>
  </si>
  <si>
    <t>Dr. Anand Reddy introduces RM. He describes his views of Being DIfferent - how RM has stuck to his Indian roots and presented a great perspective.</t>
  </si>
  <si>
    <t>https://www.youtube.com/watch?v=-cC-ErXYdnI</t>
  </si>
  <si>
    <t>Debate on 'Hinduism &amp; Indian Grand Narrative', Delhi Univ Psychology Dept</t>
  </si>
  <si>
    <t>Don't think this intro is not necessary</t>
  </si>
  <si>
    <t>https://www.youtube.com/watch?v=dZCZp5udJeI</t>
  </si>
  <si>
    <t>Are Sanskrit Studies in the West becoming the New Orientalism?</t>
  </si>
  <si>
    <t xml:space="preserve">What is the U-turn theory? </t>
  </si>
  <si>
    <t>RM explains how Westerners move through five stages in their search and study of Indian traditions. It starts with studying the tradition and then presenting concepts learned here as their own without giving credit to the source. This develops later into a criticism of the Indian source and claiming the concept to be Western. There are many examples - mindfulness meditation, neuromedicine, multiple intelligence etc.  Some of TS Eliot's poems are literal translation of the Upanishads.</t>
  </si>
  <si>
    <t>https://www.youtube.com/watch?v=O5i1SD7KFkI</t>
  </si>
  <si>
    <t>Lecture on Dharma, Sanskrit &amp; Science, Goa, Feb 26, 2015</t>
  </si>
  <si>
    <t>Lot of background noise</t>
  </si>
  <si>
    <t>Major differences between Dharmic and Western traditions: History-centrism vs. Inner Sciences</t>
  </si>
  <si>
    <t>A  major difference is that dharmic traditions are not history-centric. In western traditions, if the history is wiped out, then they would be completely lost. In Dharmic traditions, the ultimate truth is based on self-knowledge - adhyatma vidya.</t>
  </si>
  <si>
    <t>https://www.youtube.com/watch?v=Q3ZGmGasWfc</t>
  </si>
  <si>
    <t>Lecture 'Is our Sanskriti being distorted by the Americanization of Sanskrit Studies' at Sastra Univ</t>
  </si>
  <si>
    <t>Major differences between Dharmic and Western traditions: Synthetic unity vs. Integral unity</t>
  </si>
  <si>
    <t xml:space="preserve">Integral unity is Brahman based. This forms the basis of Satchitanand and our union with the divine. In contrast, in synthetic unity the parts exist separately from the whole and are put together. The Judeo-Christian worldview is based on separate essences for God, the world and/ human souls. </t>
  </si>
  <si>
    <t>https://www.youtube.com/watch?v=JbxzX8kwig4</t>
  </si>
  <si>
    <t>World Sanskrit Congress 2015: Is Sanskrit Dead or Alive, Political or Sacred</t>
  </si>
  <si>
    <t>Major differences between Dharmic and Western traditions: Order vs. Chaos</t>
  </si>
  <si>
    <t>Westerners are able to handle issues linearly and cannot handle uncertainty/contradictions/chaos. Whereas Indians can easily handle multiple threads simultaneously. RM believes that this is an outcome of synthetic vs. integral unity. Those who believe in integral unity do not fear things falling apart.</t>
  </si>
  <si>
    <t>Major differences between Dharmic and Western traditions: Sanskrit non-translatables</t>
  </si>
  <si>
    <t>Dharmic traditions is preserved in Sanskrit words and which cannot be translated. Translating it to English is not possible as the word will not have the same backing in another language. RM has compiled a list of such words in Sanskrit that cannot be translated. He proposes this list being included in the English language without any translation to preserve our distinctiveness.</t>
  </si>
  <si>
    <t>https://www.youtube.com/watch?v=Uxcvh2BQu1g</t>
  </si>
  <si>
    <t>Rajiv Malhotra's The Battle of Sanskrit Launch, Samskrita Bharati, Bengaluru</t>
  </si>
  <si>
    <t>1 year ago</t>
  </si>
  <si>
    <t>Being digested in the context of civilization</t>
  </si>
  <si>
    <t>This is the process of taking thought and concepts from Indian tradition and absorbing it into Western thought selectively and finally passing it off as Western origin. An intergal world is being digested into a non-integral world. To avoid being digested, we need to be different and be indigestible.</t>
  </si>
  <si>
    <t>https://www.youtube.com/watch?v=0-Ishanuvj8</t>
  </si>
  <si>
    <t>The Importance of Swadeshi Indology: Rajiv Malhotra</t>
  </si>
  <si>
    <t>Rajiv Malhotra's Response to the Expert Comments</t>
  </si>
  <si>
    <t>Rajiv Malhotra's Response to the Expert Comments at Sri Center for Advanced Research (SACAR) for a seminar on his book BEING DIFFERENT. He gives his counter argument on history-centrism, being digested, and sanskrit translation.</t>
  </si>
  <si>
    <t>https://www.youtube.com/watch?v=j84sUcOTBRM</t>
  </si>
  <si>
    <t>Reversing the Gaze (Purva-Paksha) on Western Indology, Karnataka Sanskrit University</t>
  </si>
  <si>
    <t>https://www.youtube.com/watch?v=NQUbNykwFG4</t>
  </si>
  <si>
    <t>"Taking back our heritage: My message to India's youth" at IIT Madras</t>
  </si>
  <si>
    <t>New Western religions that are not history centric</t>
  </si>
  <si>
    <t>RM's view is that while these kind of movements keep arising in the West, however, they don't seem to sustain. They end up reverting to the history-centric state.</t>
  </si>
  <si>
    <t>https://www.youtube.com/watch?v=zILqg37PouM</t>
  </si>
  <si>
    <t>Roddam Narasimha &amp; Mohandas Pai discuss "The Battle For Sanskrit" with Rajiv Malhotra</t>
  </si>
  <si>
    <t>Relevance to modern youth</t>
  </si>
  <si>
    <t>Awareness of Indian sources will help bring about a U-turn movement for Indian youth and reconnect them to the Indian root.</t>
  </si>
  <si>
    <t>https://www.youtube.com/watch?v=fzzIeVO7-qk</t>
  </si>
  <si>
    <t>Rajiv Malhotra's Encounter With The Indian Left at Tata Institute of Social Sciences</t>
  </si>
  <si>
    <t>https://www.youtube.com/watch?v=-fhrU0xoCgk</t>
  </si>
  <si>
    <t>In conversation with Madhu Kishwar: The Battle For Sanskrit</t>
  </si>
  <si>
    <t>Mother's quote on Christianity</t>
  </si>
  <si>
    <t>When someone asked the Mother, why Christianity made her angry, Mother made a powerful statement on the state of Christianity.</t>
  </si>
  <si>
    <t>https://www.youtube.com/watch?v=OXYcMlprdL4</t>
  </si>
  <si>
    <t>"Geopolitics &amp; the study of Indian Civilization": A very large event at IIT Bombay</t>
  </si>
  <si>
    <t>https://www.youtube.com/watch?v=yZ08CJsgurU</t>
  </si>
  <si>
    <t>Zee News_Rohit Sardana Interviews Rajiv Malhotra_Feb 2016</t>
  </si>
  <si>
    <t>The rise of formal spiritual institutions in India</t>
  </si>
  <si>
    <t xml:space="preserve">In the last 100 years, India has seen the rise of organized institutions like the Ramakrishna Mission, Sri Aurobindo Society etc. </t>
  </si>
  <si>
    <t>A Westerner's view of Indian traditions and her Catholic upbringing</t>
  </si>
  <si>
    <t>RM brings up his discussion with Mark Tully and explaining the importance of recognizing the differences between religions. For example, Hinduism beleives in murtis, karma, avatars, shakti and so on and this is difficult for Westerners to accept it, however open-minded they are. He also talks about B. Griffith's work who while appearing to be open minded in his books and discussions privately says that Christ is the only route.</t>
  </si>
  <si>
    <t>https://www.youtube.com/watch?v=c13ZN5rYckE</t>
  </si>
  <si>
    <t>Sri Sri Ravi Shankar Launches "The Battle For Sanskrit" in Art of Living Campus, Bangalore</t>
  </si>
  <si>
    <t>Is the Jewish concept Shekinah same as unity in Hinduism?</t>
  </si>
  <si>
    <t>While Judaism and Christianity have similar ideas, however, there is a tension in these systems owing to their dependence on history-centrism.</t>
  </si>
  <si>
    <t>Esoteric Christiantiy - does it exist?</t>
  </si>
  <si>
    <t xml:space="preserve">Emperor Constantine had practiced mysticsm in the early days. Esoteric Christianity did exist but this was not encouraged by the Church unlike in Hinduism. </t>
  </si>
  <si>
    <t>https://www.youtube.com/watch?v=p3i_mI87a3E</t>
  </si>
  <si>
    <t>Chinmaya Mission, Amish Tripathi &amp; Rajiv Malhotra discuss "The Battle For Sanskrit"</t>
  </si>
  <si>
    <t>Explaining Difference Anxiety</t>
  </si>
  <si>
    <t>Differences bring about discomfort and this has resulted in troubling consequences: war, superiority-inferiority complexes leading to colonization. To counter this we need to have difference with mutual respect. This is not to be confused with tolerance.</t>
  </si>
  <si>
    <t>https://www.youtube.com/watch?v=FrXBeS9Vj40</t>
  </si>
  <si>
    <t>Art of Living: "The Battle For Sanskrit" talk in Bangalore ashram</t>
  </si>
  <si>
    <t>Nehruism vs. Gandhism</t>
  </si>
  <si>
    <t>Gandhi believed in a Dharmic way of living which was a decentralized village way of living and not a copy of the Western civilization. Nehru on the other hand believed in an European way of living and hence villages, rural education etc. were ignored during his rule. This was not the best method to follow for India.</t>
  </si>
  <si>
    <t>https://www.youtube.com/watch?v=kaJQx-nXg6M</t>
  </si>
  <si>
    <t>Rajiv Malhotra responds to questions at a Vedic Gurukulam, Bidadi</t>
  </si>
  <si>
    <t>https://www.youtube.com/watch?v=fyMRRD_YeRI</t>
  </si>
  <si>
    <t>Ramakrishna Mission (Chennai) presents Rajiv Malhotra's talk/Q&amp;A on: Sacredness and Sanskrit</t>
  </si>
  <si>
    <t>https://www.youtube.com/watch?v=OHn7cvWw5gE</t>
  </si>
  <si>
    <t>JNU: Rajiv Malhotra's New Book THE BATTLE FOR SANSKRIT_full video</t>
  </si>
  <si>
    <t>https://www.youtube.com/watch?v=tBf6vZKjL9w</t>
  </si>
  <si>
    <t>Battle For Sanskrit: How Samskrita Bharati &amp; Rajiv Malhotra can collaborate</t>
  </si>
  <si>
    <t>https://www.youtube.com/watch?v=tNKCTknE59M</t>
  </si>
  <si>
    <t>Rajiv Malhotra Darshan with Kanchi Shankaracharyas to Discuss Common Interests</t>
  </si>
  <si>
    <t>https://www.youtube.com/watch?v=0DzUUFbFZHs</t>
  </si>
  <si>
    <t>"Removing the burqa from our minds": Rajiv Malhotra's lecture &amp; interaction in Bangalore</t>
  </si>
  <si>
    <t>https://www.youtube.com/watch?v=59-D2X_vmlA</t>
  </si>
  <si>
    <t>Delhi University's distinguished panel discusses THE BATTLE FOR SANSKRIT</t>
  </si>
  <si>
    <t>https://www.youtube.com/watch?v=NhDs3OPqMQ4</t>
  </si>
  <si>
    <t>Rajiv Malhotra interviewed by young California enterpreneur, Balaji Srinivasan</t>
  </si>
  <si>
    <t>https://www.youtube.com/watch?v=7JNUG5Lyals</t>
  </si>
  <si>
    <t>Are Indian Intellectuals Free Thinkers or Colonized: Indus University, TBFS Launch</t>
  </si>
  <si>
    <t>https://www.youtube.com/watch?v=T-iBVjoTxpY</t>
  </si>
  <si>
    <t>Kanchi Shankaracharya's devotees in USA discuss "The Battle For Sanskrit"</t>
  </si>
  <si>
    <t>https://www.youtube.com/watch?v=2RlQdQoP4mE</t>
  </si>
  <si>
    <t>Will Indian Corporate Leaders Support Swadeshi Indology?</t>
  </si>
  <si>
    <t>https://www.youtube.com/watch?v=9eSzra79z-I</t>
  </si>
  <si>
    <t>"The Battle For Sanskrit" discussed by Ramesh Pandey, VC of L.B.S. Rashtriya Sanskrit Vidyapeeth</t>
  </si>
  <si>
    <t>https://www.youtube.com/watch?v=t5AEphve0P8</t>
  </si>
  <si>
    <t>Samskrita Bharati panel discussion in Delhi: "The Battle For Sanskrit"</t>
  </si>
  <si>
    <t>https://www.youtube.com/watch?v=zm-fPGwlflY</t>
  </si>
  <si>
    <t>Prof P.N. Shastry, VC, Rashtriya Sanskrit Sansthan, discusses "The Battle For Sanskrit"</t>
  </si>
  <si>
    <t>https://www.youtube.com/watch?v=Iimv8qJijTE</t>
  </si>
  <si>
    <t>Dr Kutumba Sastry, President, International Association of Sanskrit Studies</t>
  </si>
  <si>
    <t>https://www.youtube.com/watch?v=kpktr2ml8m8</t>
  </si>
  <si>
    <t>Bibek Debroy on "The Battle for Sanskrit"</t>
  </si>
  <si>
    <t>https://www.youtube.com/watch?v=jB9efRnouaI</t>
  </si>
  <si>
    <t>Rajiv Malhotra talk in Delhi Samskrita Bharati</t>
  </si>
  <si>
    <t>https://www.youtube.com/watch?v=r2uhf3x6oH8</t>
  </si>
  <si>
    <t>Q&amp;A on The Battle For Sanskrit. Samskrita Bharati event in Delhi</t>
  </si>
  <si>
    <t>https://www.youtube.com/watch?v=G-AjF_4Jc1I</t>
  </si>
  <si>
    <t>How to be an intellectual kshatriya, by Rajiv Malhotra</t>
  </si>
  <si>
    <t>https://www.youtube.com/watch?v=hbcWYVaowqI</t>
  </si>
  <si>
    <t>Swami Harshananda (senior monk of RK Mission) blessings at Intellectual Kshatriya workshop</t>
  </si>
  <si>
    <t>https://www.youtube.com/watch?v=olQlPZuEWLY</t>
  </si>
  <si>
    <t>Columbia University Talk "Hinduphobia in Academia": Rajiv Malhotra</t>
  </si>
  <si>
    <t>https://www.youtube.com/watch?v=fwbLw9W9GC8</t>
  </si>
  <si>
    <t>Rajiv Malhotra at MIT: The Force Awakens</t>
  </si>
  <si>
    <t>https://www.youtube.com/watch?v=XcIm7eWfJ_M</t>
  </si>
  <si>
    <t>NewsX: Dr Subramanian Swamy's Endorsement for Rajiv Malhotra</t>
  </si>
  <si>
    <t>https://www.youtube.com/watch?v=tD7VxQAIPLM</t>
  </si>
  <si>
    <t>Difference Between British Era Sepoys &amp; Today's Intellectual Sepoys</t>
  </si>
  <si>
    <t>https://www.youtube.com/watch?v=RaNpNJVvWDI</t>
  </si>
  <si>
    <t>People like Devdutt Pattanaik Subvert Hinduism While Seeming to Help it</t>
  </si>
  <si>
    <t>https://www.youtube.com/watch?v=sdUuukDpj9s</t>
  </si>
  <si>
    <t>History-Centrism &amp; Dharma vis a vis Religion: Rajiv Malhotra</t>
  </si>
  <si>
    <t>https://www.youtube.com/watch?v=jQ47l4DT1BY</t>
  </si>
  <si>
    <t>Rajiv Malhotra explains the difference between Intellectual Kshatriya and Emotional Kshatriya</t>
  </si>
  <si>
    <t>https://www.youtube.com/watch?v=WkR5PD16sCg</t>
  </si>
  <si>
    <t>Rajiv explains how Hindu values of tapas get distorted by naive Hindus selling out to US pop culture</t>
  </si>
  <si>
    <t>https://www.youtube.com/watch?v=wXSD2PQznXI</t>
  </si>
  <si>
    <t>Rajiv Malhotra explains what it takes to become an Intellectual Kshatriya</t>
  </si>
  <si>
    <t>https://www.youtube.com/watch?v=p4NkqPPh2fk</t>
  </si>
  <si>
    <t>Rajiv Malhotra explains common misunderstanding of Maya among Hindus</t>
  </si>
  <si>
    <t>https://www.youtube.com/watch?v=7bZemcM70W0</t>
  </si>
  <si>
    <t>Rajiv Malhotra on 'Analysis of the Kurukshetra'. Interviewed by Vijaya Vishwanathan</t>
  </si>
  <si>
    <t>https://www.youtube.com/watch?v=GpEk4HU0r2Y</t>
  </si>
  <si>
    <t>Wendy Doniger's Erotic Psychoanalysis Theory Has Not Been Countered: Rajiv Malhotra #1</t>
  </si>
  <si>
    <t>https://www.youtube.com/watch?v=322EiuTqg7w</t>
  </si>
  <si>
    <t>When Devdutt Pattanaik Reduces Indian Itihas to Myth, it is Freud's Ideas he is propagating #2</t>
  </si>
  <si>
    <t>https://www.youtube.com/watch?v=liKAbE7beNI</t>
  </si>
  <si>
    <t>Rajiv Malhotra &amp; Dr Swamy talk on Christian Missionaries Religion Conversion Tactics</t>
  </si>
  <si>
    <t>https://www.youtube.com/watch?v=3eTjsY7w5kM</t>
  </si>
  <si>
    <t>4 Rajiv Malhotra: Dealing with Dharma transforms even the most rooted Abrahamic</t>
  </si>
  <si>
    <t>https://www.youtube.com/watch?v=afXofZLlzB4</t>
  </si>
  <si>
    <t>5 Are today's Pandavas sitting in the VIP lounge watching the action on the battlefield with binocu</t>
  </si>
  <si>
    <t>https://www.youtube.com/watch?v=gtDa8NLyc74</t>
  </si>
  <si>
    <t>3 Rajiv Malhotra explains the five types of people in the kurukshetra and analysis of each</t>
  </si>
  <si>
    <t>https://www.youtube.com/watch?v=zgOMSgegwGk</t>
  </si>
  <si>
    <t>"Where are the Pandavas?" Rajiv Malhotra interviewed by Vijaya Vishwanathan</t>
  </si>
  <si>
    <t>https://www.youtube.com/watch?v=Xk3tQcQ1QcQ</t>
  </si>
  <si>
    <t>Rajiv Malhotra on NDTV's We the People_Debate on Foreign NGOs #1</t>
  </si>
  <si>
    <t>https://www.youtube.com/watch?v=MP4mGKSR2-0</t>
  </si>
  <si>
    <t>KUPPUSWAMI SASTRI RESEARCH INSTITUTE (KSRI), Chennai, hosts Distinguished Lecture by Rajiv Malhotra</t>
  </si>
  <si>
    <t>https://www.youtube.com/watch?v=55sjF1l4Hu0</t>
  </si>
  <si>
    <t>Role of Hindu Temples: Rajiv Malhotra</t>
  </si>
  <si>
    <t>https://www.youtube.com/watch?v=LkTTH9gGQwA</t>
  </si>
  <si>
    <t>Rajiv Malhotra Motivates JNU Students to Speak Up Against Biased Professors #16</t>
  </si>
  <si>
    <t>https://www.youtube.com/watch?v=cuauchPBFCY</t>
  </si>
  <si>
    <t>N. Gopalaswami, former Chief Election Commissioner of India, and Rajiv Malhotra discuss TBFS</t>
  </si>
  <si>
    <t>https://www.youtube.com/watch?v=oeJfmsvMRBs</t>
  </si>
  <si>
    <t>The Attack on Kumbh Mela - Rajiv Malhotra Series on "Facebook LIVE" Part 1</t>
  </si>
  <si>
    <t>https://www.youtube.com/watch?v=vEdOCEkdY9Q</t>
  </si>
  <si>
    <t>Indian Comfort With What is Termed as Chaos: Rajiv Malhotra #1</t>
  </si>
  <si>
    <t>https://www.youtube.com/watch?v=Cv8kec-TugY</t>
  </si>
  <si>
    <t>Islamic destruction of temples can't be compared to local rivalries causing destruction #17</t>
  </si>
  <si>
    <t>https://www.youtube.com/watch?v=Uk3mD3cAFXg</t>
  </si>
  <si>
    <t>How YOU can help in the Kurukshetra &amp; Increase our Impact: Rajiv Malhotra</t>
  </si>
  <si>
    <t>https://www.youtube.com/watch?v=spEEA-o1zlE</t>
  </si>
  <si>
    <t>Rajiv Malhotra Explains the History of Indian Science &amp; Technology Volumes</t>
  </si>
  <si>
    <t>https://www.youtube.com/watch?v=7cA62ZHlWx0</t>
  </si>
  <si>
    <t>Rajiv Malhotra: When diversity is turned into vote bank, unity suffers #6</t>
  </si>
  <si>
    <t>https://www.youtube.com/watch?v=M8Xez56Bg9c</t>
  </si>
  <si>
    <t>Smritis are not frozen, need to be changed according to time &amp; context: Rajiv Malhotra #7</t>
  </si>
  <si>
    <t>https://www.youtube.com/watch?v=5U64D5B9-O0</t>
  </si>
  <si>
    <t>Rajiv Malhotra: #1 How Hindu Open Architecture is the Bedrock of Indian Identity</t>
  </si>
  <si>
    <t>https://www.youtube.com/watch?v=fKsfq4rFzbA</t>
  </si>
  <si>
    <t>How Hindu Inferiority Complex Blocks Development of Indian Grand Narrative #2</t>
  </si>
  <si>
    <t>https://www.youtube.com/watch?v=zKr-cYKprD8</t>
  </si>
  <si>
    <t>Rajiv Malhotra: Apathy, Ignorance, Laziness of Indians regarding their Civilization</t>
  </si>
  <si>
    <t>https://www.youtube.com/watch?v=YHee5lF9yPc</t>
  </si>
  <si>
    <t>When Muslims &amp; Christians are More Equal than Hindus: Rajiv Malhotra #3</t>
  </si>
  <si>
    <t>https://www.youtube.com/watch?v=8xbYHg11ROo</t>
  </si>
  <si>
    <t>Rajiv Malhotra: #4 Caste Based Reservations Act as Vote Bank</t>
  </si>
  <si>
    <t>https://www.youtube.com/watch?v=yp1ZVELrxIA</t>
  </si>
  <si>
    <t>Rajiv Malhotra: #5 Funding Swadeshi Scholarship for Swadeshi Viewpoint</t>
  </si>
  <si>
    <t>https://www.youtube.com/watch?v=JkoZriLo3fA</t>
  </si>
  <si>
    <t>If All Religions Are The Same Then Why Remain Hindu: Rajiv Malhotra</t>
  </si>
  <si>
    <t>https://www.youtube.com/watch?v=hPD7CW4JiSA</t>
  </si>
  <si>
    <t>Rajiv Malhotra: Caste Cow Curry Joke in India #7</t>
  </si>
  <si>
    <t>https://www.youtube.com/watch?v=wKE7d6nLsDM</t>
  </si>
  <si>
    <t>How Christianity Inc is the Largest MNC in the World: Rajiv Malhotra #1</t>
  </si>
  <si>
    <t>https://www.youtube.com/watch?v=dlQfycnk550</t>
  </si>
  <si>
    <t>Christianity Needs Major Reform: Rajiv Malhotra #2</t>
  </si>
  <si>
    <t>https://www.youtube.com/watch?v=dgXtHzSngX0</t>
  </si>
  <si>
    <t>The False "Aryan Dravidian" Divide is Part of Official Govt Discourse on India: Rajiv Malhotra</t>
  </si>
  <si>
    <t>https://www.youtube.com/watch?v=Xml5nVm8bg0</t>
  </si>
  <si>
    <t>DIGESTION of Hindusim into Christianity: Rajiv Malhotra #7</t>
  </si>
  <si>
    <t>11 months ago</t>
  </si>
  <si>
    <t>https://www.youtube.com/watch?v=I6Nwopg3FIw</t>
  </si>
  <si>
    <t>Rajiv Malhotra: Sanskrit Protects Dharma From Digestion</t>
  </si>
  <si>
    <t>https://www.youtube.com/watch?v=QT3p6iGNrkU</t>
  </si>
  <si>
    <t>The Attack on Kumbh Mela - Rajiv Malhotra Series on "Facebook LIVE" Part 2</t>
  </si>
  <si>
    <t>https://www.youtube.com/watch?v=DYtc95s7Kpc</t>
  </si>
  <si>
    <t>Response to Young Law Student &amp; Human Rights Activist #2</t>
  </si>
  <si>
    <t>https://www.youtube.com/watch?v=Lg0JLlBHCgA</t>
  </si>
  <si>
    <t>Rajiv Malhotra responds: Why do we need others legitimacy if we are 1/6th of the world</t>
  </si>
  <si>
    <t>https://www.youtube.com/watch?v=ZpdQsUkjwMc</t>
  </si>
  <si>
    <t>The Attack on Kumbh Mela - Rajiv Malhotra Series on "Facebook LIVE" Part 3</t>
  </si>
  <si>
    <t>https://www.youtube.com/watch?v=xA9TKhOjY24</t>
  </si>
  <si>
    <t>Rajiv Malhotra Discusses the Idea of India &amp; Indian Identity</t>
  </si>
  <si>
    <t>https://www.youtube.com/watch?v=w2e5eqI49cE</t>
  </si>
  <si>
    <t>Rajiv Malhotra: Difference Between Tolerance and Mutual Respect #4</t>
  </si>
  <si>
    <t>https://www.youtube.com/watch?v=qY5oQOirve4</t>
  </si>
  <si>
    <t>JNU student questions John Dayal and leaves him Dumbstruck!</t>
  </si>
  <si>
    <t>https://www.youtube.com/watch?v=yMRw4TF7CAk</t>
  </si>
  <si>
    <t>Rajiv Malhotra's Rejoinder to Kancha Ilaiah's Breaking India Activities</t>
  </si>
  <si>
    <t>https://www.youtube.com/watch?v=XCXsh2mfb3M</t>
  </si>
  <si>
    <t>Kumbh Mela 3.7: What should Indian Govt &amp; Leaders do to Save The Kumbh Mela</t>
  </si>
  <si>
    <t>https://www.youtube.com/watch?v=sTYcLqa56Z4</t>
  </si>
  <si>
    <t>Kumbh Mela 3.1: Rajiv responds to Viewers Questions about Akhadas</t>
  </si>
  <si>
    <t>https://www.youtube.com/watch?v=VxI-y4zU4YE</t>
  </si>
  <si>
    <t>Kumbh Mela 3.6: What can the Youth do to Save Kumbh Mela</t>
  </si>
  <si>
    <t>https://www.youtube.com/watch?v=kKbQvD24QPY</t>
  </si>
  <si>
    <t>Kumbh Mela 3.5: HRD Ministry should give a report on state of Indology</t>
  </si>
  <si>
    <t>https://www.youtube.com/watch?v=A6j1KcojG0E</t>
  </si>
  <si>
    <t>Attack on Kumbh Mela 3.4: Rajiv Malhotra explains Ideological fight with Seculars</t>
  </si>
  <si>
    <t>https://www.youtube.com/watch?v=wzPkggokfLg</t>
  </si>
  <si>
    <t>Kumbh Mela 3.3: Is Any Legal Action Possible to Restrict Entry to the Kumbh Mela</t>
  </si>
  <si>
    <t>https://www.youtube.com/watch?v=dJ9wpyiJSSI</t>
  </si>
  <si>
    <t>Kumbh Mela 3.2: Rajiv Malhotra responds — Do We Need Bad Cops</t>
  </si>
  <si>
    <t>https://www.youtube.com/watch?v=0DBc4TKwgDc</t>
  </si>
  <si>
    <t>MSNBC: Rajiv Malhotra discusses "Who is Bobby Jindal, really" Feb 2013</t>
  </si>
  <si>
    <t>https://www.youtube.com/watch?v=AjEKOFHh4yM</t>
  </si>
  <si>
    <t>Rajiv Malhotra on MSNBC: A Different Kind of Black-Brown Coalition</t>
  </si>
  <si>
    <t>https://www.youtube.com/watch?v=FQmwAFcJSpw</t>
  </si>
  <si>
    <t>From William Jones to Pollock, Discourse on India Continues to be Dictated by the West_MIT 9</t>
  </si>
  <si>
    <t>https://www.youtube.com/watch?v=Kg7UNGe9lik</t>
  </si>
  <si>
    <t>Theory of 'Aesthetization of Power' used by Sheldon Pollock_MIT 10</t>
  </si>
  <si>
    <t>https://www.youtube.com/watch?v=_OTzuNIDOOA</t>
  </si>
  <si>
    <t>Currently, GOI funded Religion Studies might not be in Dharma's Interest_MIT 11</t>
  </si>
  <si>
    <t>https://www.youtube.com/watch?v=VJZ4LARPMJU&amp;t=79s</t>
  </si>
  <si>
    <t>How Germans Distorted Hindu Ideas Which Led to Nazism: Rajiv Malhotra #12</t>
  </si>
  <si>
    <t>https://www.youtube.com/watch?v=V-N1KdB7QTg</t>
  </si>
  <si>
    <t>Fb LIVE 5: Kutumba Sastry, President Intl Asso Sanskrit Studies — Interviewed by Rajiv Malhotra</t>
  </si>
  <si>
    <t>https://www.youtube.com/watch?v=4fTC0cZiBus</t>
  </si>
  <si>
    <t>Rajiv Malhotra talks about The Indus Saraswati Civilization</t>
  </si>
  <si>
    <t>https://www.youtube.com/watch?v=G1vj3YNYQYg</t>
  </si>
  <si>
    <t>Rajiv Malhotra MIT 7: The Sold Out Insiders</t>
  </si>
  <si>
    <t>https://www.youtube.com/watch?v=Ly_KKukp01g</t>
  </si>
  <si>
    <t>Rajiv Malhotra: Control of our tradition has shifted into the hands of 'outsiders'.</t>
  </si>
  <si>
    <t>https://www.youtube.com/watch?v=yB7P6V4_zUw</t>
  </si>
  <si>
    <t>Rajiv Malhotra in conversation with Indian industrialists: 'Who represents Hinduism?'</t>
  </si>
  <si>
    <t>https://www.youtube.com/watch?v=xjoBDX3u1Ys</t>
  </si>
  <si>
    <t>Rajiv Malhotra MIT 3: Multiple 'Outsider' views on Hindusim &amp; Birth of American Indology</t>
  </si>
  <si>
    <t>https://www.youtube.com/watch?v=hFK3wIxZt3g</t>
  </si>
  <si>
    <t>How India Should Manage US Think Tanks, Universities, Seminaries</t>
  </si>
  <si>
    <t>https://www.youtube.com/watch?v=gL_j5YKKN38</t>
  </si>
  <si>
    <t>Rajiv Malhotra: Battling the Secularization of Indian Fine Arts</t>
  </si>
  <si>
    <t>https://www.youtube.com/watch?v=J2klGHwzFFo</t>
  </si>
  <si>
    <t>MIT 6: White Liberal American Woman Profile according to Marketing Co’s</t>
  </si>
  <si>
    <t>https://www.youtube.com/watch?v=ebsBucPcYoU</t>
  </si>
  <si>
    <t>Rajiv Malhotra MIT 1: The Need for Insider Perspective on Hinduism</t>
  </si>
  <si>
    <t>https://www.youtube.com/watch?v=orOA4dPxE98</t>
  </si>
  <si>
    <t>No one has attempted a Purvapaksha of Sheldon Pollock_MIT 2</t>
  </si>
  <si>
    <t>Interviewer Vijaya's audio is audible, RM's video not audible throughout the video</t>
  </si>
  <si>
    <t>https://www.youtube.com/watch?v=go47jpA5M1A</t>
  </si>
  <si>
    <t>How Hindus Have Lost The Ownership of Hinduism Studies #4</t>
  </si>
  <si>
    <t xml:space="preserve">Did not edit </t>
  </si>
  <si>
    <t>https://www.youtube.com/watch?v=dHQ-HMVdPyE</t>
  </si>
  <si>
    <t>Swami Nirmalanandanatha, Head of Sri Adichunchanagiri Muth, Discusses with Rajiv Malhotra</t>
  </si>
  <si>
    <t>1 month ago</t>
  </si>
  <si>
    <t>https://www.youtube.com/watch?v=dlfE6JbvIYI</t>
  </si>
  <si>
    <t>How China Hits Back at Western Critics: MIT #13</t>
  </si>
  <si>
    <t xml:space="preserve">Introduction of Sri Adichunchunagiri Muth by Swami Nirmalanandanatha </t>
  </si>
  <si>
    <t>Briefly describes about 1500 years of the history of Math and its role in the society for blending of ancient and modern education and in other social aspects.</t>
  </si>
  <si>
    <t xml:space="preserve"> </t>
  </si>
  <si>
    <t>https://www.youtube.com/watch?v=1VZl4rtt2aU</t>
  </si>
  <si>
    <t>Ivy Leagues Control Indological Studies Research: Rajiv Malhotra</t>
  </si>
  <si>
    <t>Karnataka Gurus render spiritual and religious services along with social and education services</t>
  </si>
  <si>
    <t xml:space="preserve">Explains why Gurus and Muthas are successful in Karnataka in providing services that directly impact society. Rethinking is required how past glory can be brought back. </t>
  </si>
  <si>
    <t>https://www.youtube.com/watch?v=cUULt5zHp0k</t>
  </si>
  <si>
    <t>Amazing Discoveries About Ancient India That Are Being Neglected: Rajiv Malhotra</t>
  </si>
  <si>
    <t>Importance of education and the need to de-colonize our minds</t>
  </si>
  <si>
    <t>Discussion about the state of education, the medium of instructions, inclusion of Western ideologies in curriculum. Exclusion of learning about our ancient knowledge and importance of knowing one's own culture.</t>
  </si>
  <si>
    <t>https://www.youtube.com/watch?v=BNly0XIZX6c</t>
  </si>
  <si>
    <t>Biases of American Academia who study Hinduism_MIT 5</t>
  </si>
  <si>
    <t>Educational policy and Aryan-Dravidian divide</t>
  </si>
  <si>
    <t>Discussion about why India was powerful until 1750, how we can incorporate Kautilya's Arthashstra. Also, how can we get rid of Aryan-Dravidian theory.</t>
  </si>
  <si>
    <t>We are jati-based,merit-based society, and caste concept implanted by the British</t>
  </si>
  <si>
    <t>Discuss our jati-based, varna-based class structure. British introduced this caste concept to divide and rule. Need to provide benefit not on the basis of caste but on the economic status . Also, how to support our Gurus under attack.</t>
  </si>
  <si>
    <t>https://www.youtube.com/watch?v=C3knBzrgTTY</t>
  </si>
  <si>
    <t>Rajiv Malhotra MIT 8: Four types of Hindus who cannot help the cause of Hinduism</t>
  </si>
  <si>
    <t>Get our temples back</t>
  </si>
  <si>
    <t>Talk about Swami Dayanand Saraswati's role in setting up Hindu Dharma Acharya Sabha to get our temples back from Govt. control.</t>
  </si>
  <si>
    <t>https://www.youtube.com/watch?v=w1UAQGgnz4A</t>
  </si>
  <si>
    <t>Christianity Digested lot of Paganism #4</t>
  </si>
  <si>
    <t>Yoga, our gift to the mankind</t>
  </si>
  <si>
    <t>Analysis of how Yoga has become big industry and is secularised by our own people as a business. Discuss the need to talk about the true purpose of Yoga.</t>
  </si>
  <si>
    <t>Yoga-Freedom from history</t>
  </si>
  <si>
    <t>https://www.youtube.com/watch?v=1-5q-Da6EHQ</t>
  </si>
  <si>
    <t>Rajiv Malhotra: # 5 Original Sin of Adam Eve &amp; Why Virgin Birth is such a big deal</t>
  </si>
  <si>
    <t>Why the name "Infinity" of the foundation?</t>
  </si>
  <si>
    <t>Rajiv Malhotra beautifully explains why this name was chosen. Also talks about Integral Unity - Indra's Net mentioned in Atharva Veda, got translated to Mandarin, spreaded to Japan.</t>
  </si>
  <si>
    <t>https://www.youtube.com/watch?v=JcNaFHIozC4</t>
  </si>
  <si>
    <t>#1 Difference is the Truth: Swami Dayanand Saraswati Launches Rajiv's Book 'Being Different'</t>
  </si>
  <si>
    <t>Quantum Physics and Study of Consciousness</t>
  </si>
  <si>
    <t>Discuss the connection between ancient philosophy and today's Quantum Physics. Rajiv Malhotra explains philosophy of science from vedas and how today's Western scientists have quantified this philosophy and converted our metaphysics into machines as extension of our senses to help the society today. Also, discuss how Western world is appropriating our metaphysics, our philosophy and marketing as their own.</t>
  </si>
  <si>
    <t>https://www.youtube.com/watch?v=VFJFvcNogFU</t>
  </si>
  <si>
    <t>Rajiv Malhotra in Conversation with Brooke Boon, Founder of ‘Holy Yoga’</t>
  </si>
  <si>
    <t>https://www.youtube.com/watch?v=3zpg3MGhmyI</t>
  </si>
  <si>
    <t>Rajiv Malhotra: # 2 Western Universalism Has Colonized Others</t>
  </si>
  <si>
    <t>#Yoga- Freedom from History  #Digestion  #inculturation</t>
  </si>
  <si>
    <t>https://www.youtube.com/watch?v=QrVLpFoGRb4</t>
  </si>
  <si>
    <t>Sanskrit Non-translatables, Being Different</t>
  </si>
  <si>
    <t>What is Holy Yoga?</t>
  </si>
  <si>
    <t>In her promotional video, Brooke Boon invites believers and seekers of Jesus to Holy Yoga</t>
  </si>
  <si>
    <t>https://www.youtube.com/watch?v=yCrftsxElf8</t>
  </si>
  <si>
    <t>Rajiv Malhotra: # 6 Ask any Christian Theologian What happens to The Nicene Creed</t>
  </si>
  <si>
    <t>https://www.youtube.com/watch?v=c0qRokhkADI</t>
  </si>
  <si>
    <t>Rajiv Malhotra: Are Christianity &amp; Hinduism Same AND The Nature of Self in Both #7</t>
  </si>
  <si>
    <t>Holy Yoga Teachers' training programme by Holy Yoga</t>
  </si>
  <si>
    <t xml:space="preserve">Another Holy Yoga promotional video: Explains how they weave Bible and Spriitualness. Invite Christians to deepen their knowledge of how Yoga and word of God come together. </t>
  </si>
  <si>
    <t>https://www.youtube.com/watch?v=AcHVZjv6cAs</t>
  </si>
  <si>
    <t>Purva-paksha of the West (Reversing the Gaze) not done by India: Rajiv Malhotra #8</t>
  </si>
  <si>
    <t>https://www.youtube.com/watch?v=P1Eurn7tEJM</t>
  </si>
  <si>
    <t>Positioning Jesus as Guru for Christian (holy) Yoga</t>
  </si>
  <si>
    <t>History-Centrism of Christianity Makes Them Prisoners of History: Rajiv Malhotra #9</t>
  </si>
  <si>
    <t xml:space="preserve">Brooke declares Jesus is the Guru. Explains naunces of the spirit and her sweeping experience of God, about the transformation of her mind, heart and action. She uses Bible quotes and her interpretation to justify her stand. </t>
  </si>
  <si>
    <t>Appropriation of 'Namaste' in Holy Yoga</t>
  </si>
  <si>
    <t>https://www.youtube.com/watch?v=GDQ-FTObhak</t>
  </si>
  <si>
    <t>Integral Unity Vs Synthetic Unity #10</t>
  </si>
  <si>
    <t>As per Holy Yoga, Brooke Boon explains, the meaning of Namaste as bowing not to the individual but to to Christ in him, to the light of Christ.</t>
  </si>
  <si>
    <t>https://www.youtube.com/watch?v=5P0vjP1Hdvs</t>
  </si>
  <si>
    <t>Is Jesus Christian: Q&amp;A with Rajiv Malhotra #13</t>
  </si>
  <si>
    <t>Missionary/evangelical element of Holy Yoga</t>
  </si>
  <si>
    <t>In a Holy Yoga video, an instructor explains that God has given them the vision and support to equip the individuals to bring the Gospel to the ends of the world, so they work through the modalities of Holy Yoga to achieve the goal. Rajivji also explains how holy yoga is modality which is used for bringing people(including people of India) into Christinity fold.</t>
  </si>
  <si>
    <t>https://www.youtube.com/watch?v=OAcu0ZHtcXc</t>
  </si>
  <si>
    <t>Buddhist's Nature of Reality is also Integral Unity #11</t>
  </si>
  <si>
    <t>Digestion of Hindu Yoga into Holy Yoga</t>
  </si>
  <si>
    <t>Using Holy Yoga promotional video, Rajivji briefly summarized how Holy yoga is taking Hindu Yoga practices and turning into Christian Yoga.</t>
  </si>
  <si>
    <t>https://www.youtube.com/watch?v=F4X3ljkLFP8</t>
  </si>
  <si>
    <t>A Christian can be a True Advaitin Only if History-Centrism is Given up: Rajiv Malhotra #14</t>
  </si>
  <si>
    <t>Journey of Holy Yoga Founder- From Jewish to Christian after practicing Hindu Yoga</t>
  </si>
  <si>
    <t>Brooke Boon describes her journey on the path that lead her to Holy Yoga. When her life fell apart at some point, she found Jesus.</t>
  </si>
  <si>
    <t>https://www.youtube.com/watch?v=_VfaX30ncIU</t>
  </si>
  <si>
    <t>Swami Dayanand Saraswati Commends Rajiv Malhotra's Books #15</t>
  </si>
  <si>
    <t>How founder of Holy Yoga justifies the christinizatin of Hindu Yoga</t>
  </si>
  <si>
    <t>Brooke Boon says as Christians, they seek communion with Chris. She describes Jesus as saying, "the Kingdom is within us". So, seeking that intimacy with the interior should not be discounted as Hindu practice.</t>
  </si>
  <si>
    <t>https://www.youtube.com/watch?v=JDOBTQ94-S4</t>
  </si>
  <si>
    <t>Digested Cultures live in Museums #1</t>
  </si>
  <si>
    <t>Does Jesus-focused Yoga Practice keep Satan away?</t>
  </si>
  <si>
    <t>Brooke Boon does not think Satan can affect anyone doing Yoga.  However she still justifies existence of Satan</t>
  </si>
  <si>
    <t>https://www.youtube.com/watch?v=5tMCiwnQlXM</t>
  </si>
  <si>
    <t>Approach to Define The Dharma Point of View: Rajiv Malhotra #5</t>
  </si>
  <si>
    <t>Difference between Hindu idea of Karma and recarnation and Christian idea of original sin and one life</t>
  </si>
  <si>
    <t>Rajiv Malhotra and Brooke Boon explore the connection between Salvation on one hand and Yoga/Karma/Reincarnation on other hand.</t>
  </si>
  <si>
    <t>Multiple Deities of Hinduism and One deity of Christinity- Jesus</t>
  </si>
  <si>
    <t>Rajiv Malhotra states that a Hindu can worship any God and may have a preferred God called Ishta devata.  Brook says they have trinity deities after Jesus.  For them daities has to be as per described by Bible.  Rajivji explains that god may have different menifestation..not just one son..multiple sons and even daughters.   Rajivji also explains that god menifestation does not have to happen just once in the middle east...it can happen at any part of the world.  One does not have to depend on foreign church for the truth.  Exclusivity of Church</t>
  </si>
  <si>
    <t>#Exclusivity of Abrahmic Faiths</t>
  </si>
  <si>
    <t>https://www.youtube.com/watch?v=61VsCIaQhX4</t>
  </si>
  <si>
    <t>#2 Gurus Replacing Sanskrit Words with English Exposes the Tradition to Digestion</t>
  </si>
  <si>
    <t>False Gods as per Christianity</t>
  </si>
  <si>
    <t>Rajiv Malhotra refers to the book of Holy Yoga founder that mentions that there is the risk of  false Gods coming in if one does different kinds of Yoga(Hindu yoga). Brooke Boon admits the Church has not done a good job about this and adds that one should not pass judgement on anyone's beliefs.</t>
  </si>
  <si>
    <t>https://www.youtube.com/watch?v=o4_iAmYXDzg</t>
  </si>
  <si>
    <t>How much of India do the Westerners Assimilate Before Making a U Turn #3</t>
  </si>
  <si>
    <t>Idolatory and Hinduism's belief in other manifestations of God vs Christinit't explanation of full mentifestation of God in Jesus</t>
  </si>
  <si>
    <t>Brooke Boon describes her belief about the inherent divinity in Jesus through her own worldview. Rajiv Malhotra asks why Christians do not believe that God CAN take other forms. Brooke believes that fullness of reality is found only in Christ.  She considers others as lesser/inferior God</t>
  </si>
  <si>
    <t>https://www.youtube.com/watch?v=bF-3L4O8Nq8</t>
  </si>
  <si>
    <t>Our History is NOT a Myth —Q&amp;A Broadcast with Rajiv Malhotra</t>
  </si>
  <si>
    <t>Why Holy Yoga has changed/not used Aum, Namaste, Bhaktiyoga, Pranayama , Asana compare to traditional Hindu Yoga</t>
  </si>
  <si>
    <t>Rajiv Malhotra appreciates her knowledge about some Hindu practices and further probes her about recitation of verses from Bible before doing Yoga in the school of Holy Yoga. Brooke Boon replies that the recitation is not for all the asanas but only is theme based.</t>
  </si>
  <si>
    <t xml:space="preserve">#Digestion  </t>
  </si>
  <si>
    <t>https://www.youtube.com/watch?v=5c75GXSIdlM</t>
  </si>
  <si>
    <t>#6 There is an Indian Universalism and Being Different is part of it.</t>
  </si>
  <si>
    <t>Success of Holy Yoga Movement</t>
  </si>
  <si>
    <t xml:space="preserve">Brooke Boon describes the success of Holy Yoga movement, presence in several countries and about possibility of entering India.  They have produced 2000 instructors so far. Next year they are going to train 800+ teachers.  Holy yoga teachers are employed in churches and certain YMCA.  Their client includes mostly presbyterian church and catholic.  Baptiste are not comfortable with it. </t>
  </si>
  <si>
    <t>https://www.youtube.com/watch?v=KXamV4OZjYs</t>
  </si>
  <si>
    <t>India is Often Mis-represented in USA by Our Colonized Mentality: Rajiv Malhotra #4</t>
  </si>
  <si>
    <t>Is Christian (Holy) Yoga necessary for Enlightenment or it is optional?</t>
  </si>
  <si>
    <t>Brooke Boon says doing Yoga as per her school is neither necessary nor sufficient for enlightenment. According to her, only surrender to Jesus is necessary for that. Holy Yoga neither sufficient or necessary for salvation</t>
  </si>
  <si>
    <t>https://www.youtube.com/watch?v=rbrxzObExNc</t>
  </si>
  <si>
    <t>Ideas of Yoga clash with Christianity's Nicene Creed: Rajiv Malhotra</t>
  </si>
  <si>
    <t>Is Christian (Holy) Yoga was invented due to success of Hindu Yoga in the west?</t>
  </si>
  <si>
    <t>Rajivji says it was in response to success of Hindu Yoga in the west. Brook denies that</t>
  </si>
  <si>
    <t>#Digestion #Inculturation</t>
  </si>
  <si>
    <t>https://www.youtube.com/watch?v=G6rcMSQ1UVE</t>
  </si>
  <si>
    <t>Asking some very important questions about Sufism: Rajiv Malhotra #12</t>
  </si>
  <si>
    <t>Appropriation of Hindu tradition, Christianizing of the same and using it for conversion of Hindus in India using inculturation</t>
  </si>
  <si>
    <t>Rajiv Malhotra probes whether it is fair to Hindus when their traditions are taken and re-marketed to them by Evangelicals and used against them.  He uses hypothetical example of Islam/Muslim. He also uses example of appropriation of pagan tradition by christinity.  Brook justifies/evaded the question.</t>
  </si>
  <si>
    <t xml:space="preserve">Portion of this clip can be used to create knowledge byte:  What is incuturation?  </t>
  </si>
  <si>
    <t>https://www.youtube.com/watch?v=mK5DuxKw-I8</t>
  </si>
  <si>
    <t>Everything is Ultimately a Distinct Expression of Brahman (Ultimate Reality) #2</t>
  </si>
  <si>
    <t>Rajivji's analysis of Holy Yoga and its one of the missonary founder- paster Joe Style- I</t>
  </si>
  <si>
    <t xml:space="preserve">Holy Yoga clearly comes out as Bible-centric, Jesus-centric Christian missionary movement to re-interpret and utilise the power of Yoga movement for their evangelical purpose.  It started with Pastor Joe and his wife doing purva paksha of Hindus while leaving years in India. Then they use incultration and contexulization. He also elaborately explains how these processes should be performed in his articles.  All these processes are while athering to nicene creed.  The same process was successfully implemented in various places and time including on pagan and Jewish.   </t>
  </si>
  <si>
    <t>#purva paksha  #digestion #inculturation #appropriation</t>
  </si>
  <si>
    <t>https://www.youtube.com/watch?v=zV5AbsAy5m4</t>
  </si>
  <si>
    <t>Rajiv Malhotra: Why Look for Legitimacy from The West #3</t>
  </si>
  <si>
    <t>https://www.youtube.com/watch?v=SNpVBfgzPmo</t>
  </si>
  <si>
    <t>Discussing the Digestion of Yoga with a White Hindu</t>
  </si>
  <si>
    <t>https://www.youtube.com/watch?v=dzUx3zUv_yw</t>
  </si>
  <si>
    <t>Rajiv Malhotra: India should invest a huge amount in preserving it's civilization #5</t>
  </si>
  <si>
    <t>https://www.youtube.com/watch?v=5iT09vIaZOU</t>
  </si>
  <si>
    <t>Interview with Sri Louise-Her Journey to Hinduism</t>
  </si>
  <si>
    <t>Hindu Gurus are Muddled Up in Understanding Christianity: Rajiv Malhotra #1</t>
  </si>
  <si>
    <t xml:space="preserve">A disciple of Swami Dayanand Saraswati since 1998, Sri Louise talks about the cognitive shift in her life. She also describes entering a larger social stratosphere in 2012-13 after reading Invading the Sacred and actively critiquing some of her peers practising Yoga. </t>
  </si>
  <si>
    <t>Lost in Translation-Looting of Yoga, A video Clip by Sri Louise</t>
  </si>
  <si>
    <t>Sri Louise speaks about the teachers who teach Srimad Bhagwad Gita who never learnt from qualified teachers, and thus they themselves are not qulaified to teach Gita. In the process the text itself gets lost in translation. She also talks about non-translatables and inside versus outsiders. Rajiv Malhotra talks in brief about the journey of using the term Hinduphobia.</t>
  </si>
  <si>
    <t>https://www.youtube.com/watch?v=inpmzGJn2LU</t>
  </si>
  <si>
    <t>Hindu Gurus Lost an Opportunity to Convert Western Yoga Students into Hindus #2</t>
  </si>
  <si>
    <t>Deva Premal and Miten says Hindus appropriated Mantras</t>
  </si>
  <si>
    <t xml:space="preserve">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 Rajiv Malhotra is concerned about the confused westerners who end up confusing Hindus and also Hindu Gurus who began to accept the position that westerners take. </t>
  </si>
  <si>
    <t>#appropriation</t>
  </si>
  <si>
    <t>Here Rajivji's expalnation on 'how mantra is incompatible with Chrstinity and vise versa' should be seperated as one independent clip</t>
  </si>
  <si>
    <t>Yoga's position in the West</t>
  </si>
  <si>
    <t>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t>
  </si>
  <si>
    <t>https://www.youtube.com/watch?v=wXoImJcJYxQ</t>
  </si>
  <si>
    <t xml:space="preserve">#Digestion #Hinduphobia </t>
  </si>
  <si>
    <t>Rajiv Malhotra: How Yoga's Advanced Effects Depend on One's Worldview &amp; Lifestyle #3</t>
  </si>
  <si>
    <t>Here Rajivji's explanation on digestion/despiritualization/secularization/appropriation of Yoga can be used seperated as sepearate clip with title:  How western yoga world is moving away from authentic version of Yoga?</t>
  </si>
  <si>
    <t>https://www.youtube.com/watch?v=aASsLwbe6kY</t>
  </si>
  <si>
    <t>Is chanting Om a part of Yoga: Rajiv Malhotra</t>
  </si>
  <si>
    <t>https://www.youtube.com/watch?v=bFIqLn3c85c</t>
  </si>
  <si>
    <t>Lets Create a "Global Yoga Franchise" with Lakhs of Teachers: Rajiv Malhotra #5</t>
  </si>
  <si>
    <t>Introduction: Where is India in the America's Eyes?</t>
  </si>
  <si>
    <t>Overview of what America stands for vis-a-vis India by Rajiv Malhotra. Briefly touches the salient points before explaining in greater details in the subsequent slides such as America's gift to India's youth as well as the deeper truth. also discusses three layers of American civilization.</t>
  </si>
  <si>
    <t>#Purva Paksha</t>
  </si>
  <si>
    <t>Here video clip from 0:03:21 to 0:39:55 can be edited as one single clip: 'Rajiv Malhotra's purva paksha of America'</t>
  </si>
  <si>
    <t>https://www.youtube.com/watch?v=PWZrF-TGsWo</t>
  </si>
  <si>
    <t>What Should be India's Strategy for Leveraging Yoga: Rajiv Malhotra #6</t>
  </si>
  <si>
    <t xml:space="preserve">History of America's Manifest Destiny </t>
  </si>
  <si>
    <t>Rajiv Malhotra takes us through the journey  of how "Manifest Destiny" became America's powerful mantra. It is Rajivji's purvapaksha of America.</t>
  </si>
  <si>
    <t>Example of Corporate Support: Pew Trust</t>
  </si>
  <si>
    <t>https://www.youtube.com/watch?v=S2ePhtW_O5A</t>
  </si>
  <si>
    <t>Rajiv Malhotra responds: What was the origin of Yoga #7</t>
  </si>
  <si>
    <t>Explicit Mission Statement by Pew Trust: To support institution that upholds historic Chrisitian principles rooted in Biblical standards.</t>
  </si>
  <si>
    <t>https://www.youtube.com/watch?v=6aJLKt2nXsg</t>
  </si>
  <si>
    <t>Rajiv Malhotra: Yoga is Much More Than Asanas Physical Aspect #8</t>
  </si>
  <si>
    <t>Bible and Secular Media in America</t>
  </si>
  <si>
    <t>Rajiv Malhotra shows that Time, Newsweek. US News and World Report carried over a dozen special issues on Bible, Christianity, Jesus etc. in the past few years with great respect. Serious analysis of Biblical history and its positive role in todays' time was done by them.</t>
  </si>
  <si>
    <t>https://www.youtube.com/watch?v=tRgTeYpgv8c</t>
  </si>
  <si>
    <t>Rajiv Malhotra: Yoga Practitioners Must Also Understand its Philosophy Properly #9</t>
  </si>
  <si>
    <t>American Institues of Power: Goverment, Business and Church</t>
  </si>
  <si>
    <t>Rajivji explains how all all these institutions works in professional corporate style and how post mordernism has no influence in their functioning.</t>
  </si>
  <si>
    <t>American Civilization's Three Layers</t>
  </si>
  <si>
    <t xml:space="preserve">America has three layers of its' civilization viz. Pop culture Layer, Business Layer and Deep Culture Layer. </t>
  </si>
  <si>
    <t>https://www.youtube.com/watch?v=txsij6WXt8s</t>
  </si>
  <si>
    <t>Mutual Respect Between Hinduism &amp; Christianity is a One Way Street: Rajiv Malhotra</t>
  </si>
  <si>
    <t>America is Larger Than Life for Americans</t>
  </si>
  <si>
    <t>America  has hundreds of Historical Societies across the nation, its History books showing greatness of Western Civilization. It has hugelu popular Presidential libraries, historical monuments, theme parks etc. The National Flag is like a very sacred Deiti, and is found everywhere. All levels of Governments are based on patriotism and all political parties are always pro-American.</t>
  </si>
  <si>
    <t>https://www.youtube.com/watch?v=AefxKKTqv5I</t>
  </si>
  <si>
    <t>International Yoga Day, Philadelphia</t>
  </si>
  <si>
    <t>Contesting America's Post-Modernity</t>
  </si>
  <si>
    <t>Robert Young, a literary theorist had written, "We are witnessing the dissolution of the West." Other authors too expressed the view that the Europeans no longer seem acceptable in a world where others are reasoning their own notion of the past and the future. However, rajiv malhotra thinks that the USA is following a trajectory that is diametrically opposite to the Young's analysis.</t>
  </si>
  <si>
    <t>https://www.youtube.com/watch?v=7gTT37SeSUc</t>
  </si>
  <si>
    <t>Rajiv Malhotra: Inner Awakening program integrates advaita inside with action outside</t>
  </si>
  <si>
    <t>For America, Is Postmodernism for Export Only?</t>
  </si>
  <si>
    <t>Deconstruction ideology failed in the American mainstream as Rajiv Malhotra observes. Postmodernism denies the unity of anything that includes the "lived experience" by any civilization. Wall Street Journal wrote, " Evangelicals give US foreign policy an activist tinge."</t>
  </si>
  <si>
    <t>Foreign Interventions via Human Rights NGOs</t>
  </si>
  <si>
    <t>Unabashadly US Secretary of State Colin Powel had said, " NGOs are force multiplier for us".  USAID administrator once proclaimed, " NGOs are an arm of the US government".</t>
  </si>
  <si>
    <t>https://www.youtube.com/watch?v=o-395A-OrOQ</t>
  </si>
  <si>
    <t>Dharma gets Digested into "Products" of Western Universalism: Rajiv Malhotra #2</t>
  </si>
  <si>
    <t>External Civilizational Challenges for America</t>
  </si>
  <si>
    <t>America's dilemma is in dealing with these two challenges; one with China for the clash of modernities and with Islam for the clash of fundamentalism. America also has dilemma for dealing with India; with one school wanting to build India and another to fragment India.</t>
  </si>
  <si>
    <t>Here slide does not reflect what Rajivji was saying during certain portion of the clip.  In other word there was delay in changing the slide.</t>
  </si>
  <si>
    <t>https://www.youtube.com/watch?v=qYA9DVNkOCA</t>
  </si>
  <si>
    <t>Rajiv Malhotra: #1 Adhyatma-Vidya as inner science</t>
  </si>
  <si>
    <t>An example of American invervention in india: The Afro-Dalit Project</t>
  </si>
  <si>
    <t>Rajiv Malhotra discusses the Afro-Dalit project that involves branding the dalits of India as the "Blacks of India" and non-dalits as the "Whites of India".This project has full Institutional support from the Church,, Academy and Human Rights groups.</t>
  </si>
  <si>
    <t>India/Third word Minority as agents of imperialism</t>
  </si>
  <si>
    <t>Rajivji mentioned that certain minorities are minorities in local contenxt but in global context they are not.</t>
  </si>
  <si>
    <t>https://www.youtube.com/watch?v=-JT1qlD0wPQ</t>
  </si>
  <si>
    <t>Non-digestible Tension Points Between Dharmic &amp; Western Universal traditions</t>
  </si>
  <si>
    <t>Are Indians managed by America?</t>
  </si>
  <si>
    <t>There are two links that operate simulataneously having focus on India. The business wants to deal with India positively and the other link comprising the Government, Church, Funding agencies, academy, Journalists, NGOs wants to fragment India.</t>
  </si>
  <si>
    <t>https://www.youtube.com/watch?v=kSNHRGhGt_Y</t>
  </si>
  <si>
    <t>Rajiv Malhotra: UTurn Stages of Appropriation #6</t>
  </si>
  <si>
    <t>India's indifference to US Intervention in it's Affairs</t>
  </si>
  <si>
    <t xml:space="preserve">Indian Government is missing in action even though US Government is involved in the activities which hurt India. </t>
  </si>
  <si>
    <t>America's Complex Interest on India</t>
  </si>
  <si>
    <t>Rajiv Malhotra explains the complexities that determine America's interest on India. While interest of Businesses are largely positive, this can't be said for Church, Government, Academy etc.</t>
  </si>
  <si>
    <t>https://www.youtube.com/watch?v=adov37an6hU</t>
  </si>
  <si>
    <t>Rajiv Malhotra: #5 Westernized Indians Discomfort about Own Heritage</t>
  </si>
  <si>
    <t>Summary of Lecture-1</t>
  </si>
  <si>
    <t>Rajiv Malhotra summarises his talk by pointing out the commonly held perception and his counter position on several issues.</t>
  </si>
  <si>
    <t>There is audio disturbance around time: 55:30-45.  Then again around 56:25</t>
  </si>
  <si>
    <t>https://www.youtube.com/watch?v=glBt8I5y1b8</t>
  </si>
  <si>
    <t>Rajiv Malhotra: #4 Destructive Effect of Digestion</t>
  </si>
  <si>
    <t>Why western intervention on 'Persecution of Dalits' in India is not justified?</t>
  </si>
  <si>
    <t>Rajiv Malhotra gives seven-points explanation to this question.</t>
  </si>
  <si>
    <t xml:space="preserve">#Breaking India forces </t>
  </si>
  <si>
    <t>South Asia Study: How to Deconstruct India?</t>
  </si>
  <si>
    <t>Rajiv Malhotra exposes the engagement of various forces in the USA who have systematically undertaken the task to deconstruct India and to build sub-nationalism in India.</t>
  </si>
  <si>
    <t>https://www.youtube.com/watch?v=a_HGSrmF_8w</t>
  </si>
  <si>
    <t>Leftist Control of Mainstream Media is Biased: Rajiv Malhotra, BLR Lit Fest</t>
  </si>
  <si>
    <t>#clash of Civilization</t>
  </si>
  <si>
    <t>https://www.youtube.com/watch?v=Kfqplhug-eA</t>
  </si>
  <si>
    <t>Rajiv Malhotra Intl Day of Yoga, Philadelphia: #1 Defining Yoga &amp; Relation to Dharma</t>
  </si>
  <si>
    <t>https://www.youtube.com/watch?v=AgRVHML48XM</t>
  </si>
  <si>
    <t>Rajiv Malhotra at Intl Day of Yoga, Philadelphia: #2 Should OM be removed from Yoga</t>
  </si>
  <si>
    <t>Introduction: Where is India in the Encounter of Civilizations?</t>
  </si>
  <si>
    <t>Rajiv Malhotra briefly explains about the forces at work to fragment India, why civilization matters, the cynical attitudes in India and describes the apathy and loftiness prevalent in India.</t>
  </si>
  <si>
    <t>The video from 0:02:15 to 1:06:04 can be played as standalone clip: 'Where is india in clash of civilization'</t>
  </si>
  <si>
    <t xml:space="preserve">Importance of civilization and why its identity matters </t>
  </si>
  <si>
    <t>https://www.youtube.com/watch?v=2Hmcjz_IH8I</t>
  </si>
  <si>
    <t xml:space="preserve"> why civilization matters, the cynical attitudes in India and describes the apathy and loftiness prevalent in India.  </t>
  </si>
  <si>
    <t>Rajiv Malhotra at Intl Day of Yoga, Philadelphia: #3 Scope of Yoga</t>
  </si>
  <si>
    <t>#clash of civilization</t>
  </si>
  <si>
    <t>Three alternative future scenarios of India</t>
  </si>
  <si>
    <t xml:space="preserve"> He posits three future scenarios for India depending on how India deals with the encounters of the civilizations.</t>
  </si>
  <si>
    <t>A big civilization picture- 3 Major civilization- West, China and pan-Islam</t>
  </si>
  <si>
    <t>https://www.youtube.com/watch?v=xuKnWRKpLyM</t>
  </si>
  <si>
    <t>Rajiv Malhotra at Intl Day of Yoga, Philadelphia: #4 Is Yoga a religion or science</t>
  </si>
  <si>
    <t>Rajiv Malhotra discusses the factors that drive the competiton, the ground reality and the attitudes of the top three civilizations that compete with each other to get the bigger pie of India.  He also covers 3 major competiting civilization: West, Islam and China. Rajiv Malhotra explains the factors required for the success of the civilization. He considers three forms of capital are essential for the objective to be achieved such as Financial, Political and Intellectual.</t>
  </si>
  <si>
    <t>China's ambition to be World Leader by 2050</t>
  </si>
  <si>
    <t>Rajiv Malhotra explains how China has constructed a highly ambitious grand Chinese narrative to make it the world leader by the year 2050 in the Economic, Military and Civilizational terms.</t>
  </si>
  <si>
    <t>https://www.youtube.com/watch?v=2U1DVGO8vo4</t>
  </si>
  <si>
    <t>Rajiv Malhotra at Intl Day of Yoga, Philadelphia: #6 Yoga Asana for Schools</t>
  </si>
  <si>
    <t>Pan-Islam: Theological Grand Narrative from God</t>
  </si>
  <si>
    <t>Based on extensive research, Rajiv Malhotra presents his outlook on the construction of the Pan Islam grand narrative that have core issues of Identity, maeaning and direction. The narrative is based on the sacred geography, literalist account of history, pre-ordained trajectory into the future and Dar-ul-Islam versus Dar-ul-Harb.</t>
  </si>
  <si>
    <t>Ambivalence of America towards India considering hostile China and Pan-islam</t>
  </si>
  <si>
    <t>Rajiv Malhotra discusses the confused or ambivalent approach of America towards India. On one hand, business section stays positive on India and wants to build India, some other sections want to fragment India. Due to perceived Civilizational Threat Psychosis, America has developed scizophrenic attitude towards India resulting in the policy that keep vaccilating between the above two.</t>
  </si>
  <si>
    <t>https://www.youtube.com/watch?v=xhcu0nbcfy0</t>
  </si>
  <si>
    <t>Rajiv Malhotra: क्या हिन्दू धर्म और ईसाई रिलिजन समान हैं</t>
  </si>
  <si>
    <t>United states's Intervention in India with an example</t>
  </si>
  <si>
    <t>Rajiv Malhotra talks about how India is deconstructed. He finds America looks at India through secular lenses as well as Biblical lenses and in-between are the problems that they study such as Caste, Minority, Religions, Women etc. and that feeds negative approach to Hinduism which is then linked to Indian civilization and finally to Indian Nation-State.  Rajiv Malhitra describes how dalits are described as "Blacks of India" and non-dalits as "Whites of India" by applying the framework of American history of slavery. He explains how the "disruptive Forces" in India have been co-opted to further their goal of fragmenting India.</t>
  </si>
  <si>
    <t>Positive and negative discourse on India in United states</t>
  </si>
  <si>
    <t>https://www.youtube.com/watch?v=lJLoAHZxMWE</t>
  </si>
  <si>
    <t>Rajivji describe two competing discourse.. positive by business schools/world and negative by south asian social science schools</t>
  </si>
  <si>
    <t>Rajiv Malhotra fb LIVE 10: Keynote address at first ever 'Swadeshi Indology' Conference</t>
  </si>
  <si>
    <t>Hypothetical scenario of India breaking down and possible intervention from US/China/Islam</t>
  </si>
  <si>
    <t xml:space="preserve">Rajivji talks about the hypothetical scenario for US intervention in India on various grounds. He briefly discusses about the similar ambitions being held by Islam and China civilization on India. </t>
  </si>
  <si>
    <t>https://www.youtube.com/watch?v=dSKwv3KOvN8</t>
  </si>
  <si>
    <t>Rajiv Malhotra at Intl Day of Yoga, Philadelphia: #7 Yoga philosophy is based on nature of Self</t>
  </si>
  <si>
    <t>Possible Positive Contribution by India for the World</t>
  </si>
  <si>
    <t>In his brilliant analysis, Rajiv Malhotra describes how India can have a huge positive impact on a global scale through her age-old knowldge. While Abrahamic religions are based on exclusivity, Indian philosophy is on all-inclusiveness. India can contribute in almost all the fileds of a human life according to his presentation.</t>
  </si>
  <si>
    <t>Survival of Indian civilization - various future scenario</t>
  </si>
  <si>
    <t>Rajiv Malhotra makes an interesting observation on how India can deal with the threat to its existence. He also presents two scenarios for the India's future depending on how India deals with the dilemma. He concludes by presenting naunces of global reality, India's reality and the likely future for India.</t>
  </si>
  <si>
    <t>https://www.youtube.com/watch?v=t5tjD9qq-98</t>
  </si>
  <si>
    <t>Rajiv Malhotra at Intl Day of Yoga, Philadelphia: #8 Yoga solves many kinds of issues</t>
  </si>
  <si>
    <t>Sythesis of Indian and West civilization as US as Partner</t>
  </si>
  <si>
    <t>Mr Jethmalani proposes this idea and Rajivji gives his node on this proposal</t>
  </si>
  <si>
    <t>Why India is better with presedential democracy?</t>
  </si>
  <si>
    <t xml:space="preserve">US- diversity of Identity but unity of policy. India: Diversity of Identity becomes diversity of politics. Rajivji compare two democracy US and India. </t>
  </si>
  <si>
    <t>https://www.youtube.com/watch?v=LEotomBnsQk</t>
  </si>
  <si>
    <t>Rajiv Malhotra: भारतीय स्वयं ज़िम्मेदारी लें, दूसरों पर न निर्भर हों</t>
  </si>
  <si>
    <t>How indian civilization traditionally allow internal reformation?</t>
  </si>
  <si>
    <t>With debates arguments and peaceful resolution at its core, indian civilization is capable of reforming itself.  There is no need for agenda driven outside intervention.</t>
  </si>
  <si>
    <t>What is difference between Yogi fighter and Gladiator fighter?</t>
  </si>
  <si>
    <t>Rajivji explains selfless fighting of Yogi vs self motif fighting of Gladiator</t>
  </si>
  <si>
    <t>https://www.youtube.com/watch?v=tpUBWJjtzrA</t>
  </si>
  <si>
    <t>Rajiv Malhotra: BARC 2_True and verifiable history of Indian science &amp; technology</t>
  </si>
  <si>
    <t>YP</t>
  </si>
  <si>
    <t>#Yoga freedom from History</t>
  </si>
  <si>
    <t>https://www.youtube.com/watch?v=Cuelsn9VyZQ</t>
  </si>
  <si>
    <t>Quackery &amp; Chauvinism Can Spoil the Reputation of Scientific Work. #1</t>
  </si>
  <si>
    <t>https://www.youtube.com/watch?v=IQCY6tVgZ9s</t>
  </si>
  <si>
    <t>Rajiv Malhotra: BARC 3_Yoga claims there is an inner science Adhyatma Vidya that is verifiable</t>
  </si>
  <si>
    <t>Introduction by Mr Bhansali and candle lightining</t>
  </si>
  <si>
    <t>https://www.youtube.com/watch?v=xVrbpqr1LEE</t>
  </si>
  <si>
    <t>Rajiv Malhotra at Intl Day of Yoga, Philadelphia: #5 योग का स्वामित्व किसके पास है</t>
  </si>
  <si>
    <t>How indians may end up consuming their own knowledge in distorted form?</t>
  </si>
  <si>
    <t>Rajivji describes U-turn theory, contexulization and recontexulization</t>
  </si>
  <si>
    <t>#U-turn</t>
  </si>
  <si>
    <t xml:space="preserve">Indians ignore their own knowledge system- example of Mind sciences  </t>
  </si>
  <si>
    <t>Rajivji describes his experience on proposal of including Indian psychology in IIT khadagpur conference</t>
  </si>
  <si>
    <t>#Intellectually colonized</t>
  </si>
  <si>
    <t>https://www.youtube.com/watch?v=kZVT_WU4Pm4</t>
  </si>
  <si>
    <t>Inaugural Address by Prof. V.N. Jha (First Swadeshi Indology Conference)</t>
  </si>
  <si>
    <t>Use of Yogic method for accelerated learning</t>
  </si>
  <si>
    <t>Rajivji describe how yogic method is used for accelerated learning.  He also mentioned how Russians studies yogi.</t>
  </si>
  <si>
    <t>How Yoga's history and origin is being distorted</t>
  </si>
  <si>
    <t>Rajivji gave example of how books are writtent to distort the history and origin of Yoga</t>
  </si>
  <si>
    <t>https://www.youtube.com/watch?v=5HrBZvxcPmY</t>
  </si>
  <si>
    <t>Swadeshi Indology Conference - Closing Comments by Rajiv Malhotra</t>
  </si>
  <si>
    <t>Being Yogi doesn't mean neglecting outer domain</t>
  </si>
  <si>
    <t xml:space="preserve">Rajivji breaks the myth that how being Yogi is not to escape the world but reengage with the world.  Gave example of Swami vivekanand, Buddha and Adi Shakaracharya. Performance of practicle duties gets amplified with Yoga.  </t>
  </si>
  <si>
    <t>Many paths of Yoga/Meditation and many sophisticated knowledge systems</t>
  </si>
  <si>
    <t>Patanjali is just one type of Yoga. Shiv sutra is another example. Dance, Mantra, Vipasana etc.</t>
  </si>
  <si>
    <t>https://www.youtube.com/watch?v=KdiEMEbTV1M</t>
  </si>
  <si>
    <t>How Indians missed out Yog opportunities</t>
  </si>
  <si>
    <t>In the west commercial Yog asana teaching is taken over by westerners.  Indians missed the boat. Further Yog is americanized and exported to China while Indians did not take up that opportunity</t>
  </si>
  <si>
    <t>Swadeshi Indology Conference: Prof Makarand Paranjape (JNU) on Ambedkarism and Islam</t>
  </si>
  <si>
    <t>Rajivji's books on Indian contribution which has become obscure</t>
  </si>
  <si>
    <t>Buddhist contribution to cognitive/neuro science, Yoga/meditation science</t>
  </si>
  <si>
    <t>https://www.youtube.com/watch?v=9Zummy0j6Ws</t>
  </si>
  <si>
    <t>Why Yoga can act as soft power for India and identities</t>
  </si>
  <si>
    <t>This clip will almost unusable due to its very small size</t>
  </si>
  <si>
    <t>Welcome Speech by Prof Kannan - First Swadeshi Indology Conference</t>
  </si>
  <si>
    <t xml:space="preserve">This video should be combined with video 245.08 to make one combined video. </t>
  </si>
  <si>
    <t>Possibilty of reverse digestion- Indian civilization digesting others?</t>
  </si>
  <si>
    <t xml:space="preserve">Rajivji elaborated idea of digestion.  He gave examples of various digestion.  To be digester you need strong framework of your own.  </t>
  </si>
  <si>
    <t>#digestion</t>
  </si>
  <si>
    <t>There will be need to add english subtitle around 40:30</t>
  </si>
  <si>
    <t>How to differentiate authetic Yoga</t>
  </si>
  <si>
    <t>https://www.youtube.com/watch?v=9VsQzAI5PLo</t>
  </si>
  <si>
    <t xml:space="preserve">Quality of earlier days has gone. Now its all about number.  Yoga has to be considered inner science.  We need institution to legitimize this. </t>
  </si>
  <si>
    <t>First Swadeshi Indology Conference: Inauguration and Felicitation</t>
  </si>
  <si>
    <t>There will be need to add english subtitle at certain place</t>
  </si>
  <si>
    <t>Why you use different words like Hinduism, Indian thoughts, dharma etc for the same context?</t>
  </si>
  <si>
    <t>Rajivji's say it is matter of choice</t>
  </si>
  <si>
    <t>https://www.youtube.com/watch?v=ZwiLQGKP--A</t>
  </si>
  <si>
    <t>Swadeshi Indology Conference - Vote of Thanks by Prof Jalihal</t>
  </si>
  <si>
    <t>An example of reverse digestion</t>
  </si>
  <si>
    <t>Rajivji gave example of reverse digestion- name of his book Indra's net</t>
  </si>
  <si>
    <t>This video can be combined with video 245.11 to make one combined video</t>
  </si>
  <si>
    <t>https://www.youtube.com/watch?v=fmVDyQnLFe4</t>
  </si>
  <si>
    <t>Rajiv: BARC 4_Adhyatma vidya is empirical inner science, different from external hard sciences</t>
  </si>
  <si>
    <t>https://www.youtube.com/watch?v=ohUG8LIy7Cs</t>
  </si>
  <si>
    <t>Rajiv Malhotra: BARC 5_Indian tradition ensures no conflict between science &amp; religion</t>
  </si>
  <si>
    <t>Where are the pandva's in today's kurushetra?</t>
  </si>
  <si>
    <t xml:space="preserve">Rajivji is creating home team and challenges he facing to create it.  Pandavas have to be natured. </t>
  </si>
  <si>
    <t>https://www.youtube.com/watch?v=WfJvOgXp9SM</t>
  </si>
  <si>
    <t>Rajiv Malhotra: BARC 6_ Colonizers left but the Indian mind is still colonized</t>
  </si>
  <si>
    <t>Why purva paksha is ongoing process from the traditional point of view?</t>
  </si>
  <si>
    <t>Just like west advanced from christinity to enlightement to marxism to post modernism..we need to continue our purva paksha based on those</t>
  </si>
  <si>
    <t>#purva paksha</t>
  </si>
  <si>
    <t>https://www.youtube.com/watch?v=_vKbwIOfXy0</t>
  </si>
  <si>
    <t>Death of Purva paksha</t>
  </si>
  <si>
    <t>Rajiv Malhotra: BARC 7_Indian ideas have been plagiarized &amp; appropriated by the West</t>
  </si>
  <si>
    <t>Why no solid purva paksha to Islam?  Why not for British or portugese?  No instutionalized efforts.  Rajivji presents multiple theories behind this death of purva paksha</t>
  </si>
  <si>
    <t>#purva paksha  #Uttar paksha</t>
  </si>
  <si>
    <t>Rajivji's message to traditional scholars who oppose his Battle of Sanskrit: Lead follow or get out of the way</t>
  </si>
  <si>
    <t xml:space="preserve">Rajivji discussing institutions and circle who are supporting or opposing his battle of sanskrit efforts. Kurushetra needs many types of specialities. </t>
  </si>
  <si>
    <t>https://www.youtube.com/watch?v=NNu6sJz2cPI</t>
  </si>
  <si>
    <t>How to imbibe team work and to organize among home team?</t>
  </si>
  <si>
    <t>Rajivji gives example of american corporate where he saw opponents fights yet work together when needed</t>
  </si>
  <si>
    <t>Rajiv Malhotra: BARC 8_ Swami Vivekananda influenced Nikola Tesla</t>
  </si>
  <si>
    <t>How to make Hindu disolve their inferiority complex</t>
  </si>
  <si>
    <t>Rajivji emphasize why we need to take control of intellectual discourse to gain confidence and remove inferiority complex.</t>
  </si>
  <si>
    <t>https://www.youtube.com/watch?v=Deab_JE4fv4</t>
  </si>
  <si>
    <t>Rajivi's feedback on changes in opponent and home team after his battle of Sanskrit efforts</t>
  </si>
  <si>
    <t>Rajiv: BARC 9_ How Herb Benson and Stephen Laberge have appropriated ideas from Indian mind sciences</t>
  </si>
  <si>
    <t xml:space="preserve">Rajivji sense that trend is changing in intellectual battle..now ppl like Sheldon pollock know that there is someone who is going to fights back.  At the same time he sees ppl on our side are not standing up with him. </t>
  </si>
  <si>
    <t>How to rejuvanate our obsolete knowledge system?</t>
  </si>
  <si>
    <t>Rajivji suggests 3 components:  new knowledge development, human resource development and institution. Using Rama krishna mission example he suggest how they are not able to reproduce Vivekananda in this age.  Where is new knowledge?  He said Pollock and group creating new smritis unlike tranditional</t>
  </si>
  <si>
    <t>https://www.youtube.com/watch?v=GiNhw1WJNXc</t>
  </si>
  <si>
    <t>Rajiv Malhotra: BARC 10_Indian Philosophy is the only one compatible with Quantum Physics</t>
  </si>
  <si>
    <t>What lessons we can learn from Western Indology?</t>
  </si>
  <si>
    <t xml:space="preserve">Rajivji mentioned his experience in tracking western indology industry.  He says we need government support as well as industrialists should steps in. He also gave example of Prof Kannan who is leading </t>
  </si>
  <si>
    <t>How to study western indology: Examples, motivation and obstructions</t>
  </si>
  <si>
    <t>Rajivji mentioned his experience with Prof Kannan and Sampdan Mishra. He also mentioned one negative example</t>
  </si>
  <si>
    <t>https://www.youtube.com/watch?v=NRep5rGd_FU</t>
  </si>
  <si>
    <t>Rajiv Malhotra: BARC 12_Why difference and diversity should be preserved</t>
  </si>
  <si>
    <t>How come people on other side(christians) suffer for the cause but many on our side wont?</t>
  </si>
  <si>
    <t>Rajivji gave example of christian missionaries who lives in remote place and sacrifice their life. Rajivji also mentioned how Guru can transform ppl and encourage them to do this.</t>
  </si>
  <si>
    <t>#Yoga freedom from history</t>
  </si>
  <si>
    <t>https://www.youtube.com/watch?v=gF2CbaL7t6g</t>
  </si>
  <si>
    <t>Rajiv Malhotra: Harvard Video Proves Their Infiltration of Kumbh Mela (with Hindi Subtitles)</t>
  </si>
  <si>
    <t>https://www.youtube.com/watch?v=GB9g4sKWR0M</t>
  </si>
  <si>
    <t>Role of Organizations Like The Hindu American Foundation (HAF): Rajiv Malhotra #1</t>
  </si>
  <si>
    <t>This whole video can be presented as: New framework to define Yoga</t>
  </si>
  <si>
    <t>New framework to define Yoga</t>
  </si>
  <si>
    <t xml:space="preserve">Yog in context of science, religion, cultures, nationality and ethnicity.  Is yog hindu? Is yog Indian?  </t>
  </si>
  <si>
    <t xml:space="preserve">1 year ago </t>
  </si>
  <si>
    <t>https://www.youtube.com/watch?v=AB0KeX_0T2I</t>
  </si>
  <si>
    <t>Rajiv Malhotra's Hard-hitting Response to False Charges of Plagiarism #2</t>
  </si>
  <si>
    <t>Audio went low quality around 6:10</t>
  </si>
  <si>
    <t>How Yoga was taken apart and seperated isolated domain?</t>
  </si>
  <si>
    <t xml:space="preserve">Rajivji starts with History of Yog in US from 60s.  Yog has becomes americanized.  Physical yog/YMCA yog is the only yog that many people think of.  Yog was also christinize.  Yoga becames parts of science/therapy.  It was taken apart into too many componenents.  </t>
  </si>
  <si>
    <t>https://www.youtube.com/watch?v=VDqAX3plBww</t>
  </si>
  <si>
    <t>Rajiv Malhotra on Obama administration's effect on curtailing violence against Black people #3</t>
  </si>
  <si>
    <t>What is Yog in its own framework and why it contradicts with certain ideology/theology?</t>
  </si>
  <si>
    <t xml:space="preserve">Science/religion/health all are narrow prism for Yog. Yog has its own framework.  It starts with Yam and Niyam. Ethics and lifestyle can not be seperated from Yog.  Yog is universal but yogi has to comply with certain requirements.   Universality doesnt mean everything and anything works with Yog. Yog says you are eternally divine.  So ideology/theology says you are born sinner will contradict with it.  These metaphysical and theological issues can not be put aside. Yog cant be divorced from vedanta philosophy.  Metaphysical and theological issues can not be put aside.  Yog can not be surgically cut out and transplant somewhere else. Yog need certain kind of soil, certain vibration, certain ambience. You have to nature the roots of Yog and then only fruits can be exported.   </t>
  </si>
  <si>
    <t>https://www.youtube.com/watch?v=FgVpxhtCQdA</t>
  </si>
  <si>
    <t>Rajiv Malhotra with Yogi Amrit Desai: FULL Interview</t>
  </si>
  <si>
    <t>https://www.youtube.com/watch?v=Hqx5Pfe-4NI</t>
  </si>
  <si>
    <t>Indian Social Sciences Scholars are the New Elites: Rajiv Malhotra #4</t>
  </si>
  <si>
    <t>https://www.youtube.com/watch?v=rAWCL2ENS90</t>
  </si>
  <si>
    <t>Rajiv Malhotra: Importance of Knowledge Percolating to the Lower Strata #5</t>
  </si>
  <si>
    <t xml:space="preserve">Lot of issues are interwined into many portions of this video and its hard to find single topic clip made out of this. </t>
  </si>
  <si>
    <t>Yogi Amrit Desai - a pioneer of American Yoga industry</t>
  </si>
  <si>
    <t>Rajiv Malhotra introduces, not well-known but truly extraordinary, Yogi Amrit Desai as THE pioneer and founding father of the Yoga Movement in the USA. His journey began when he came to the USA in 1960, when people hardly knew about Yoga and there were hardly any Yoga teachings going on. He brought to the USA the true Hath Yoga, which is missing even today. Yogi Amrit Desai was perhaps the first one to start yoga teacher training program in USA.  Yogi Amrit Desai describe his journey through various asharam which become some of the biggest yoga centers.  Rajiv Malhotra concedes that the Yoga practitiners in the USA owe a lot to Yogi Amrit Desai and that he brought the original force into it.</t>
  </si>
  <si>
    <t>https://www.youtube.com/watch?v=47hxgUfQ8jo</t>
  </si>
  <si>
    <t>Innovations and revival of authentic Yoga practices by Yogi Amrit Desai</t>
  </si>
  <si>
    <t>Ambedkar and The Origins of 'Left Wing' 'Right Wing' #6</t>
  </si>
  <si>
    <t>Rajiv Malhotra wants to know about innovations that Yogi Amrit Desai brought in into his teachings. It's an awakenign that he experienced in 1970 that took him inot a whole new dimension and he saw Yoga practice as completely different. After that experience, when he read Patanjali YogaSutra and Srimad Bhagwad Gita, he found that as if he never read them before. Thereafter, he developed a whole new practice called Kripalu Yoga whcih was later on named as I AM Yoga. In most other classes or institutions, Hath Yoga and Patanjali Yoga are taught in a separate classes, he integrates them.According to Yogi Amrit Desai, Patanjali's Yoga Sutra is not a philosophy but a manual for practice. It is witnessing of the modification of the mind.He says matter-of-factly that Yoga can be practiced while cooking, while driving or working. He declares that Yoga cannot be practiced if not combined with Meditation. He proposes that Ashtang-Yoga is not an 8-step process of practicing Yoga but is an 8-limbed Yoga which has to be practiced in such a way that all the 8 limbs are involved simultaneously, rather than chronologically. Yogi Amrit Desai developed what he likes to call as Meditation in Motion.  Yogi Desai says that it is essential that while practising Yoga, the Karmic baggage has to be has to be unloaded to enable one to connect his Atma with the Paramatma, which is what one is, the I AM.He says that if you cannot get rid of the emotions and from your reactive thougts, then you are not doing real Yoga to return to the "I AM".Rajiv Malhotra also asks about the concept of Posture of Conciousness. Yogi Desai expalins the concept very nicely by saying that that practice is basically making it happen and letting it happen. In this practice, the conflict between the ego and the energy has to be resolved. He says that most Yoga practice calls for detachment from the material possession but Patanjali asks for renunciation from the Karmic impressions, success and failure thoughts, for me-and-against me mindsets etc. stored in our memory. Rajiv Malhotra adds that doing Asanas is a microcosm of the world of actions. Rajiv Malhotra expresses surprises about the competition held for Yoga because Yoga is supposed to be done after unloading your ego. Yogi Desai agrees that for adults, competition is doing Yoga is not a good idea, though, for children who are initiatirs, it may be a good idea.</t>
  </si>
  <si>
    <t>Loss of authenticity of Yoga and how Yogic philosophy in conflict with other ideologies</t>
  </si>
  <si>
    <t>Rajiv Malhotra pithily asks Yogi Amrit Desai what has happened to Yoga in the USA? Why has it got disconnected from its Indian roots? Rajiv Malhitra is concerned about the loss of the authenticity of Yoga.nRajiv Malhotra explains that there are basic three tension points in the practice of Yoga for the population that practices other religion such as 1) Chanting of Aum 2) Our Deity and 3) Kindalini experience. Yogi desai confirms that Yoga comes from Saantan Dharma and the practitioner connects or has access to God within oneself. Rajiv Malhotra discusses what Jesus may have experienced and what the Institution of Christianity wrote in the New testament may differ. Yogi Amrit Desai proposes that they are missing the authentic teachings of Jesus. He also discusses about some Saints who might have understood what Jesus wanted to convey but were perhaps sceptical to convey to the people.</t>
  </si>
  <si>
    <t>https://www.youtube.com/watch?v=EMznloyYysU</t>
  </si>
  <si>
    <t>Harvard Video Proves Their Infiltration of Kumbh Mela: Rajiv Malhotra</t>
  </si>
  <si>
    <t>Living Guru vs dead saint</t>
  </si>
  <si>
    <t xml:space="preserve"> Rajiv Malhotra draws his attention to the difference between the Living Masters that Sanatan Dharma has always produced and the Saints of the Christianity who are offered Sainthood ONLY after the death. </t>
  </si>
  <si>
    <t xml:space="preserve"> #poinson pills #Yoga- freedom from history</t>
  </si>
  <si>
    <t>Here what Amtrit desai says can be removed to just keep the Rajivji's clear message out</t>
  </si>
  <si>
    <t>Why Jesus should not be interpreted or accomodated within Sanatana dharma?</t>
  </si>
  <si>
    <t>Rajiv malhotra talks about the rising fundamentalism in the USA and the devastating evangelism going on in India unabated by duping poor, innocent and uneducated people. Rajiv Malhotra also discusses about the inculturation being carried out by the evangelicals in India by showing Jesus as a rishi, in a lotus position, in dhoti, showing Mary in a saree and declaring Bible as a fifth Veda etc. He gave example of Pagans and how Christinity digested them. Rajiv Malhotra discusses about the Nicene creed, the doctrine that does not allow any thought other than that to attain salvation, having faith in Jesus is the only way.Rajiv Malhotra talks about the difference between the approach of Christianity in believing to one historical event that happened a couple of thousands years back in a place in the middle east part of the world to qualify one for the salvation as against Sanatan Dharma;s traditions where anyone can realize truth here itself without believing into anything.</t>
  </si>
  <si>
    <t xml:space="preserve"> #inculturation  #digestion </t>
  </si>
  <si>
    <t>https://www.youtube.com/watch?v=Xsq9jAEpAY8</t>
  </si>
  <si>
    <t>Supreme Court Lawyer Monika Arora Explains Lawsuit Against Wendy Doniger’s Book</t>
  </si>
  <si>
    <t>Here what Amtrit desai says may be removed to just keep the Rajivji's clear message out:  Why it is important for Gurus to make arrangement of their lineage to continue</t>
  </si>
  <si>
    <t>Importance of for Gurus to keep Lineage System alive</t>
  </si>
  <si>
    <t xml:space="preserve">Rajiv Malhotra expresses concern about his successor, the reason being he has seen most of our Gurus, who did pioneering work in different but similar fileds, left no successor and their institutions are now either decaying or splintering or seeing decline. Yogi Amrit Desai, fortunately, is already mindful of this situation and is actively working on this issue. Rajiv Malhotra extends his support to any good Guru who is working in the direction to contimue his lineage, the Bharatiya parampara. Yogi Desai also talks about Shaktipat, an Energetic Transmission approach. Rajiv Malhotra recommends to him to anchor people in our scriptures. Yogi Desai was happy to state that he has been already running that kind of programme that involves our scriptures such as Srimad Bhagwad Gita, Patanjai Yoga Sutra, Siva strotam etc. </t>
  </si>
  <si>
    <t>https://www.youtube.com/watch?v=-HWLO-7d98U</t>
  </si>
  <si>
    <t>Rajiv Malhotra on NewsX Channel: Hinduphobia, Breaking India forces &amp; Kashmir problem</t>
  </si>
  <si>
    <t>Problem Solving in Society Through Yoga</t>
  </si>
  <si>
    <t>Rajiv Malhotra asks Yogi Amrit Desai if Yoga has solution for today's ills of the coiety such as drug addiction. He stated that in New Jesrsey itsekf every single day there are 2-3 deaths occuring related to drug addiction. He explains that US govt. and the medical community do realize the gravity of this problem and would definitely be willing to try approaches that have the potential to solve this problem. He regrets that the Western medicine has failed to solve this problem. Rajiv Malhotra asks him why some people get addicted while others not even though both go through the same situation? Yogi Desai explains that that is related to the amount of stress one carries. His teachings include how to get relief from the stress which is the main purpose of the Yoga practice. Rajiv Malhotra asks Yogi desai to explain the benefits of the practice of Yoga Nidra. Yogi Desai is very happy to enumerate numerous benefits that accrue due to the practice of Yoga Nidra. Rajiv Malhotra also has a question on how to restore one's self-esteem. Yogi Desai responds that the lack of esteem is due to the reactively processing of the Karmic memories in every interaction one has an various segments of one's life and dismantling of theis baggage can help restore one's self-esteem. Yogi desai also talks about the 12-step to de-addict book that he's working on.  Rajiv Malhotra is very happy to extend his whole-hearted support for this project and also wishes that this book should be published and has the potential to become a best-seller as the society is lookin gofr solution which has Yogic terminology as well as Vocabulary, principles, and actual experiential exercises, rather than what is available today which has no such spiritual methodology. He contends that USA is looking for new ideas today as the old ones are not working. Rajiv Malhotra also recommends that it might be a good idea to incorporate some Yogic exercise after each step in the 12-step book so that one is able to connect to the higher energy that is existing in every individual.</t>
  </si>
  <si>
    <t>HM</t>
  </si>
  <si>
    <t>https://www.youtube.com/watch?v=b96t52xbmO8</t>
  </si>
  <si>
    <t>Dialogue with Dr. HR Nagendra, President VYASA, Bangalore</t>
  </si>
  <si>
    <t>https://www.youtube.com/watch?v=xAx9rKxKjCk</t>
  </si>
  <si>
    <t>Rajiv Malhotra on Literarisation #7</t>
  </si>
  <si>
    <t>8 months ago</t>
  </si>
  <si>
    <t>https://www.youtube.com/watch?v=pIn71L7Kv9Q</t>
  </si>
  <si>
    <t>Rajiv Malhotra: The Invisible Fence Syndrome #9</t>
  </si>
  <si>
    <t>Overview of Vyasa institute and 'Dialogue with Masters' Series</t>
  </si>
  <si>
    <t>Introduction of Vyasa, SVyasa, Dr. H R Nagendra and explaination of Dialogues with Masters series</t>
  </si>
  <si>
    <t>https://www.youtube.com/watch?v=9oRLNbl-DxI</t>
  </si>
  <si>
    <t>Why the Hindu Community has Failed to Confront Hinduphobia #1</t>
  </si>
  <si>
    <t>https://www.youtube.com/watch?v=ZhuUYD3QvB8</t>
  </si>
  <si>
    <t>Rajiv Malhotra: The Need For Hindu Viewpoint in Mainstream Media #2</t>
  </si>
  <si>
    <t>Treatment approach at Vyasa</t>
  </si>
  <si>
    <t>Holistic healing unlike modern medicines, Root cause of disease is different</t>
  </si>
  <si>
    <t>https://www.youtube.com/watch?v=G2ke7Higm-Y</t>
  </si>
  <si>
    <t>Rajiv Malhotra's Encounter with a Hinduphobic Professor from Univ of Chicago #3</t>
  </si>
  <si>
    <t>Increase in usage of Yoga-Ayurveda as a therapy in India</t>
  </si>
  <si>
    <t>Yoga Popularity, Ayurveda for immediate relief</t>
  </si>
  <si>
    <t>Interface of Yoga,Ayurveda with Modern Science and with Traditional Spirituality</t>
  </si>
  <si>
    <t>https://www.youtube.com/watch?v=FTdLV7hcCvI</t>
  </si>
  <si>
    <t>Removing Caste Discrimination in India: Rajiv Malhotra #4</t>
  </si>
  <si>
    <t>Yoga, Ayurveda as complement to Modern Science or separate?</t>
  </si>
  <si>
    <t>Started as complement to modern medicine. With increase in popularity, Yoga/Ayurveda is now being used as preventive treatment. Planning commission allocated more funds. Modi government created Ayush ministry. Yoga/Ayurveda helps cure disease at early stage, reduce severity of diseases.</t>
  </si>
  <si>
    <t>https://www.youtube.com/watch?v=FQ3dpY5j5y8</t>
  </si>
  <si>
    <t>Rajiv Malhotra: Why the Western Labels of 'Left' &amp; 'Right' Do Not Apply to Hinduism #5</t>
  </si>
  <si>
    <t>Distinct difference between Modern science/western medicine and Yoga/Ayurveda</t>
  </si>
  <si>
    <t xml:space="preserve">Difference of Anatomy (Panch Kosha Vs physical body). Manomaya Kosha, Pranmaya Kosha, </t>
  </si>
  <si>
    <t>Measurement systems and its effect on Yoga, Ayurveda, Panch Kosha</t>
  </si>
  <si>
    <t xml:space="preserve">Risk of moving from Indian Anatomy (Panch Kosha) to Western model of anatomy due to limitation of Western Diagnostic Measurements to measure subtle elements like Mind, Prana. Laboratory to measure pran, photograph of Prana. Journey from Kirlian photography to GDV (Gas Discharge Visualizer) used to measure Pranamaya Kosha as photon effect of it. </t>
  </si>
  <si>
    <t>https://www.youtube.com/watch?v=iGqKIfGTc-s</t>
  </si>
  <si>
    <t>Rajiv Malhotra's Responds to Disruption by Hinduphobic Mob &amp; Condemns All Forms of Xenophobia #6</t>
  </si>
  <si>
    <t>Risk of discarding Yoga/Ayurveda due to limitation of Western Diagnostic Measurements to measure subtle elements like Mind, Prana.</t>
  </si>
  <si>
    <t>Unmanifested, manfestation, its levels. Risk of removal of Prana layer and being replaced by photonic layer. TM has alpha wave patterns which vary from person to person. Take man in totality unlike western model else Ayurveda reasearch will fail e.g. Sandoz failed with Sarpa Gandhi for hypertension</t>
  </si>
  <si>
    <t>https://www.youtube.com/watch?v=ejkbEib1Otk</t>
  </si>
  <si>
    <t>Americanization of The Indian Elite: Rajiv Malhotra #8</t>
  </si>
  <si>
    <t>Various challenges faced by Ayurveda medicine</t>
  </si>
  <si>
    <t>Western patents require isolated active molecule whereas Ayurveda uses it holisticly. Localize vs holistic approach in treatment. Separation of consumer and producer in medicine in Modern medicine unlike Ayurveda. Self treatment in Ayurveda unlike modern medicine. Ayurveda faces not only medical challenge but economic challenges.</t>
  </si>
  <si>
    <t>https://www.youtube.com/watch?v=4PxIlOKBbng</t>
  </si>
  <si>
    <t>Rajiv Malhotra: Impact of Aryan-Dravidian Theory in South India #1</t>
  </si>
  <si>
    <t>GM Foods and Ayurveda</t>
  </si>
  <si>
    <t>Holistics long term effect of GM foods may be unforeseen example of Green revolution and white revolution. Effect may be few generations later, effect on environment. Need for emperical proof to show down sides of GM foods. Economic measurement being very short term is encouraging GM foods in India for short term gain. New innovations is not in tune with nature. Ayurveda has short term relief like Accupuncture. Chinese medicine system is established without explaining/proving their system via western anatomy. Incorrect depdency on western world to endorse instead of confidently believing and researching Ayurveda more.</t>
  </si>
  <si>
    <t>https://www.youtube.com/watch?v=9fu_xDvkBMk</t>
  </si>
  <si>
    <t>Rajiv Malhotra: The Promise &amp; the Concerns Around Computational Linguistics #2</t>
  </si>
  <si>
    <t>How Chinese medicine does not require to be proven in western terms?</t>
  </si>
  <si>
    <t xml:space="preserve">Rajivji sights his personal experience from chinese medicine treatment. </t>
  </si>
  <si>
    <t>https://www.youtube.com/watch?v=s_eR4_6kip8</t>
  </si>
  <si>
    <t>An Analyst of the 'Industry of Indology", Rajiv Malhotra #3</t>
  </si>
  <si>
    <t>Yoga, Ayurveda in relationship with Shastra</t>
  </si>
  <si>
    <t xml:space="preserve">Upnishad is science whereas agmas are technologies. Agamas on Yoga/cooking - time to bring back in lifestyle. VYASA keeps measuring the effects of festivals, Poojas, Yagna rituals on consciousness. A student is measured for personality change (e.g. Sattva, Tamas, Rajas). </t>
  </si>
  <si>
    <t xml:space="preserve">Practical demonstrations of Siddhis and extra ordinary human potential </t>
  </si>
  <si>
    <t xml:space="preserve">Swami Nithyananda's ashram conducted a camp where students were able to scan the body of patient through a distance. Gen. G D Baxi, validated it. Pranic healing, dignosis using Pranic healing via GDV. Third eye awakening, reproducibility of results. Different results that science cannot explain. SVyasa can take lead in being able to prove/measure/test these. SVyasa is exploring if similar powers (Siddhis), explained in Agama Shastra/Patanjali Yoga Sutra, can be used for curing Cancer? </t>
  </si>
  <si>
    <t>https://www.youtube.com/watch?v=C-AklzjB96w</t>
  </si>
  <si>
    <t>Rajiv Malhotra: Who Defines Sacred and How to Experience It #4</t>
  </si>
  <si>
    <t xml:space="preserve">Siddhis and Shaktis </t>
  </si>
  <si>
    <t>Patanjali warns against Siddhis due as Ego may takeover. Shaktis are available, from one ness, free from ego.  As per Patanjali, Siddhis are obtained on the path to one-ness (Advait) whereas Shaktis come out after one-ness (Advait) as per Agamas. Shiva Agamas dont discourage you from achieving Siddhis unlike Patanjali's Yog Sutra. Shaktis are like mirror neurons as we are entagled, since we are entangled with higher human being. Indian music/arts involves artist reaching at a higher level of consciousness and propgating his/her effects to audience which is quantum entagled with artist and hence gets benefitted by this entaglement. Use of these subtle techniques for curing Asthama/cancer.  Modern worls is more open to these possibilities.</t>
  </si>
  <si>
    <t>https://www.youtube.com/watch?v=CLCX0mlWjw0</t>
  </si>
  <si>
    <t>How the Britishers Created Caste-based Fault Lines in India #5</t>
  </si>
  <si>
    <t xml:space="preserve">Importance of studying Karma theory and reincarnation </t>
  </si>
  <si>
    <t>Sanskars, delayed effect of karma is not understood by West but is very important in Yoga/Ayurveda. Karan sharir (body), Sanskars and rejection by western metaphysics. Sukshma Sharir is Pranmaya kosha, Manomaya kosha, Vignana kosha, Karan sharir is Ananda Kosha. Actions (Krama) will manifest on physical body as well on these sharirs. Transition of science from physical to meta-physical via GDV measurements (proof).</t>
  </si>
  <si>
    <t>https://www.youtube.com/watch?v=5XqO9FCH3Xk</t>
  </si>
  <si>
    <t>Rajiv Malhotra: The Book 'Battle for Sanskrit' &amp; what happened to the Sringeri Mutt Project #6</t>
  </si>
  <si>
    <t xml:space="preserve">Strategy to protect our heritage by sticking to authentic vedic framework </t>
  </si>
  <si>
    <t>Vedic model/framework of being consisting of multi-level body and treatment according to that (not just mechanical body). Some things are contra indicated as they will have ill effects or cause harm in mechanical models. Dos Donts even in multi-level being to obtain benefits of Ayurveda/Yoga. Successful results are due to overall framework, not an individual entity. Vaccination has to be at right time (Nakshatra) as per Astrology which proves Time (Muhurat) is part of this framework.  Benefits can be universal, rules of using the treatment has to be also universal. Certain religions have limited law (truth claims) which are subejct to proof. Karma, re-incarnation, subtle elements of body, multi-layered cosmos, etc. if rejected does not gurantee the benefits of these sciences (Yoga/Ayurveda). With the growth of India, we need to stand tall/confident on Vedic science instead of compromising just to expand the consumer base as a short term goal. Different religions/faiths will limitations at certain level. In order to move further, meta physical aspects of vedic framework have to be accepted. Protect metaphysical foundation, sanskrit vocabulary, and assumptions on which it works. Effect of Mantra on humans and 'Om' cannot be replaced by 'Amen' or 'Allah' as they have different vibrational effect.</t>
  </si>
  <si>
    <t>This clips is good as standalone post on facebook post.</t>
  </si>
  <si>
    <t>https://www.youtube.com/watch?v=4xWwhXcAjhU</t>
  </si>
  <si>
    <t>Analysis of Pollock's "Death of Sanskrit" thesis - 2 paper presentations</t>
  </si>
  <si>
    <t>https://www.youtube.com/watch?v=KStzrk3h76o</t>
  </si>
  <si>
    <t>Rajiv Malhotra's comments and Q&amp;A on "Death of Sanskrit" Thesis</t>
  </si>
  <si>
    <t>Book Launch at Indus University: The Battle For Sanskrit-Prayer and Introduction</t>
  </si>
  <si>
    <t>After initial sacred ceremony of deep lightening and formal felicitation of Rajiv Malhotra by the hosts, Shri Rakesh Bhandari introduces Rajiv Malhotra and asks why this battle is necessary, for whom is this battle being fought and what would be the scenario if this battle is not fought? He describes Rajiv Malhotra as Maharishi of 21st century. Swami Madhavpriyadas describes Rajiv Malhotra as Ekalveer and informs that he is responding to the people who are working hard to demonize our civilization in their own language.</t>
  </si>
  <si>
    <t>https://www.youtube.com/watch?v=udY03G3fVJQ</t>
  </si>
  <si>
    <t>Rajiv Malhotra: I will do the Purvapaksha &amp; Traditional Scholars Should do Uttarpaksa #7</t>
  </si>
  <si>
    <t>Are we Really Independent or Still Colonized?</t>
  </si>
  <si>
    <t>Rajiv Malhotra describes the state of Hindu mind by analytically placing them into 3 groups. One group of 25% as being solid, true non-secularized Hindus, another25% as anti-Hindus who will disparage our scriptures as communal and the last one of 50% as confused Hindus who would go either way of the above two. His target is the third group who can be educated, taught and can be made to realize about what is going on today in the world that concerns us as Hindus. He claims the future of Hindus would go in the direction this people will go.</t>
  </si>
  <si>
    <t>https://www.youtube.com/watch?v=1UT4aCq24wA</t>
  </si>
  <si>
    <t>Rajiv Malhotra: Lack of Rigor in Indian Academia &amp; the Removal of Sacred from Sanskrit #9</t>
  </si>
  <si>
    <t>Study of Our Civilization-Videshi Indology</t>
  </si>
  <si>
    <t>Rajiv Malhotra explains that it was the British who gave this name Indology to the study of India. He describes about a sculpture of William Jones that is displayed in the Oxford University where he is sitting up on a chair and Indian pundits are sitting at his feet on the floor as his disciples learning from him. While we all know it was he who learned from them, this shows the extent to which the British went to take away our adhikar of interpreting and teaching our scriptures through their drishti to others and to us. He estimates that there are about 500,000 ancient manuscripts lying in Europe and we have so far not asked them to return to us. He wants to call this Indology as Videshi Indology. He does admit that not all westerners are same and that there are some who are well-meaning, but at the end of the day their own conditioning comes into play and the adhikar gets shifted.</t>
  </si>
  <si>
    <t>https://www.youtube.com/watch?v=JkMKDP2BOlw&amp;t=169s</t>
  </si>
  <si>
    <t>Pollock’s Position on Sastras - Surya K</t>
  </si>
  <si>
    <t>South Asian Studies in America</t>
  </si>
  <si>
    <t>Rajiv Malhotra informs that after independence, the study of Indology shifted from Europe to America and after Americanization of the adhikar, it was re-labelled as South Asian Studies. Tragically, Indian mathas, traditional scholars all acknowledge that the best journals come out of America, the best conference on Sanskrit happen in America and the best places to get Ph. D. degrees in Sanskrit exist in America, England or Germany. This is like giving away your own adhikar to your enemies.</t>
  </si>
  <si>
    <t>Why This Book?-The Battle For Sanskrit</t>
  </si>
  <si>
    <t>https://www.youtube.com/watch?v=a6bj2Qddmzk</t>
  </si>
  <si>
    <t>Critique of Pollock's Position on The Science of Sastras - 2 Paper Presentations</t>
  </si>
  <si>
    <t>Rajiv Malhotra muses here that In olden times, we had the world’s best universities like Takshasheela, Nalanda etc. where people from all over the world came to learn. We produced the knowledge, we gave them the knowledge. Today we are learning from outside even about our own civilization. This seems ridiculous. The purpose of this book is to inform the traditional scholars what they do not know about the international discourse about Sanskrit and our Samskriti. This book is not to teach Sanskrit nor to inform about the glory of our civilization.</t>
  </si>
  <si>
    <t>Taking Back Our Adhikar</t>
  </si>
  <si>
    <t>At the World’s Sanskrit Congress in Bangkok, when Rajiv Malhotra announced about the launching of this book as well as taking our adhikar back, Thai people as well as other South Asian people loved it, many Westerners present there got very angry. Westerners  are so much used to being saluted and exalted that they did not like someone talking this and they started even attacking him. False allegation s were hurled at me and they tried very hard to convince the publishers to pulp my book. But thanks to the support extended by you and many of my followers around the world, they could not do stop my book. So, I can say that our first battle is already won.  Today, he continues, there is a big difference between British Indology and American Indology. Earlier, most of the scholars were “Goras”, today large number of them are Indians, mostly Indian left eating out of their own hands. They do not want to talk to me and the Main Stream Media criticize me when behind my back when I cannot reply. Some of the problem these scholars have is that they do not like the sacredness of our Sanskrit texts and on the top of that they call it abusive, suppressing Women, Dalits etc. They theorize that the spread of Samskrit by the Kings and the Brahmanas was a conspiracy to increase their authority and exploit others. This subaltern study is feeding the Breaking India forces. Indian left scholars quote from these Westerners works. The slick English speaking media people are trained by them, by Ford Foundation, the NGOs etc. Today, you can find even the Hindu political establishments are infiltrated by these people and we have no mechanism to find it out. If some of these people come, chant some shlokas and praise a little bit about us, we get flattered and we start claiming that they are good people. They use the Sam, Dan methods while hiding their Dand and Bhed.</t>
  </si>
  <si>
    <t>https://www.youtube.com/watch?v=qEJJIhs02cI</t>
  </si>
  <si>
    <t>Prof. Ramanujan's comments and Q&amp;A on the two papers on science of Sastra</t>
  </si>
  <si>
    <t>Attack on Our Oral Tradition</t>
  </si>
  <si>
    <t>Rajiv Malhotra accuses the Western scholars of denying our history that preceded the invention of writing, which he thinks is mischievous. Because, if you remove oral traditions then you are removing large part of our history, our music, our dance etc. So many of the Sanskrit texts are oral. They also have changed the dates of many of our historical events; Ramayana is placed at having occurred after Buddha. He has raised many of such issues in the book The Battle for Sanskrit. He points out that they have also theorized that Sanskrit is a dead language and it was killed by Hindu kings and it was some Muslim rulers who tried to revive it. He also mocks at their claim that Holocaust happened because Germans picked up ideas from our Sanskrit texts to kill Jews. He accepts that he personally has nothing against these scholars but he has problem with our own people who are not responding to such attacks. He regrets that our traditional scholars are just sleeping, not reading, not trying to understand what is going on, not doing any purva-paksha, Some of them are lazy, some are scared, some are sold out. For some it takes a ticket to the USA, a semester, nice treatment and the fellow comes back to India totally converted and behaves like a dog wagging his tail in front of the master looking for a treat. He laments that that’s what most of the leftists scholars are reduced to.</t>
  </si>
  <si>
    <t>https://www.youtube.com/watch?v=v2dy-2T9kRE</t>
  </si>
  <si>
    <t>Misrepresentations in Pollock’s Sastra paper - 2 Paper Presentations</t>
  </si>
  <si>
    <t>Make in India Concept-Why Not Indic Studies as Part of This Concept?</t>
  </si>
  <si>
    <t>Rajiv Malhotra asks if we can have “Make in India” campaign for manufacturing in India, then why can we not have a “Make in India Indology Studies”? How can we have Indology studies controlled by them? Our 80-90% intellectual apparatus is fed by them. So, we are still colonized, though it’s not political, but rather intellectual. We need to give a dignified, calm, thoughtful response to them, and not just an angry outbursts. For that, we need to build a team of intellectuals, who read English as well as are scholars in our traditions to do purva-paksha, interpret their works and talk back. We need to teach them the debating skills, media skills. Rajiv Malhotra declares that this is his goal and working on it for last 25 years or so. He expresses his delight that he’s been teamed up with the Indus University.</t>
  </si>
  <si>
    <t>https://www.youtube.com/watch?v=REfOblHmn6Q</t>
  </si>
  <si>
    <t>Comments on two papers on misrepresentations in Pollock’s Sastra paper: Prof. VN Jha</t>
  </si>
  <si>
    <t>Q &amp; A Session at Indus University-Launch of The Book-The Battle For Sanskrit</t>
  </si>
  <si>
    <t xml:space="preserve">Q-What is the ultimate goal of the West such as Ford Foundation, NGOs etc. to occupy the minds, thinking and speaking on our behalf?
A-It’s the expansionist history of these religions such as Christianity, Islam. We never had such history. We never engaged in it so we did not understand others could do that. But, it’s the fact, it’s in their DNA. In previous times, they used army and ther economic exploitation. Today, it’s the age of media, knowledge, identity, ideas etc. So, they make the people fight each other, destroy their own country and make them more loyal to the masters than to their own country.  In British era, 111 wars were fought and almost 90% of the army had Indians in it. But, during their brief rule in China, they could not recruit any Chinese to fight for them in the army, so they had to get out of China. Today, they do not have any Ford Foundation office in China. There’s no Western study on China as China controls its own civilizational study where Chinese people are sitting on the editorial board. Chinese corporates fund such programmes. Likewise, Japan, Korea, Arabs, Iran, Russia etc all these civilizations control their own studies. India is the only exception.
Q-Does our sacred scriptures teach violence?
A-Our sacred scriptures praise effects of Dharma against Adharma. The methods to be used should be appropriate to be used in the Kurukshetra. If the Kurukshetra requires violence, you have to use violence and if it requires arguments, then you use arguments. Ahimsa term has been misused.
Q-Is it correct that Sanskrit was monopolized by Brahmins?
A-I have answered this question in chapter 4 of the book The Battle for Sanskrit. My answer is in the title of the book as well. It says whether it is oppressive or liberating and I say it is liberating.
Q-Do Abrahamic religions really want peace in the world?
A-Christians have their theory of original sin and according to them all are sinners so only surrendering to Jesus can redeem them from their sins. Muslims have their own theory of suffering.  Fighting for peace can never produce peace. I do not blame these religions for doing what they are doing because they are raised like that. I rather blame leftists who misrepresent even though it’s not their own belief system.
Q-What did Jesus and Mohammed think?
A-I was not there, so I can evaluate human beings from what their present day’s followers interpret and may be they are interpreting them wrong. Who knows? I cannot evaluate the founders because I cannot ask them any question. Their history is closed. There are no enlightened masters while we do have enlightened masters in every era and we can ask them questions. But Christianity tradition has no enlightened masters, even Pop is not one. He actually is a CEO. In Islam, even Imam cannot claim he is enlightened and if he claims so, it’ll be considered blasphemy. In our traditions, we can ask any question to the enlightened masters and without referring to any History books, he can answer.
Q-Do Hindu Dharma Shastras teach oppression against Women and Dalits? Especially because in Manusmiriti and Chanakyaniti, there are passages that state atrocities against women and lower class people. Can you offer your explanation on that?
A-Smritis can be changed because they were supposed to be for particular region and time. Manu himself stated that smritis should be changed if there is need to. However, in those times, we had varna system where Shudras could be kings too. Bhagwan Shri Krishna in  Shrimad Bhagwad Gita clearly says that varnas are based on karma and guna. There were Shudra dynasties too in those times. There were a lot of switching from one varna to another depending on their merits, their karma. Swami Prabhupad also mentioned that in Iskcon everyone starts life as being Shudra and go up the ladder by working in all the areas and depending on their merits they played their roles eventually. Even in Chinmaya Mission, in RK Mission, there’s no belief in this hierarchies. In our tradition, dissent is allowed. I am not denying that we do not have problems. But then every society has problems. There are problems in US, in China. I think there is no need to impose their own solutions to other society’s problems. It’d be appropriate that they first solve their own problems and then we can buy their solutions.
Q-How to counter absurd interpretations of Hindu Dharma by people like Devdutt Patnaik who are sympathizers of Wendy Doniger?
A-Part of my work is to pick someone like Devdutt Patnaik by our traditional scholars who have authority and counter his work. I want to make a team where there will be three levels; first level which has traditional scholars who can analyze and respond, second level where people can write good English and repackage what the first level scholars have written and the third level consists of people who can flood the social media with out counters.
Q-Are Western Orientalists really “fans” of India? Does not our sacred scripture have the capacity to change the minds of the people who read them?
A-There is a comment and a question. Question is very important and I disagree with the comment. Max Mueller was a fan of India was the comment. Yes, I do agree he was a fan and so is Wendy Doniger and so were the British. But the idea of British was to civilize you. Max Mueller invented the Aryan Invasion Theory which has caused so much divide and separatism in Indian society. Max Mueller write a letter that he did this because he wanted to show that Christianity was superior to Hinduism. Just because someone is intelligent does not mean he can be changed. Ravana had read all the Vedas but we know what he is known for. Intellectual does not mean a good person. Just because someone speaks Sanskrit, wears a dhoti and applies tilak and bows down to our deity does not mean he respects our tradition. These people will appreciate our traditions but want to remove the sacred ness from it. It’s naive to believe that if they study our texts, their minds will change.
</t>
  </si>
  <si>
    <t>https://www.youtube.com/watch?v=8Fyp5gw_HGc&amp;t=19s</t>
  </si>
  <si>
    <t>Rajiv Malhotra and others in discussion on Pollock's position on Sastras</t>
  </si>
  <si>
    <t>https://www.youtube.com/watch?v=LAZPY_rTJLU</t>
  </si>
  <si>
    <t>Bangalore Literature Festival 2016 - India Reclaiming Our Civilization's Heritage</t>
  </si>
  <si>
    <t>https://www.youtube.com/watch?v=xl6nyKVDNCQ</t>
  </si>
  <si>
    <t>Rajiv Malhotra fb LIVE 11: Strategy of Infinity Foundation India &amp; How it will Transform India</t>
  </si>
  <si>
    <t>OK</t>
  </si>
  <si>
    <t>First five clips of this video(till 13:56) can be used as one video give backgroun on how and what investigation Rajivji did to collect material for Breaking india book</t>
  </si>
  <si>
    <t>#Breaking India forces</t>
  </si>
  <si>
    <t>Infinity Foundation's Unique Gaze on USA from USA</t>
  </si>
  <si>
    <t>Rajiv Malhotra explains his unique background in USA. Infinity Foundation is a unique watchdog in USA which looks at the US institutions like the US Government, Think Tanks, School Curriculum on India, Universities, Academic Conferences, Churches etc which are involved in the study of India. This is a unique Indian gaze on USA from within USA.</t>
  </si>
  <si>
    <t>https://www.youtube.com/watch?v=ll-fhgVbj1I</t>
  </si>
  <si>
    <t>Rajiv Malhotra: Importance of Sacredness in Indian Civilization #8</t>
  </si>
  <si>
    <t>Afro-Dalit Project - Christian Nexus</t>
  </si>
  <si>
    <t>Very superficial understanding of the US by Indians - Pop Culture. Study the deep US. Afro-Dalit Project teaches that dalits are blacks of India and Brahmins are whites of India. The deep nexus between Afro-Dalit Project, Dalit Freedom Network, Joshua Project and various denominations of white christain churches are infusing racism calling it Youth Empowerment and Education. Cover Picture of the book Breaking India is from Afro-Dalit Project's Office.</t>
  </si>
  <si>
    <t>Why only Few Civilizations Survived?</t>
  </si>
  <si>
    <t>Mohandas Pai wants to know from Rajiv Malhotra why today only few civilizations survived such as Chrisitian, Islamic, India and China. Rajiv Malhotra is his inimitable style explains that of these 4, India and China were not expansionists. The other two considered as a God's mandate to spread so they fought with each other as well as everywhere and did a good job in capturing a lot of territories and converting them. Just look at them where they were then and where they are now. Rajiv Malhotra says the Islamdid not have reaffirmation while West experienced that whcih changed Chrisitianity while Islam is still living in its prison. Bringing in Science, educating women and children can help but right now, there's nothing he could see. Mohandas Pai also asks Rajiv Malhotra why West has succeded and India has not. What is the essence that's missing? There is also discussion about China's ambition to be number one in the world.</t>
  </si>
  <si>
    <t>How to convert Hindus in USA</t>
  </si>
  <si>
    <t>Win trust. Don't talk about religion. Inculturation by adopting Hindu activities. Seminaries specialise in this. Hindu Priests aren't trained to tackle these situations.</t>
  </si>
  <si>
    <t>https://www.youtube.com/watch?v=1uNyxmccf1U</t>
  </si>
  <si>
    <t>Rajiv Malhotra's Unique Position to Critique Western Indology #1</t>
  </si>
  <si>
    <t>Foreign Funding to promote dangerous ideologies</t>
  </si>
  <si>
    <t>Ideologies like seperate identity, alternate history, dalit liberation and secession not just by church but also funding Kashmir secession, Khalistan seperatism, evangelism, human rights etc. Conferences happen on these across the world where a huge nexus of organisations exist whose target is India, discussing how to intervene in India. The social, religious and demographic database created by them is more sophisticated than what the Government of India has on its own population.</t>
  </si>
  <si>
    <t>Foreign Funding nexus as an INDUSTRY</t>
  </si>
  <si>
    <t>The foreign funding nexus consists of 1) Money 2) Ideology 3) Forums and Channels 4) Training Indians. This is the INDIA STUDIES INDUSTRY which includes for eg: universities, church groups, human rights organisations. INDUSTRY ANALYSIS of India Studies Industry was done. India Studies Industry in US employs several thousand people to study India. India's External affairs ministry or Journalists didn't try to analyse what this India Studies Industry is doing. Many Indians who work in this Industry are naive and unaware of their role in the giant scheme of things. People higher-up might be compromised.</t>
  </si>
  <si>
    <t>Rajiv Malhotra explains that when you are the aggressor, you are unified. The Western and Islamic civilizations control the minds of the followers while Hinduism believes in individual freedom which provides opportunity to everyone to choose his or her own path. Mohandas Pai asks a question about the transformation of the flat world that was described by Tom Friedman into Global villege. Rajiv Malhotra responds that that flat owrld is now over and we are getting back to localization more and more. The population growth is putting a lot of pressure on the resources. Every nation thinks of itself as the first, and it's now time India does that too.  As regards Grand Narrative for India, Rajiv Malhotra expresses his mind here that India must come up with its own Grand Narrative as all the major civilizations have their own Grand Narratives. It's very unfortunate that we do not control our own studies. We have a lot of our ancient manuscripts lying outside of India and we never bothered to ask them back.</t>
  </si>
  <si>
    <t>https://www.youtube.com/watch?v=NMCXHN1fW9k</t>
  </si>
  <si>
    <t xml:space="preserve">What is Atrocity Literature?   </t>
  </si>
  <si>
    <t>Rajiv Malhotra: What is Our Response to Murty Classical Library 500 Volume Project #3</t>
  </si>
  <si>
    <t>Americans are the Englishmen who came from Europe, who have the mindset that the natives are uncivilised. Atrocity Literature on a wide range of countries and civilisations is maintained as part of their missions. Many Indians in this business are Sepoys who report back to the Foreign NGOs.</t>
  </si>
  <si>
    <t xml:space="preserve">This clip can be used as knowledge byte:  What is atrocity literature?   We can also add clip from 29:45 to 30:55. </t>
  </si>
  <si>
    <t>#Atrocity literature</t>
  </si>
  <si>
    <t>Rajiv Malhotra muses that for Indians, Kohli and SRK, the pop culture icons are the Grand Narratives. People are confused about our deep culture due to negativity lying in our education system. There is too much running after materialism, which is definitely needed but there is a civilizational role too for maintaining our roots and culture. Ours is truly an open architecture civilization and that needs to be preserved. Rajkiv Malhotra also describes the secular nature of the west which is completely different from what we consider in India. In India when you talk of civilizational identity, you are branded communal, non-secular. Rajiv Malhotra lays some problems that we face today at the doors of the over-enthusistic, bombastic, emotional people who make fantiastic claims without anything to back up or any scientific evidence to support those claims and warns them that today's youth is not going to accept them on the face value anymore. He laments that the control of the discourse in India is in the hands of the leftists.</t>
  </si>
  <si>
    <t>Who defines the Human Rights?</t>
  </si>
  <si>
    <t>Who defines human rights? Genocide definition was changed by westerners. Cultural Genocide was removed from UN Human Rights Charter as a result of the people who get to define human rights.</t>
  </si>
  <si>
    <t>According to Rajiv Malhotra, most forums for debates are controlled most probably by some very radical extreme Left Wing gangs. Once I was invited to one of the festivals where the CEO of Times of India group asked me not to be too assertive. To that suggestion, I gave him few examples of some very radical extreme left wing speakers and then he accepted my position. Rajiv Malhotra suggested to watch the video of that festival to buttress his point that we have intellectual mediocrity in all kinds of forums. He regrets that Indians do not read and instead just follow the herds. Because of the control by the gate-keepers at most forums, we have left the intellectual vibrancy forever. So, my take is use Social Media and forget the MSM. Start your own channels on FaceBook and YouTube.</t>
  </si>
  <si>
    <t xml:space="preserve">Why not Indian businessmen set up NGOs in USA to study it? </t>
  </si>
  <si>
    <t>Rajiv-ji advises to set up NGOs like his in USA and study USA. USCIRF works with Church groups with no members from the Dharmic Traditions. USCIRF has a say in what the US Presidents talk on Religious rights in foreign countries. The definitions are from Abrahamic Religions only.</t>
  </si>
  <si>
    <t>https://www.youtube.com/watch?v=NeCQOUox8zc</t>
  </si>
  <si>
    <t>Making Sanskrit Mainstream: Rajiv Malhotra's Vision #4</t>
  </si>
  <si>
    <t>Segregation in US Churches</t>
  </si>
  <si>
    <t>Church is the most racially segregated institute in USA. Segregation in Churches is not only between Blacks and Whites but also Indians from different states have different Churches. Have the details to talk back as they have far worse problems than what they claim to treat about our tradition in India.</t>
  </si>
  <si>
    <t>https://www.youtube.com/watch?v=3vhgcNKVRgY</t>
  </si>
  <si>
    <t>Rajiv Malhotra: How Devdutt Pattanaik is Facilitating Digestion by Turning Our Itihas into Myth #5</t>
  </si>
  <si>
    <t>Evangelism didn't save the Evangelised lands</t>
  </si>
  <si>
    <t>Comparative statistics on crime, human rights across the various christian countries prove that christianity didn't work in the evangelised countries. NGOs should first go to the already evangelised countries and solve their problems instead of trying to convert Indians into Christianity.</t>
  </si>
  <si>
    <t>Invasion Theory of India</t>
  </si>
  <si>
    <t>Due to the inferiority complex of Indians, India is being taught as a land of invasions which got better with each invasion and Rajiv-ji humorously suggests to bring US now to give us human rights. NGOs take advantage of this inferiority complex.</t>
  </si>
  <si>
    <t>https://www.youtube.com/watch?v=gPdm-EF13GU</t>
  </si>
  <si>
    <t>Prof Girish Nath Jha &amp; Rajiv Malhotra on the Decline of Sanskrit During Colonial Times #6</t>
  </si>
  <si>
    <t>Decontrol Temples - Compete with NGOs</t>
  </si>
  <si>
    <t>Hindu temples need to be given back to the Hindu community. Dharma is about various aspects of life. We have to be ashamed to beg others to come to our country if we want to consider ourselves a super-power.</t>
  </si>
  <si>
    <t>https://www.youtube.com/watch?v=rt5w2HzSWc0</t>
  </si>
  <si>
    <t>Lecture on "Diplomacy and Brand India" - Foreign Service Institute, New Delhi</t>
  </si>
  <si>
    <t>https://www.youtube.com/watch?v=wYCmU0vaKvc</t>
  </si>
  <si>
    <t>Loss of Purvapaksha Tradition Led to The Decline of Indian Civilization #7</t>
  </si>
  <si>
    <t>Example of an NGO identified by Infinity Foundation</t>
  </si>
  <si>
    <t>Dalit Freedom Network is one organisation based in Denver and produces Atrocity Literature against Hindus to the point of coming close to getting the US Government to impose sanctions on India. Rajiv-ji shuts down the liberal journalist when she raises anti-Muslim and anti-Christian rhetoric. This is a very specific work which looks at anti-Hindu and anti-India work of US based churches, government, think tanks etc. We are told very superficially at pop-culture level that to talk like this is bad, dirty, we should not talk like this, you are being a trouble maker, all religions are same etc. But deep down, this is down and dirty anti-Hindu work that they are doing in USA.</t>
  </si>
  <si>
    <t>https://www.youtube.com/watch?v=OI3nL5YCIO8</t>
  </si>
  <si>
    <t>Princeton University's Parth Parihar Interviews Rajiv Malhotra</t>
  </si>
  <si>
    <t>https://www.youtube.com/watch?v=wu_ONpNjikY</t>
  </si>
  <si>
    <t>If Dravidianism can be debunked, AIT will become irrelevant by Rajiv Malhotra #8</t>
  </si>
  <si>
    <t>https://www.youtube.com/watch?v=WzgR7yTQNzY</t>
  </si>
  <si>
    <t>In Conversation with Meenakshi Jain</t>
  </si>
  <si>
    <t>Indians deposing against India in foreign countries and UN</t>
  </si>
  <si>
    <t>Indian Citizens who are well respected in India go in front of foregin governments and present Atrocity Literature against India. Example: John Dayal. John Dayal himself says such people need to be put on trial and sentenced to death for being Traitors. :-)</t>
  </si>
  <si>
    <t>https://www.youtube.com/watch?v=ahKeSqFT0Nk</t>
  </si>
  <si>
    <t>Interfaith Marriages in USA. Discussion with Researcher</t>
  </si>
  <si>
    <t>https://www.youtube.com/watch?v=c50rfZlrNXU</t>
  </si>
  <si>
    <t>Prof R. Vaidyanathan &amp; Rajiv Malhotra on the Global and Local Economic Mess</t>
  </si>
  <si>
    <t>https://www.youtube.com/watch?v=6ufhk6JL8x8</t>
  </si>
  <si>
    <t>Example of a Colonised Mind</t>
  </si>
  <si>
    <t>BFS Book Cover, "Sir William Jones &amp; The Pandits" #2</t>
  </si>
  <si>
    <t>Rajiv-ji describes the origin of left and right in French Parliament after the French Revolution. Colonised Indians don't know what is right and left in US vis-a-vis the same terms in India. For Example: The Church is the most problematic right wing in USA but becomes left wing in India. Colonised Indians don't know how to understand these institutions when they say there is this west which is left wing and then there is this Indian right wing. Gandhi gets labelled as right wing under this classification. Realise that once they are in power these labels will vanish. Understanding of what they represent has to be deeper instead of depending on superficial labelling.</t>
  </si>
  <si>
    <t>https://www.youtube.com/watch?v=xCLLCYBg7Zc</t>
  </si>
  <si>
    <t>Dr Subramanian Swamy In Conversation with Rajiv Malhotra</t>
  </si>
  <si>
    <t>Christians Creating a Civil War Situation</t>
  </si>
  <si>
    <t>https://www.youtube.com/watch?v=9jjsiAFVdXc</t>
  </si>
  <si>
    <t>"Is Templeton Foundation Digesting Vedanta into Christianity?"</t>
  </si>
  <si>
    <t>The discourse generated somewhere in the foreign lands indeed is having its effect in India when the Chief Ministers are themselves using that framework. Mahishasura Martyrdom Day organised at JNU, backed by Churches and media house (Forward Press) is a clear case ethnography and generating alternate identity which is creating a Civil War kind of situation. Mahishasura is the new icon of Yadavas and not Bhagvan Srikrishna? (emphasis mine)</t>
  </si>
  <si>
    <t>https://www.youtube.com/watch?v=S9RImbEoWYA</t>
  </si>
  <si>
    <t>Rajiv Malhotra Argues for Continually Updating the Purvapaksha Tradition #9</t>
  </si>
  <si>
    <t>https://www.youtube.com/watch?v=9QSUsKZfoQA&amp;t=156s</t>
  </si>
  <si>
    <t>Head of India's Top Sanskrit Research Center in Conversation with Rajiv Malhotra</t>
  </si>
  <si>
    <t>Namaste US: For 306.09 there is not start and end time. For certain rows there is no Work-Date. You have copied rows 669, 695, 699 etc incorrectly. Complete row need to be copied. Do not take so many videos at a time. Once you finish then only take new video from master list. Hope when you are picking video from MasterList you are updating MasterList also.</t>
  </si>
  <si>
    <t>https://www.youtube.com/watch?v=D7yIybTWmmU</t>
  </si>
  <si>
    <t>Prof Upender Rao: Evidence of Sanskrit Being Part of Popular Culture #11</t>
  </si>
  <si>
    <t>Ideological Colonisation and Decolonisation</t>
  </si>
  <si>
    <t>Requires understanding colonisation to be able to decolonise. Colonisation is not just geographical but also ideological colonisation - paradigms, vocabulary, language etc. Next is, developing ideologically colonised human resource department. And finally pass this on to generations through institutes. The current ideological colonisation has shifted from British based to US based. This ideological colonisation is now worse than before.</t>
  </si>
  <si>
    <t>https://www.youtube.com/watch?v=EfHkupTL5wU</t>
  </si>
  <si>
    <t>Prof Girish Jha Describes Research Applying Traditional Sanskrit Knowledge in Modern Science #12</t>
  </si>
  <si>
    <t>Re-Record to remove the background echo.</t>
  </si>
  <si>
    <t>Ideological Colonisation: NDTV Talk Show</t>
  </si>
  <si>
    <t>The fact that the panel is discussing whether Indians can go to depose in and get saved by the British Parliament is a sign of serious ideological colonisation. Megnadh Desai is one such example of an ideologically colonised person. NGOs as part of Globalisation is false because you do not get to see some African or Indian NGOs in this process. It's mainly the western model that gets infiltrated into the young minds in non-western countries. For example: India and her youth.</t>
  </si>
  <si>
    <t>Namaste US: I am not able to report your work in this cycle because all the columns are not filled properly and I am not able to figure out "date on which work is done", final status etc. For guidance please read Instruction sheet carefully or see example from HT or RKT or JB sheets. Regards HT</t>
  </si>
  <si>
    <t>Namaste-HT. Ot's under  WIP now. Thanks</t>
  </si>
  <si>
    <t>https://www.youtube.com/watch?v=4pkD8CkJiIQ</t>
  </si>
  <si>
    <t>Negative Impact of Indian Billionaires Funding Western Universities #13</t>
  </si>
  <si>
    <t>Romila Thapar's Invasion Theory of India</t>
  </si>
  <si>
    <t>Indira Gandhi replaced RC Majumdar's history with Romila Thapar's history. This is the Indira Gandhi-Romila Thapar nexus. It was very important for Indira Gandhi's votebank politics to pander to various communities that they were wronged by others, give them a separate identity and project herself as the savior. Historians like Romila Thapar and Irfan Habib lent their intellectual voice through distorted history. They came up with the history that India as a land of invasions starting with the colonial myth that India was invaded by Aryans who brought in Sanskrit, Vedas and Hinduism, Greeks gave us philosophy and logic, then came the muslims who gave us art and architecture, britishers gave us cricket and railways. Probably we should now look for an invasion by America to bring us Human Rights :). This Invasion Theory of India is having long lasting consequences on the minds and politics of Indians to this date and it is actually getting worse.</t>
  </si>
  <si>
    <t>https://www.youtube.com/watch?v=uTyoGVNa7FA</t>
  </si>
  <si>
    <t>'Sanskritizing English' By Introducing Non-translatable words #14</t>
  </si>
  <si>
    <t>Re-Record to remove the background hello hello.</t>
  </si>
  <si>
    <t>Reverse the Gaze to Decolonise</t>
  </si>
  <si>
    <t>As part of my decolonising process, several books like Invading the Sacred, Breaking India etc, in which Rajiv-ji reversed the gaze and studied the west. The findings show that the problems are really deep and shocking. Even the public has bought into the concept that it is good for them to get westernised!</t>
  </si>
  <si>
    <t>English as a sought after Language</t>
  </si>
  <si>
    <t>Your market value goes up if you do the same thing by communicating in English rather than using your own language. It ranges from normal communication to profession. A sign of deep inferiority complex and mental colonisation.</t>
  </si>
  <si>
    <t>https://www.youtube.com/watch?v=xkyySDtO5HU</t>
  </si>
  <si>
    <t>Prof Koenraad Elst &amp; Prof Girish Jha on the alleged North &amp; South Language Divide in India #15</t>
  </si>
  <si>
    <t>Indian Grand Narrative - Columbus 'Discovers' America</t>
  </si>
  <si>
    <t>Positive sense of who we are. History of our science, our manufacturing economy and trade. Pertinent question is: What was Columbus trying to discover and why? The answer is India. Why he was doing it is because India was a global giant in economy. Europeans had to find a sea-route to India as the land route from India to Europe was blocked by the Muslim Ottoman Empire. None of it is taught in USA History and neither do Indian Citizens thought about these historical facts.</t>
  </si>
  <si>
    <t>#Venture Capitalists #Venture Capitalism</t>
  </si>
  <si>
    <t>https://www.youtube.com/watch?v=VkyOIj4SQu4</t>
  </si>
  <si>
    <t>Rajiv Malhotra on the origin of Sanskrit and Vedas #10</t>
  </si>
  <si>
    <t>Globalisation - Is this new?</t>
  </si>
  <si>
    <t>European Colonial Era closed the existing Global Economy from Eastern Africa to stretching as far as South-East Asia and into China as the colonisers wanted to control trade. So, there is lot of history that needs to be rewritten.</t>
  </si>
  <si>
    <t>https://www.youtube.com/watch?v=GCo89ggyUKw</t>
  </si>
  <si>
    <t>Critiquing Pollock’s out of context reading of the Ramayana - 2 Paper Presentations</t>
  </si>
  <si>
    <t>Evidence based History</t>
  </si>
  <si>
    <t>Exaggeration is patently wrong. Embark on rewriting our history based on emperically verifiable evidences. For example: Pushpak Vimaan or Nuclear Weapons in Mahabharat cannot be supported as there are no evidences. No nuclear activity can be found in those craters now. There is plenty of evidence in the fields of metallurgy, textiles, astronomy etc to put our case forward in a scholarly manner.</t>
  </si>
  <si>
    <t>https://www.youtube.com/watch?v=vOOkxcKaZEo</t>
  </si>
  <si>
    <t>Pollock’s out of context reading of the Ramayana - Comments and Q&amp;A on the papers</t>
  </si>
  <si>
    <t>Decolonising doesn't mean going back in time</t>
  </si>
  <si>
    <t>This is not feasible due to population considerations, deforestation, resources, different lifestyle. Decolonisation is to move forward with our values and samskrithi on our own terms.</t>
  </si>
  <si>
    <t>https://www.youtube.com/watch?v=aRzq_l_Rmcc</t>
  </si>
  <si>
    <t>Comments on the two papers - Nityananda Misra</t>
  </si>
  <si>
    <t>Hierarchical Rigid Caste from British Racist Risley</t>
  </si>
  <si>
    <t>Race Science was in vogue in Europe at the time of Darwin's Theory of Evolution which would study at various humans to group them into superior and inferior races. People who resemble Europeans were classified as superior. This is purely a racist field and Lord Risley was one such race scientist commissioned by the British to be the First Census Commissioner of India. He brought his lens of Race Science to India and used that framework to prepare the census of India. During this process, he took all the jatis of India and put them into a hierachial framework based on who closely resembled Europeans. In his personal notes after the first census, he makes a note that some jatis were not able to identify themselves with this hierarchial framework and that he had to tell them where they belonged. So, as can be seen this is a completely alien framework imposed on Indians by the British racists. Slowly the Indian people were forced to comply with this framework as government benefits, jobs, programs, activities etc were based on this framework. Indians had no choice but to fit in this framework inorderto be considered for a lot of governance issues.</t>
  </si>
  <si>
    <t>Criminal Tribes Act - Genesis of Tribes</t>
  </si>
  <si>
    <t>https://www.youtube.com/watch?v=iZ6Xk9YCaaY</t>
  </si>
  <si>
    <t>A Purvapaksha of Deep Orientalism - Ashay Naik</t>
  </si>
  <si>
    <t>Those jatis who couldn't be included in this hierarchial system based on European Race Science were branded by the British as Tribes. So, Tribes are nothing but one of our own jatis who remained outside the hierarchial framework designed by Racist Lord Risley. These were also the people who refused to be 'civilised' by the British and refused to be brought under the British Racist Framework of Caste Hierarchy. Criminal Tribes Act was then formulated declaring all such 'Tribes' as Criminal by birth and they were systematically persecuted by the British. As per this Act, any human born to these parents are criminal by birth. The word THUG which now made into the English Lexicon is actually one of our own jatis against whom British produced immense Atrocity Literature before persecuting them. Thugs were normal Hindu jatis who fought valiantly against the British colonisation, deforestation etc. This in a nutshell is the genesis of Scheduled Tribes. Scheduled Tribes are none other than our own jatis who were persecuted by British into abject poverty. After rigidly castising India and Hindus, the British now blames on Hindus that caste has always been there in your civilisation. We always had jati and never had hierarchial caste system.</t>
  </si>
  <si>
    <t>Solution to break this rigid caste system</t>
  </si>
  <si>
    <t>Shift privileges based on collective identity like caste to individual centrice like say individual need, merit, poverty, physically disabled etc. This also breaks the back of caste vote banks. This needs courage on the part of the leaders.</t>
  </si>
  <si>
    <t>https://www.youtube.com/watch?v=ozdJ_kTaZcc</t>
  </si>
  <si>
    <t>History of Indology and Nazi ideology - Prof. K. Gopinath</t>
  </si>
  <si>
    <t>Colonisation of Sanskrit by Sheldon Pollock</t>
  </si>
  <si>
    <t>Why is Pollock important? Because he is a Padma Shri awardee by Government of India. His own history of Sanskrit, reject the vast oral traditional history of Sanskrit, treat it similar to the western languages which didn't have oral tradition. Western languages are not sophisticated enough to have oral traditions and hence Pollock wants to reject our oral Sanskrit tradition. Once again, it is the western framework to which Sanskrit is being subjected to. Sanskrit revival, as they try to portray their project as, is thus being carried out through western lens. Some aspects are - oral tradition will be delegitimised, use political philology to study our itihaas and Ramayan, look at our books as sources for social oppression, use western theories, philosophy, frameworks to comment on our books - this makes the insiders to our tradition as outsiders as our insiders can't understand what is being said about ourselves. We need to get western certification once this ecosystem gets mobilised. One project - Narayana Murthy's Classical Library is being translated by Pollock using such western lenses. Another example: How Sanskrit spread peacefully? Well, it is because of a nexus between Raja and the Brahmin. Raja is made to look divine. Brahmin will be well-fed. These Brahmins keep going far and wide and spread Sanskrit by praising the Kings as divine. Thus Sanskrit is actually a political medium and has no spiritual or moral significance for the people of India. This is Pollock's thesis in a nutshell.</t>
  </si>
  <si>
    <t>https://www.youtube.com/watch?v=Q7TqlnXF3cA</t>
  </si>
  <si>
    <t>Sheldon Pollock's Idea of a Nazi Indology - Dr. Koenraad Elst</t>
  </si>
  <si>
    <t>Role of Missionaries in Colonisation of India - Atrocity Literature</t>
  </si>
  <si>
    <t>These are right wing intervention organisatioins involved in Breaking India. Left wing interventions are by the leftists like the maoists, human rights groups etc. Example: Obama gets briefed by an official US Congress body called USCIRF. It consists of Judeo-Christian people only. No Hindu, Buddhist, Jain, Sikh representation in USCIRF. Monitor religious rights in all countries except USA through their Judeo-Christian lens. Indians like John Dayal went and deposed in front of this Congress body and asked for sanctions to be imposed on India. India is alongside Pakistan for religious intolerance as a result of these depositions by Indians. John Dayal said such Indians should be called traitors who depose in front of foreign governments when he didn't realise that the topic was about him :). None of the depositions are secretive. US Government officially flies these people into their country, five star hotels, conferences, praise them as human rights champions etc. It has all these on record and is compiled in their published reports. This is called Atrocity Literature. Atrocity Literature is a term from American History and it has been well defined and recognised by USA. USA Government has such Atrocity Literature against many countries and which will be used for leverage in the future or to carry out an invasion as the need arises. Example: Before invading Iraq, lots of documentaries on Iraq came out within 24 hours. It's not as though they produced all those in 1 day. Obviously the database has been built over several decades. Government of India hasn't studied their reports even once since 2001. Rajiv-ji did this since 2001. USCIRF is dominated by World Vision, Luthern Church, Mormon Church and Dalit Freedom Network. Our NGOs in India need to understand this bigger picture. Some of them are doing it knowingly. Some don't want to know and pretend that they are not doing it willingly. Some are really junior and are doing this just as some support and are ignorant of the bigger picture.</t>
  </si>
  <si>
    <t>#Atrocity Literature from Missionaries</t>
  </si>
  <si>
    <t>https://www.youtube.com/watch?v=_nyKGkDh6WM</t>
  </si>
  <si>
    <t>Theme- Sanskrit was Responsible for Holocaust- Comments and Q&amp;A</t>
  </si>
  <si>
    <t>Caste is an obstacle for Christian Missionaries</t>
  </si>
  <si>
    <t>Christian Missionaries want to uproot Caste as it is proving to be a very huge obstacle for conversions. Max Mueller, MA Sherring's book Caste and Tribes of India which was quoted extensively by Dr. BR. Ambedkar also made this observation.</t>
  </si>
  <si>
    <t>https://www.youtube.com/watch?v=log0y9fRklc</t>
  </si>
  <si>
    <t>How to Interpret the US Presidential Elections 2016 in terms of the Myth of American Exceptionalism</t>
  </si>
  <si>
    <t>#Porcupine Defence</t>
  </si>
  <si>
    <t>Untold Economic History of India</t>
  </si>
  <si>
    <t>Economic History cannot be disconnected from a country's history and sociology. But in India, economy was presented separately. Simple question is: Why would you want to go to USA or Britain - because they are rich. Why were the British and Europe trying to come to India - because we were rich. But it has been constantly drilled into our heads that we were always poor and west was always rich.</t>
  </si>
  <si>
    <t>https://www.youtube.com/watch?v=74BW9K7eGtY&amp;t=21s</t>
  </si>
  <si>
    <t>The New MOHENJO DARO Movie, What is True &amp; False About Its Depictions of History</t>
  </si>
  <si>
    <t>#History of Indian Economy</t>
  </si>
  <si>
    <t>Indian Economy before Colonisation</t>
  </si>
  <si>
    <t>Paul Bairoch a Beligian Economist said South-East Asia was rich and we were poor. And then Angus Madison, in his book History of World Economy - In the Millennial Perspective, says that India alone contributed 25% of world's GDP upto 1700s, China 25%, Entire Europe was just 7%.</t>
  </si>
  <si>
    <t>Indian Economy during Colonisation</t>
  </si>
  <si>
    <t>By 1900 India's GDP was 2% and Britain plus USA was 43%. Capitalism was supposedly born at this time and Marxism was born as its opponent. But what did India have before this? Francis Buchanan's book gives insights into the Indian industry model. Equitable share holding from the clerk to the owner of the industry.</t>
  </si>
  <si>
    <t>https://www.youtube.com/watch?v=gzOZ5Lo3n9Y</t>
  </si>
  <si>
    <t>JNU Sociology Professors are Effectively Studying "The White Man's Grandmother" #10</t>
  </si>
  <si>
    <t>#Destruction of Indian Economy</t>
  </si>
  <si>
    <t>Fate of Indians who were de-industrialised</t>
  </si>
  <si>
    <t>In India, between 1750 to 1900 massive de-industrialisation was 700% - Paul Bairoch presented that data in the book Rise and Fall of Great Powers by Paul Kennedy. In Puriya and Bhagalpur between 1809 -1813 de-industrialisation was 50% - mentioned by Amiya Kumar Bagchi and Jagdish Banerjee. This is just the displacement and destruction of people in just two districts in 4 years. This systematic destruction went from 1700s to 1947.</t>
  </si>
  <si>
    <t>#De-Industrialisation of India</t>
  </si>
  <si>
    <t>https://www.youtube.com/watch?v=2yRygpW0RYY</t>
  </si>
  <si>
    <t>On Pollockism- Purvapaksha on Pollock's Methodologies: Sati Shankar</t>
  </si>
  <si>
    <t>Asiatic Model of Production by Karl Marx</t>
  </si>
  <si>
    <t>Karl Marx describes that from 1815-1835 1.5 lakh artisans in dhaka were reduced to 20,000. What happened to 1.3 lakh people. We just ignore them in sociology and go on with some economy book?</t>
  </si>
  <si>
    <t>Biggest lie of Breaking India Forces on Shudras</t>
  </si>
  <si>
    <t>https://www.youtube.com/watch?v=Y3j3g76ggFE</t>
  </si>
  <si>
    <t>One of the main weapons of Breaking India Forces is to spread the lie that Shudras were discriminated in education. Taluq wise data taken from the British Archives before 1830's Macaulay Education shows that Shudras were 4 to 5 times more in numbers in education than Brahmins. Gandhian Dharampal brought this out in his book Beautiful Tree. In 1931 Round Table Conference Gandhi-ji declared that the literacy rate in India was way better 50-100 years ago. When Pastor Phillips Arthur said Gandhi-ji is lying, then Gandhi-ji said he will campain for British education system if he is proven wrong. Dharampal's book proves that Gandhi-ji was correct. These facts are not told to us even to this day.</t>
  </si>
  <si>
    <t>On Pollockism paper_Comments and Q and A</t>
  </si>
  <si>
    <t>#Exploitation of Shudras</t>
  </si>
  <si>
    <t>Agenda Driven usage of words</t>
  </si>
  <si>
    <t>Breaking India Forces ignore the fact that de-industrialisation took place at an alarming rate - 700% as per data available which resulted in alarming unemployment of Shudras. In the place of these facts, they made a concoction of words like shudra, mool nivasi, dalit, adinivasi. This concoction gets used with an agenda to make them dissatisfied. When unemployment reaches such alarming proportions, then survival takes precedence over education. Annie Besant maded a timely comparison in 1917. She says 1/10th of the British is still living in abject poverty doing menial jobs even at the height of their richness and compared it with the abject poverty India is going through at the time.</t>
  </si>
  <si>
    <t>https://www.youtube.com/watch?v=bMOOUhzJreA</t>
  </si>
  <si>
    <t>"Sanskrit is dead and its okay" - Naresh Cuntoor</t>
  </si>
  <si>
    <t>#Unemployment of Shudras</t>
  </si>
  <si>
    <t>Census of India through Caste by British</t>
  </si>
  <si>
    <t>1891 Census - By Profession, 1901 Census - First census based on Caste. Lord Risley introduced Race Science Anthropometry for Census and describes it as Unfailing Law of Caste. Nasal Index/Broadness of the nose is used. The Broader the nose, the lower the caste - His own racist formula. Never known to Hindus or practiced by Hindus living in India. Caste Hierarchy Lists were made based on this racist theory. 1901 to 1931 there were many cases of protest/litigation with the government. By 1941 it was ended. Mandal Commission used 1931 census for caste purposes. Caste is not from India. It is from Castas. In foreign countries you can see half-caste, quarter caste even to this day, which is not our culture.</t>
  </si>
  <si>
    <t>https://www.youtube.com/watch?v=WzACbsbv3Mc</t>
  </si>
  <si>
    <t>Vedic Knowledge, Science &amp; Pollockian Indology - Prof. Ravi Gomatam</t>
  </si>
  <si>
    <t>#Hierarchial Caste #Race Science #Nasal Index #Lord Risley</t>
  </si>
  <si>
    <t>Caste doesnt' mean Jaathi. What is Varna then?</t>
  </si>
  <si>
    <t>Word Jaathi is not seen in Sanskrit. Sanskrit dictionary says Jaathi means Saamaanya Jan). Jaathi doesn't mean any kind of divisions. Jaath is the sanskrit word which means Uthpatthi. Jaath can mean trade (Francis Buchanan prepared 122 categories as Caste/Trade in 1807) or profession with family linkage (Matthew Atmore Sherring's book of 1872 Caste and Tribes of India described families involved in Salt Manufacture who were driven out of salt manufacturing by British) or simply family gorthr (Tulsidas reference, Sati-Daksh example - as a family linkage), regional affiliation etc.Distortions of Varna, Savarna, Avarna range from color, black, light, fair, discolored or colorless skin - all christian theology's framework which was already used in Africa as per bible to divide Africans was imposed on Indians. Nicholas Dirks in Castes of Mind clearly says Caste is a modern day phenomenon due to British interaction with India.</t>
  </si>
  <si>
    <t>https://www.youtube.com/watch?v=0W0XxcsCH_0</t>
  </si>
  <si>
    <t>Dr. Koenraad Elst's Comments on Indic Viewpoints to Refute Pollock's positions</t>
  </si>
  <si>
    <t>#Castus #Casta #Biblical Theology #Racism #Skin Color #Divide and Rule</t>
  </si>
  <si>
    <t>https://www.youtube.com/watch?v=a30EnICYBUA</t>
  </si>
  <si>
    <t>Panel Discussion on Murty Classical Library - Part 1</t>
  </si>
  <si>
    <t>https://www.youtube.com/watch?v=Wr_CIMPuH3I</t>
  </si>
  <si>
    <t>Panel Discussion on Murty Classical Library - Part 2</t>
  </si>
  <si>
    <t>#Sanskrit Texts #Caste #NGOs #Organised Mafia</t>
  </si>
  <si>
    <t>Summary of JNU Talks -1</t>
  </si>
  <si>
    <t>Faultlines are real. NGOs are like organised mafia exploiting this. Original Thinking is absent now. We have borrowed and teaching western theories. Original Thinking and Original Ideas are in Sanskrit Texts, Rig Veda etc. For example - A Upanishadic story - man wanting to go to West from India. Many such original accounts. Translate into Hindi or local languages to prevent distortions. Aryan Invasion Theory is false. Aryan-Dravidian divide is a huge controversy. Many references to Arya, Dravida, Kerala,  Choda in Aadi Parva of Mahabharatha. These are the same people living in different parts of this land showing regional connotations.</t>
  </si>
  <si>
    <t>https://www.youtube.com/watch?v=w1panKQ58dU</t>
  </si>
  <si>
    <t>New TV Serial on Aryan/Dravidian Conflict is Incorrect &amp; Politically Dangerous</t>
  </si>
  <si>
    <t>#Original Thinking #NGOs #Faultlines #Aryan-Dravidian Divide #Sanskrit Texts #Rig Veda #Non-Translatable #Western Theories</t>
  </si>
  <si>
    <t>Summary of JNU Talks - 2</t>
  </si>
  <si>
    <t>Genetic Constitution of all Indians can now be proved as same (Professor Bhavinje). For example: DNA of Kashmiri Brahmin is the same as Paswans of Bihar. Caste is quite recent and atrocities have to be admitted. Vedic vs Proto-Indo-European Languages can be gleaned from the book "Perspectives on the Origin of Indian Civilization". Indic language family is located in India which led to language families in India and there may be a proto-Indic. We may or may not have a connection with the European language family. Professor Khazanas says: Vedic is the earliest source and this idea is much more logical and symmetrical. Proto-Indo European is imaginary. New data from Himachal Bangani village - Bangani Language has 'Kenjun' properties which falsifies Indo-Europeanists and Proto-Indo-Europeanists. Awareness of bigger picture allows you to prioritise.</t>
  </si>
  <si>
    <t>https://www.youtube.com/watch?v=N20dY0-9Nio</t>
  </si>
  <si>
    <t>Sense Philology - TM Narendran</t>
  </si>
  <si>
    <t>#Genetics #DNA #Mahabharatha #Indic Family #Vedic Family #Diligence</t>
  </si>
  <si>
    <t>https://www.youtube.com/watch?v=mxQpJeckKaU</t>
  </si>
  <si>
    <t>Orientalist &amp; Post Colonial Basis of Indology - Ravi Joshi</t>
  </si>
  <si>
    <t>https://www.youtube.com/watch?v=3dgPn1KOovw</t>
  </si>
  <si>
    <t>Recent Political Attacks in Hawaii Against Hinduism —Christianity's Violent Conquest of Pagans #15</t>
  </si>
  <si>
    <t>https://www.youtube.com/watch?v=GtSbmTRia5Y</t>
  </si>
  <si>
    <t>Rajiv Malhotra with Prof Mohan on "Breaking India" on Tharanga</t>
  </si>
  <si>
    <t>https://www.youtube.com/watch?v=Aivw6qVhabo</t>
  </si>
  <si>
    <t>Contrast the Attitude of Abrahamic Religions &amp; Sanatan Dharma Towards Peace #3</t>
  </si>
  <si>
    <t>Who is Rajiv Malhotra?</t>
  </si>
  <si>
    <t>Rajiv Malhotra is an Indian American researcher, writer, speaker and public intellectual on current affairs as relates to civilisation, cross-cultural encounters, religion and science. He has done original research in this regard and came up with game changing output which disrupts the prevailing thinking in these fields especially pertaining to the portrayal of Hinduism in the Academia and in the public sphere. He gave several talks, wrote articles and several books in this regard. He describes himself as an Intellectual Kshathriya in which his emphasis is on the obligation to study the opponent honestly which is called Purva Paksha and then give response to the opponent from your own Dharmic grounding. He calls this response as Uttara Paksha. Ignoring your opponent is not only not an option but is also counter-productive to your own existence. His involvment with Universities are extensive and please watch this short video-clip to understand the scope and scale of his work.</t>
  </si>
  <si>
    <t>https://www.youtube.com/watch?v=av1BWeMbl1Q</t>
  </si>
  <si>
    <t>Rajiv Malhotra Discusses Strategy for Kumbh Mela with Head of Akhada Parishad</t>
  </si>
  <si>
    <t>#Breaking India #Being Different #Yoga #University of Massachusetts at Dartmouth #University of Columbia #Invading The Sacred</t>
  </si>
  <si>
    <t>What are Rajiv Malhotra's books?</t>
  </si>
  <si>
    <t>Describes just two of his books. 1) Invading The Sacred talks about the denigration of Hindu Deities by western academia. 2) Breaking India exposes various organisations and individuals working as a team across the globe to Break India into varioius parts by attacking its civilisation - Hinduism.</t>
  </si>
  <si>
    <t>6:19 to 6:42 No video signal.</t>
  </si>
  <si>
    <t>#Western Scholars #Hinduphobia #Evangelical NGOs #Breaking India</t>
  </si>
  <si>
    <t>Should we go back in time?</t>
  </si>
  <si>
    <t>Getting solutions from our Dharma doesn't mean going back in time to the vedic past. Practical reasons like huge population now (1.5 billion vs 5 million in the past), decreased natural resources. Decreasing the population is not the solution. Next, people's current aspirations also have to be addressed. Dharma was/is never anti-modernity or science and technology. Utopia is not about going to some perfect past but moving forward by using dharmic solution kit for issues like healing paradigms, spiritual well-being, mental health, environmentalism, sustainability, harmony, pluralism.</t>
  </si>
  <si>
    <t>https://www.youtube.com/watch?v=dLQSHM_T-jI</t>
  </si>
  <si>
    <t>Hindu Dharma Shastras Accused of Human Rights Violation Against Women &amp; Dalits #4</t>
  </si>
  <si>
    <t>#Dharma #Environmentalism</t>
  </si>
  <si>
    <t>Ram Mohan Roy's Inferiority Complex</t>
  </si>
  <si>
    <t>Slaves of Macaulay is a misnomer because it was the already anglicised Ram Mohan Roy who wrote to the British Parliament 15-20 years before Macaulay, to come and take over Indian education. His inferiority complex had opened the door for the British to come up with their education system. This is not a well-known fact.</t>
  </si>
  <si>
    <t>#InferiorityComplex #AnglicisedHindus #Macaulay</t>
  </si>
  <si>
    <t>https://www.youtube.com/watch?v=joPLKP546hk</t>
  </si>
  <si>
    <t>Modernisation vs Westernisation</t>
  </si>
  <si>
    <t>Are The Vedic Texts Not Powerful Enough To Convince Anybody Who Reads it: Rajiv Malhotra #6</t>
  </si>
  <si>
    <t>Dharmic modernity on lines of confusian thought. China is becoming modern and not western. They are not leaving their thousands of years old confucian thought for their guidance. Modern is the technology, modern medicine, modern systems that modernity has to offer. don't adopt western values. Westernisation means - linear - we are today you will be here tomorrow. You are like our past, we are like your future. this is dangerous and destroys cultures in this linear path which is different from them.</t>
  </si>
  <si>
    <t>#Westernisation #Dharma #Modernity</t>
  </si>
  <si>
    <t>Adopt Good Western Values</t>
  </si>
  <si>
    <t>Western team work, compliance with rules, institutions. We are more personality cult based and so suffer once the personality dies or gets into a controversy unlike west. For example pope may die or get into a scandal but the Church will go on. xmokinb, meat, beef exporting. they are learning yoga, vegetarianism. We are copying cheap, easy, pop culture and bad things to feel good that we are now westernised from inferiority complex. This is called White Mimicry.</t>
  </si>
  <si>
    <t>https://www.youtube.com/watch?v=0ol6BUtHZu8</t>
  </si>
  <si>
    <t>Do Our sacred Scriptures Praise War &amp; Violence: Rajiv Malhotra #8</t>
  </si>
  <si>
    <t>#InferiorityComplex #WhiteMimicry #Yoga #Westernisation</t>
  </si>
  <si>
    <t>What is Freudian Psycho-Analysis of Hindu Deities?</t>
  </si>
  <si>
    <t>Deities come out as psychotic.For example Shiva, Durga, Ganesh, Krishna etc. Psycho-Analysis of Krishna - Krishna is standing with his body curved called as cocked-hips. So, he is a homo-sexual offering himself for homo-sexuality. Wendy Doniger is a well-read pioneer of our books. Don't call her ignorant. Calling her ignorant is probably a cop out? (This question is from Mahesh). Lack of competence is not the issue. Issue is the way she used her competence to distort our Deities by using Freudian Psycho-Analysis. fashionabl to use freudianism to understand Hinduism and then turn this whole Hindusim into myth like Hindu Myth Makers like Devdutt Pattanaik who call our whole Hinduism into Hindu Mythology which are all just some stories and nothing else.</t>
  </si>
  <si>
    <t>https://www.youtube.com/watch?v=N1wkN3CKqHY</t>
  </si>
  <si>
    <t>Rajiv Malhotra Interviews Yogi Amrit Desai - Part 1</t>
  </si>
  <si>
    <t>#WendyDoniger #DevduttPattanaik #FreudianPsycho-Analysis #Mythology #Homosexuality</t>
  </si>
  <si>
    <t>Wendy Doniger and her Media Mafia</t>
  </si>
  <si>
    <t>#FreeSpeech #MediaCabal #Chowkidhaars #SocialMedia</t>
  </si>
  <si>
    <t>https://www.youtube.com/watch?v=Zr29r9gnq6A</t>
  </si>
  <si>
    <t>Rajiv Malhotra &amp; Dr Subramanian Swamy in a Vibrant LIVE Broadcast on Strategic Issues #16</t>
  </si>
  <si>
    <t>https://www.youtube.com/watch?v=eVhJjqlSE8s</t>
  </si>
  <si>
    <t>How to Counter Devdutt Pattanaik's Absurd Interpretations of Hinduism: Rajiv Malhotra #5</t>
  </si>
  <si>
    <t>https://www.youtube.com/watch?v=R6bvpvI1_uY</t>
  </si>
  <si>
    <t>Yogi Amrit Desai's Hatha Yoga is Integrated Into Ashtanga Yoga: Rajiv Part 2</t>
  </si>
  <si>
    <t>Namaste MS: Those record which are taken from MasterList but FinalStatus is not marked as Done-Conent I am assuming it is WIP-Conent. Please update the correct status in this sheet and MasterList: HT</t>
  </si>
  <si>
    <t>Namaste HT: I didn't know that I could update the MasterList. Thank you for clarifying. I just updated it also for the videos I finished. Thanks - Mahesh Srigiriraju (MS).</t>
  </si>
  <si>
    <t>https://www.youtube.com/watch?v=WtWOT6Hj2vM</t>
  </si>
  <si>
    <t>Controversies on Yoga's Appropriation &amp; Mis-appropriation by Westerners: Yogi Amrit Desai Part 3</t>
  </si>
  <si>
    <t>Namaste MS: Thanks for taking inputs positively. On this sheet few videos like 17, 19,30.. do not have any status. Either remove them from here and update MasterList or update the status here and MasterList. This is confusing to me. : HT</t>
  </si>
  <si>
    <t>https://www.youtube.com/watch?v=3dYP3FhD3Po</t>
  </si>
  <si>
    <t>How Yoga Helps Americans Solve Problems Like Addiction: Rajiv Interviews Yogi Amrit Desai Part 4</t>
  </si>
  <si>
    <t>https://www.youtube.com/watch?v=07rLdtPRbEE</t>
  </si>
  <si>
    <t>In Conversation with Swami Nithyananda: July 2016</t>
  </si>
  <si>
    <t>https://www.youtube.com/watch?v=n0Ekb7yhf18</t>
  </si>
  <si>
    <t>Can Living Guru be Replaced by Technology? Rajiv's Dialogue with Yogi Amrit Desai - Part 5</t>
  </si>
  <si>
    <t>https://www.youtube.com/watch?v=Pe53dUS_mHE</t>
  </si>
  <si>
    <t>Society Must Be Detoxed By Force &amp; Intervention. Rajiv's Dialogue with Yogi Amrit Desai - Part 6</t>
  </si>
  <si>
    <t>https://www.youtube.com/watch?v=fZLoHeGF4XI</t>
  </si>
  <si>
    <t>Q&amp;A Rajiv Malhotra at Chinmaya Mission, DC</t>
  </si>
  <si>
    <t>https://www.youtube.com/watch?v=NaCx35vC5wg</t>
  </si>
  <si>
    <t>JNU Plenary 2016: Assimilation of Tradition &amp; Modernity, Talk by Rajiv Malhotra</t>
  </si>
  <si>
    <t>https://www.youtube.com/watch?v=8M2LUwJGwHw</t>
  </si>
  <si>
    <t>Rajiv Malhotra Addresses Common Misconceptions Regarding Various Darshanas in Sanatan Dharma #1</t>
  </si>
  <si>
    <t>https://www.youtube.com/watch?v=4VaCcFKHkSY</t>
  </si>
  <si>
    <t>Q&amp;A Hinduism vs Pagan Religions; Caste Divides; Open Architecture of Dharmic Traditions #2</t>
  </si>
  <si>
    <t>https://www.youtube.com/watch?v=udkwSpjJnGk</t>
  </si>
  <si>
    <t>Rajiv Malhotra's Call To Action For Correcting The Discourse On Hinduism &amp; Hindu Organizations. #3</t>
  </si>
  <si>
    <t>https://www.youtube.com/watch?v=Z8Wd8i754cU</t>
  </si>
  <si>
    <t>Misappropriation of Ancient Indian Ideas by The West; Value of Sanskrit; Aryan Dravidian Divide #4</t>
  </si>
  <si>
    <t>https://www.youtube.com/watch?v=tlCqUXsDwDc</t>
  </si>
  <si>
    <t>Western Collective Ego Remains Even After Individual Ego Is Surrendered: Rajiv with Amrit Desai #7</t>
  </si>
  <si>
    <t>https://www.youtube.com/watch?v=aEAK6N982oQ</t>
  </si>
  <si>
    <t>Deception &amp; Multigenerational Inculturation Strategy of the Church to Convert Hindus</t>
  </si>
  <si>
    <t>https://www.youtube.com/watch?v=aBwX_u__31I</t>
  </si>
  <si>
    <t>History &amp; Contributions of the Jiva Goswami Tradition: Dialogue with Dr Satyanarayana Dasa #1</t>
  </si>
  <si>
    <t>https://www.youtube.com/watch?v=i24adZlRCZk</t>
  </si>
  <si>
    <t>Can Dharmic &amp; Abrahamic Traditions be Reconciled? Rajiv in Dialogue with Dr Satyanarayana Dasa #2</t>
  </si>
  <si>
    <t>https://www.youtube.com/watch?v=KYhdz2LiDLA</t>
  </si>
  <si>
    <t>American Myth Undergoing Latest Crisis, Needs Dharmic Missionaries. Rajiv with Yogi Amrit Desai #8</t>
  </si>
  <si>
    <t>https://www.youtube.com/watch?v=BKG8mWyOvuw</t>
  </si>
  <si>
    <t>Indian Spiritual Traditions Demand Discipline, Rigor &amp; Integrity: Dr Satyanarayana Dasa #3</t>
  </si>
  <si>
    <t>https://www.youtube.com/watch?v=bGDeGR7DrFw</t>
  </si>
  <si>
    <t>How Gurus Must Prevent Collective U-Turns of Western Students. Rajiv's Dialogue with Yogi Amrit #9</t>
  </si>
  <si>
    <t>https://www.youtube.com/watch?v=BsEY7XJTv70</t>
  </si>
  <si>
    <t>Provocative Speculation: Are Many Hindus Unfit for Hinduism? Rajiv with Dr Satyanarayana Dasa #4</t>
  </si>
  <si>
    <t>https://www.youtube.com/watch?v=Kfvmj7QyAfQ</t>
  </si>
  <si>
    <t>In Conversation with Francois Gautier</t>
  </si>
  <si>
    <t>10 months ago</t>
  </si>
  <si>
    <t>https://www.youtube.com/watch?v=C6XbkLOcyVs</t>
  </si>
  <si>
    <t>Dharma and Well-being, New Jersey 2016</t>
  </si>
  <si>
    <t>https://www.youtube.com/watch?v=ANDhhofT1w0</t>
  </si>
  <si>
    <t>Keynote at DCF Fundraiser in Los Angeles, 2016</t>
  </si>
  <si>
    <t>https://www.youtube.com/watch?v=qiir-ZWT6yI</t>
  </si>
  <si>
    <t>What are the chances that Liberal Muslims will call for a Reformation of Islam: Rajiv Malhotra</t>
  </si>
  <si>
    <t>Efforts of alien groups to destroy the identity of Hindus</t>
  </si>
  <si>
    <t xml:space="preserve">India's resource pool (300 Million English knowing people) is to be controlled by the western economic powers using the tool of religious conversions.
</t>
  </si>
  <si>
    <t>https://www.youtube.com/watch?v=wEalKzas5Ig</t>
  </si>
  <si>
    <t>FACEBOOK HQ: Vedic Consciousness &amp; it's Relation to Modern Technology</t>
  </si>
  <si>
    <t>https://www.youtube.com/watch?v=6PUBS8MXVzc</t>
  </si>
  <si>
    <t>Academic Hinduphobia Book Launch, by Dr Subramanian Swamy</t>
  </si>
  <si>
    <t>https://www.youtube.com/watch?v=HmKETjjGv0E</t>
  </si>
  <si>
    <t>Hinduphobia of The Indian Left is a Combination of Many Factors: Rajiv Malhotra #5</t>
  </si>
  <si>
    <t>How NRIs can defend the Hindu civilization</t>
  </si>
  <si>
    <t>Get educated in comparative religion, humanities and social sciences to counter western narrative</t>
  </si>
  <si>
    <t>https://www.youtube.com/watch?v=vTz9mFEgYQU</t>
  </si>
  <si>
    <t>Can We Use Guna System To Classify Western Indologists: Rajiv Malhotra #2</t>
  </si>
  <si>
    <t>https://www.youtube.com/watch?v=B1KtIwSP4_U</t>
  </si>
  <si>
    <t>Intellectual &amp; Emotional Kshatriyas, Both Can Help Dharma &amp; India: Rajiv Malhotra #6</t>
  </si>
  <si>
    <t>Creation of caste system by British</t>
  </si>
  <si>
    <t>https://www.youtube.com/watch?v=nUfn2eRsHgo</t>
  </si>
  <si>
    <t>Western Study of Sanskrit Misstates Our Sanskriti &amp; Conceals Facts: Rajiv Malhotra #7</t>
  </si>
  <si>
    <t>False propaganda of bad treatment of lower castes</t>
  </si>
  <si>
    <t>Very nice summary of Being Different</t>
  </si>
  <si>
    <t>U-turn theory, common ground among HIndu sects, poorva paksha, digestion of Hindu knowledge</t>
  </si>
  <si>
    <t>https://www.youtube.com/watch?v=sGXLoCpynsU</t>
  </si>
  <si>
    <t>Insiders Vs Outsiders — Who should have ‘Adhikara’ as Experts on Sanskrit: Rajiv Malhotra #3</t>
  </si>
  <si>
    <t>https://www.youtube.com/watch?v=Nattb-ZPK4g</t>
  </si>
  <si>
    <t>I am trying to Provoke the 'Insiders' to Protect our Sanskriti: Rajiv Malhotra #4</t>
  </si>
  <si>
    <t>https://www.youtube.com/watch?v=EfQbirNpLM8</t>
  </si>
  <si>
    <t>Murty Classical Library Translations Not Reviewed by Traditional Sanskrit Scholars' Panel #1</t>
  </si>
  <si>
    <t>Being Different: Chapter 1</t>
  </si>
  <si>
    <t>Not Good</t>
  </si>
  <si>
    <t>Being Different: Chapter 2</t>
  </si>
  <si>
    <t>History centrism, Christian mystics, T S Eliot, Integral vs synthetic unity</t>
  </si>
  <si>
    <t>https://www.youtube.com/watch?v=zNgyoAjVDhk</t>
  </si>
  <si>
    <t>Don't Be Deceived by Western Culture which is Celebrated by Media: Rajiv Malhotra #8</t>
  </si>
  <si>
    <t>https://www.youtube.com/watch?v=6WJO3QlTEpg</t>
  </si>
  <si>
    <t>Lack of Support for Rigorous Indology Research Such as that by Shrikant Talageri: Rajiv Malhotra #9</t>
  </si>
  <si>
    <t>RM welcome and intro at the launch of Being Different</t>
  </si>
  <si>
    <t>https://www.youtube.com/watch?v=9qgkONu6nbk</t>
  </si>
  <si>
    <t>Knowing Hindu History: Rajiv Malhotra FULL Lecture, Duke University USA</t>
  </si>
  <si>
    <t>Internalization of colonization by the subjugated populace</t>
  </si>
  <si>
    <t>Pavan K Verma introduces Being Diferent</t>
  </si>
  <si>
    <t>https://www.youtube.com/watch?v=k8zAYJDE01E</t>
  </si>
  <si>
    <t>Genocide &amp; Slavery Were Foundations of the so called 'Modernity Era' of Europe &amp; USA #10</t>
  </si>
  <si>
    <t>https://www.youtube.com/watch?v=Qh0tc43apsI</t>
  </si>
  <si>
    <t>Hindu Contributions in the Cognitive Sciences: Rajiv at Duke University #1</t>
  </si>
  <si>
    <t>General comparison between Hindu and western ideology</t>
  </si>
  <si>
    <t>Notions of Dharma, Kosha layers of the self, Male-Female principles as major concepts in Hinduism</t>
  </si>
  <si>
    <t>https://www.youtube.com/watch?v=B3K5KRgT0oE</t>
  </si>
  <si>
    <t>Sanskrit is Foundation of Linguistics &amp; Computation: Rajiv at Duke University #2</t>
  </si>
  <si>
    <t>https://www.youtube.com/watch?v=MqvZxu1TaSQ</t>
  </si>
  <si>
    <t>Digestion and the Doctrine of Christian Discovery #3</t>
  </si>
  <si>
    <t>https://www.youtube.com/watch?v=SmB_GUlrfzk</t>
  </si>
  <si>
    <t>Abstract but fluid Indain thought vs rigid western thought</t>
  </si>
  <si>
    <t>Hindu Society was Not Otherworldly; India has been an Important Part of World History #4</t>
  </si>
  <si>
    <t>Self organizational thinking of smaller group of Indian thoughts within a larger narrative vs west's rigid thinking, Indian order out of chaos</t>
  </si>
  <si>
    <t>Forest vs desert civilizations</t>
  </si>
  <si>
    <t>https://www.youtube.com/watch?v=YtD-Ro9OJRQ</t>
  </si>
  <si>
    <t>In Conversation with Sri Sri Ravi Shankar</t>
  </si>
  <si>
    <t>Question: Civilization vs religion</t>
  </si>
  <si>
    <t>Personal dharma and sanskriti vs western civilization and religion</t>
  </si>
  <si>
    <t>https://www.youtube.com/watch?v=m1RnPcyk_e0</t>
  </si>
  <si>
    <t>In Conversation with Dr. Nagaswamy, Eminent Archaeologist &amp; Scholar #23</t>
  </si>
  <si>
    <t>Question: 300 Ramayanas</t>
  </si>
  <si>
    <t>How east asian countries assimilated ancient hindu religion in the new buddhist religion</t>
  </si>
  <si>
    <t>https://www.youtube.com/watch?v=MFeGLeUGf6Q</t>
  </si>
  <si>
    <t>Current State of De-colonizing is Incomplete - Lokmanthan 2016, Bhopal</t>
  </si>
  <si>
    <t>Question: Culturual differences between India and China</t>
  </si>
  <si>
    <t>Indian guides to chinese and south east asian countries never dominated political space</t>
  </si>
  <si>
    <t>https://www.youtube.com/watch?v=ZkrWcJXqbGA</t>
  </si>
  <si>
    <t>Historical Evidence: Hindu Tradition Is Progressive, Not Regressive #6</t>
  </si>
  <si>
    <t>Question: Expectations from corporate people</t>
  </si>
  <si>
    <t>Sponsoring book translations etc.</t>
  </si>
  <si>
    <t>https://www.youtube.com/watch?v=ZoDHsv06lNI</t>
  </si>
  <si>
    <t>Sanskrit &amp; Sanskriti Are Being Secularized and their History Being Falsified #11</t>
  </si>
  <si>
    <t>https://www.youtube.com/watch?v=j53ZVDx4pYc</t>
  </si>
  <si>
    <t>In Medieval Times Arabs Embraced Indian Science &amp; Spread it to Europe #5</t>
  </si>
  <si>
    <t>Are there alternatives to Western universalism</t>
  </si>
  <si>
    <t>China's Confucian institutes and philosophy, multiple intelligences</t>
  </si>
  <si>
    <t>https://www.youtube.com/watch?v=ZI3BJk08OWI</t>
  </si>
  <si>
    <t>Spanish Queen was a "Venture Capitalist" who Funded Columbus to Find a New Sea Route to India #7</t>
  </si>
  <si>
    <t>Examples of Indian knowldege picked up by west</t>
  </si>
  <si>
    <t xml:space="preserve">Nikola Tesla, Hebert Benson, </t>
  </si>
  <si>
    <t>Renaissance in Indian science, preserving Indian way of thinking</t>
  </si>
  <si>
    <t>https://www.youtube.com/watch?v=84agoVdaycE</t>
  </si>
  <si>
    <t>Schrodinger, Quantum physics, Sanskrit non translatables, beej mantra</t>
  </si>
  <si>
    <t>Why Digestion Is the Greatest Threat to Hinduism: Rajiv at Duke University #8</t>
  </si>
  <si>
    <t>Question: Should western universalism be replaced by indian universalism</t>
  </si>
  <si>
    <t>Tolerance vs mutual respect, docolonize Indian methodologies</t>
  </si>
  <si>
    <t>Question: What is the origin of colonization of Indian education</t>
  </si>
  <si>
    <t>Nalanda, Macaulay</t>
  </si>
  <si>
    <t>https://www.youtube.com/watch?v=sLe31yV0Fb4</t>
  </si>
  <si>
    <t>Is There Any Practical Utility of Sanskrit? #1</t>
  </si>
  <si>
    <t>Question: Is there truth in extra sensory phenomenon</t>
  </si>
  <si>
    <t>Only if the outcomes can be measured</t>
  </si>
  <si>
    <t>https://www.youtube.com/watch?v=0gtyqapBB3A</t>
  </si>
  <si>
    <t>Reviving the Vedic Learning Methods in Children: Rajiv Malhotra #3</t>
  </si>
  <si>
    <t>Question: Are you suggesting insulating Indian thought</t>
  </si>
  <si>
    <t>https://www.youtube.com/watch?v=EKyX0QsZVJc</t>
  </si>
  <si>
    <t>Vernacular Languages in India Played a Hyphenated Role Along Side With Sanskrit #4</t>
  </si>
  <si>
    <t>Question: how to protect original Indian thinking from the colonized Indian</t>
  </si>
  <si>
    <t>https://www.youtube.com/watch?v=DrTFGS7SoCg</t>
  </si>
  <si>
    <t>Sufism is a "Soft" Conversion to Islam: Rajiv Malhotra #5</t>
  </si>
  <si>
    <t>Namaste AA, Work date is missing so it is not possible for me to take this for reporting purpose. Regards Hari</t>
  </si>
  <si>
    <t>https://www.youtube.com/watch?v=J2Z6w1bXfYc</t>
  </si>
  <si>
    <t>The Fight Is With Charvakas 2.0, Not with Buddhism or Other Dharmic Traditions #6</t>
  </si>
  <si>
    <t>Namaste AA: Work date is missing for some records. HT</t>
  </si>
  <si>
    <t>https://www.youtube.com/watch?v=1jVMegap8Ws</t>
  </si>
  <si>
    <t>Samskrita Bharati Teaches Sanskrit by Immersion, Not by Grammar: Rajiv Malhotra #8</t>
  </si>
  <si>
    <t>https://www.youtube.com/watch?v=8usGAaPq-WY</t>
  </si>
  <si>
    <t>Response to a Young Post Modernist by Rajiv Malhotra</t>
  </si>
  <si>
    <t>https://www.youtube.com/watch?v=RfiT3REVHxQ</t>
  </si>
  <si>
    <t>Influences of Vedic Tradition on Accelerated Educational Systems like Montessori and Waldorf #9</t>
  </si>
  <si>
    <t>https://www.youtube.com/watch?v=r0tSX3M-7oM&amp;t=41s</t>
  </si>
  <si>
    <t>Times LitFest Delhi: How Will India Deal with President Trump</t>
  </si>
  <si>
    <t>https://www.youtube.com/watch?v=9hi4MG3BU0Y</t>
  </si>
  <si>
    <t>Deep Malaise Of Aspirational Whiteness in India: Rajiv at Duke Univ #10</t>
  </si>
  <si>
    <t>https://www.youtube.com/watch?v=uiJHx80DJcw</t>
  </si>
  <si>
    <t>What is Hindutva: Rajiv at Duke University #11</t>
  </si>
  <si>
    <t>https://www.youtube.com/watch?v=Y5sHrOViVq0</t>
  </si>
  <si>
    <t>In Conversation with Dr. Sonal Mansingh</t>
  </si>
  <si>
    <t>https://www.youtube.com/watch?v=SNAHZpRl3go</t>
  </si>
  <si>
    <t>A Discussion with Nithyananda: on God vs. Sadashiva, Why Wear Gold, Attacks against Hinduism &amp; More</t>
  </si>
  <si>
    <t>https://www.youtube.com/watch?v=kDDNkLWPpUc</t>
  </si>
  <si>
    <t>Dialogue with Prof R Vaidyanathan, IIM Bangalore - Caste System</t>
  </si>
  <si>
    <t>https://www.youtube.com/watch?v=Vrv16kSoTLQ</t>
  </si>
  <si>
    <t>Aagamas are As Central to Hinduism As Vedas #1</t>
  </si>
  <si>
    <t>https://www.youtube.com/watch?v=1k_PbRxkEqo</t>
  </si>
  <si>
    <t>Acārya Abhinavagupta Initiated Adi Shankaracharya Into Aagamas #2</t>
  </si>
  <si>
    <t>https://www.youtube.com/watch?v=JZ7LHVZfMwM</t>
  </si>
  <si>
    <t>Are Neo Vedantins Justified in Demeaning Rituals #3</t>
  </si>
  <si>
    <t>https://www.youtube.com/watch?v=-pTe3fDFF7U</t>
  </si>
  <si>
    <t>Aagamas Not Separate Set of Scriptures but Part of Vedas, Correct Nomenclature is "Vedaagamas" #4</t>
  </si>
  <si>
    <t>https://www.youtube.com/watch?v=HzuZ57Y3-VQ</t>
  </si>
  <si>
    <t>Atma Pramana Alone Does Not Confer the Adhikara to Impart Teachings of Sanatana Hindu Dharma #5</t>
  </si>
  <si>
    <t>https://www.youtube.com/watch?v=6M1Mp5tvk-E</t>
  </si>
  <si>
    <t>Translating Hindu Itihasa to "Myth" Demeans &amp; Undermines Hindu Culture #6</t>
  </si>
  <si>
    <t>https://www.youtube.com/watch?v=13shkRG4RMc</t>
  </si>
  <si>
    <t>The Tree of Yoga is Rooted in Sanatana Hindu Dharma #7</t>
  </si>
  <si>
    <t>https://www.youtube.com/watch?v=lnII4AH2rHw</t>
  </si>
  <si>
    <t>Why Outsiders Like Pollock &amp; Doniger DO NOT Have Adhikara To Translate Hindu Shastra #8</t>
  </si>
  <si>
    <t>https://www.youtube.com/watch?v=az7GJp1YAXw</t>
  </si>
  <si>
    <t>Swami Nithyananda's Vision of a Theme Park Which Will Be a 'Living Presentation' of Vedic Culture #9</t>
  </si>
  <si>
    <t>https://www.youtube.com/watch?v=_zmgXM40afU</t>
  </si>
  <si>
    <t>Angkor Wat Was Built As a Mandala For The Whole Hindu Civilization #10</t>
  </si>
  <si>
    <t>https://www.youtube.com/watch?v=IS6hRiM7WuU</t>
  </si>
  <si>
    <t>Banning of Puja &amp; Rituals Shows ASI's Disregard for Sacredness In Indian Culture #11</t>
  </si>
  <si>
    <t>https://www.youtube.com/watch?v=-c4KLljIDeo</t>
  </si>
  <si>
    <t>Flaws in the Chronology of Western Indologists #12</t>
  </si>
  <si>
    <t>https://www.youtube.com/watch?v=6KN0GnYv6xQ</t>
  </si>
  <si>
    <t>Lack of Shastra Vidya Contributed to the Decline of Pagan Civilizations #13</t>
  </si>
  <si>
    <t>https://www.youtube.com/watch?v=GP0JLpTLOWU</t>
  </si>
  <si>
    <t>Distinction Between a Living Guru and a Deity #14</t>
  </si>
  <si>
    <t>https://www.youtube.com/watch?v=OdRuRzl5pwg</t>
  </si>
  <si>
    <t>Existence of Shiv Avatar Hanuman in Vaishnav Text of Ramayana is Not a Paradox #15</t>
  </si>
  <si>
    <t>https://www.youtube.com/watch?v=ImpfhngYCCA</t>
  </si>
  <si>
    <t>In Conversation with Shri Chamu Krishna Shastry</t>
  </si>
  <si>
    <t>https://www.youtube.com/watch?v=p08RUDejFXs</t>
  </si>
  <si>
    <t>God Particle, Shaktinipat (Quantum Entanglement), Divinity in Matter #17</t>
  </si>
  <si>
    <t>https://www.youtube.com/watch?v=NpCmOPhka6g</t>
  </si>
  <si>
    <t>Difference Between the Spiritual Process of Siddhis and Shaktis #18</t>
  </si>
  <si>
    <t>https://www.youtube.com/watch?v=Iz3TO-dXkSI</t>
  </si>
  <si>
    <t>Journalists are the Furthest Away from Truth and Spirituality #19</t>
  </si>
  <si>
    <t>https://www.youtube.com/watch?v=5Qbkf3waru8</t>
  </si>
  <si>
    <t>Shaktinipat is Beyond the Physics of Space and Time #20</t>
  </si>
  <si>
    <t>https://www.youtube.com/watch?v=0cvq3rbQ7Dw</t>
  </si>
  <si>
    <t>Can Machines Transmit Shakti? #21</t>
  </si>
  <si>
    <t>https://www.youtube.com/watch?v=69M5XJQEYX4</t>
  </si>
  <si>
    <t>"I am Spiritual But Not Religious", Makes NO Sense if a Hindu Says This #22</t>
  </si>
  <si>
    <t>https://www.youtube.com/watch?v=Yb0AWtlb8-g</t>
  </si>
  <si>
    <t>Donations to a Hindu Temple Should Legally be Owned by the Deity ResidingThere. #23</t>
  </si>
  <si>
    <t>https://www.youtube.com/watch?v=1Gop0_4D5pE</t>
  </si>
  <si>
    <t>Swami Nityananda on the "Collective Evolution" Theory of Sri Aurobindo #26</t>
  </si>
  <si>
    <t>https://www.youtube.com/watch?v=-pDxEjRprYM</t>
  </si>
  <si>
    <t>Bionic Humans &amp; Evolution of Consciousness #25</t>
  </si>
  <si>
    <t>https://www.youtube.com/watch?v=1P_XO3xfTCs</t>
  </si>
  <si>
    <t>A Hindu Perspective on the Ethics of GMO, Human Organs Farming, and The Karmic Imprint #24</t>
  </si>
  <si>
    <t>https://www.youtube.com/watch?v=Voaw-uef3Tw</t>
  </si>
  <si>
    <t>Hindu Perspective on Mercy Killing/Euthanasia #16</t>
  </si>
  <si>
    <t>https://www.youtube.com/watch?v=F2WG7neA31s</t>
  </si>
  <si>
    <t>Rajiv's Open Challenge to Neuro-Scientists— "Rishis Do Exist" #27</t>
  </si>
  <si>
    <t>https://www.youtube.com/watch?v=n5lHU4Qyfbk</t>
  </si>
  <si>
    <t>Do Miracle Healings Given by Yogis Hack the Karma Cycle #28</t>
  </si>
  <si>
    <t>https://www.youtube.com/watch?v=mcxquOK_mY8</t>
  </si>
  <si>
    <t>Breaking India: The Strategic Ploy Against Hinduism by Churches, Academics and More</t>
  </si>
  <si>
    <t>https://www.youtube.com/watch?v=9FgUTz996bs</t>
  </si>
  <si>
    <t>Continuing the Guru Parampara: Swami Nithyananda Shares His Mission of Gratitude and Integrity #30</t>
  </si>
  <si>
    <t>https://www.youtube.com/watch?v=DVcN5QXGA_w</t>
  </si>
  <si>
    <t>Be the Heir to Your Own Fortune: Can Billionaires Bank on Financial Security in the Next Life? #29</t>
  </si>
  <si>
    <t>https://www.youtube.com/watch?v=_D2sWZSHDqg&amp;t=834s</t>
  </si>
  <si>
    <t>Interview with a Neo-Jewish Pseudo-Hindu on Hinduized Judaism, Tantric Kabbala, &amp; More</t>
  </si>
  <si>
    <t>https://www.youtube.com/watch?v=7-JbRtATwHQ</t>
  </si>
  <si>
    <t>Being Different: Decolonizing Ourselves by Reversing the Indian Gaze Back at the West</t>
  </si>
  <si>
    <t>https://www.youtube.com/watch?v=N6IDjOR1OY0</t>
  </si>
  <si>
    <t>Indra's Net: Exposing the Western Academics who Attack Hinduism and Challenging their Claims</t>
  </si>
  <si>
    <t>7 months ago</t>
  </si>
  <si>
    <t>https://www.youtube.com/watch?v=mScbp58xwJE</t>
  </si>
  <si>
    <t>Hindu Gurus Accepting Max Mullerian Translations is the Biggest Disadvantage Done to Hinduism #31</t>
  </si>
  <si>
    <t>https://www.youtube.com/watch?v=eQBirhrwc3E</t>
  </si>
  <si>
    <t>Taking the Experience then Dropping the Guru: Why a Jewish Seeker Came &amp; then Left Hinduism</t>
  </si>
  <si>
    <t>https://www.youtube.com/watch?v=qzXGb7RIXmc</t>
  </si>
  <si>
    <t>Why does Swamiji wear so much Gold Jewellery? The reason Gold became precious. #32</t>
  </si>
  <si>
    <t>https://www.youtube.com/watch?v=JjtvU2xQpaQ</t>
  </si>
  <si>
    <t>The Battle for Sanskrit: Setting the Record Straight on our Ancient but Living Language</t>
  </si>
  <si>
    <t>https://www.youtube.com/watch?v=C6sAuCIhIzA</t>
  </si>
  <si>
    <t>Two Kinds of Divine Power, Siddhis and Shaktis, are NOT Occult, Paranormal or Superstition 34</t>
  </si>
  <si>
    <t>https://www.youtube.com/watch?v=strZVEaixcs</t>
  </si>
  <si>
    <t>Book on Major Gurus, Lost Parampara, Shiva's Trishul Denigrated as Symbol of The Devil #33</t>
  </si>
  <si>
    <t>https://www.youtube.com/watch?v=Ih4StVOa0Qs</t>
  </si>
  <si>
    <t>Indian Anti-Superstition Laws are Anti-Hindu &amp; Are Based on Western Idea of Superstition #35</t>
  </si>
  <si>
    <t>https://www.youtube.com/watch?v=LIl0C87tzGE</t>
  </si>
  <si>
    <t>Vajpayee Govt Took the Unfortunate Decision of Converting Ma Ganga Into a Lake #36</t>
  </si>
  <si>
    <t>https://www.youtube.com/watch?v=sZGlmV--sG4</t>
  </si>
  <si>
    <t>Rajiv Malhotra's Talk at S-Vyasa University, Bengaluru</t>
  </si>
  <si>
    <t>https://www.youtube.com/watch?v=MAt3aD51sUM</t>
  </si>
  <si>
    <t>Ram Leela is a Living Representation of "The Hindu Grand Narrative". # 37</t>
  </si>
  <si>
    <t>https://www.youtube.com/watch?v=EXkq2inhXiw</t>
  </si>
  <si>
    <t>Criticism on Interviewing Swami Nityananda, Rajiv Responds #38</t>
  </si>
  <si>
    <t>https://www.youtube.com/watch?v=XfaMChybaCc</t>
  </si>
  <si>
    <t>Academic Hinduphobia: Challenging Media and Western Academics who Blatantly Abuse Hinduism</t>
  </si>
  <si>
    <t>https://www.youtube.com/watch?v=D559dD7btfo</t>
  </si>
  <si>
    <t>All Civilizations, Traditions, Paths Are NOT The Same #1</t>
  </si>
  <si>
    <t>6 months ago</t>
  </si>
  <si>
    <t>https://www.youtube.com/watch?v=kvEIBfEnwXM</t>
  </si>
  <si>
    <t>Swadeshi Indology Conference 2 — Inaugural Session</t>
  </si>
  <si>
    <t>https://www.youtube.com/watch?v=lkDfIrZy2VY</t>
  </si>
  <si>
    <t>Swadeshi Indology Conference 2 — Closing Session</t>
  </si>
  <si>
    <t>https://www.youtube.com/watch?v=vB9JqlUiYUk</t>
  </si>
  <si>
    <t>Hindu Students Council &amp; Rajiv Malhotra Discuss CNN's Latest Hinduphobia</t>
  </si>
  <si>
    <t>https://www.youtube.com/watch?v=vzoIHUTieE0</t>
  </si>
  <si>
    <t>"Idea of Bharatiya Exceptionalism" — Idea of Bharat International Conference</t>
  </si>
  <si>
    <t>5 months ago</t>
  </si>
  <si>
    <t>https://www.youtube.com/watch?v=eKSuEJqn2NI</t>
  </si>
  <si>
    <t>Jewish-Hindu Difference on Nature of Reincarnation #2</t>
  </si>
  <si>
    <t>https://www.youtube.com/watch?v=1UnsEQPK3PQ</t>
  </si>
  <si>
    <t>Global Perceptions of Indian Heritage - SI Conference 2- Inaugural Session</t>
  </si>
  <si>
    <t>https://www.youtube.com/watch?v=bD-uUsBgY-w</t>
  </si>
  <si>
    <t>Global Perceptions of Indian Heritage - SI Conference 2- Closing Session</t>
  </si>
  <si>
    <t>https://www.youtube.com/watch?v=Lrh5zQHEIk4</t>
  </si>
  <si>
    <t>Monograph 1: Pollock's Three Dimensional Philology</t>
  </si>
  <si>
    <t>https://www.youtube.com/watch?v=edQr4IJQuEg</t>
  </si>
  <si>
    <t>Monograph 2: Politics of Sanskrit Studies</t>
  </si>
  <si>
    <t>https://www.youtube.com/watch?v=RJSsEA6fpJE</t>
  </si>
  <si>
    <t>Purva Paksa of Pollock's use of Chronology - Megh K &amp; Manogna S</t>
  </si>
  <si>
    <t>https://www.youtube.com/watch?v=BlNY-1vmqvA</t>
  </si>
  <si>
    <t>Critique of &amp; Rebuttal to Pollock's Dating for Epics - Nilesh Oak</t>
  </si>
  <si>
    <t>https://www.youtube.com/watch?v=_CKZQa18hcY</t>
  </si>
  <si>
    <t>Mimamsa Critique of Pollock's History Theory - Dr S. Tilak</t>
  </si>
  <si>
    <t>https://www.youtube.com/watch?v=iwaHs0-q9l8</t>
  </si>
  <si>
    <t>The Science of Meaning - Sudarshan Therani</t>
  </si>
  <si>
    <t>https://www.youtube.com/watch?v=lkO1JaN7BoQ</t>
  </si>
  <si>
    <t>Gaṇita Śāstra &amp; Western Mathematics - S Mukhopadhayay</t>
  </si>
  <si>
    <t>https://www.youtube.com/watch?v=vaRCmUwpmNk</t>
  </si>
  <si>
    <t>Are Sanskrit Grammar &amp; Royal Power Related - Sowmya K</t>
  </si>
  <si>
    <t>https://www.youtube.com/watch?v=qY_yQIrKwRk</t>
  </si>
  <si>
    <t>Examination of Pollock's "Project SKSEC" - Manjushree Hegde</t>
  </si>
  <si>
    <t>https://www.youtube.com/watch?v=4ZkNnR--tMY</t>
  </si>
  <si>
    <t>A Computational Theory for Rasa - Prof K Gopinath</t>
  </si>
  <si>
    <t>https://www.youtube.com/watch?v=Fb11XAvWeyE</t>
  </si>
  <si>
    <t>Pollock's Influence on Contemporary Discourse- Discussion between Sonal Mansingh and Rajiv Malhotra</t>
  </si>
  <si>
    <t>https://www.youtube.com/watch?v=xAicQnL_abA</t>
  </si>
  <si>
    <t>Why Traditional Scholars Should Take Pollock Seriously - Rajiv Malhotra Explains</t>
  </si>
  <si>
    <t>https://www.youtube.com/watch?v=kcbL1wC9PEg</t>
  </si>
  <si>
    <t>Sheldon Pollock's Prashastis For His Funding Sources</t>
  </si>
  <si>
    <t>https://www.youtube.com/watch?v=qqDl6coS7wg</t>
  </si>
  <si>
    <t>Rajiv Malhotra Darshan with Puri Shankaracharya to discuss common interests</t>
  </si>
  <si>
    <t>https://www.youtube.com/watch?v=0RYS6V76lRQ</t>
  </si>
  <si>
    <t>Decolonizing the Indian Civil Services: Rajiv Malhotra</t>
  </si>
  <si>
    <t>https://www.youtube.com/watch?v=gtJ9OzJIB_c</t>
  </si>
  <si>
    <t>R Nagaswamy's Plenary Talk at Swadeshi Indology Conf 2</t>
  </si>
  <si>
    <t>https://www.youtube.com/watch?v=7AYmPqY5iF4</t>
  </si>
  <si>
    <t>Lets Debate the Politics of Social Sciences</t>
  </si>
  <si>
    <t>https://www.youtube.com/watch?v=4iGdwJ3nQcs&amp;t=38s</t>
  </si>
  <si>
    <t>Kashmir Violence and the Legal Hounding of Madhu Kishwar</t>
  </si>
  <si>
    <t>https://www.youtube.com/watch?v=_xxJKDZyRuE</t>
  </si>
  <si>
    <t>Keynote Speech by Rajiv Malhotra: "Hindu Contributions to Humanity"</t>
  </si>
  <si>
    <t>https://www.youtube.com/watch?v=vhlPSbFlxPI</t>
  </si>
  <si>
    <t>Rajiv Malhotra Invites Hindus To Send Queries About Hinduism</t>
  </si>
  <si>
    <t>Namste YP: I am not able to take your records for reporting purpose.</t>
  </si>
  <si>
    <t>https://www.youtube.com/watch?v=MC9pK4dCHAs</t>
  </si>
  <si>
    <t>Natyasastra to Bollywood: Rasa, an eternal experience - Charu Uppal</t>
  </si>
  <si>
    <t>https://www.youtube.com/watch?v=g8GW7DlPr4g</t>
  </si>
  <si>
    <t>The Science of the Sacred - Sudarshan Therani</t>
  </si>
  <si>
    <t>https://www.youtube.com/watch?v=lQph5joRdU8</t>
  </si>
  <si>
    <t>Sheldon Pollock &amp; Desacralization of Sanskrit - Megh K and Manogna S</t>
  </si>
  <si>
    <t>https://www.youtube.com/watch?v=DMReaVWJGFE</t>
  </si>
  <si>
    <t>Pollock's views on Rasa: A Critique - Karthik S Joshi</t>
  </si>
  <si>
    <t>https://www.youtube.com/watch?v=Zused4CGMw4</t>
  </si>
  <si>
    <t>Sanskrit is not dead - Satyanarayana Dasa</t>
  </si>
  <si>
    <t>https://www.youtube.com/watch?v=KCUZ6hBgxc0</t>
  </si>
  <si>
    <t>Pollock's "From Rasa Seen to Rasa Heard": A Critique - Sreejit Datta</t>
  </si>
  <si>
    <t>https://www.youtube.com/watch?v=k0FNC9LuJoo&amp;t=4s</t>
  </si>
  <si>
    <t>The Buddha Versus Sheldon Pollock — Dr. Koenraad Elst</t>
  </si>
  <si>
    <t>https://www.youtube.com/watch?v=DBYSIkWsAOI</t>
  </si>
  <si>
    <t>Remarks From Chair: Session on Misc Themes - Shashi Tiwari</t>
  </si>
  <si>
    <t>https://www.youtube.com/watch?v=VKbVHIgKbbo</t>
  </si>
  <si>
    <t>Remarks From Chair: Session on Sastra &amp; Misc Theme — Dr. Aravinda Rao</t>
  </si>
  <si>
    <t>https://www.youtube.com/watch?v=uaTb9-4kT2Y</t>
  </si>
  <si>
    <t>Hinduism and Buddhism: Convergent or Divergent - Rajath V</t>
  </si>
  <si>
    <t>https://www.youtube.com/watch?v=wKoUB00RmE0</t>
  </si>
  <si>
    <t>The Science &amp; Nescience of Mimamsa - Sudarshan Therani</t>
  </si>
  <si>
    <t>Rishis Discovered Velocity of Light</t>
  </si>
  <si>
    <t>https://www.youtube.com/watch?v=sI2xSENomQY</t>
  </si>
  <si>
    <t>Pollock's 'Irresponsible' Vs Valmiki's 'Plausible' Ramayana - Animesh Aaryan</t>
  </si>
  <si>
    <t>4.10.17</t>
  </si>
  <si>
    <t>Clip in Hindi</t>
  </si>
  <si>
    <t>https://www.youtube.com/watch?v=inDcB8LwlqI</t>
  </si>
  <si>
    <t>Sastra of Science &amp; Science of Sastras - Madhu &amp; Sudarshan Therani</t>
  </si>
  <si>
    <t>Invention on Steel &amp; Distillation of Zinc in Ancient India</t>
  </si>
  <si>
    <t>India, a major player in World Economy till 1850</t>
  </si>
  <si>
    <t>India, in context of America</t>
  </si>
  <si>
    <t>https://www.youtube.com/watch?v=1wYg5d-4aVg</t>
  </si>
  <si>
    <t>Rejoinder to Rasa Reader: An Insider View - Sharda Narayanan</t>
  </si>
  <si>
    <t>Indian influences in Middle East</t>
  </si>
  <si>
    <t>Doctorine of Christian Discovery/ Fatwas by Vatican</t>
  </si>
  <si>
    <t>9.10.17</t>
  </si>
  <si>
    <t>Accelerated Learning/CIA &amp; Russians Studied Yogis</t>
  </si>
  <si>
    <t>https://www.youtube.com/watch?v=oLCI7vQ7WFk</t>
  </si>
  <si>
    <t>Remarks From Chair: Session on Rasa - Dr Pappu Venugopala Rao</t>
  </si>
  <si>
    <t>Nano technology in Ayurveda</t>
  </si>
  <si>
    <t>for later - https://www.youtube.com/watch?v=wAMhL7aBZ5I</t>
  </si>
  <si>
    <t>https://www.youtube.com/watch?v=Owv0FewW5Bo</t>
  </si>
  <si>
    <t>Commonalities in Hindu &amp; Buddhist Meta Framework - Ravi Joshi</t>
  </si>
  <si>
    <t>https://www.youtube.com/watch?v=ZyApm_PJ-W8&amp;t=65s</t>
  </si>
  <si>
    <t>India’s (Unacknowledged) Contributions to Mind Sciences: Rajiv Malhotra</t>
  </si>
  <si>
    <t>https://www.youtube.com/watch?v=3ytmTvor21A</t>
  </si>
  <si>
    <t>Impressions of Swadeshi Indology Conference 2 - Dr. Sonal Mansingh</t>
  </si>
  <si>
    <t>https://www.youtube.com/watch?v=tPgOVeqnOcc</t>
  </si>
  <si>
    <t>Remarks from chair - Session 2 on Rasa - Prof. K Gopinath</t>
  </si>
  <si>
    <t>Vivekananda created an institutionalized impact</t>
  </si>
  <si>
    <t>3.10.17</t>
  </si>
  <si>
    <t>https://www.youtube.com/watch?v=sEg8fP2ckhI</t>
  </si>
  <si>
    <t>Plenary Session 3: Dr. Pappu Venugopala Rao</t>
  </si>
  <si>
    <t>Sri Aurbindo's impact on Human evolution movement</t>
  </si>
  <si>
    <t>Maharishi Mahesh Yogi introduced medition to the USA</t>
  </si>
  <si>
    <t>Stephen LaBerge's Digestion of Yoga Needra</t>
  </si>
  <si>
    <t>https://www.youtube.com/watch?v=tmCFtpj6IZc</t>
  </si>
  <si>
    <t>Plenary Session 2 - Dr Meenakshi Jain</t>
  </si>
  <si>
    <t>https://www.youtube.com/watch?v=SPD35eCSgDk</t>
  </si>
  <si>
    <t>In Conversation with Vivek Agnihotri, A Patriotic Filmmaker</t>
  </si>
  <si>
    <t>https://www.youtube.com/watch?v=Ul-faWS75vA</t>
  </si>
  <si>
    <t>Pollock’s Hypothesis on “Othering” is unscientific - Murali KV</t>
  </si>
  <si>
    <t>https://www.youtube.com/watch?v=rP79c8rd-jE</t>
  </si>
  <si>
    <t>Upanishads and Buddha's Teachings - Sunil M V</t>
  </si>
  <si>
    <t>xyz</t>
  </si>
  <si>
    <t>abc</t>
  </si>
  <si>
    <t>good</t>
  </si>
  <si>
    <t>yes</t>
  </si>
  <si>
    <t>https://www.youtube.com/watch?v=OmWUkxANoEk</t>
  </si>
  <si>
    <t>Mimamsa and the Problem of History in Traditional India - Ananth Sethuraman</t>
  </si>
  <si>
    <t>https://www.youtube.com/watch?v=5IYA6g6rNW0</t>
  </si>
  <si>
    <t>Rasa one step below Brahman - Dr. R Ganesh</t>
  </si>
  <si>
    <t>Namste ND: I am not able to take your records for reporting purpose.</t>
  </si>
  <si>
    <t>https://www.youtube.com/watch?v=zEXu5K5eyCY</t>
  </si>
  <si>
    <t>Rasa theory - Dr. Nagaswamy</t>
  </si>
  <si>
    <t>https://www.youtube.com/watch?v=s9g49kgd9ao</t>
  </si>
  <si>
    <t>Change and growth of Rasa Theory - Naresh Cuntoor</t>
  </si>
  <si>
    <t>https://www.youtube.com/watch?v=7IXp156RgtQ</t>
  </si>
  <si>
    <t>Mimamsa and Ahistoricism - Prof. K S Kannan</t>
  </si>
  <si>
    <t>https://www.youtube.com/watch?v=1CJb6PuWDqk</t>
  </si>
  <si>
    <t>Remarks From Chair - Session on Chronology and Buddhism_Dr Nagaswamy</t>
  </si>
  <si>
    <t>https://www.youtube.com/watch?v=3Pat7agSMJU&amp;t=22s</t>
  </si>
  <si>
    <t>Brahmanism, Buddhism and Mimamsa - Sharda Narayanan</t>
  </si>
  <si>
    <t>https://www.youtube.com/watch?v=lyiuoR-2E6I</t>
  </si>
  <si>
    <t>Examining Pollock's "Sanskrit Cosmopolis" - Arvind Prasad</t>
  </si>
  <si>
    <t>https://www.youtube.com/watch?v=h4ZgKKlmUl0&amp;t=481s</t>
  </si>
  <si>
    <t>Conflict Between Buddhism &amp; Hinduism - Dr. R Nagaswamy</t>
  </si>
  <si>
    <t>https://www.youtube.com/watch?v=8gCMYZ-alVw</t>
  </si>
  <si>
    <t>Pollock's Philology: Mixing Ramayana and Political Imagination - Ishani Dutta</t>
  </si>
  <si>
    <t>https://www.youtube.com/watch?v=aPfBxS4huSc</t>
  </si>
  <si>
    <t>Remarks from Chair - Session on Mimamsa &amp; some Misc topics - Dr. Koenraad Elst</t>
  </si>
  <si>
    <t>https://www.youtube.com/watch?v=HQK8u4lh7y0</t>
  </si>
  <si>
    <t>Remarks from chair - Session on Philology - Dr. Korada Subrahmanyam</t>
  </si>
  <si>
    <t>https://www.youtube.com/watch?v=qIQN0DtO2Z8</t>
  </si>
  <si>
    <t>Remarks from chair - Session on Buddhism - Dr. Amarjiva Lochan</t>
  </si>
  <si>
    <t>https://www.youtube.com/watch?v=JlEmX46IYNY</t>
  </si>
  <si>
    <t>This video is duplicate load in YouTube so dropped</t>
  </si>
  <si>
    <t>KS</t>
  </si>
  <si>
    <t>https://www.youtube.com/watch?v=sy6xQyjX7qg</t>
  </si>
  <si>
    <t>Discussion with Suzin Green, a Kali Worshipper &amp; Yoga-based Life Coach</t>
  </si>
  <si>
    <t>2 months ago</t>
  </si>
  <si>
    <t>https://www.youtube.com/watch?v=s4vjcCAXvVI</t>
  </si>
  <si>
    <t>Discussion with General GD Bakshi: "Bold Proposals on India's Security Dilemmas"</t>
  </si>
  <si>
    <t>https://www.youtube.com/watch?v=wfQX8QWcWgI</t>
  </si>
  <si>
    <t>Swami Vigyananand (Chairman of World Hindu Foundation) In Conversation with Rajiv Malhotra</t>
  </si>
  <si>
    <t>https://www.youtube.com/watch?v=Bx9ffGtMMxo</t>
  </si>
  <si>
    <t>Meet the Real Hero Behind Demonetization</t>
  </si>
  <si>
    <t>https://www.youtube.com/watch?v=DL5cLBZou3I</t>
  </si>
  <si>
    <t>Sushil Pandit, Well-Known Kashmir Activist In Conversation with Rajiv Malhotra</t>
  </si>
  <si>
    <t>https://www.youtube.com/watch?v=dvcJI5yAd6M&amp;t=122s</t>
  </si>
  <si>
    <t>Persecution of Hindu Gurus Who Challenge Hinduphobia</t>
  </si>
  <si>
    <t>2 weeks ago</t>
  </si>
  <si>
    <t>1 week ago</t>
  </si>
  <si>
    <t>Namste KS: I am not able to take your records for reporting purpose.</t>
  </si>
  <si>
    <t>Namste HM: I am not able to take your records for reporting purpose.</t>
  </si>
  <si>
    <t>Video Duration</t>
  </si>
  <si>
    <t>Namste TP: I am not able to take your records for reporting purpose.</t>
  </si>
  <si>
    <t>Majority feels prosecuted. Minority has privileges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t>
  </si>
  <si>
    <t>AV Quality</t>
  </si>
  <si>
    <t>Content Editor</t>
  </si>
  <si>
    <t>Video Editor</t>
  </si>
  <si>
    <t>Three international nexuses 1- Bahabism vs Indian Islam, 2- China &amp; Maoism 3-Dalit &amp; Christianity are discussed. Dravidian Christianity is also discussed. How can we be model of diversity is being discussed.</t>
  </si>
  <si>
    <t>HT- Hari Thapliyal</t>
  </si>
  <si>
    <t>BM</t>
  </si>
  <si>
    <t>BM- Bryan Maiorana</t>
  </si>
  <si>
    <t>WIP-Video</t>
  </si>
  <si>
    <t>JB- Jayanthi Badrinath</t>
  </si>
  <si>
    <t>ND- Navneet Dronamraju</t>
  </si>
  <si>
    <t>RS- Rajshree KT</t>
  </si>
  <si>
    <t>YP-Yagnesh Patel</t>
  </si>
  <si>
    <t>Done-Video</t>
  </si>
  <si>
    <t>KS-Kumar Sambhu</t>
  </si>
  <si>
    <t>Re-record</t>
  </si>
  <si>
    <t>US-Udit Shah</t>
  </si>
  <si>
    <t>HM-Hiten Makwana</t>
  </si>
  <si>
    <t>Uploaded in YT</t>
  </si>
  <si>
    <t>MS - Mahesh Srigiriraju</t>
  </si>
  <si>
    <t>Title required in English/Hindi for Tamil testimony. Must play again and again.</t>
  </si>
  <si>
    <t>TP</t>
  </si>
  <si>
    <t>TP- Tanmay Patil</t>
  </si>
  <si>
    <t>RS</t>
  </si>
  <si>
    <t>RS-Ravi  Sambhara</t>
  </si>
  <si>
    <t>AA - Abhijit Adhikari</t>
  </si>
  <si>
    <t>HK</t>
  </si>
  <si>
    <t>HK-Hari Kavuri</t>
  </si>
  <si>
    <t>SS</t>
  </si>
  <si>
    <t>SS-Sandeep Somani</t>
  </si>
  <si>
    <t>Good Quality, Less Viewed or Upload Long back can be replayed when new content cannot be created</t>
  </si>
  <si>
    <t>Wherever Descriptionis empty, it can be copied from Clip Title</t>
  </si>
  <si>
    <t>Why "Breaking India" book criticizes Dravidian Movement?</t>
  </si>
  <si>
    <t>Dravidian movement is racist idea of social reforms and does not deliver justice to the all section of society.</t>
  </si>
  <si>
    <t>Course Name</t>
  </si>
  <si>
    <t>Course Design Owner</t>
  </si>
  <si>
    <t>Purva Paksha - An Introduction</t>
  </si>
  <si>
    <t>Insiders vs Outsiders - An Introduction</t>
  </si>
  <si>
    <t>Intellectual Kurukshetra - An Introduction</t>
  </si>
  <si>
    <t>Swadeshi Indology - An Introduction</t>
  </si>
  <si>
    <t>Hinduphobia</t>
  </si>
  <si>
    <t>India’s Grand Narrative</t>
  </si>
  <si>
    <t>Digestion - A New Definition</t>
  </si>
  <si>
    <t>U-Turn Theory</t>
  </si>
  <si>
    <t>Purva Paksha (Part II)</t>
  </si>
  <si>
    <t>Insider vs Outsider (Part II)</t>
  </si>
  <si>
    <t>Intellectual Kurukshetra (Part II)</t>
  </si>
  <si>
    <t>Swadeshi Indology (Part II)</t>
  </si>
  <si>
    <t>Digestion (Part II)</t>
  </si>
  <si>
    <t>Insiders vs Outsider (Part III)</t>
  </si>
  <si>
    <t>Keywords</t>
  </si>
  <si>
    <t>Parent Keyword</t>
  </si>
  <si>
    <t>Adhyatma Vidya</t>
  </si>
  <si>
    <t>Atrocity Literature</t>
  </si>
  <si>
    <t>Breaking India forces</t>
  </si>
  <si>
    <t>Christian Yoga</t>
  </si>
  <si>
    <t>De-Colonization</t>
  </si>
  <si>
    <t>Difference Anxiety</t>
  </si>
  <si>
    <t>Digestion</t>
  </si>
  <si>
    <t>Embodied Knowing</t>
  </si>
  <si>
    <t>Forest Civilization &amp; Desert Civilization</t>
  </si>
  <si>
    <t>Good Cops &amp; Bad Cops</t>
  </si>
  <si>
    <t>History-centrism</t>
  </si>
  <si>
    <t>Home Team</t>
  </si>
  <si>
    <t>Inculturation</t>
  </si>
  <si>
    <t>Indian Grand Narrative</t>
  </si>
  <si>
    <t>Indra’s Net</t>
  </si>
  <si>
    <t>Insiders &amp; Outsiders</t>
  </si>
  <si>
    <t>Integral Unity &amp; Synthetic Unity</t>
  </si>
  <si>
    <t>Intellectual kshatriyas</t>
  </si>
  <si>
    <t>Kurukshetra</t>
  </si>
  <si>
    <t>Moron Smriti</t>
  </si>
  <si>
    <t>Mutual Respect</t>
  </si>
  <si>
    <t>Non-Translatables</t>
  </si>
  <si>
    <t>Open Architecture</t>
  </si>
  <si>
    <t>Our Yajna</t>
  </si>
  <si>
    <t>Poison Pills</t>
  </si>
  <si>
    <t>Purva-paksha</t>
  </si>
  <si>
    <t>Reversing the Gaze</t>
  </si>
  <si>
    <t>Sameness</t>
  </si>
  <si>
    <t>Sepoys</t>
  </si>
  <si>
    <t>Svadharma</t>
  </si>
  <si>
    <t>Swadeshi Indology &amp; Videshi Indology</t>
  </si>
  <si>
    <t>U-turn</t>
  </si>
  <si>
    <t>Wendy’s Children</t>
  </si>
  <si>
    <t>Western Universalism</t>
  </si>
  <si>
    <t>New Entries- To be reviewed by Rajivji</t>
  </si>
  <si>
    <t>Caste Cow and Curry</t>
  </si>
  <si>
    <t>Sapeksha dharma</t>
  </si>
  <si>
    <t>Sanskrit non-translatable</t>
  </si>
  <si>
    <t>Order vs Chaos</t>
  </si>
  <si>
    <t>Civilization kurukshetra</t>
  </si>
  <si>
    <t>Rishi potential</t>
  </si>
  <si>
    <t>Neo Hinduism</t>
  </si>
  <si>
    <t>Charvaka 2.0</t>
  </si>
  <si>
    <t>American Orientalism</t>
  </si>
  <si>
    <t>Transactional Hinduism</t>
  </si>
  <si>
    <t>Hindu Good News</t>
  </si>
  <si>
    <t>Media Mafia</t>
  </si>
  <si>
    <t>Porcupine Defense</t>
  </si>
  <si>
    <t>Afro-Dravidian-Dalit Movement</t>
  </si>
  <si>
    <t>Hijacking of Sanskrit</t>
  </si>
  <si>
    <t>Secularization of Sanskrit</t>
  </si>
  <si>
    <t>Politicizing Indian Literature</t>
  </si>
  <si>
    <t>Politicizing History of Sanskrit</t>
  </si>
  <si>
    <t>Ramayan as atrocity literature</t>
  </si>
  <si>
    <t>Sanskrit is dead</t>
  </si>
  <si>
    <t>Political/liberation philology</t>
  </si>
  <si>
    <t>Uttar Paksha</t>
  </si>
  <si>
    <t>Dravidian Christianity</t>
  </si>
  <si>
    <t>Aryan Race invention</t>
  </si>
  <si>
    <t>Dravidian Race Invention</t>
  </si>
  <si>
    <t>Imperial Evangelism</t>
  </si>
  <si>
    <t>Jati/Varna as Race</t>
  </si>
  <si>
    <t>Feeding the crocodiles</t>
  </si>
  <si>
    <t>Yoga- Freedom from History</t>
  </si>
  <si>
    <t>Intellectually colonized</t>
  </si>
  <si>
    <t>Dharma vs Religion</t>
  </si>
  <si>
    <t>Exclusivity of Abrahmic Faiths</t>
  </si>
  <si>
    <t>appropriation</t>
  </si>
  <si>
    <t>Clash of Civilization</t>
  </si>
  <si>
    <t>Project Name</t>
  </si>
  <si>
    <t>Develop Educational Video Clips of RM Video Work</t>
  </si>
  <si>
    <t>Project Code</t>
  </si>
  <si>
    <t>DEVC-RMVW</t>
  </si>
  <si>
    <t>Project Manager</t>
  </si>
  <si>
    <t>Mr. Hari Thapliyal</t>
  </si>
  <si>
    <t>Project Sponsor</t>
  </si>
  <si>
    <t>Mr. Rajiv Malhotra</t>
  </si>
  <si>
    <t>Team Members</t>
  </si>
  <si>
    <t>Name</t>
  </si>
  <si>
    <t>Location</t>
  </si>
  <si>
    <t>Email</t>
  </si>
  <si>
    <t>Phone</t>
  </si>
  <si>
    <t>Project Skills</t>
  </si>
  <si>
    <t>Bangalore</t>
  </si>
  <si>
    <t>hari.prasad@vedavit-ps.com</t>
  </si>
  <si>
    <t>(+91) 9535999336</t>
  </si>
  <si>
    <t>Video clipping</t>
  </si>
  <si>
    <t>jayanthib@gmail.com</t>
  </si>
  <si>
    <t>(+91) 99452 43966​⁠​</t>
  </si>
  <si>
    <t>SP- Shalini Puthiyedam</t>
  </si>
  <si>
    <t>puthiyedam.shalini@gmail.com</t>
  </si>
  <si>
    <t>(+91) 95661 07755</t>
  </si>
  <si>
    <t>RKT- Rajshree KT</t>
  </si>
  <si>
    <t>Hyderabad</t>
  </si>
  <si>
    <t>Rajshree.kt@gmail.com</t>
  </si>
  <si>
    <t>(+91) 99592 09000</t>
  </si>
  <si>
    <t>BM-Bryan Maiorana</t>
  </si>
  <si>
    <t>New Jersey</t>
  </si>
  <si>
    <t>bryanm.infinity@gmail.com</t>
  </si>
  <si>
    <t>(+1) (609) 475-2399</t>
  </si>
  <si>
    <t>Creating physical clip, video making</t>
  </si>
  <si>
    <t>yptel27@gmail.com</t>
  </si>
  <si>
    <t>(+1) 847 691 1497</t>
  </si>
  <si>
    <t>Moodle Support, Video Editing</t>
  </si>
  <si>
    <t>ND-Navneet Dronamraju</t>
  </si>
  <si>
    <t>23.navneet@gmail.com</t>
  </si>
  <si>
    <t>Toronto</t>
  </si>
  <si>
    <t>vksambhu@gmail.com</t>
  </si>
  <si>
    <t>(+1) (647) 894-0614</t>
  </si>
  <si>
    <t>udit56@gmail.com</t>
  </si>
  <si>
    <t>Video Editing</t>
  </si>
  <si>
    <t>hiten.makwana@gmail.com</t>
  </si>
  <si>
    <t>(+1) 609 577 5575</t>
  </si>
  <si>
    <t>Lafayette, LA</t>
  </si>
  <si>
    <t>mahesh.srigiriraju@gmail.com</t>
  </si>
  <si>
    <t>(+1) 347 583 7349</t>
  </si>
  <si>
    <t>AA-Abhijit Adhikari</t>
  </si>
  <si>
    <t>WDC, US</t>
  </si>
  <si>
    <t>abhi0624@gmail.com</t>
  </si>
  <si>
    <t>Video Clipping, Critical Thinking</t>
  </si>
  <si>
    <t>TP-Tanmay Patil</t>
  </si>
  <si>
    <t>Mumbai</t>
  </si>
  <si>
    <t>tnmptl@gmail.com</t>
  </si>
  <si>
    <t>(+91) 9769630575</t>
  </si>
  <si>
    <t>Video clipping, Video Editing</t>
  </si>
  <si>
    <t>sravi18@gmail.com</t>
  </si>
  <si>
    <t>Moodle Support</t>
  </si>
  <si>
    <t>help MS and US to review their work</t>
  </si>
  <si>
    <t xml:space="preserve">	ssomani@gmail.com</t>
  </si>
  <si>
    <t>(+1) 516 710 6884</t>
  </si>
  <si>
    <t>St. Luis</t>
  </si>
  <si>
    <t>hkavuri@gmail.com</t>
  </si>
  <si>
    <t>(+1) 8652246035</t>
  </si>
  <si>
    <t>Shravan</t>
  </si>
  <si>
    <t>Resource Required</t>
  </si>
  <si>
    <t>Social media marketing</t>
  </si>
  <si>
    <t>Objective</t>
  </si>
  <si>
    <t>To create a knowledge base (KB) of education videos from already existing YouTube videos of RM Channel</t>
  </si>
  <si>
    <t>Share these videos on RM Facebook &amp; RM Twitter account</t>
  </si>
  <si>
    <t>High Level Plan</t>
  </si>
  <si>
    <t>Create a list of all the videos.</t>
  </si>
  <si>
    <t>Assign these videos between team members to watch and extract knowledge. Knowledge may be in the QA or just an assertion in some video. We call this each knowledge unit a Topic</t>
  </si>
  <si>
    <t>Mark the start and end time for each topic. This is called clip</t>
  </si>
  <si>
    <t>Establish a Topic heading and topic description for each clip</t>
  </si>
  <si>
    <t>If audio/video quality is not good but content is good then we need to mark the video as "Recreate" from raw video</t>
  </si>
  <si>
    <t>If audio/video quality is not good but content is good and AV cannot be improved from raw video then mark it to "Re-Record"</t>
  </si>
  <si>
    <t>If audio/video quality is good but content is not ok then mark the video as not suitable for knowledge base</t>
  </si>
  <si>
    <t>If audio/video quality is good, content is good but video size is long then clip the video into multiple clips</t>
  </si>
  <si>
    <t>if audio/video quality is good, content is good, video size is appropriate but Heading or Description is not appropriate then write new heading and description</t>
  </si>
  <si>
    <t>If content is good and audio/video cannot be improved then market the clip as logical clip. And re-record the clip with the help of RM</t>
  </si>
  <si>
    <t>If content is not good then Ignore working on this video and mark it as not suitable for Knowledge Base</t>
  </si>
  <si>
    <t>Each topic need to have a clearly defined topic heading for the SEO &amp; Knowledge repository purpose</t>
  </si>
  <si>
    <t>Project Related Definition</t>
  </si>
  <si>
    <t>Theme: Big Idea. Like Breaking India, Being Different.</t>
  </si>
  <si>
    <t>Chapter : Medium size idea. Like Dravidian Christian, Open Architecture, Cultural Digestion.</t>
  </si>
  <si>
    <t>Topic : It is complete unit of knowledge in itself. Without depending on any other knowledge unit. Every clip will have a topic. Every topic will be recognized by its heading.</t>
  </si>
  <si>
    <t>Heading : 2-10 words long. It works as a seed for SEO &amp; SEM.</t>
  </si>
  <si>
    <t>Master List : List of All RM Videos which has unique number identified for each video.</t>
  </si>
  <si>
    <t>Workbook: For every major task there should be separate excel "workbook".</t>
  </si>
  <si>
    <t>Workbook must have minimum 3 worksheets. One "Work Process" Two- "Work Status" Three-"Charter"</t>
  </si>
  <si>
    <t>"Work Status" is based on master list.</t>
  </si>
  <si>
    <t>Each column in the "Work Status" worksheet represent the attribute of that task and its status.</t>
  </si>
  <si>
    <t>Work Process: The process of that Task must be clearly defined in this sheet.</t>
  </si>
  <si>
    <t>Charter: The purpose of the task need to be defined in a specific format.</t>
  </si>
  <si>
    <t>Start Date</t>
  </si>
  <si>
    <t>Finish Date</t>
  </si>
  <si>
    <t>Analyse how Hindu Sampradya, Parampara, Family system, festivals are being viewed, misinterpreted and appropriated by west</t>
  </si>
  <si>
    <t>Aryan-Dravidian Divide -&gt; Dalit-non-Dalit Divide, Majority-minority divide =&gt; Hindu vs Dravidian + Dalit divide in society</t>
  </si>
  <si>
    <t>Who is responsible for assaulting indian culture</t>
  </si>
  <si>
    <t>Yagya is not equal to sacrifice</t>
  </si>
  <si>
    <t>Replace this with video of better quality.</t>
  </si>
  <si>
    <t>The Hindu view point present at the table</t>
  </si>
  <si>
    <t>Why is the Indian civilzation under-represented in the cross-fertilization of civilization discussions?</t>
  </si>
  <si>
    <t>By using the Purva Paksha method or studying the other view, it is possible to arrive at the commonalites within the Indic tradition and develop an Indic voice. It will help show what is different and non-digestible about the Indian civilization.</t>
  </si>
  <si>
    <t>Being digested results in adopting the Western way of thinking for everything. Western countires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t>
  </si>
  <si>
    <t>Harvard Medical School- Discoveries in the science of Meditation</t>
  </si>
  <si>
    <t>Famous as the originator of Stress Management in the West. Author of Best Seller book Emotional Intelligence</t>
  </si>
  <si>
    <t xml:space="preserve">Reverse Heart Disease Cardiac Treatment Experimenter
</t>
  </si>
  <si>
    <t xml:space="preserve">Founder of Mindful Mediation. Which is originally Vipassana
</t>
  </si>
  <si>
    <t>Prominent Professor of Cognitive Sciences At Stanford University. Yoga Nidra, Lucid Dreaming experiment.</t>
  </si>
  <si>
    <t>Roberto Assagioli - Contemporary of Freud and the founder of psycho-synthesis. Transpersonal Psychology</t>
  </si>
  <si>
    <t>Introduction: Where is India in the Eagle's Eyes?</t>
  </si>
  <si>
    <t>History of America's Manifest Destiny</t>
  </si>
  <si>
    <t xml:space="preserve">Rajiv Malhotra takes us through the journey  of how "Manifest Destiny" became America's powerful mantra. </t>
  </si>
  <si>
    <t>Fragmentation Example: The Afro-Dalit Project</t>
  </si>
  <si>
    <t>Rajiv Malhotra explains the complexities that determine America's interest on India. The vested interest groups are Businesses, Church, Government, Academy etc.</t>
  </si>
  <si>
    <t>Q&amp;A: Persecution of Dalits in India</t>
  </si>
  <si>
    <t>Dowry murders Delhi and Insurance Killing in New York a comparison</t>
  </si>
  <si>
    <t>Academic studies about India are prejudice</t>
  </si>
  <si>
    <t>What is Indian Grand Narrative?</t>
  </si>
  <si>
    <t>Dharma challenges in the US</t>
  </si>
  <si>
    <t>Strategy
	Rajiv Malahotra using a strategy of consolidating various questions into one
	0:2:11-&gt;10:20
	Now let us agree that we need an identify
	42:57-&gt;45:56
	What is Hindu Identify &amp; Dilema
	47:00-&gt;
	51:17-&gt;55:17
	57:45-&gt;1:00:01</t>
  </si>
  <si>
    <t>American Identify shifted from English to Christian to White
- Italian chatholic -&gt; protestant -&gt; christian (journey of catholic assimilation in white)
- Book: How Irish become white. How Jews became white.
- America's journey of assimilation. Black were never assimilative.
- Identity war with gays, muslim, chienese, italian, spanish. Choice in America in not identify less society. 
- Whether I define or I reject my identity, I will be given identity. If I reject they will define my identity. So It is important for me to define my positive identity.
- Spanish people created their identity based on spanish language
- Historical societies of America is very important topic to be searched for understanding identity business.</t>
  </si>
  <si>
    <t>Atrocity Literature of American NGOs</t>
  </si>
  <si>
    <t>Definition of Human Rights</t>
  </si>
  <si>
    <t>Set up NGOs in USA</t>
  </si>
  <si>
    <t>Dalit Freedom Network is one organisation based in Denver and produces Atrocity Literature against Hindus to the point of coming close to getting the US Government to impose sanctions on India. Rajiv-ji shuts down the liberal journalist when she raises anti-Muslim and anti-Christian rhetoric. This is a very specific work which looks at anti-Hindu and anti-India work of US based churches, government, think tanks etc. We are told very superficially at pop-culture leverl that to talk like is bad, dirty, we should not talk like this, you are being a trouble maker, all religions are same etc. But deep down this is down dirty anti-Hindu work that they are doing in USA.</t>
  </si>
  <si>
    <t>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t>
  </si>
  <si>
    <t>Rajiv Malhotra is concerned about the confused westerners who end up confusing Hindus and also Hindu Gurus who began to accept the position that westerners take. 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t>
  </si>
  <si>
    <t>Teachers' training programme by Holy Yoga</t>
  </si>
  <si>
    <t>Jesus is our Guru</t>
  </si>
  <si>
    <t>Brooke declares Jesus is the Guru, Gu meaning "Dark', Ru meaning "Light". Explains naunces of the spirit and her sweeping experience of God, about the transformation of her mind, heart and action.</t>
  </si>
  <si>
    <t>Meaning of Namaste in Holy Yoga</t>
  </si>
  <si>
    <t>Holy Yoga supports individuals and the Ministry</t>
  </si>
  <si>
    <t>In a Holy Yoga video, an instructor explains that God has given them the vision and support to equip the individuals to bring the Gospel to the ends of the world, so they work through the modalities of Holy Yoga to achieve the goal.</t>
  </si>
  <si>
    <t>Seeking Enlightenment: Hindu way and Christian way</t>
  </si>
  <si>
    <t>Brooke Boon does not think Satan can affect anyone doing Yoga.</t>
  </si>
  <si>
    <t>Difference between Hindu and Christian idea on Yoga</t>
  </si>
  <si>
    <t>Rajiv Malhotra and Brooke Boon explore the connect between Yoga and Salvation on one hand and on the other hand between Yoga and Karma/Reincarnation.</t>
  </si>
  <si>
    <t>Multiple Deities of Hindu and One form of Jesus</t>
  </si>
  <si>
    <t>Rajiv Malhotra states that a Hindu can worship any God and may have a preferred God called Ishtadevata.</t>
  </si>
  <si>
    <t>Rajiv Malhotra refers to the book Holy Yoga that mentions that there is the risk of  false Gods coming in if one does different kinds of Yoga. Brooke Boon admits the Church has not done a good job about this and adds that one should not pass judgement on anyone's beliefs.</t>
  </si>
  <si>
    <t>Idolatory and Hindu's belief in other manifestations of God</t>
  </si>
  <si>
    <t>Brooke Boon describes her belief about the inherent divinity in Jesus through her own worldview. Rajiv Malhotra asks why Christians do not believe that God CAN take other forms. Brooke believes that fullness of reality is found in Christ.</t>
  </si>
  <si>
    <t>Understanding of Aum, Namaste, Bhaktiyoga etc.</t>
  </si>
  <si>
    <t>Brooke Boon describes the success of Holy Yoga movement, presence in several countries and about possibility of entering India.</t>
  </si>
  <si>
    <t>Is Christian Yoga necessary for Enlightenment or is optional?</t>
  </si>
  <si>
    <t xml:space="preserve">Brooke Boon says doing Yoga as per her school is neither necessary nor sufficient for enlightenment. According to her, only surrender to Jesus is necessary for that. </t>
  </si>
  <si>
    <t>Appropriation of Hindu tradition and Christianizing of the same</t>
  </si>
  <si>
    <t>Rajiv Malhotra probes whether it is fair to Hindus when their traditions are taken and re-marketed to them by Evangelicals and used against them.</t>
  </si>
  <si>
    <t>Analysis of interview with Brooke Boon</t>
  </si>
  <si>
    <t>Brooke Boon appears as accomodative and ambivalent. Holy Yoga website is very explicit. Clearly comes out as Christian Ministry. Shows how the missionaries obtain fake visas (called tentmakers) and operate as students, businessmen, NGOs, long-term tourists, retirees etc. to accomplish the job as missionaries.</t>
  </si>
  <si>
    <t>Spending time with Hindus-Pastor Joe Style</t>
  </si>
  <si>
    <t>Article by Pastor Joe on the Holy Yoga website clearly outlines that to make an impact on Hindus for converting them to Christianity, it's necessary to spend time with them. His wife Diane started wearing the symbols of Hindu womern as trhey realised the importance of Hindus.</t>
  </si>
  <si>
    <t>Yoga as Pastor Joe sees it in Holy Yoga</t>
  </si>
  <si>
    <t xml:space="preserve">Pastor built a case that to Christianise Yoga, it's necessary to Christianise bhajans, satsang, Hindu clothes, Hindu symbols etc. He discusses in his artilce on the website various ways of biblical contextualisation keeping Jesus at the center. </t>
  </si>
  <si>
    <t>Holy Yoga website says it all</t>
  </si>
  <si>
    <t>Unambiguous statement on the website that Holy Yoga is Christian Ministry. Several quotes from Bible on the website. Appears there is huge pressure from the Christians to learn Yoga so the Church wants to avoid losing Christians and also convert Hindus to Christianity. Holy Yoga clearly comes out as Bible-centric, Jesus-centric Christian missionary movement to re-interpret and utilise the power of Yoga movement for their evangelical purpose.</t>
  </si>
  <si>
    <t>Briefly describes about 1500 years of the history of Muth and its role in the society for blending of ancient and modern education and in other social aspects</t>
  </si>
  <si>
    <t>Karnataka Gurus render spiritual and religious services alongwith social and education services</t>
  </si>
  <si>
    <t>We are jati-based, hence merit-based society, and caste concept implanted by the British</t>
  </si>
  <si>
    <t>Talk about Swami Dayanand Saraswati's role in setting up Hindu Dharma Acharya Sabha to get our temples back from Givt. control.</t>
  </si>
  <si>
    <t>Rajiv Malhotra beautifully explains why this name was chosen. Also talks about what is Indra's Net.</t>
  </si>
  <si>
    <t>Discuss the connection between ancient philosophy and today's Quantum Physics. Rajiv Malhotra explains how today's Western scientists have converted our metaphysics into machines as extension of our senses to help the society today. Also, discuss how Western world is appropriating our metaphysics, our philosophy and marketing as their own.</t>
  </si>
  <si>
    <t>Column Labels</t>
  </si>
  <si>
    <t>Total Count of Video Title</t>
  </si>
  <si>
    <t>Total Sum of Video Duration</t>
  </si>
  <si>
    <t>Total Count of Clip Title</t>
  </si>
  <si>
    <t>Row Labels</t>
  </si>
  <si>
    <t>Count of Video Title</t>
  </si>
  <si>
    <t>Sum of Video Duration</t>
  </si>
  <si>
    <t>Count of Clip Title</t>
  </si>
  <si>
    <t>(blank)</t>
  </si>
  <si>
    <t>11-09-17 - 17-09-17</t>
  </si>
  <si>
    <t>18-09-17 - 24-09-17</t>
  </si>
  <si>
    <t>25-09-17 - 01-10-17</t>
  </si>
  <si>
    <t>02-10-17 - 08-10-17</t>
  </si>
  <si>
    <t>09-10-17 - 15-10-17</t>
  </si>
  <si>
    <t>16-10-17 - 22-10-17</t>
  </si>
  <si>
    <t>23-10-17 - 29-10-17</t>
  </si>
  <si>
    <t>30-10-17 - 05-11-17</t>
  </si>
  <si>
    <t>06-11-17 - 12-11-17</t>
  </si>
  <si>
    <t>13-11-17 - 19-11-17</t>
  </si>
  <si>
    <t>Done-Content Total</t>
  </si>
  <si>
    <t>Drop Total</t>
  </si>
  <si>
    <t>Grand Total</t>
  </si>
  <si>
    <t>20-11-17 - 26-11-17</t>
  </si>
  <si>
    <t>(blank) Total</t>
  </si>
  <si>
    <t>Total</t>
  </si>
  <si>
    <t>Remaining Work</t>
  </si>
  <si>
    <t>Content Owner</t>
  </si>
  <si>
    <t>https://www.youtube.com/embed/mjFek0gF97s?start=175&amp;end=349&amp;autoplay=1</t>
  </si>
  <si>
    <t>https://www.youtube.com/embed/Kxuiy8OL30w?start=89&amp;end=125&amp;autoplay=1</t>
  </si>
  <si>
    <t>https://www.youtube.com/embed/_IcfDP-ezpo?start=50&amp;end=280&amp;autoplay=1</t>
  </si>
  <si>
    <t>https://www.youtube.com/embed/_IcfDP-ezpo?start=280&amp;end=499&amp;autoplay=1</t>
  </si>
  <si>
    <t>https://www.youtube.com/embed/_IcfDP-ezpo?start=499&amp;end=620&amp;autoplay=1</t>
  </si>
  <si>
    <t>https://www.youtube.com/embed/Uq2PJjcHiqI?start=0&amp;end=102&amp;autoplay=1</t>
  </si>
  <si>
    <t>https://www.youtube.com/embed/Uq2PJjcHiqI?start=102&amp;end=268&amp;autoplay=1</t>
  </si>
  <si>
    <t>https://www.youtube.com/embed/Uq2PJjcHiqI?start=268&amp;end=401&amp;autoplay=1</t>
  </si>
  <si>
    <t>https://www.youtube.com/embed/Uq2PJjcHiqI?start=401&amp;end=623&amp;autoplay=1</t>
  </si>
  <si>
    <t>https://www.youtube.com/embed/Uq2PJjcHiqI?start=623&amp;end=663&amp;autoplay=1</t>
  </si>
  <si>
    <t>https://www.youtube.com/embed/Uq2PJjcHiqI?start=664&amp;end=802&amp;autoplay=1</t>
  </si>
  <si>
    <t>https://www.youtube.com/embed/5LJPOCxc3E8?start=0&amp;end=131&amp;autoplay=1</t>
  </si>
  <si>
    <t>https://www.youtube.com/embed/5LJPOCxc3E8?start=131&amp;end=353&amp;autoplay=1</t>
  </si>
  <si>
    <t>https://www.youtube.com/embed/5LJPOCxc3E8?start=358&amp;end=639&amp;autoplay=1</t>
  </si>
  <si>
    <t>https://www.youtube.com/embed/LdrmgXtd_rs?start=123&amp;end=169&amp;autoplay=1</t>
  </si>
  <si>
    <t>https://www.youtube.com/embed/LdrmgXtd_rs?start=223&amp;end=472&amp;autoplay=1</t>
  </si>
  <si>
    <t>https://www.youtube.com/embed/LdrmgXtd_rs?start=472&amp;end=572&amp;autoplay=1</t>
  </si>
  <si>
    <t>https://www.youtube.com/embed/LdrmgXtd_rs?start=572&amp;end=712&amp;autoplay=1</t>
  </si>
  <si>
    <t>https://www.youtube.com/embed/gbWoqwJKhbM?start=2&amp;end=524&amp;autoplay=1</t>
  </si>
  <si>
    <t>https://www.youtube.com/embed/RdBz1kIwrqo?start=80&amp;end=258&amp;autoplay=1</t>
  </si>
  <si>
    <t>https://www.youtube.com/embed/RdBz1kIwrqo?start=266&amp;end=401&amp;autoplay=1</t>
  </si>
  <si>
    <t>https://www.youtube.com/embed/RdBz1kIwrqo?start=563&amp;end=646&amp;autoplay=1</t>
  </si>
  <si>
    <t>https://www.youtube.com/embed/N0PD3TuLvoo?start=0&amp;end=76&amp;autoplay=1</t>
  </si>
  <si>
    <t>https://www.youtube.com/embed/N0PD3TuLvoo?start=77&amp;end=184&amp;autoplay=1</t>
  </si>
  <si>
    <t>https://www.youtube.com/embed/N0PD3TuLvoo?start=197&amp;end=304&amp;autoplay=1</t>
  </si>
  <si>
    <t>https://www.youtube.com/embed/N0PD3TuLvoo?start=304&amp;end=527&amp;autoplay=1</t>
  </si>
  <si>
    <t>https://www.youtube.com/embed/C3_6Ub1GnfA?start=0&amp;end=211&amp;autoplay=1</t>
  </si>
  <si>
    <t>https://www.youtube.com/embed/C3_6Ub1GnfA?start=211&amp;end=430&amp;autoplay=1</t>
  </si>
  <si>
    <t>https://www.youtube.com/embed/C3_6Ub1GnfA?start=431&amp;end=520&amp;autoplay=1</t>
  </si>
  <si>
    <t>https://www.youtube.com/embed/C3_6Ub1GnfA?start=538&amp;end=589&amp;autoplay=1</t>
  </si>
  <si>
    <t>https://www.youtube.com/embed/C3_6Ub1GnfA?start=589&amp;end=663&amp;autoplay=1</t>
  </si>
  <si>
    <t>https://www.youtube.com/embed/BEz8X5SUwjY?start=67&amp;end=355&amp;autoplay=1</t>
  </si>
  <si>
    <t>https://www.youtube.com/embed/BEz8X5SUwjY?start=355&amp;end=633&amp;autoplay=1</t>
  </si>
  <si>
    <t>https://www.youtube.com/embed/lzMEDrUFlpw?start=0&amp;end=368&amp;autoplay=1</t>
  </si>
  <si>
    <t>https://www.youtube.com/embed/lzMEDrUFlpw?start=368&amp;end=542&amp;autoplay=1</t>
  </si>
  <si>
    <t>https://www.youtube.com/embed/lzMEDrUFlpw?start=542&amp;end=659&amp;autoplay=1</t>
  </si>
  <si>
    <t>https://www.youtube.com/embed/qCG2vqnaUx4?start=0&amp;end=347&amp;autoplay=1</t>
  </si>
  <si>
    <t>https://www.youtube.com/embed/qCG2vqnaUx4?start=347&amp;end=514&amp;autoplay=1</t>
  </si>
  <si>
    <t>https://www.youtube.com/embed/ycnvyB8pDEM?start=31&amp;end=306&amp;autoplay=1</t>
  </si>
  <si>
    <t>https://www.youtube.com/embed/ycnvyB8pDEM?start=307&amp;end=395&amp;autoplay=1</t>
  </si>
  <si>
    <t>https://www.youtube.com/embed/ycnvyB8pDEM?start=395&amp;end=528&amp;autoplay=1</t>
  </si>
  <si>
    <t>https://www.youtube.com/embed/ycnvyB8pDEM?start=528&amp;end=675&amp;autoplay=1</t>
  </si>
  <si>
    <t>https://www.youtube.com/embed/xANxZaCCD70?start=0&amp;end=318&amp;autoplay=1</t>
  </si>
  <si>
    <t>https://www.youtube.com/embed/xANxZaCCD70?start=318&amp;end=438&amp;autoplay=1</t>
  </si>
  <si>
    <t>https://www.youtube.com/embed/xANxZaCCD70?start=440&amp;end=824&amp;autoplay=1</t>
  </si>
  <si>
    <t>https://www.youtube.com/embed/THua8SMPtK4?start=0&amp;end=276&amp;autoplay=1</t>
  </si>
  <si>
    <t>https://www.youtube.com/embed/6_9IYK6ZlyY?start=86&amp;end=188&amp;autoplay=1</t>
  </si>
  <si>
    <t>https://www.youtube.com/embed/6_9IYK6ZlyY?start=189&amp;end=315&amp;autoplay=1</t>
  </si>
  <si>
    <t>https://www.youtube.com/embed/6_9IYK6ZlyY?start=316&amp;end=476&amp;autoplay=1</t>
  </si>
  <si>
    <t>https://www.youtube.com/embed/6_9IYK6ZlyY?start=477&amp;end=764&amp;autoplay=1</t>
  </si>
  <si>
    <t>https://www.youtube.com/embed/LXrKKz7Mld8?start=0&amp;end=447&amp;autoplay=1</t>
  </si>
  <si>
    <t>https://www.youtube.com/embed/ufZ1BZcZzKI?start=0&amp;end=297&amp;autoplay=1</t>
  </si>
  <si>
    <t>https://www.youtube.com/embed/rNhQIKC2jPM?start=261&amp;end=457&amp;autoplay=1</t>
  </si>
  <si>
    <t>https://www.youtube.com/embed/FndfcBhZklU?start=0&amp;end=360&amp;autoplay=1</t>
  </si>
  <si>
    <t>https://www.youtube.com/embed/20u8yHim1tM?start=0&amp;end=222&amp;autoplay=1</t>
  </si>
  <si>
    <t>https://www.youtube.com/embed/QEUeYDEFtsE?start=0&amp;end=284&amp;autoplay=1</t>
  </si>
  <si>
    <t>https://www.youtube.com/embed/Yhp3rFuo5Cw?start=0&amp;end=360&amp;autoplay=1</t>
  </si>
  <si>
    <t>https://www.youtube.com/embed/Yhp3rFuo5Cw?start=361&amp;end=771&amp;autoplay=1</t>
  </si>
  <si>
    <t>https://www.youtube.com/embed/8qjQH_-WzyE?start=0&amp;end=344&amp;autoplay=1</t>
  </si>
  <si>
    <t>https://www.youtube.com/embed/8qjQH_-WzyE?start=345&amp;end=410&amp;autoplay=1</t>
  </si>
  <si>
    <t>https://www.youtube.com/embed/8qjQH_-WzyE?start=411&amp;end=620&amp;autoplay=1</t>
  </si>
  <si>
    <t>https://www.youtube.com/embed/8qjQH_-WzyE?start=621&amp;end=814&amp;autoplay=1</t>
  </si>
  <si>
    <t>https://www.youtube.com/embed/vHWsmGyjOk0?start=0&amp;end=405&amp;autoplay=1</t>
  </si>
  <si>
    <t>https://www.youtube.com/embed/-udb2VYB5uo?start=0&amp;end=274&amp;autoplay=1</t>
  </si>
  <si>
    <t>https://www.youtube.com/embed/-udb2VYB5uo?start=275&amp;end=863&amp;autoplay=1</t>
  </si>
  <si>
    <t>https://www.youtube.com/embed/f-MLHIb4dFU?start=0&amp;end=190&amp;autoplay=1</t>
  </si>
  <si>
    <t>https://www.youtube.com/embed/f-MLHIb4dFU?start=274&amp;end=416&amp;autoplay=1</t>
  </si>
  <si>
    <t>https://www.youtube.com/embed/f-MLHIb4dFU?start=564&amp;end=610&amp;autoplay=1</t>
  </si>
  <si>
    <t>https://www.youtube.com/embed/f-MLHIb4dFU?start=625&amp;end=715&amp;autoplay=1</t>
  </si>
  <si>
    <t>https://www.youtube.com/embed/ByaheAphduQ?start=0&amp;end=450&amp;autoplay=1</t>
  </si>
  <si>
    <t>https://www.youtube.com/embed/ByaheAphduQ?start=535&amp;end=956&amp;autoplay=1</t>
  </si>
  <si>
    <t>https://www.youtube.com/embed/ByaheAphduQ?start=1090&amp;end=1199&amp;autoplay=1</t>
  </si>
  <si>
    <t>https://www.youtube.com/embed/ByaheAphduQ?start=1205&amp;end=1280&amp;autoplay=1</t>
  </si>
  <si>
    <t>https://www.youtube.com/embed/ByaheAphduQ?start=1282&amp;end=1410&amp;autoplay=1</t>
  </si>
  <si>
    <t>https://www.youtube.com/embed/ByaheAphduQ?start=1450&amp;end=1620&amp;autoplay=1</t>
  </si>
  <si>
    <t>https://www.youtube.com/embed/ByaheAphduQ?start=1684&amp;end=1790&amp;autoplay=1</t>
  </si>
  <si>
    <t>https://www.youtube.com/embed/ByaheAphduQ?start=1825&amp;end=1875&amp;autoplay=1</t>
  </si>
  <si>
    <t>https://www.youtube.com/embed/ByaheAphduQ?start=1970&amp;end=2092&amp;autoplay=1</t>
  </si>
  <si>
    <t>https://www.youtube.com/embed/ByaheAphduQ?start=2160&amp;end=2298&amp;autoplay=1</t>
  </si>
  <si>
    <t>https://www.youtube.com/embed/ByaheAphduQ?start=2310&amp;end=2555&amp;autoplay=1</t>
  </si>
  <si>
    <t>https://www.youtube.com/embed/ByaheAphduQ?start=2595&amp;end=2650&amp;autoplay=1</t>
  </si>
  <si>
    <t>https://www.youtube.com/embed/ByaheAphduQ?start=2760&amp;end=2930&amp;autoplay=1</t>
  </si>
  <si>
    <t>https://www.youtube.com/embed/ByaheAphduQ?start=2990&amp;end=3041&amp;autoplay=1</t>
  </si>
  <si>
    <t>https://www.youtube.com/embed/s3LVHHEe2vc?start=252&amp;end=360&amp;autoplay=1</t>
  </si>
  <si>
    <t>https://www.youtube.com/embed/s3LVHHEe2vc?start=435&amp;end=561&amp;autoplay=1</t>
  </si>
  <si>
    <t>https://www.youtube.com/embed/s3LVHHEe2vc?start=730&amp;end=1000&amp;autoplay=1</t>
  </si>
  <si>
    <t>https://www.youtube.com/embed/s3LVHHEe2vc?start=2237&amp;end=2340&amp;autoplay=1</t>
  </si>
  <si>
    <t>https://www.youtube.com/embed/s3LVHHEe2vc?start=2380&amp;end=2475&amp;autoplay=1</t>
  </si>
  <si>
    <t>https://www.youtube.com/embed/s3LVHHEe2vc?start=2475&amp;end=2630&amp;autoplay=1</t>
  </si>
  <si>
    <t>https://www.youtube.com/embed/s3LVHHEe2vc?start=2635&amp;end=2840&amp;autoplay=1</t>
  </si>
  <si>
    <t>https://www.youtube.com/embed/ytrFjytVgtk?start=400&amp;end=666&amp;autoplay=1</t>
  </si>
  <si>
    <t>https://www.youtube.com/embed/28dLjjiriJA?start=10&amp;end=250&amp;autoplay=1</t>
  </si>
  <si>
    <t>https://www.youtube.com/embed/28dLjjiriJA?start=252&amp;end=580&amp;autoplay=1</t>
  </si>
  <si>
    <t>https://www.youtube.com/embed/M-zdPqtp9Kk?start=805&amp;end=1845&amp;autoplay=1</t>
  </si>
  <si>
    <t>https://www.youtube.com/embed/M-zdPqtp9Kk?start=1845&amp;end=3120&amp;autoplay=1</t>
  </si>
  <si>
    <t>https://www.youtube.com/embed/MlTxtaiX1xI?start=495&amp;end=825&amp;autoplay=1</t>
  </si>
  <si>
    <t>https://www.youtube.com/embed/YFmL65VsWdk?start=380&amp;end=410&amp;autoplay=1</t>
  </si>
  <si>
    <t>https://www.youtube.com/embed/YFmL65VsWdk?start=413&amp;end=474&amp;autoplay=1</t>
  </si>
  <si>
    <t>https://www.youtube.com/embed/YFmL65VsWdk?start=614&amp;end=800&amp;autoplay=1</t>
  </si>
  <si>
    <t>https://www.youtube.com/embed/YFmL65VsWdk?start=801&amp;end=950&amp;autoplay=1</t>
  </si>
  <si>
    <t>https://www.youtube.com/embed/YFmL65VsWdk?start=855&amp;end=900&amp;autoplay=1</t>
  </si>
  <si>
    <t>https://www.youtube.com/embed/YFmL65VsWdk?start=905&amp;end=950&amp;autoplay=1</t>
  </si>
  <si>
    <t>https://www.youtube.com/embed/YFmL65VsWdk?start=965&amp;end=1074&amp;autoplay=1</t>
  </si>
  <si>
    <t>https://www.youtube.com/embed/YFmL65VsWdk?start=1575&amp;end=1920&amp;autoplay=1</t>
  </si>
  <si>
    <t>https://www.youtube.com/embed/YFmL65VsWdk?start=1755&amp;end=1866&amp;autoplay=1</t>
  </si>
  <si>
    <t>https://www.youtube.com/embed/YFmL65VsWdk?start=2087&amp;end=2207&amp;autoplay=1</t>
  </si>
  <si>
    <t>https://www.youtube.com/embed/YFmL65VsWdk?start=2525&amp;end=2800&amp;autoplay=1</t>
  </si>
  <si>
    <t>https://www.youtube.com/embed/29-xoooHPaw?start=890&amp;end=1725&amp;autoplay=1</t>
  </si>
  <si>
    <t>https://www.youtube.com/embed/29-xoooHPaw?start=1800&amp;end=2295&amp;autoplay=1</t>
  </si>
  <si>
    <t>https://www.youtube.com/embed/29-xoooHPaw?start=2407&amp;end=2870&amp;autoplay=1</t>
  </si>
  <si>
    <t>https://www.youtube.com/embed/29-xoooHPaw?start=2875&amp;end=3200&amp;autoplay=1</t>
  </si>
  <si>
    <t>https://www.youtube.com/embed/29-xoooHPaw?start=3200&amp;end=3885&amp;autoplay=1</t>
  </si>
  <si>
    <t>https://www.youtube.com/embed/29-xoooHPaw?start=3885&amp;end=4220&amp;autoplay=1</t>
  </si>
  <si>
    <t>https://www.youtube.com/embed/uDANJcQm-So?start=1194&amp;end=1292&amp;autoplay=1</t>
  </si>
  <si>
    <t>https://www.youtube.com/embed/Wrs0XEoFHAM?start=130&amp;end=636&amp;autoplay=1</t>
  </si>
  <si>
    <t>https://www.youtube.com/embed/Wrs0XEoFHAM?start=650&amp;end=752&amp;autoplay=1</t>
  </si>
  <si>
    <t>https://www.youtube.com/embed/Wrs0XEoFHAM?start=823&amp;end=871&amp;autoplay=1</t>
  </si>
  <si>
    <t>https://www.youtube.com/embed/Wrs0XEoFHAM?start=1014&amp;end=1092&amp;autoplay=1</t>
  </si>
  <si>
    <t>https://www.youtube.com/embed/Wrs0XEoFHAM?start=1110&amp;end=1171&amp;autoplay=1</t>
  </si>
  <si>
    <t>https://www.youtube.com/embed/Wrs0XEoFHAM?start=1182&amp;end=1542&amp;autoplay=1</t>
  </si>
  <si>
    <t>https://www.youtube.com/embed/Wrs0XEoFHAM?start=1590&amp;end=1694&amp;autoplay=1</t>
  </si>
  <si>
    <t>https://www.youtube.com/embed/Wrs0XEoFHAM?start=1768&amp;end=1850&amp;autoplay=1</t>
  </si>
  <si>
    <t>https://www.youtube.com/embed/Wrs0XEoFHAM?start=2025&amp;end=2100&amp;autoplay=1</t>
  </si>
  <si>
    <t>https://www.youtube.com/embed/Wrs0XEoFHAM?start=2170&amp;end=2265&amp;autoplay=1</t>
  </si>
  <si>
    <t>https://www.youtube.com/embed/Wrs0XEoFHAM?start=2475&amp;end=2684&amp;autoplay=1</t>
  </si>
  <si>
    <t>https://www.youtube.com/embed/Wrs0XEoFHAM?start=3065&amp;end=3259&amp;autoplay=1</t>
  </si>
  <si>
    <t>https://www.youtube.com/embed/G3NpQQMh8jQ?start=91&amp;end=240&amp;autoplay=1</t>
  </si>
  <si>
    <t>https://www.youtube.com/embed/G3NpQQMh8jQ?start=241&amp;end=343&amp;autoplay=1</t>
  </si>
  <si>
    <t>https://www.youtube.com/embed/G3NpQQMh8jQ?start=343&amp;end=903&amp;autoplay=1</t>
  </si>
  <si>
    <t>https://www.youtube.com/embed/G3NpQQMh8jQ?start=903&amp;end=1125&amp;autoplay=1</t>
  </si>
  <si>
    <t>https://www.youtube.com/embed/G3NpQQMh8jQ?start=1171&amp;end=1373&amp;autoplay=1</t>
  </si>
  <si>
    <t>https://www.youtube.com/embed/G3NpQQMh8jQ?start=1373&amp;end=1454&amp;autoplay=1</t>
  </si>
  <si>
    <t>https://www.youtube.com/embed/G3NpQQMh8jQ?start=1461&amp;end=1924&amp;autoplay=1</t>
  </si>
  <si>
    <t>https://www.youtube.com/embed/VP5gPVW3XDM?start=68&amp;end=214&amp;autoplay=1</t>
  </si>
  <si>
    <t>https://www.youtube.com/embed/VP5gPVW3XDM?start=214&amp;end=526&amp;autoplay=1</t>
  </si>
  <si>
    <t>https://www.youtube.com/embed/VP5gPVW3XDM?start=534&amp;end=810&amp;autoplay=1</t>
  </si>
  <si>
    <t>https://www.youtube.com/embed/VP5gPVW3XDM?start=833&amp;end=1000&amp;autoplay=1</t>
  </si>
  <si>
    <t>https://www.youtube.com/embed/VP5gPVW3XDM?start=1000&amp;end=1176&amp;autoplay=1</t>
  </si>
  <si>
    <t>https://www.youtube.com/embed/VP5gPVW3XDM?start=1310&amp;end=1414&amp;autoplay=1</t>
  </si>
  <si>
    <t>https://www.youtube.com/embed/VP5gPVW3XDM?start=1433&amp;end=1549&amp;autoplay=1</t>
  </si>
  <si>
    <t>https://www.youtube.com/embed/VP5gPVW3XDM?start=1549&amp;end=1780&amp;autoplay=1</t>
  </si>
  <si>
    <t>https://www.youtube.com/embed/VP5gPVW3XDM?start=1793&amp;end=2161&amp;autoplay=1</t>
  </si>
  <si>
    <t>https://www.youtube.com/embed/0uPW7Jf9y7o?start=53&amp;end=317&amp;autoplay=1</t>
  </si>
  <si>
    <t>https://www.youtube.com/embed/0uPW7Jf9y7o?start=317&amp;end=560&amp;autoplay=1</t>
  </si>
  <si>
    <t>https://www.youtube.com/embed/0uPW7Jf9y7o?start=561&amp;end=2060&amp;autoplay=1</t>
  </si>
  <si>
    <t>https://www.youtube.com/embed/0uPW7Jf9y7o?start=2090&amp;end=2559&amp;autoplay=1</t>
  </si>
  <si>
    <t>https://www.youtube.com/embed/0uPW7Jf9y7o?start=2559&amp;end=2918&amp;autoplay=1</t>
  </si>
  <si>
    <t>https://www.youtube.com/embed/fjD9BVlmPoA?start=904&amp;end=1419&amp;autoplay=1</t>
  </si>
  <si>
    <t>https://www.youtube.com/embed/fjD9BVlmPoA?start=1709&amp;end=1850&amp;autoplay=1</t>
  </si>
  <si>
    <t>https://www.youtube.com/embed/fjD9BVlmPoA?start=2345&amp;end=2440&amp;autoplay=1</t>
  </si>
  <si>
    <t>https://www.youtube.com/embed/fjD9BVlmPoA?start=2450&amp;end=2870&amp;autoplay=1</t>
  </si>
  <si>
    <t>https://www.youtube.com/embed/fjD9BVlmPoA?start=3534&amp;end=3979&amp;autoplay=1</t>
  </si>
  <si>
    <t>https://www.youtube.com/embed/fjD9BVlmPoA?start=4080&amp;end=4270&amp;autoplay=1</t>
  </si>
  <si>
    <t>https://www.youtube.com/embed/fjD9BVlmPoA?start=4510&amp;end=4640&amp;autoplay=1</t>
  </si>
  <si>
    <t>https://www.youtube.com/embed/fjD9BVlmPoA?start=4645&amp;end=4881&amp;autoplay=1</t>
  </si>
  <si>
    <t>https://www.youtube.com/embed/fjD9BVlmPoA?start=4885&amp;end=4930&amp;autoplay=1</t>
  </si>
  <si>
    <t>https://www.youtube.com/embed/fjD9BVlmPoA?start=4940&amp;end=5295&amp;autoplay=1</t>
  </si>
  <si>
    <t>https://www.youtube.com/embed/nmbYnYYpa6g?start=752&amp;end=1240&amp;autoplay=1</t>
  </si>
  <si>
    <t>https://www.youtube.com/embed/nmbYnYYpa6g?start=1250&amp;end=1582&amp;autoplay=1</t>
  </si>
  <si>
    <t>https://www.youtube.com/embed/nmbYnYYpa6g?start=1585&amp;end=1995&amp;autoplay=1</t>
  </si>
  <si>
    <t>https://www.youtube.com/embed/nmbYnYYpa6g?start=2250&amp;end=2918&amp;autoplay=1</t>
  </si>
  <si>
    <t>https://www.youtube.com/embed/nmbYnYYpa6g?start=2918&amp;end=3202&amp;autoplay=1</t>
  </si>
  <si>
    <t>https://www.youtube.com/embed/nmbYnYYpa6g?start=3240&amp;end=3450&amp;autoplay=1</t>
  </si>
  <si>
    <t>https://www.youtube.com/embed/nmbYnYYpa6g?start=3520&amp;end=3617&amp;autoplay=1</t>
  </si>
  <si>
    <t>https://www.youtube.com/embed/nmbYnYYpa6g?start=3617&amp;end=3963&amp;autoplay=1</t>
  </si>
  <si>
    <t>https://www.youtube.com/embed/8RSu4ymCgp4?start=25&amp;end=266&amp;autoplay=1</t>
  </si>
  <si>
    <t>https://www.youtube.com/embed/8RSu4ymCgp4?start=1343&amp;end=1935&amp;autoplay=1</t>
  </si>
  <si>
    <t>https://www.youtube.com/embed/8RSu4ymCgp4?start=1940&amp;end=2005&amp;autoplay=1</t>
  </si>
  <si>
    <t>https://www.youtube.com/embed/8RSu4ymCgp4?start=2010&amp;end=2070&amp;autoplay=1</t>
  </si>
  <si>
    <t>https://www.youtube.com/embed/8RSu4ymCgp4?start=2074&amp;end=2192&amp;autoplay=1</t>
  </si>
  <si>
    <t>https://www.youtube.com/embed/8RSu4ymCgp4?start=2204&amp;end=2330&amp;autoplay=1</t>
  </si>
  <si>
    <t>https://www.youtube.com/embed/8RSu4ymCgp4?start=2335&amp;end=2525&amp;autoplay=1</t>
  </si>
  <si>
    <t>https://www.youtube.com/embed/8RSu4ymCgp4?start=2528&amp;end=2589&amp;autoplay=1</t>
  </si>
  <si>
    <t>https://www.youtube.com/embed/8RSu4ymCgp4?start=2650&amp;end=2770&amp;autoplay=1</t>
  </si>
  <si>
    <t>https://www.youtube.com/embed/MOkWSa69NKA?start=105&amp;end=922&amp;autoplay=1</t>
  </si>
  <si>
    <t>https://www.youtube.com/embed/MOkWSa69NKA?start=923&amp;end=1002&amp;autoplay=1</t>
  </si>
  <si>
    <t>https://www.youtube.com/embed/MOkWSa69NKA?start=1003&amp;end=1276&amp;autoplay=1</t>
  </si>
  <si>
    <t>https://www.youtube.com/embed/MOkWSa69NKA?start=1277&amp;end=1703&amp;autoplay=1</t>
  </si>
  <si>
    <t>https://www.youtube.com/embed/k_PhmmAyLFg?start=3039&amp;end=3573&amp;autoplay=1</t>
  </si>
  <si>
    <t>https://www.youtube.com/embed/k_PhmmAyLFg?start=3573&amp;end=3707&amp;autoplay=1</t>
  </si>
  <si>
    <t>https://www.youtube.com/embed/k_PhmmAyLFg?start=3722&amp;end=3970&amp;autoplay=1</t>
  </si>
  <si>
    <t>https://www.youtube.com/embed/k_PhmmAyLFg?start=3971&amp;end=4456&amp;autoplay=1</t>
  </si>
  <si>
    <t>https://www.youtube.com/embed/k_PhmmAyLFg?start=4460&amp;end=4610&amp;autoplay=1</t>
  </si>
  <si>
    <t>https://www.youtube.com/embed/k_PhmmAyLFg?start=4613&amp;end=4943&amp;autoplay=1</t>
  </si>
  <si>
    <t>https://www.youtube.com/embed/k_PhmmAyLFg?start=4956&amp;end=5368&amp;autoplay=1</t>
  </si>
  <si>
    <t>https://www.youtube.com/embed/k_PhmmAyLFg?start=5368&amp;end=5619&amp;autoplay=1</t>
  </si>
  <si>
    <t>https://www.youtube.com/embed/k_PhmmAyLFg?start=5624&amp;end=6166&amp;autoplay=1</t>
  </si>
  <si>
    <t>https://www.youtube.com/embed/k_PhmmAyLFg?start=6168&amp;end=6344&amp;autoplay=1</t>
  </si>
  <si>
    <t>https://www.youtube.com/embed/k_PhmmAyLFg?start=6621&amp;end=7135&amp;autoplay=1</t>
  </si>
  <si>
    <t>https://www.youtube.com/embed/k_PhmmAyLFg?start=7135&amp;end=7280&amp;autoplay=1</t>
  </si>
  <si>
    <t>https://www.youtube.com/embed/Vf5BOYF0S3Y?start=1740&amp;end=2000&amp;autoplay=1</t>
  </si>
  <si>
    <t>https://www.youtube.com/embed/Vf5BOYF0S3Y?start=1800&amp;end=1925&amp;autoplay=1</t>
  </si>
  <si>
    <t>https://www.youtube.com/embed/Vf5BOYF0S3Y?start=1855&amp;end=1925&amp;autoplay=1</t>
  </si>
  <si>
    <t>https://www.youtube.com/embed/Vf5BOYF0S3Y?start=1810&amp;end=2430&amp;autoplay=1</t>
  </si>
  <si>
    <t>https://www.youtube.com/embed/Vf5BOYF0S3Y?start=2435&amp;end=2525&amp;autoplay=1</t>
  </si>
  <si>
    <t>https://www.youtube.com/embed/Vf5BOYF0S3Y?start=2530&amp;end=2670&amp;autoplay=1</t>
  </si>
  <si>
    <t>https://www.youtube.com/embed/Vf5BOYF0S3Y?start=2675&amp;end=2870&amp;autoplay=1</t>
  </si>
  <si>
    <t>https://www.youtube.com/embed/Vf5BOYF0S3Y?start=3210&amp;end=3450&amp;autoplay=1</t>
  </si>
  <si>
    <t>https://www.youtube.com/embed/Vf5BOYF0S3Y?start=3600&amp;end=3810&amp;autoplay=1</t>
  </si>
  <si>
    <t>https://www.youtube.com/embed/Vf5BOYF0S3Y?start=3931&amp;end=4110&amp;autoplay=1</t>
  </si>
  <si>
    <t>https://www.youtube.com/embed/Vf5BOYF0S3Y?start=4687&amp;end=4765&amp;autoplay=1</t>
  </si>
  <si>
    <t>https://www.youtube.com/embed/Vf5BOYF0S3Y?start=5217&amp;end=5345&amp;autoplay=1</t>
  </si>
  <si>
    <t>https://www.youtube.com/embed/Vf5BOYF0S3Y?start=5418&amp;end=5600&amp;autoplay=1</t>
  </si>
  <si>
    <t>https://www.youtube.com/embed/Vf5BOYF0S3Y?start=6250&amp;end=6381&amp;autoplay=1</t>
  </si>
  <si>
    <t>https://www.youtube.com/embed/apOba1F4MT4?start=366&amp;end=577&amp;autoplay=1</t>
  </si>
  <si>
    <t>https://www.youtube.com/embed/apOba1F4MT4?start=577&amp;end=713&amp;autoplay=1</t>
  </si>
  <si>
    <t>https://www.youtube.com/embed/apOba1F4MT4?start=713&amp;end=1003&amp;autoplay=1</t>
  </si>
  <si>
    <t>https://www.youtube.com/embed/apOba1F4MT4?start=1003&amp;end=1293&amp;autoplay=1</t>
  </si>
  <si>
    <t>https://www.youtube.com/embed/apOba1F4MT4?start=1293&amp;end=1833&amp;autoplay=1</t>
  </si>
  <si>
    <t>https://www.youtube.com/embed/apOba1F4MT4?start=1834&amp;end=2388&amp;autoplay=1</t>
  </si>
  <si>
    <t>https://www.youtube.com/embed/apOba1F4MT4?start=2388&amp;end=2647&amp;autoplay=1</t>
  </si>
  <si>
    <t>https://www.youtube.com/embed/6LOxjxiZ3NQ?start=4&amp;end=321&amp;autoplay=1</t>
  </si>
  <si>
    <t>https://www.youtube.com/embed/6LOxjxiZ3NQ?start=322&amp;end=981&amp;autoplay=1</t>
  </si>
  <si>
    <t>https://www.youtube.com/embed/6LOxjxiZ3NQ?start=981&amp;end=1176&amp;autoplay=1</t>
  </si>
  <si>
    <t>https://www.youtube.com/embed/6LOxjxiZ3NQ?start=1176&amp;end=1425&amp;autoplay=1</t>
  </si>
  <si>
    <t>https://www.youtube.com/embed/6LOxjxiZ3NQ?start=1425&amp;end=2041&amp;autoplay=1</t>
  </si>
  <si>
    <t>https://www.youtube.com/embed/6LOxjxiZ3NQ?start=2042&amp;end=2267&amp;autoplay=1</t>
  </si>
  <si>
    <t>https://www.youtube.com/embed/08Xwx9vsy6w?start=391&amp;end=784&amp;autoplay=1</t>
  </si>
  <si>
    <t>https://www.youtube.com/embed/08Xwx9vsy6w?start=784&amp;end=1051&amp;autoplay=1</t>
  </si>
  <si>
    <t>https://www.youtube.com/embed/08Xwx9vsy6w?start=1052&amp;end=1614&amp;autoplay=1</t>
  </si>
  <si>
    <t>https://www.youtube.com/embed/08Xwx9vsy6w?start=1615&amp;end=1871&amp;autoplay=1</t>
  </si>
  <si>
    <t>https://www.youtube.com/embed/08Xwx9vsy6w?start=1872&amp;end=2472&amp;autoplay=1</t>
  </si>
  <si>
    <t>https://www.youtube.com/embed/JErwMUETzvU?start=3&amp;end=408&amp;autoplay=1</t>
  </si>
  <si>
    <t>https://www.youtube.com/embed/JErwMUETzvU?start=410&amp;end=1050&amp;autoplay=1</t>
  </si>
  <si>
    <t>https://www.youtube.com/embed/JErwMUETzvU?start=1052&amp;end=1705&amp;autoplay=1</t>
  </si>
  <si>
    <t>https://www.youtube.com/embed/JErwMUETzvU?start=1712&amp;end=2594&amp;autoplay=1</t>
  </si>
  <si>
    <t>https://www.youtube.com/embed/JErwMUETzvU?start=2595&amp;end=2863&amp;autoplay=1</t>
  </si>
  <si>
    <t>https://www.youtube.com/embed/SS0UQNsxhus?start=25&amp;end=724&amp;autoplay=1</t>
  </si>
  <si>
    <t>https://www.youtube.com/embed/SS0UQNsxhus?start=724&amp;end=974&amp;autoplay=1</t>
  </si>
  <si>
    <t>https://www.youtube.com/embed/g-xyM5pVESg?start=0&amp;end=344&amp;autoplay=1</t>
  </si>
  <si>
    <t>https://www.youtube.com/embed/vHGejHQUoio?start=0&amp;end=260&amp;autoplay=1</t>
  </si>
  <si>
    <t>https://www.youtube.com/embed/3f7b_ZE5B1Y?start=0&amp;end=138&amp;autoplay=1</t>
  </si>
  <si>
    <t>https://www.youtube.com/embed/kQP4pUPNjqs?start=7&amp;end=1813&amp;autoplay=1</t>
  </si>
  <si>
    <t>https://www.youtube.com/embed/hWBzG7eVqVg?start=0&amp;end=1283&amp;autoplay=1</t>
  </si>
  <si>
    <t>https://www.youtube.com/embed/hWBzG7eVqVg?start=1283&amp;end=1920&amp;autoplay=1</t>
  </si>
  <si>
    <t>https://www.youtube.com/embed/hWBzG7eVqVg?start=1920&amp;end=2840&amp;autoplay=1</t>
  </si>
  <si>
    <t>https://www.youtube.com/embed/hWBzG7eVqVg?start=2840&amp;end=3028&amp;autoplay=1</t>
  </si>
  <si>
    <t>https://www.youtube.com/embed/hWBzG7eVqVg?start=3035&amp;end=3388&amp;autoplay=1</t>
  </si>
  <si>
    <t>https://www.youtube.com/embed/7jIfpSOnmK8?start=16&amp;end=1079&amp;autoplay=1</t>
  </si>
  <si>
    <t>https://www.youtube.com/embed/qd7yTtTb_Fc?start=0&amp;end=97&amp;autoplay=1</t>
  </si>
  <si>
    <t>https://www.youtube.com/embed/cpZPvFvzNlc?start=0&amp;end=0&amp;autoplay=1</t>
  </si>
  <si>
    <t>https://www.youtube.com/embed/cpZPvFvzNlc?start=618&amp;end=1033&amp;autoplay=1</t>
  </si>
  <si>
    <t>https://www.youtube.com/embed/cpZPvFvzNlc?start=1042&amp;end=1090&amp;autoplay=1</t>
  </si>
  <si>
    <t>https://www.youtube.com/embed/cpZPvFvzNlc?start=1452&amp;end=1546&amp;autoplay=1</t>
  </si>
  <si>
    <t>https://www.youtube.com/embed/cpZPvFvzNlc?start=1663&amp;end=1956&amp;autoplay=1</t>
  </si>
  <si>
    <t>https://www.youtube.com/embed/cpZPvFvzNlc?start=1976&amp;end=2061&amp;autoplay=1</t>
  </si>
  <si>
    <t>https://www.youtube.com/embed/cpZPvFvzNlc?start=2080&amp;end=2222&amp;autoplay=1</t>
  </si>
  <si>
    <t>https://www.youtube.com/embed/cpZPvFvzNlc?start=3602&amp;end=3700&amp;autoplay=1</t>
  </si>
  <si>
    <t>https://www.youtube.com/embed/cpZPvFvzNlc?start=3702&amp;end=3876&amp;autoplay=1</t>
  </si>
  <si>
    <t>https://www.youtube.com/embed/_OWY_haNDNI?start=7&amp;end=169&amp;autoplay=1</t>
  </si>
  <si>
    <t>https://www.youtube.com/embed/_OWY_haNDNI?start=175&amp;end=419&amp;autoplay=1</t>
  </si>
  <si>
    <t>https://www.youtube.com/embed/_OWY_haNDNI?start=429&amp;end=532&amp;autoplay=1</t>
  </si>
  <si>
    <t>https://www.youtube.com/embed/_OWY_haNDNI?start=533&amp;end=650&amp;autoplay=1</t>
  </si>
  <si>
    <t>https://www.youtube.com/embed/_OWY_haNDNI?start=650&amp;end=836&amp;autoplay=1</t>
  </si>
  <si>
    <t>https://www.youtube.com/embed/_OWY_haNDNI?start=837&amp;end=1073&amp;autoplay=1</t>
  </si>
  <si>
    <t>https://www.youtube.com/embed/_OWY_haNDNI?start=1074&amp;end=1164&amp;autoplay=1</t>
  </si>
  <si>
    <t>https://www.youtube.com/embed/_OWY_haNDNI?start=1164&amp;end=1289&amp;autoplay=1</t>
  </si>
  <si>
    <t>https://www.youtube.com/embed/_OWY_haNDNI?start=1289&amp;end=1371&amp;autoplay=1</t>
  </si>
  <si>
    <t>https://www.youtube.com/embed/_OWY_haNDNI?start=1372&amp;end=1502&amp;autoplay=1</t>
  </si>
  <si>
    <t>https://www.youtube.com/embed/_OWY_haNDNI?start=1502&amp;end=1641&amp;autoplay=1</t>
  </si>
  <si>
    <t>https://www.youtube.com/embed/_OWY_haNDNI?start=1650&amp;end=1746&amp;autoplay=1</t>
  </si>
  <si>
    <t>https://www.youtube.com/embed/_OWY_haNDNI?start=1756&amp;end=2075&amp;autoplay=1</t>
  </si>
  <si>
    <t>https://www.youtube.com/embed/_OWY_haNDNI?start=2082&amp;end=2149&amp;autoplay=1</t>
  </si>
  <si>
    <t>https://www.youtube.com/embed/_OWY_haNDNI?start=2304&amp;end=2484&amp;autoplay=1</t>
  </si>
  <si>
    <t>https://www.youtube.com/embed/_OWY_haNDNI?start=2504&amp;end=2649&amp;autoplay=1</t>
  </si>
  <si>
    <t>https://www.youtube.com/embed/NpqJHyWjh7A?start=124&amp;end=236&amp;autoplay=1</t>
  </si>
  <si>
    <t>https://www.youtube.com/embed/NpqJHyWjh7A?start=244&amp;end=396&amp;autoplay=1</t>
  </si>
  <si>
    <t>https://www.youtube.com/embed/NpqJHyWjh7A?start=397&amp;end=536&amp;autoplay=1</t>
  </si>
  <si>
    <t>https://www.youtube.com/embed/NpqJHyWjh7A?start=537&amp;end=711&amp;autoplay=1</t>
  </si>
  <si>
    <t>https://www.youtube.com/embed/NpqJHyWjh7A?start=712&amp;end=805&amp;autoplay=1</t>
  </si>
  <si>
    <t>https://www.youtube.com/embed/NpqJHyWjh7A?start=805&amp;end=975&amp;autoplay=1</t>
  </si>
  <si>
    <t>https://www.youtube.com/embed/NpqJHyWjh7A?start=978&amp;end=1050&amp;autoplay=1</t>
  </si>
  <si>
    <t>https://www.youtube.com/embed/NpqJHyWjh7A?start=1051&amp;end=1158&amp;autoplay=1</t>
  </si>
  <si>
    <t>https://www.youtube.com/embed/NpqJHyWjh7A?start=1158&amp;end=1260&amp;autoplay=1</t>
  </si>
  <si>
    <t>https://www.youtube.com/embed/NpqJHyWjh7A?start=1260&amp;end=1448&amp;autoplay=1</t>
  </si>
  <si>
    <t>https://www.youtube.com/embed/NpqJHyWjh7A?start=1448&amp;end=1581&amp;autoplay=1</t>
  </si>
  <si>
    <t>https://www.youtube.com/embed/NpqJHyWjh7A?start=1581&amp;end=1652&amp;autoplay=1</t>
  </si>
  <si>
    <t>https://www.youtube.com/embed/NpqJHyWjh7A?start=1659&amp;end=2073&amp;autoplay=1</t>
  </si>
  <si>
    <t>https://www.youtube.com/embed/NpqJHyWjh7A?start=2091&amp;end=2523&amp;autoplay=1</t>
  </si>
  <si>
    <t>https://www.youtube.com/embed/m9xF54UZFuY?start=69&amp;end=116&amp;autoplay=1</t>
  </si>
  <si>
    <t>https://www.youtube.com/embed/m9xF54UZFuY?start=117&amp;end=198&amp;autoplay=1</t>
  </si>
  <si>
    <t>https://www.youtube.com/embed/m9xF54UZFuY?start=222&amp;end=328&amp;autoplay=1</t>
  </si>
  <si>
    <t>https://www.youtube.com/embed/m9xF54UZFuY?start=328&amp;end=432&amp;autoplay=1</t>
  </si>
  <si>
    <t>https://www.youtube.com/embed/m9xF54UZFuY?start=432&amp;end=602&amp;autoplay=1</t>
  </si>
  <si>
    <t>https://www.youtube.com/embed/m9xF54UZFuY?start=617&amp;end=682&amp;autoplay=1</t>
  </si>
  <si>
    <t>https://www.youtube.com/embed/m9xF54UZFuY?start=689&amp;end=894&amp;autoplay=1</t>
  </si>
  <si>
    <t>https://www.youtube.com/embed/m9xF54UZFuY?start=900&amp;end=1150&amp;autoplay=1</t>
  </si>
  <si>
    <t>https://www.youtube.com/embed/m9xF54UZFuY?start=1199&amp;end=1406&amp;autoplay=1</t>
  </si>
  <si>
    <t>https://www.youtube.com/embed/m9xF54UZFuY?start=1406&amp;end=1786&amp;autoplay=1</t>
  </si>
  <si>
    <t>https://www.youtube.com/embed/w5KPpzfrQQY?start=61&amp;end=279&amp;autoplay=1</t>
  </si>
  <si>
    <t>https://www.youtube.com/embed/w5KPpzfrQQY?start=280&amp;end=448&amp;autoplay=1</t>
  </si>
  <si>
    <t>https://www.youtube.com/embed/Ts09Fp7M53k?start=109&amp;end=370&amp;autoplay=1</t>
  </si>
  <si>
    <t>https://www.youtube.com/embed/Ts09Fp7M53k?start=375&amp;end=594&amp;autoplay=1</t>
  </si>
  <si>
    <t>https://www.youtube.com/embed/Ts09Fp7M53k?start=596&amp;end=868&amp;autoplay=1</t>
  </si>
  <si>
    <t>https://www.youtube.com/embed/Ts09Fp7M53k?start=869&amp;end=1295&amp;autoplay=1</t>
  </si>
  <si>
    <t>https://www.youtube.com/embed/4ej2lqB-kjM?start=207&amp;end=594&amp;autoplay=1</t>
  </si>
  <si>
    <t>https://www.youtube.com/embed/4ej2lqB-kjM?start=634&amp;end=1007&amp;autoplay=1</t>
  </si>
  <si>
    <t>https://www.youtube.com/embed/4ej2lqB-kjM?start=1008&amp;end=1216&amp;autoplay=1</t>
  </si>
  <si>
    <t>https://www.youtube.com/embed/4ej2lqB-kjM?start=1217&amp;end=1553&amp;autoplay=1</t>
  </si>
  <si>
    <t>https://www.youtube.com/embed/4ej2lqB-kjM?start=1554&amp;end=1862&amp;autoplay=1</t>
  </si>
  <si>
    <t>https://www.youtube.com/embed/VFJFvcNogFU?start=211&amp;end=338&amp;autoplay=1</t>
  </si>
  <si>
    <t>https://www.youtube.com/embed/VFJFvcNogFU?start=339&amp;end=474&amp;autoplay=1</t>
  </si>
  <si>
    <t>https://www.youtube.com/embed/VFJFvcNogFU?start=475&amp;end=702&amp;autoplay=1</t>
  </si>
  <si>
    <t>https://www.youtube.com/embed/VFJFvcNogFU?start=703&amp;end=786&amp;autoplay=1</t>
  </si>
  <si>
    <t>https://www.youtube.com/embed/VFJFvcNogFU?start=786&amp;end=880&amp;autoplay=1</t>
  </si>
  <si>
    <t>https://www.youtube.com/embed/VFJFvcNogFU?start=914&amp;end=1460&amp;autoplay=1</t>
  </si>
  <si>
    <t>https://www.youtube.com/embed/VFJFvcNogFU?start=1481&amp;end=1578&amp;autoplay=1</t>
  </si>
  <si>
    <t>https://www.youtube.com/embed/VFJFvcNogFU?start=1579&amp;end=1792&amp;autoplay=1</t>
  </si>
  <si>
    <t>https://www.youtube.com/embed/VFJFvcNogFU?start=1793&amp;end=1993&amp;autoplay=1</t>
  </si>
  <si>
    <t>https://www.youtube.com/embed/VFJFvcNogFU?start=1994&amp;end=2329&amp;autoplay=1</t>
  </si>
  <si>
    <t>https://www.youtube.com/embed/VFJFvcNogFU?start=2330&amp;end=2445&amp;autoplay=1</t>
  </si>
  <si>
    <t>https://www.youtube.com/embed/VFJFvcNogFU?start=2446&amp;end=2630&amp;autoplay=1</t>
  </si>
  <si>
    <t>https://www.youtube.com/embed/VFJFvcNogFU?start=2631&amp;end=2847&amp;autoplay=1</t>
  </si>
  <si>
    <t>https://www.youtube.com/embed/VFJFvcNogFU?start=2850&amp;end=3091&amp;autoplay=1</t>
  </si>
  <si>
    <t>https://www.youtube.com/embed/VFJFvcNogFU?start=3093&amp;end=3396&amp;autoplay=1</t>
  </si>
  <si>
    <t>https://www.youtube.com/embed/VFJFvcNogFU?start=3398&amp;end=3973&amp;autoplay=1</t>
  </si>
  <si>
    <t>https://www.youtube.com/embed/dHQ-HMVdPyE?start=127&amp;end=517&amp;autoplay=1</t>
  </si>
  <si>
    <t>https://www.youtube.com/embed/dHQ-HMVdPyE?start=518&amp;end=928&amp;autoplay=1</t>
  </si>
  <si>
    <t>https://www.youtube.com/embed/dHQ-HMVdPyE?start=929&amp;end=1155&amp;autoplay=1</t>
  </si>
  <si>
    <t>https://www.youtube.com/embed/dHQ-HMVdPyE?start=1156&amp;end=1454&amp;autoplay=1</t>
  </si>
  <si>
    <t>https://www.youtube.com/embed/dHQ-HMVdPyE?start=1455&amp;end=1807&amp;autoplay=1</t>
  </si>
  <si>
    <t>https://www.youtube.com/embed/dHQ-HMVdPyE?start=1808&amp;end=1980&amp;autoplay=1</t>
  </si>
  <si>
    <t>https://www.youtube.com/embed/dHQ-HMVdPyE?start=1983&amp;end=2486&amp;autoplay=1</t>
  </si>
  <si>
    <t>https://www.youtube.com/embed/dHQ-HMVdPyE?start=2489&amp;end=2696&amp;autoplay=1</t>
  </si>
  <si>
    <t>https://www.youtube.com/embed/dHQ-HMVdPyE?start=2697&amp;end=3650&amp;autoplay=1</t>
  </si>
  <si>
    <t>https://www.youtube.com/embed/JB_lc00AWIE?start=100&amp;end=298&amp;autoplay=1</t>
  </si>
  <si>
    <t>https://www.youtube.com/embed/JB_lc00AWIE?start=299&amp;end=720&amp;autoplay=1</t>
  </si>
  <si>
    <t>https://www.youtube.com/embed/JB_lc00AWIE?start=722&amp;end=958&amp;autoplay=1</t>
  </si>
  <si>
    <t>https://www.youtube.com/embed/JB_lc00AWIE?start=959&amp;end=1221&amp;autoplay=1</t>
  </si>
  <si>
    <t>https://www.youtube.com/embed/JB_lc00AWIE?start=1222&amp;end=1494&amp;autoplay=1</t>
  </si>
  <si>
    <t>https://www.youtube.com/embed/JB_lc00AWIE?start=1495&amp;end=1694&amp;autoplay=1</t>
  </si>
  <si>
    <t>https://www.youtube.com/embed/JB_lc00AWIE?start=1695&amp;end=2016&amp;autoplay=1</t>
  </si>
  <si>
    <t>https://www.youtube.com/embed/JB_lc00AWIE?start=2017&amp;end=2507&amp;autoplay=1</t>
  </si>
  <si>
    <t>https://www.youtube.com/embed/JB_lc00AWIE?start=2508&amp;end=2800&amp;autoplay=1</t>
  </si>
  <si>
    <t>https://www.youtube.com/embed/JB_lc00AWIE?start=2801&amp;end=3017&amp;autoplay=1</t>
  </si>
  <si>
    <t>https://www.youtube.com/embed/JB_lc00AWIE?start=3018&amp;end=3344&amp;autoplay=1</t>
  </si>
  <si>
    <t>https://www.youtube.com/embed/JB_lc00AWIE?start=3347&amp;end=3648&amp;autoplay=1</t>
  </si>
  <si>
    <t>https://www.youtube.com/embed/JB_lc00AWIE?start=4070&amp;end=4415&amp;autoplay=1</t>
  </si>
  <si>
    <t>https://www.youtube.com/embed/79r5KYH0nBI?start=53&amp;end=136&amp;autoplay=1</t>
  </si>
  <si>
    <t>https://www.youtube.com/embed/79r5KYH0nBI?start=248&amp;end=400&amp;autoplay=1</t>
  </si>
  <si>
    <t>https://www.youtube.com/embed/79r5KYH0nBI?start=408&amp;end=495&amp;autoplay=1</t>
  </si>
  <si>
    <t>https://www.youtube.com/embed/79r5KYH0nBI?start=515&amp;end=798&amp;autoplay=1</t>
  </si>
  <si>
    <t>https://www.youtube.com/embed/79r5KYH0nBI?start=798&amp;end=900&amp;autoplay=1</t>
  </si>
  <si>
    <t>https://www.youtube.com/embed/79r5KYH0nBI?start=943&amp;end=1176&amp;autoplay=1</t>
  </si>
  <si>
    <t>https://www.youtube.com/embed/79r5KYH0nBI?start=1383&amp;end=1672&amp;autoplay=1</t>
  </si>
  <si>
    <t>https://www.youtube.com/embed/79r5KYH0nBI?start=1745&amp;end=2013&amp;autoplay=1</t>
  </si>
  <si>
    <t>https://www.youtube.com/embed/79r5KYH0nBI?start=2100&amp;end=2280&amp;autoplay=1</t>
  </si>
  <si>
    <t>https://www.youtube.com/embed/79r5KYH0nBI?start=2282&amp;end=2513&amp;autoplay=1</t>
  </si>
  <si>
    <t>https://www.youtube.com/embed/79r5KYH0nBI?start=2515&amp;end=2698&amp;autoplay=1</t>
  </si>
  <si>
    <t>https://www.youtube.com/embed/79r5KYH0nBI?start=2700&amp;end=2858&amp;autoplay=1</t>
  </si>
  <si>
    <t>https://www.youtube.com/embed/4yz6ZL-TC94?start=224&amp;end=686&amp;autoplay=1</t>
  </si>
  <si>
    <t>https://www.youtube.com/embed/4yz6ZL-TC94?start=1005&amp;end=1305&amp;autoplay=1</t>
  </si>
  <si>
    <t>https://www.youtube.com/embed/4yz6ZL-TC94?start=1337&amp;end=1500&amp;autoplay=1</t>
  </si>
  <si>
    <t>https://www.youtube.com/embed/4yz6ZL-TC94?start=1501&amp;end=1725&amp;autoplay=1</t>
  </si>
  <si>
    <t>https://www.youtube.com/embed/4yz6ZL-TC94?start=1737&amp;end=2124&amp;autoplay=1</t>
  </si>
  <si>
    <t>https://www.youtube.com/embed/4yz6ZL-TC94?start=2205&amp;end=2522&amp;autoplay=1</t>
  </si>
  <si>
    <t>https://www.youtube.com/embed/4yz6ZL-TC94?start=2542&amp;end=3088&amp;autoplay=1</t>
  </si>
  <si>
    <t>https://www.youtube.com/embed/4yz6ZL-TC94?start=3095&amp;end=3437&amp;autoplay=1</t>
  </si>
  <si>
    <t>https://www.youtube.com/embed/4yz6ZL-TC94?start=3319&amp;end=3874&amp;autoplay=1</t>
  </si>
  <si>
    <t>https://www.youtube.com/embed/4yz6ZL-TC94?start=3875&amp;end=4107&amp;autoplay=1</t>
  </si>
  <si>
    <t>https://www.youtube.com/embed/4yz6ZL-TC94?start=4197&amp;end=4373&amp;autoplay=1</t>
  </si>
  <si>
    <t>https://www.youtube.com/embed/4yz6ZL-TC94?start=4394&amp;end=4513&amp;autoplay=1</t>
  </si>
  <si>
    <t>https://www.youtube.com/embed/4yz6ZL-TC94?start=4515&amp;end=4758&amp;autoplay=1</t>
  </si>
  <si>
    <t>https://www.youtube.com/embed/4yz6ZL-TC94?start=4762&amp;end=5039&amp;autoplay=1</t>
  </si>
  <si>
    <t>https://www.youtube.com/embed/4yz6ZL-TC94?start=5041&amp;end=5400&amp;autoplay=1</t>
  </si>
  <si>
    <t>https://www.youtube.com/embed/4yz6ZL-TC94?start=5400&amp;end=5625&amp;autoplay=1</t>
  </si>
  <si>
    <t>https://www.youtube.com/embed/y1fdkGgCt64?start=450&amp;end=869&amp;autoplay=1</t>
  </si>
  <si>
    <t>https://www.youtube.com/embed/y1fdkGgCt64?start=878&amp;end=946&amp;autoplay=1</t>
  </si>
  <si>
    <t>https://www.youtube.com/embed/y1fdkGgCt64?start=948&amp;end=1174&amp;autoplay=1</t>
  </si>
  <si>
    <t>https://www.youtube.com/embed/y1fdkGgCt64?start=1187&amp;end=1454&amp;autoplay=1</t>
  </si>
  <si>
    <t>https://www.youtube.com/embed/y1fdkGgCt64?start=1455&amp;end=1589&amp;autoplay=1</t>
  </si>
  <si>
    <t>https://www.youtube.com/embed/y1fdkGgCt64?start=1590&amp;end=2034&amp;autoplay=1</t>
  </si>
  <si>
    <t>https://www.youtube.com/embed/y1fdkGgCt64?start=3216&amp;end=3516&amp;autoplay=1</t>
  </si>
  <si>
    <t>https://www.youtube.com/embed/y1fdkGgCt64?start=3530&amp;end=3715&amp;autoplay=1</t>
  </si>
  <si>
    <t>https://www.youtube.com/embed/y1fdkGgCt64?start=3716&amp;end=4217&amp;autoplay=1</t>
  </si>
  <si>
    <t>https://www.youtube.com/embed/y1fdkGgCt64?start=4218&amp;end=4618&amp;autoplay=1</t>
  </si>
  <si>
    <t>https://www.youtube.com/embed/y1fdkGgCt64?start=4658&amp;end=5163&amp;autoplay=1</t>
  </si>
  <si>
    <t>https://www.youtube.com/embed/y1fdkGgCt64?start=5173&amp;end=5553&amp;autoplay=1</t>
  </si>
  <si>
    <t>https://www.youtube.com/embed/y1fdkGgCt64?start=5573&amp;end=5900&amp;autoplay=1</t>
  </si>
  <si>
    <t>https://www.youtube.com/embed/8RSu4ymCgp4?start=16&amp;end=265&amp;autoplay=1</t>
  </si>
  <si>
    <t>https://www.youtube.com/embed/8RSu4ymCgp4?start=272&amp;end=478&amp;autoplay=1</t>
  </si>
  <si>
    <t>https://www.youtube.com/embed/8RSu4ymCgp4?start=860&amp;end=1247&amp;autoplay=1</t>
  </si>
  <si>
    <t>https://www.youtube.com/embed/8RSu4ymCgp4?start=1248&amp;end=1456&amp;autoplay=1</t>
  </si>
  <si>
    <t>https://www.youtube.com/embed/8RSu4ymCgp4?start=1458&amp;end=1607&amp;autoplay=1</t>
  </si>
  <si>
    <t>https://www.youtube.com/embed/8RSu4ymCgp4?start=1608&amp;end=1935&amp;autoplay=1</t>
  </si>
  <si>
    <t>https://www.youtube.com/embed/8RSu4ymCgp4?start=1937&amp;end=2004&amp;autoplay=1</t>
  </si>
  <si>
    <t>https://www.youtube.com/embed/8RSu4ymCgp4?start=2005&amp;end=2073&amp;autoplay=1</t>
  </si>
  <si>
    <t>https://www.youtube.com/embed/8RSu4ymCgp4?start=2075&amp;end=2196&amp;autoplay=1</t>
  </si>
  <si>
    <t>https://www.youtube.com/embed/8RSu4ymCgp4?start=2197&amp;end=2334&amp;autoplay=1</t>
  </si>
  <si>
    <t>https://www.youtube.com/embed/8RSu4ymCgp4?start=2335&amp;end=2638&amp;autoplay=1</t>
  </si>
  <si>
    <t>https://www.youtube.com/embed/8RSu4ymCgp4?start=2640&amp;end=3213&amp;autoplay=1</t>
  </si>
  <si>
    <t>https://www.youtube.com/embed/8RSu4ymCgp4?start=3215&amp;end=3720&amp;autoplay=1</t>
  </si>
  <si>
    <t>https://www.youtube.com/embed/8RSu4ymCgp4?start=3748&amp;end=4123&amp;autoplay=1</t>
  </si>
  <si>
    <t>https://www.youtube.com/embed/8RSu4ymCgp4?start=4124&amp;end=4595&amp;autoplay=1</t>
  </si>
  <si>
    <t>https://www.youtube.com/embed/8RSu4ymCgp4?start=4563&amp;end=4687&amp;autoplay=1</t>
  </si>
  <si>
    <t>https://www.youtube.com/embed/8RSu4ymCgp4?start=4688&amp;end=4790&amp;autoplay=1</t>
  </si>
  <si>
    <t>https://www.youtube.com/embed/8RSu4ymCgp4?start=4800&amp;end=5135&amp;autoplay=1</t>
  </si>
  <si>
    <t>https://www.youtube.com/embed/8RSu4ymCgp4?start=5136&amp;end=5549&amp;autoplay=1</t>
  </si>
  <si>
    <t>https://www.youtube.com/embed/8RSu4ymCgp4?start=5550&amp;end=5885&amp;autoplay=1</t>
  </si>
  <si>
    <t>https://www.youtube.com/embed/8RSu4ymCgp4?start=5886&amp;end=5959&amp;autoplay=1</t>
  </si>
  <si>
    <t>https://www.youtube.com/embed/8RSu4ymCgp4?start=5960&amp;end=6076&amp;autoplay=1</t>
  </si>
  <si>
    <t>https://www.youtube.com/embed/8RSu4ymCgp4?start=6078&amp;end=6420&amp;autoplay=1</t>
  </si>
  <si>
    <t>https://www.youtube.com/embed/8RSu4ymCgp4?start=6455&amp;end=6892&amp;autoplay=1</t>
  </si>
  <si>
    <t>https://www.youtube.com/embed/8RSu4ymCgp4?start=6911&amp;end=7503&amp;autoplay=1</t>
  </si>
  <si>
    <t>https://www.youtube.com/embed/tUBrwCmKx8s?start=2&amp;end=866&amp;autoplay=1</t>
  </si>
  <si>
    <t>https://www.youtube.com/embed/tUBrwCmKx8s?start=867&amp;end=1035&amp;autoplay=1</t>
  </si>
  <si>
    <t>https://www.youtube.com/embed/tUBrwCmKx8s?start=1035&amp;end=1088&amp;autoplay=1</t>
  </si>
  <si>
    <t>https://www.youtube.com/embed/tUBrwCmKx8s?start=1089&amp;end=1148&amp;autoplay=1</t>
  </si>
  <si>
    <t>https://www.youtube.com/embed/tUBrwCmKx8s?start=1149&amp;end=1600&amp;autoplay=1</t>
  </si>
  <si>
    <t>https://www.youtube.com/embed/tUBrwCmKx8s?start=1602&amp;end=1690&amp;autoplay=1</t>
  </si>
  <si>
    <t>https://www.youtube.com/embed/tUBrwCmKx8s?start=1692&amp;end=1835&amp;autoplay=1</t>
  </si>
  <si>
    <t>https://www.youtube.com/embed/tUBrwCmKx8s?start=1837&amp;end=1966&amp;autoplay=1</t>
  </si>
  <si>
    <t>https://www.youtube.com/embed/tUBrwCmKx8s?start=1968&amp;end=2007&amp;autoplay=1</t>
  </si>
  <si>
    <t>https://www.youtube.com/embed/tUBrwCmKx8s?start=2008&amp;end=2395&amp;autoplay=1</t>
  </si>
  <si>
    <t>https://www.youtube.com/embed/tUBrwCmKx8s?start=2396&amp;end=2687&amp;autoplay=1</t>
  </si>
  <si>
    <t>https://www.youtube.com/embed/tUBrwCmKx8s?start=2690&amp;end=2789&amp;autoplay=1</t>
  </si>
  <si>
    <t>https://www.youtube.com/embed/tUBrwCmKx8s?start=2798&amp;end=2869&amp;autoplay=1</t>
  </si>
  <si>
    <t>https://www.youtube.com/embed/tUBrwCmKx8s?start=2871&amp;end=3205&amp;autoplay=1</t>
  </si>
  <si>
    <t>https://www.youtube.com/embed/tUBrwCmKx8s?start=3206&amp;end=3488&amp;autoplay=1</t>
  </si>
  <si>
    <t>https://www.youtube.com/embed/tUBrwCmKx8s?start=3705&amp;end=3878&amp;autoplay=1</t>
  </si>
  <si>
    <t>https://www.youtube.com/embed/tUBrwCmKx8s?start=4526&amp;end=4701&amp;autoplay=1</t>
  </si>
  <si>
    <t>https://www.youtube.com/embed/T0iutxik1Eg?start=1&amp;end=370&amp;autoplay=1</t>
  </si>
  <si>
    <t>https://www.youtube.com/embed/T0iutxik1Eg?start=371&amp;end=873&amp;autoplay=1</t>
  </si>
  <si>
    <t>https://www.youtube.com/embed/T0iutxik1Eg?start=899&amp;end=1138&amp;autoplay=1</t>
  </si>
  <si>
    <t>https://www.youtube.com/embed/T0iutxik1Eg?start=1153&amp;end=1420&amp;autoplay=1</t>
  </si>
  <si>
    <t>https://www.youtube.com/embed/T0iutxik1Eg?start=1425&amp;end=1689&amp;autoplay=1</t>
  </si>
  <si>
    <t>https://www.youtube.com/embed/T0iutxik1Eg?start=1702&amp;end=1870&amp;autoplay=1</t>
  </si>
  <si>
    <t>https://www.youtube.com/embed/T0iutxik1Eg?start=1872&amp;end=2068&amp;autoplay=1</t>
  </si>
  <si>
    <t>https://www.youtube.com/embed/T0iutxik1Eg?start=2070&amp;end=2130&amp;autoplay=1</t>
  </si>
  <si>
    <t>https://www.youtube.com/embed/T0iutxik1Eg?start=2132&amp;end=2390&amp;autoplay=1</t>
  </si>
  <si>
    <t>https://www.youtube.com/embed/T0iutxik1Eg?start=2710&amp;end=3050&amp;autoplay=1</t>
  </si>
  <si>
    <t>https://www.youtube.com/embed/ucgD3lqwZX0?start=0&amp;end=424&amp;autoplay=1</t>
  </si>
  <si>
    <t>https://www.youtube.com/embed/5bAuJCTjg8s?start=0&amp;end=198&amp;autoplay=1</t>
  </si>
  <si>
    <t>https://www.youtube.com/embed/d9KgrM48iGg?start=0&amp;end=150&amp;autoplay=1</t>
  </si>
  <si>
    <t>https://www.youtube.com/embed/4h6drLmYTr8?start=0&amp;end=206&amp;autoplay=1</t>
  </si>
  <si>
    <t>https://www.youtube.com/embed/2uOiM67vK6A?start=0&amp;end=101&amp;autoplay=1</t>
  </si>
  <si>
    <t>https://www.youtube.com/embed/Y1SUVA0PU1o?start=0&amp;end=183&amp;autoplay=1</t>
  </si>
  <si>
    <t>https://www.youtube.com/embed/8iuVX1AkV_0?start=0&amp;end=492&amp;autoplay=1</t>
  </si>
  <si>
    <t>https://www.youtube.com/embed/wH8I0vSB-Os?start=0&amp;end=186&amp;autoplay=1</t>
  </si>
  <si>
    <t>https://www.youtube.com/embed/XWeFa6jUiPw?start=450&amp;end=626&amp;autoplay=1</t>
  </si>
  <si>
    <t>https://www.youtube.com/embed/XWeFa6jUiPw?start=708&amp;end=1137&amp;autoplay=1</t>
  </si>
  <si>
    <t>https://www.youtube.com/embed/XWeFa6jUiPw?start=1137&amp;end=1425&amp;autoplay=1</t>
  </si>
  <si>
    <t>https://www.youtube.com/embed/XWeFa6jUiPw?start=1427&amp;end=1818&amp;autoplay=1</t>
  </si>
  <si>
    <t>https://www.youtube.com/embed/XWeFa6jUiPw?start=1819&amp;end=2273&amp;autoplay=1</t>
  </si>
  <si>
    <t>https://www.youtube.com/embed/XWeFa6jUiPw?start=2274&amp;end=2622&amp;autoplay=1</t>
  </si>
  <si>
    <t>https://www.youtube.com/embed/XWeFa6jUiPw?start=2610&amp;end=2938&amp;autoplay=1</t>
  </si>
  <si>
    <t>https://www.youtube.com/embed/XWeFa6jUiPw?start=2942&amp;end=3170&amp;autoplay=1</t>
  </si>
  <si>
    <t>https://www.youtube.com/embed/XWeFa6jUiPw?start=3172&amp;end=3483&amp;autoplay=1</t>
  </si>
  <si>
    <t>https://www.youtube.com/embed/XWeFa6jUiPw?start=3487&amp;end=3898&amp;autoplay=1</t>
  </si>
  <si>
    <t>https://www.youtube.com/embed/XWeFa6jUiPw?start=3899&amp;end=4320&amp;autoplay=1</t>
  </si>
  <si>
    <t>https://www.youtube.com/embed/SNpVBfgzPmo?start=17&amp;end=332&amp;autoplay=1</t>
  </si>
  <si>
    <t>https://www.youtube.com/embed/SNpVBfgzPmo?start=334&amp;end=522&amp;autoplay=1</t>
  </si>
  <si>
    <t>https://www.youtube.com/embed/SNpVBfgzPmo?start=523&amp;end=1665&amp;autoplay=1</t>
  </si>
  <si>
    <t>https://www.youtube.com/embed/SNpVBfgzPmo?start=1665&amp;end=2363&amp;autoplay=1</t>
  </si>
  <si>
    <t>https://www.youtube.com/embed/VFJFvcNogFU?start=3974&amp;end=4237&amp;autoplay=1</t>
  </si>
  <si>
    <t>https://www.youtube.com/embed/VFJFvcNogFU?start=4238&amp;end=5379&amp;autoplay=1</t>
  </si>
  <si>
    <t>https://www.youtube.com/embed/VFJFvcNogFU?start=5380&amp;end=5791&amp;autoplay=1</t>
  </si>
  <si>
    <t>https://www.youtube.com/embed/VFJFvcNogFU?start=5792&amp;end=6074&amp;autoplay=1</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</si>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</sst>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hh:mm:ss"/>
    <numFmt numFmtId="165" formatCode="h&quot;:&quot;mm&quot;:&quot;ss"/>
    <numFmt numFmtId="166" formatCode="d\-mmm\-yy"/>
    <numFmt numFmtId="167" formatCode="dd&quot;-&quot;mmm&quot;-&quot;yy"/>
    <numFmt numFmtId="168" formatCode="d\ mmm"/>
    <numFmt numFmtId="169" formatCode="dd\-mmm\-yy"/>
    <numFmt numFmtId="170" formatCode="d\-mmm\-yyyy"/>
    <numFmt numFmtId="171" formatCode="0.0"/>
    <numFmt numFmtId="172" formatCode="d&quot;-&quot;mmm&quot;-&quot;yy"/>
    <numFmt numFmtId="173" formatCode="d\ mmm\ yyyy"/>
    <numFmt numFmtId="174" formatCode="[h]:mm:ss;@"/>
  </numFmts>
  <fonts count="82">
    <font>
      <sz val="11"/>
      <color rgb="FF000000"/>
      <name val="Calibri"/>
    </font>
    <font>
      <sz val="11"/>
      <name val="Calibri"/>
    </font>
    <font>
      <sz val="8"/>
      <color rgb="FF000000"/>
      <name val="Arial"/>
    </font>
    <font>
      <b/>
      <sz val="14"/>
      <name val="Calibri"/>
    </font>
    <font>
      <u/>
      <sz val="11"/>
      <color rgb="FF0000FF"/>
      <name val="Calibri"/>
    </font>
    <font>
      <u/>
      <sz val="8"/>
      <color rgb="FF0563C1"/>
      <name val="Calibri"/>
    </font>
    <font>
      <u/>
      <sz val="8"/>
      <color rgb="FF0563C1"/>
      <name val="Calibri"/>
    </font>
    <font>
      <sz val="11"/>
      <color rgb="FFFF0000"/>
      <name val="Calibri"/>
    </font>
    <font>
      <u/>
      <sz val="8"/>
      <color rgb="FF0563C1"/>
      <name val="Calibri"/>
    </font>
    <font>
      <u/>
      <sz val="8"/>
      <color rgb="FF0563C1"/>
      <name val="Calibri"/>
    </font>
    <font>
      <sz val="11"/>
      <name val="Calibri"/>
    </font>
    <font>
      <sz val="8"/>
      <name val="Calibri"/>
    </font>
    <font>
      <sz val="10"/>
      <color rgb="FF000000"/>
      <name val="Arial"/>
    </font>
    <font>
      <u/>
      <sz val="8"/>
      <color rgb="FF0563C1"/>
      <name val="Calibri"/>
    </font>
    <font>
      <sz val="8"/>
      <name val="Calibri"/>
    </font>
    <font>
      <u/>
      <sz val="8"/>
      <color rgb="FF0563C1"/>
      <name val="Calibri"/>
    </font>
    <font>
      <u/>
      <sz val="11"/>
      <color rgb="FF0000FF"/>
      <name val="Calibri"/>
    </font>
    <font>
      <u/>
      <sz val="11"/>
      <color rgb="FF000000"/>
      <name val="Calibri"/>
    </font>
    <font>
      <u/>
      <sz val="10"/>
      <color rgb="FF0563C1"/>
      <name val="Calibri"/>
    </font>
    <font>
      <sz val="11"/>
      <color rgb="FFF3F3F3"/>
      <name val="Calibri"/>
    </font>
    <font>
      <u/>
      <sz val="8"/>
      <color rgb="FF0563C1"/>
      <name val="Arial"/>
    </font>
    <font>
      <u/>
      <sz val="8"/>
      <color rgb="FF000000"/>
      <name val="Arial"/>
    </font>
    <font>
      <sz val="8"/>
      <color rgb="FFFF0000"/>
      <name val="Arial"/>
    </font>
    <font>
      <sz val="11"/>
      <color rgb="FF000000"/>
      <name val="Arial"/>
    </font>
    <font>
      <sz val="8"/>
      <name val="Arial"/>
    </font>
    <font>
      <u/>
      <sz val="8"/>
      <color rgb="FF0563C1"/>
      <name val="Arial"/>
    </font>
    <font>
      <u/>
      <sz val="8"/>
      <color rgb="FF000000"/>
      <name val="Arial"/>
    </font>
    <font>
      <u/>
      <sz val="8"/>
      <color rgb="FF000000"/>
      <name val="Arial"/>
    </font>
    <font>
      <sz val="9"/>
      <color rgb="FF000000"/>
      <name val="Calibri"/>
    </font>
    <font>
      <sz val="8"/>
      <color rgb="FF000000"/>
      <name val="Calibri"/>
    </font>
    <font>
      <u/>
      <sz val="8"/>
      <color rgb="FF0563C1"/>
      <name val="Arial"/>
    </font>
    <font>
      <u/>
      <sz val="8"/>
      <color rgb="FF0563C1"/>
      <name val="Arial"/>
    </font>
    <font>
      <u/>
      <sz val="8"/>
      <color rgb="FF0563C1"/>
      <name val="Arial"/>
    </font>
    <font>
      <u/>
      <sz val="8"/>
      <color rgb="FF000000"/>
      <name val="Arial"/>
    </font>
    <font>
      <sz val="9"/>
      <name val="Calibri"/>
    </font>
    <font>
      <u/>
      <sz val="8"/>
      <color rgb="FF0563C1"/>
      <name val="Arial"/>
    </font>
    <font>
      <u/>
      <sz val="8"/>
      <color rgb="FF0563C1"/>
      <name val="Arial"/>
    </font>
    <font>
      <u/>
      <sz val="8"/>
      <color rgb="FF0563C1"/>
      <name val="Arial"/>
    </font>
    <font>
      <sz val="8"/>
      <color rgb="FF000000"/>
      <name val="Calibri"/>
    </font>
    <font>
      <u/>
      <sz val="8"/>
      <color rgb="FF0563C1"/>
      <name val="Calibri"/>
    </font>
    <font>
      <sz val="8"/>
      <color rgb="FF000000"/>
      <name val="'Calibri'"/>
    </font>
    <font>
      <u/>
      <sz val="10"/>
      <color rgb="FF0563C1"/>
      <name val="Arial"/>
    </font>
    <font>
      <u/>
      <sz val="10"/>
      <color rgb="FF0563C1"/>
      <name val="Arial"/>
    </font>
    <font>
      <sz val="10"/>
      <name val="Arial"/>
    </font>
    <font>
      <u/>
      <sz val="10"/>
      <color rgb="FF0563C1"/>
      <name val="Arial"/>
    </font>
    <font>
      <u/>
      <sz val="10"/>
      <color rgb="FF0563C1"/>
      <name val="Arial"/>
    </font>
    <font>
      <u/>
      <sz val="10"/>
      <color rgb="FF0563C1"/>
      <name val="Arial"/>
    </font>
    <font>
      <sz val="10"/>
      <name val="Calibri"/>
    </font>
    <font>
      <sz val="10"/>
      <color rgb="FF000000"/>
      <name val="Calibri"/>
    </font>
    <font>
      <sz val="10"/>
      <name val="Calibri"/>
    </font>
    <font>
      <b/>
      <sz val="10"/>
      <name val="Calibri"/>
    </font>
    <font>
      <u/>
      <sz val="8"/>
      <color rgb="FF0563C1"/>
      <name val="Arial"/>
    </font>
    <font>
      <u/>
      <sz val="8"/>
      <color rgb="FF0563C1"/>
      <name val="Arial"/>
    </font>
    <font>
      <u/>
      <sz val="8"/>
      <color rgb="FF0563C1"/>
      <name val="Arial"/>
    </font>
    <font>
      <u/>
      <sz val="10"/>
      <color rgb="FF0563C1"/>
      <name val="Arial"/>
    </font>
    <font>
      <sz val="11"/>
      <name val="Arial"/>
    </font>
    <font>
      <b/>
      <sz val="11"/>
      <name val="Arial"/>
    </font>
    <font>
      <sz val="11"/>
      <name val="Arial"/>
    </font>
    <font>
      <sz val="11"/>
      <color rgb="FF000000"/>
      <name val="Arial"/>
    </font>
    <font>
      <b/>
      <sz val="11"/>
      <name val="Arial"/>
    </font>
    <font>
      <u/>
      <sz val="11"/>
      <color rgb="FF0000FF"/>
      <name val="Calibri"/>
    </font>
    <font>
      <sz val="11"/>
      <color rgb="FF000000"/>
      <name val="Calibri"/>
    </font>
    <font>
      <b/>
      <sz val="10"/>
      <name val="Arial"/>
    </font>
    <font>
      <sz val="10"/>
      <color rgb="FF222222"/>
      <name val="Arial"/>
    </font>
    <font>
      <sz val="11"/>
      <color rgb="FF222222"/>
      <name val="Arial"/>
    </font>
    <font>
      <b/>
      <sz val="10"/>
      <color rgb="FF222222"/>
      <name val="Arial"/>
    </font>
    <font>
      <u/>
      <sz val="11"/>
      <color theme="10"/>
      <name val="Calibri"/>
    </font>
    <font>
      <sz val="8"/>
      <color rgb="FF000000"/>
      <name val="Calibri"/>
      <family val="2"/>
    </font>
    <font>
      <b/>
      <sz val="8"/>
      <color theme="1"/>
      <name val="Calibri"/>
      <family val="2"/>
    </font>
    <font>
      <sz val="8"/>
      <color rgb="FF000000"/>
      <name val="Arial"/>
      <family val="2"/>
    </font>
    <font>
      <sz val="11"/>
      <color rgb="FF000000"/>
      <name val="Calibri"/>
      <family val="2"/>
    </font>
    <font>
      <sz val="9"/>
      <color rgb="FF000000"/>
      <name val="Calibri"/>
      <family val="2"/>
    </font>
    <font>
      <b/>
      <sz val="9"/>
      <color theme="1"/>
      <name val="Calibri"/>
      <family val="2"/>
    </font>
    <font>
      <b/>
      <sz val="12"/>
      <color rgb="FF000000"/>
      <name val="Calibri"/>
      <family val="2"/>
    </font>
    <font>
      <b/>
      <sz val="11"/>
      <color rgb="FF000000"/>
      <name val="Calibri"/>
      <family val="2"/>
    </font>
    <font>
      <b/>
      <sz val="16"/>
      <color theme="1"/>
      <name val="Calibri"/>
      <family val="2"/>
    </font>
    <font>
      <b/>
      <sz val="18"/>
      <color theme="1"/>
      <name val="Calibri"/>
      <family val="2"/>
    </font>
    <font>
      <b/>
      <sz val="18"/>
      <color rgb="FF000000"/>
      <name val="Calibri"/>
      <family val="2"/>
    </font>
    <font>
      <u/>
      <sz val="8"/>
      <color theme="10"/>
      <name val="Calibri"/>
      <family val="2"/>
    </font>
    <font>
      <sz val="8"/>
      <color rgb="FFFF0000"/>
      <name val="Arial"/>
      <family val="2"/>
    </font>
    <font>
      <sz val="8"/>
      <name val="Arial"/>
      <family val="2"/>
    </font>
    <font>
      <sz val="8"/>
      <name val="Calibri"/>
      <family val="2"/>
    </font>
  </fonts>
  <fills count="24">
    <fill>
      <patternFill patternType="none"/>
    </fill>
    <fill>
      <patternFill patternType="gray125"/>
    </fill>
    <fill>
      <patternFill patternType="solid">
        <fgColor rgb="FF999999"/>
        <bgColor rgb="FF999999"/>
      </patternFill>
    </fill>
    <fill>
      <patternFill patternType="solid">
        <fgColor rgb="FFFFFF00"/>
        <bgColor rgb="FFFFFF00"/>
      </patternFill>
    </fill>
    <fill>
      <patternFill patternType="solid">
        <fgColor rgb="FF92D050"/>
        <bgColor rgb="FF92D050"/>
      </patternFill>
    </fill>
    <fill>
      <patternFill patternType="solid">
        <fgColor rgb="FF00B0F0"/>
        <bgColor rgb="FF00B0F0"/>
      </patternFill>
    </fill>
    <fill>
      <patternFill patternType="solid">
        <fgColor rgb="FFFF0000"/>
        <bgColor rgb="FFFF0000"/>
      </patternFill>
    </fill>
    <fill>
      <patternFill patternType="solid">
        <fgColor rgb="FFB4C6E7"/>
        <bgColor rgb="FFB4C6E7"/>
      </patternFill>
    </fill>
    <fill>
      <patternFill patternType="solid">
        <fgColor rgb="FF1155CC"/>
        <bgColor rgb="FF1155CC"/>
      </patternFill>
    </fill>
    <fill>
      <patternFill patternType="solid">
        <fgColor rgb="FFCC0000"/>
        <bgColor rgb="FFCC0000"/>
      </patternFill>
    </fill>
    <fill>
      <patternFill patternType="solid">
        <fgColor rgb="FFFFFFFF"/>
        <bgColor rgb="FFFFFFFF"/>
      </patternFill>
    </fill>
    <fill>
      <patternFill patternType="solid">
        <fgColor rgb="FF3C78D8"/>
        <bgColor rgb="FF3C78D8"/>
      </patternFill>
    </fill>
    <fill>
      <patternFill patternType="solid">
        <fgColor rgb="FFFBFBFB"/>
        <bgColor rgb="FFFBFBFB"/>
      </patternFill>
    </fill>
    <fill>
      <patternFill patternType="solid">
        <fgColor rgb="FFCCCCCC"/>
        <bgColor rgb="FFCCCCCC"/>
      </patternFill>
    </fill>
    <fill>
      <patternFill patternType="solid">
        <fgColor theme="7" tint="0.59999389629810485"/>
        <bgColor theme="4" tint="0.79998168889431442"/>
      </patternFill>
    </fill>
    <fill>
      <patternFill patternType="solid">
        <fgColor theme="9" tint="0.39997558519241921"/>
        <bgColor theme="4" tint="0.79998168889431442"/>
      </patternFill>
    </fill>
    <fill>
      <patternFill patternType="solid">
        <fgColor rgb="FF00B0F0"/>
        <bgColor theme="4" tint="0.79998168889431442"/>
      </patternFill>
    </fill>
    <fill>
      <patternFill patternType="solid">
        <fgColor theme="7" tint="0.59999389629810485"/>
        <bgColor indexed="64"/>
      </patternFill>
    </fill>
    <fill>
      <patternFill patternType="solid">
        <fgColor theme="9" tint="0.39997558519241921"/>
        <bgColor indexed="64"/>
      </patternFill>
    </fill>
    <fill>
      <patternFill patternType="solid">
        <fgColor rgb="FF00B0F0"/>
        <bgColor indexed="64"/>
      </patternFill>
    </fill>
    <fill>
      <patternFill patternType="solid">
        <fgColor rgb="FFFFFF00"/>
        <bgColor indexed="64"/>
      </patternFill>
    </fill>
    <fill>
      <patternFill patternType="solid">
        <fgColor rgb="FFFFFF00"/>
        <bgColor theme="4" tint="0.79998168889431442"/>
      </patternFill>
    </fill>
    <fill>
      <patternFill patternType="solid">
        <fgColor theme="4" tint="0.79998168889431442"/>
        <bgColor indexed="64"/>
      </patternFill>
    </fill>
    <fill>
      <patternFill patternType="solid">
        <fgColor theme="3" tint="0.79998168889431442"/>
        <bgColor indexed="64"/>
      </patternFill>
    </fill>
  </fills>
  <borders count="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66" fillId="0" borderId="0" applyNumberFormat="0" applyFill="0" applyBorder="0" applyAlignment="0" applyProtection="0"/>
  </cellStyleXfs>
  <cellXfs count="441">
    <xf numFmtId="0" fontId="0" fillId="0" borderId="0" xfId="0" applyFont="1" applyAlignment="1"/>
    <xf numFmtId="0" fontId="1" fillId="2" borderId="0" xfId="0" applyFont="1" applyFill="1" applyAlignment="1"/>
    <xf numFmtId="0" fontId="2" fillId="0" borderId="0" xfId="0" applyFont="1" applyAlignment="1">
      <alignment horizontal="left" wrapText="1"/>
    </xf>
    <xf numFmtId="0" fontId="1" fillId="0" borderId="0" xfId="0" applyFont="1" applyAlignment="1"/>
    <xf numFmtId="0" fontId="4" fillId="0" borderId="0" xfId="0" applyFont="1" applyAlignment="1"/>
    <xf numFmtId="0" fontId="5" fillId="3" borderId="0" xfId="0" applyFont="1" applyFill="1" applyAlignment="1">
      <alignment horizontal="center" wrapText="1"/>
    </xf>
    <xf numFmtId="0" fontId="0" fillId="0" borderId="0" xfId="0" applyFont="1" applyAlignment="1"/>
    <xf numFmtId="0" fontId="6" fillId="0" borderId="0" xfId="0" applyFont="1" applyAlignment="1">
      <alignment horizontal="center" wrapText="1"/>
    </xf>
    <xf numFmtId="0" fontId="7" fillId="0" borderId="0" xfId="0" applyFont="1" applyAlignment="1"/>
    <xf numFmtId="0" fontId="8" fillId="4" borderId="0" xfId="0" applyFont="1" applyFill="1" applyAlignment="1">
      <alignment horizontal="left" wrapText="1"/>
    </xf>
    <xf numFmtId="0" fontId="1" fillId="0" borderId="0" xfId="0" applyFont="1" applyAlignment="1"/>
    <xf numFmtId="0" fontId="9" fillId="0" borderId="0" xfId="0" applyFont="1" applyAlignment="1">
      <alignment horizontal="left" wrapText="1"/>
    </xf>
    <xf numFmtId="0" fontId="10" fillId="0" borderId="0" xfId="0" applyFont="1" applyAlignment="1"/>
    <xf numFmtId="0" fontId="11" fillId="0" borderId="0" xfId="0" applyFont="1" applyAlignment="1">
      <alignment horizontal="left"/>
    </xf>
    <xf numFmtId="0" fontId="2" fillId="0" borderId="0" xfId="0" applyFont="1" applyAlignment="1">
      <alignment horizontal="left"/>
    </xf>
    <xf numFmtId="2" fontId="1" fillId="0" borderId="0" xfId="0" applyNumberFormat="1" applyFont="1" applyAlignment="1"/>
    <xf numFmtId="0" fontId="2" fillId="0" borderId="0" xfId="0" applyFont="1" applyAlignment="1">
      <alignment horizontal="left" wrapText="1"/>
    </xf>
    <xf numFmtId="0" fontId="0" fillId="0" borderId="0" xfId="0" applyFont="1" applyAlignment="1"/>
    <xf numFmtId="0" fontId="12" fillId="3" borderId="1" xfId="0" applyFont="1" applyFill="1" applyBorder="1" applyAlignment="1">
      <alignment horizontal="left" wrapText="1"/>
    </xf>
    <xf numFmtId="0" fontId="13" fillId="0" borderId="0" xfId="0" applyFont="1" applyAlignment="1">
      <alignment horizontal="left" wrapText="1"/>
    </xf>
    <xf numFmtId="0" fontId="12" fillId="4" borderId="1" xfId="0" applyFont="1" applyFill="1" applyBorder="1" applyAlignment="1">
      <alignment horizontal="left" wrapText="1"/>
    </xf>
    <xf numFmtId="0" fontId="14" fillId="0" borderId="0" xfId="0" applyFont="1" applyAlignment="1">
      <alignment horizontal="left"/>
    </xf>
    <xf numFmtId="0" fontId="12" fillId="5" borderId="1" xfId="0" applyFont="1" applyFill="1" applyBorder="1" applyAlignment="1">
      <alignment horizontal="left" wrapText="1"/>
    </xf>
    <xf numFmtId="164" fontId="2" fillId="6" borderId="1" xfId="0" applyNumberFormat="1" applyFont="1" applyFill="1" applyBorder="1" applyAlignment="1">
      <alignment horizontal="left" wrapText="1"/>
    </xf>
    <xf numFmtId="0" fontId="12" fillId="7" borderId="1" xfId="0" applyFont="1" applyFill="1" applyBorder="1" applyAlignment="1">
      <alignment horizontal="left"/>
    </xf>
    <xf numFmtId="165" fontId="2" fillId="0" borderId="0" xfId="0" applyNumberFormat="1" applyFont="1" applyAlignment="1">
      <alignment horizontal="left" wrapText="1"/>
    </xf>
    <xf numFmtId="0" fontId="15" fillId="0" borderId="0" xfId="0" applyFont="1" applyAlignment="1">
      <alignment horizontal="left" wrapText="1"/>
    </xf>
    <xf numFmtId="0" fontId="16" fillId="0" borderId="0" xfId="0" applyFont="1" applyAlignment="1">
      <alignment horizontal="left"/>
    </xf>
    <xf numFmtId="0" fontId="2" fillId="3" borderId="1" xfId="0" applyFont="1" applyFill="1" applyBorder="1" applyAlignment="1">
      <alignment horizontal="left" wrapText="1"/>
    </xf>
    <xf numFmtId="0" fontId="2" fillId="4" borderId="1" xfId="0" applyFont="1" applyFill="1" applyBorder="1" applyAlignment="1">
      <alignment horizontal="left" wrapText="1"/>
    </xf>
    <xf numFmtId="0" fontId="2" fillId="5" borderId="1" xfId="0" applyFont="1" applyFill="1" applyBorder="1" applyAlignment="1">
      <alignment horizontal="left" wrapText="1"/>
    </xf>
    <xf numFmtId="0" fontId="17" fillId="0" borderId="0" xfId="0" applyFont="1" applyAlignment="1">
      <alignment horizontal="left"/>
    </xf>
    <xf numFmtId="0" fontId="18" fillId="7" borderId="1" xfId="0" applyFont="1" applyFill="1" applyBorder="1" applyAlignment="1">
      <alignment horizontal="left" wrapText="1"/>
    </xf>
    <xf numFmtId="0" fontId="2" fillId="8" borderId="0" xfId="0" applyFont="1" applyFill="1" applyAlignment="1">
      <alignment horizontal="left" wrapText="1"/>
    </xf>
    <xf numFmtId="0" fontId="2" fillId="0" borderId="0" xfId="0" applyFont="1" applyAlignment="1">
      <alignment horizontal="left" wrapText="1"/>
    </xf>
    <xf numFmtId="0" fontId="19" fillId="9" borderId="0" xfId="0" applyFont="1" applyFill="1" applyAlignment="1"/>
    <xf numFmtId="0" fontId="2" fillId="0" borderId="0" xfId="0" applyFont="1" applyAlignment="1">
      <alignment horizontal="left" wrapText="1"/>
    </xf>
    <xf numFmtId="0" fontId="10" fillId="0" borderId="0" xfId="0" applyFont="1" applyAlignment="1">
      <alignment horizontal="left"/>
    </xf>
    <xf numFmtId="0" fontId="2" fillId="0" borderId="0" xfId="0" applyFont="1" applyAlignment="1"/>
    <xf numFmtId="0" fontId="2" fillId="3" borderId="0" xfId="0" applyFont="1" applyFill="1" applyAlignment="1"/>
    <xf numFmtId="0" fontId="2" fillId="4" borderId="0" xfId="0" applyFont="1" applyFill="1" applyAlignment="1"/>
    <xf numFmtId="0" fontId="2" fillId="4" borderId="0" xfId="0" applyFont="1" applyFill="1" applyAlignment="1"/>
    <xf numFmtId="0" fontId="2" fillId="0" borderId="0" xfId="0" applyFont="1" applyAlignment="1"/>
    <xf numFmtId="0" fontId="20" fillId="0" borderId="0" xfId="0" applyFont="1" applyAlignment="1">
      <alignment horizontal="left" vertical="center"/>
    </xf>
    <xf numFmtId="0" fontId="2" fillId="0" borderId="0" xfId="0" applyFont="1" applyAlignment="1">
      <alignment vertical="center"/>
    </xf>
    <xf numFmtId="0" fontId="2" fillId="0" borderId="0" xfId="0" applyFont="1" applyAlignment="1">
      <alignment horizontal="left" vertical="center"/>
    </xf>
    <xf numFmtId="164" fontId="2" fillId="0" borderId="0" xfId="0" applyNumberFormat="1" applyFont="1" applyAlignment="1"/>
    <xf numFmtId="0" fontId="2" fillId="0" borderId="0" xfId="0" applyFont="1" applyAlignment="1">
      <alignment horizontal="right"/>
    </xf>
    <xf numFmtId="165" fontId="2" fillId="0" borderId="0" xfId="0" applyNumberFormat="1" applyFont="1" applyAlignment="1"/>
    <xf numFmtId="15" fontId="2" fillId="0" borderId="0" xfId="0" applyNumberFormat="1" applyFont="1" applyAlignment="1"/>
    <xf numFmtId="0" fontId="2" fillId="3" borderId="1" xfId="0" applyFont="1" applyFill="1" applyBorder="1" applyAlignment="1"/>
    <xf numFmtId="0" fontId="2" fillId="3" borderId="0" xfId="0" applyFont="1" applyFill="1" applyAlignment="1"/>
    <xf numFmtId="0" fontId="2" fillId="4" borderId="1" xfId="0" applyFont="1" applyFill="1" applyBorder="1" applyAlignment="1"/>
    <xf numFmtId="0" fontId="2" fillId="5" borderId="1" xfId="0" applyFont="1" applyFill="1" applyBorder="1" applyAlignment="1"/>
    <xf numFmtId="0" fontId="2" fillId="5" borderId="0" xfId="0" applyFont="1" applyFill="1" applyAlignment="1"/>
    <xf numFmtId="0" fontId="2" fillId="7" borderId="0" xfId="0" applyFont="1" applyFill="1" applyAlignment="1"/>
    <xf numFmtId="0" fontId="2" fillId="8" borderId="0" xfId="0" applyFont="1" applyFill="1" applyAlignment="1"/>
    <xf numFmtId="0" fontId="2" fillId="7" borderId="1" xfId="0" applyFont="1" applyFill="1" applyBorder="1" applyAlignment="1"/>
    <xf numFmtId="0" fontId="2" fillId="0" borderId="0" xfId="0" applyFont="1" applyAlignment="1">
      <alignment horizontal="left" vertical="center"/>
    </xf>
    <xf numFmtId="0" fontId="21" fillId="0" borderId="0" xfId="0" applyFont="1" applyAlignment="1">
      <alignment horizontal="left"/>
    </xf>
    <xf numFmtId="0" fontId="2" fillId="7" borderId="1" xfId="0" applyFont="1" applyFill="1" applyBorder="1" applyAlignment="1"/>
    <xf numFmtId="0" fontId="22" fillId="0" borderId="0" xfId="0" applyFont="1" applyAlignment="1">
      <alignment vertical="center"/>
    </xf>
    <xf numFmtId="21" fontId="2" fillId="0" borderId="0" xfId="0" applyNumberFormat="1" applyFont="1" applyAlignment="1"/>
    <xf numFmtId="0" fontId="2" fillId="0" borderId="0" xfId="0" applyFont="1" applyAlignment="1">
      <alignment vertical="center"/>
    </xf>
    <xf numFmtId="164" fontId="2" fillId="0" borderId="0" xfId="0" applyNumberFormat="1" applyFont="1" applyAlignment="1"/>
    <xf numFmtId="166" fontId="2" fillId="0" borderId="0" xfId="0" applyNumberFormat="1" applyFont="1" applyAlignment="1"/>
    <xf numFmtId="167" fontId="2" fillId="0" borderId="0" xfId="0" applyNumberFormat="1" applyFont="1" applyAlignment="1"/>
    <xf numFmtId="0" fontId="2" fillId="3" borderId="1" xfId="0" applyFont="1" applyFill="1" applyBorder="1" applyAlignment="1"/>
    <xf numFmtId="21" fontId="2" fillId="0" borderId="0" xfId="0" applyNumberFormat="1" applyFont="1" applyAlignment="1"/>
    <xf numFmtId="0" fontId="2" fillId="7" borderId="0" xfId="0" applyFont="1" applyFill="1" applyAlignment="1"/>
    <xf numFmtId="168" fontId="2" fillId="0" borderId="0" xfId="0" applyNumberFormat="1" applyFont="1" applyAlignment="1"/>
    <xf numFmtId="0" fontId="2" fillId="8" borderId="0" xfId="0" applyFont="1" applyFill="1" applyAlignment="1"/>
    <xf numFmtId="0" fontId="23" fillId="10" borderId="0" xfId="0" applyFont="1" applyFill="1" applyAlignment="1"/>
    <xf numFmtId="0" fontId="24" fillId="0" borderId="0" xfId="0" applyFont="1"/>
    <xf numFmtId="167" fontId="2" fillId="0" borderId="0" xfId="0" applyNumberFormat="1" applyFont="1" applyAlignment="1"/>
    <xf numFmtId="0" fontId="2" fillId="4" borderId="1" xfId="0" applyFont="1" applyFill="1" applyBorder="1" applyAlignment="1"/>
    <xf numFmtId="21" fontId="2" fillId="0" borderId="0" xfId="0" applyNumberFormat="1" applyFont="1" applyAlignment="1"/>
    <xf numFmtId="21" fontId="2" fillId="0" borderId="0" xfId="0" applyNumberFormat="1" applyFont="1" applyAlignment="1"/>
    <xf numFmtId="0" fontId="22" fillId="8" borderId="0" xfId="0" applyFont="1" applyFill="1" applyAlignment="1">
      <alignment vertical="center"/>
    </xf>
    <xf numFmtId="0" fontId="2" fillId="0" borderId="0" xfId="0" applyFont="1" applyAlignment="1">
      <alignment horizontal="left"/>
    </xf>
    <xf numFmtId="0" fontId="2" fillId="0" borderId="0" xfId="0" applyFont="1" applyAlignment="1">
      <alignment horizontal="right"/>
    </xf>
    <xf numFmtId="0" fontId="24" fillId="0" borderId="0" xfId="0" applyFont="1" applyAlignment="1"/>
    <xf numFmtId="0" fontId="25" fillId="0" borderId="0" xfId="0" applyFont="1"/>
    <xf numFmtId="0" fontId="24" fillId="0" borderId="0" xfId="0" applyFont="1" applyAlignment="1"/>
    <xf numFmtId="0" fontId="24" fillId="8" borderId="0" xfId="0" applyFont="1" applyFill="1"/>
    <xf numFmtId="2" fontId="2" fillId="0" borderId="0" xfId="0" applyNumberFormat="1" applyFont="1" applyAlignment="1"/>
    <xf numFmtId="0" fontId="26" fillId="0" borderId="0" xfId="0" applyFont="1" applyAlignment="1">
      <alignment vertical="center"/>
    </xf>
    <xf numFmtId="0" fontId="2" fillId="0" borderId="0" xfId="0" applyFont="1" applyAlignment="1"/>
    <xf numFmtId="0" fontId="0" fillId="0" borderId="0" xfId="0" applyFont="1" applyAlignment="1"/>
    <xf numFmtId="167" fontId="2" fillId="0" borderId="0" xfId="0" applyNumberFormat="1" applyFont="1" applyAlignment="1"/>
    <xf numFmtId="15" fontId="2" fillId="3" borderId="0" xfId="0" applyNumberFormat="1" applyFont="1" applyFill="1" applyAlignment="1"/>
    <xf numFmtId="167" fontId="2" fillId="10" borderId="0" xfId="0" applyNumberFormat="1" applyFont="1" applyFill="1" applyAlignment="1"/>
    <xf numFmtId="167" fontId="2" fillId="0" borderId="0" xfId="0" applyNumberFormat="1" applyFont="1" applyAlignment="1"/>
    <xf numFmtId="165" fontId="2" fillId="0" borderId="0" xfId="0" applyNumberFormat="1" applyFont="1" applyAlignment="1"/>
    <xf numFmtId="165" fontId="2" fillId="0" borderId="0" xfId="0" applyNumberFormat="1" applyFont="1" applyAlignment="1">
      <alignment horizontal="right"/>
    </xf>
    <xf numFmtId="164" fontId="2" fillId="0" borderId="0" xfId="0" applyNumberFormat="1" applyFont="1" applyAlignment="1">
      <alignment horizontal="right"/>
    </xf>
    <xf numFmtId="0" fontId="0" fillId="0" borderId="0" xfId="0" applyFont="1" applyAlignment="1"/>
    <xf numFmtId="0" fontId="2" fillId="3" borderId="0" xfId="0" applyFont="1" applyFill="1" applyAlignment="1"/>
    <xf numFmtId="0" fontId="1" fillId="4" borderId="0" xfId="0" applyFont="1" applyFill="1" applyAlignment="1"/>
    <xf numFmtId="0" fontId="1" fillId="5" borderId="0" xfId="0" applyFont="1" applyFill="1" applyAlignment="1"/>
    <xf numFmtId="0" fontId="2" fillId="7" borderId="0" xfId="0" applyFont="1" applyFill="1" applyAlignment="1"/>
    <xf numFmtId="169" fontId="2" fillId="0" borderId="0" xfId="0" applyNumberFormat="1" applyFont="1" applyAlignment="1"/>
    <xf numFmtId="0" fontId="2" fillId="3" borderId="1" xfId="0" applyFont="1" applyFill="1" applyBorder="1" applyAlignment="1"/>
    <xf numFmtId="15" fontId="2" fillId="3" borderId="1" xfId="0" applyNumberFormat="1" applyFont="1" applyFill="1" applyBorder="1" applyAlignment="1"/>
    <xf numFmtId="0" fontId="2" fillId="3" borderId="2" xfId="0" applyFont="1" applyFill="1" applyBorder="1" applyAlignment="1"/>
    <xf numFmtId="2" fontId="2" fillId="0" borderId="0" xfId="0" applyNumberFormat="1" applyFont="1" applyAlignment="1"/>
    <xf numFmtId="0" fontId="2" fillId="3" borderId="3" xfId="0" applyFont="1" applyFill="1" applyBorder="1" applyAlignment="1"/>
    <xf numFmtId="0" fontId="27" fillId="0" borderId="0" xfId="0" applyFont="1" applyAlignment="1"/>
    <xf numFmtId="0" fontId="2" fillId="3" borderId="1" xfId="0" applyFont="1" applyFill="1" applyBorder="1" applyAlignment="1"/>
    <xf numFmtId="2" fontId="2" fillId="3" borderId="0" xfId="0" applyNumberFormat="1" applyFont="1" applyFill="1" applyAlignment="1"/>
    <xf numFmtId="2" fontId="2" fillId="4" borderId="0" xfId="0" applyNumberFormat="1" applyFont="1" applyFill="1" applyAlignment="1"/>
    <xf numFmtId="0" fontId="2" fillId="11" borderId="0" xfId="0" applyFont="1" applyFill="1" applyAlignment="1">
      <alignment vertical="center"/>
    </xf>
    <xf numFmtId="0" fontId="2" fillId="3" borderId="0" xfId="0" applyFont="1" applyFill="1" applyAlignment="1"/>
    <xf numFmtId="170" fontId="2" fillId="0" borderId="0" xfId="0" applyNumberFormat="1" applyFont="1" applyAlignment="1"/>
    <xf numFmtId="164" fontId="28" fillId="0" borderId="0" xfId="0" applyNumberFormat="1" applyFont="1" applyAlignment="1">
      <alignment horizontal="right"/>
    </xf>
    <xf numFmtId="164" fontId="28" fillId="0" borderId="0" xfId="0" applyNumberFormat="1" applyFont="1" applyAlignment="1"/>
    <xf numFmtId="0" fontId="29" fillId="0" borderId="0" xfId="0" applyFont="1" applyAlignment="1"/>
    <xf numFmtId="0" fontId="29" fillId="0" borderId="0" xfId="0" applyFont="1" applyAlignment="1"/>
    <xf numFmtId="166" fontId="29" fillId="0" borderId="0" xfId="0" applyNumberFormat="1" applyFont="1" applyAlignment="1"/>
    <xf numFmtId="0" fontId="29" fillId="3" borderId="1" xfId="0" applyFont="1" applyFill="1" applyBorder="1" applyAlignment="1"/>
    <xf numFmtId="0" fontId="29" fillId="4" borderId="1" xfId="0" applyFont="1" applyFill="1" applyBorder="1" applyAlignment="1"/>
    <xf numFmtId="0" fontId="29" fillId="5" borderId="1" xfId="0" applyFont="1" applyFill="1" applyBorder="1" applyAlignment="1"/>
    <xf numFmtId="0" fontId="29" fillId="7" borderId="1" xfId="0" applyFont="1" applyFill="1" applyBorder="1" applyAlignment="1"/>
    <xf numFmtId="0" fontId="29" fillId="8" borderId="0" xfId="0" applyFont="1" applyFill="1" applyAlignment="1"/>
    <xf numFmtId="21" fontId="10" fillId="0" borderId="0" xfId="0" applyNumberFormat="1" applyFont="1" applyAlignment="1"/>
    <xf numFmtId="167" fontId="2" fillId="10" borderId="0" xfId="0" applyNumberFormat="1" applyFont="1" applyFill="1" applyAlignment="1"/>
    <xf numFmtId="2" fontId="29" fillId="0" borderId="0" xfId="0" applyNumberFormat="1" applyFont="1" applyAlignment="1"/>
    <xf numFmtId="171" fontId="2" fillId="0" borderId="0" xfId="0" applyNumberFormat="1" applyFont="1" applyAlignment="1"/>
    <xf numFmtId="21" fontId="2" fillId="0" borderId="0" xfId="0" applyNumberFormat="1" applyFont="1" applyAlignment="1">
      <alignment horizontal="right"/>
    </xf>
    <xf numFmtId="0" fontId="29" fillId="8" borderId="0" xfId="0" applyFont="1" applyFill="1" applyAlignment="1"/>
    <xf numFmtId="0" fontId="2" fillId="0" borderId="0" xfId="0" applyFont="1" applyAlignment="1">
      <alignment horizontal="left" vertical="center" wrapText="1"/>
    </xf>
    <xf numFmtId="0" fontId="30" fillId="0" borderId="0" xfId="0" applyFont="1" applyAlignment="1">
      <alignment horizontal="center" vertical="center" wrapText="1"/>
    </xf>
    <xf numFmtId="0" fontId="31" fillId="0" borderId="0" xfId="0" applyFont="1" applyAlignment="1">
      <alignment horizontal="left" vertical="center" wrapText="1"/>
    </xf>
    <xf numFmtId="0" fontId="24" fillId="0" borderId="0" xfId="0" applyFont="1" applyAlignment="1">
      <alignment horizontal="left" vertical="center"/>
    </xf>
    <xf numFmtId="0" fontId="2" fillId="0" borderId="0" xfId="0" applyFont="1" applyAlignment="1">
      <alignment horizontal="left" vertical="center" wrapText="1"/>
    </xf>
    <xf numFmtId="0" fontId="24" fillId="0" borderId="0" xfId="0" applyFont="1" applyAlignment="1">
      <alignment horizontal="left" vertical="center"/>
    </xf>
    <xf numFmtId="164" fontId="2" fillId="6" borderId="1" xfId="0" applyNumberFormat="1" applyFont="1" applyFill="1" applyBorder="1" applyAlignment="1">
      <alignment horizontal="left" vertical="center" wrapText="1"/>
    </xf>
    <xf numFmtId="0" fontId="2" fillId="3" borderId="1" xfId="0" applyFont="1" applyFill="1" applyBorder="1" applyAlignment="1">
      <alignment horizontal="left" vertical="center" wrapText="1"/>
    </xf>
    <xf numFmtId="0" fontId="2" fillId="4" borderId="1" xfId="0" applyFont="1" applyFill="1" applyBorder="1" applyAlignment="1">
      <alignment horizontal="left" vertical="center" wrapText="1"/>
    </xf>
    <xf numFmtId="0" fontId="2" fillId="5" borderId="1" xfId="0" applyFont="1" applyFill="1" applyBorder="1" applyAlignment="1">
      <alignment horizontal="left" vertical="center" wrapText="1"/>
    </xf>
    <xf numFmtId="0" fontId="32" fillId="7" borderId="1" xfId="0" applyFont="1" applyFill="1" applyBorder="1" applyAlignment="1">
      <alignment horizontal="left" vertical="center" wrapText="1"/>
    </xf>
    <xf numFmtId="0" fontId="2" fillId="8" borderId="0" xfId="0" applyFont="1" applyFill="1" applyAlignment="1">
      <alignment horizontal="left" vertical="center" wrapText="1"/>
    </xf>
    <xf numFmtId="0" fontId="24" fillId="0" borderId="0" xfId="0" applyFont="1" applyAlignment="1">
      <alignment horizontal="left" vertical="center"/>
    </xf>
    <xf numFmtId="164" fontId="2" fillId="0" borderId="0" xfId="0" applyNumberFormat="1" applyFont="1" applyAlignment="1">
      <alignment vertical="center"/>
    </xf>
    <xf numFmtId="0" fontId="2" fillId="0" borderId="0" xfId="0" applyFont="1" applyAlignment="1">
      <alignment horizontal="right" vertical="center"/>
    </xf>
    <xf numFmtId="15" fontId="2" fillId="0" borderId="0" xfId="0" applyNumberFormat="1" applyFont="1" applyAlignment="1">
      <alignment vertical="center"/>
    </xf>
    <xf numFmtId="0" fontId="2" fillId="10" borderId="0" xfId="0" applyFont="1" applyFill="1" applyAlignment="1"/>
    <xf numFmtId="0" fontId="2" fillId="3" borderId="1" xfId="0" applyFont="1" applyFill="1" applyBorder="1" applyAlignment="1">
      <alignment vertical="center"/>
    </xf>
    <xf numFmtId="0" fontId="2" fillId="4" borderId="1" xfId="0" applyFont="1" applyFill="1" applyBorder="1" applyAlignment="1">
      <alignment vertical="center"/>
    </xf>
    <xf numFmtId="0" fontId="2" fillId="5" borderId="1" xfId="0" applyFont="1" applyFill="1" applyBorder="1" applyAlignment="1">
      <alignment vertical="center"/>
    </xf>
    <xf numFmtId="0" fontId="2" fillId="7" borderId="1" xfId="0" applyFont="1" applyFill="1" applyBorder="1" applyAlignment="1">
      <alignment vertical="center"/>
    </xf>
    <xf numFmtId="0" fontId="2" fillId="8" borderId="0" xfId="0" applyFont="1" applyFill="1" applyAlignment="1">
      <alignment vertical="center"/>
    </xf>
    <xf numFmtId="0" fontId="24" fillId="0" borderId="0" xfId="0" applyFont="1" applyAlignment="1">
      <alignment vertical="center"/>
    </xf>
    <xf numFmtId="0" fontId="33" fillId="0" borderId="0" xfId="0" applyFont="1" applyAlignment="1">
      <alignment horizontal="left" vertical="center"/>
    </xf>
    <xf numFmtId="0" fontId="14" fillId="0" borderId="0" xfId="0" applyFont="1" applyAlignment="1"/>
    <xf numFmtId="21" fontId="2" fillId="0" borderId="0" xfId="0" applyNumberFormat="1" applyFont="1" applyAlignment="1">
      <alignment vertical="center"/>
    </xf>
    <xf numFmtId="0" fontId="34" fillId="0" borderId="0" xfId="0" applyFont="1" applyAlignment="1"/>
    <xf numFmtId="167" fontId="2" fillId="0" borderId="0" xfId="0" applyNumberFormat="1" applyFont="1" applyAlignment="1">
      <alignment vertical="center"/>
    </xf>
    <xf numFmtId="167" fontId="2" fillId="0" borderId="0" xfId="0" applyNumberFormat="1" applyFont="1" applyAlignment="1">
      <alignment vertical="center"/>
    </xf>
    <xf numFmtId="0" fontId="2" fillId="3" borderId="1" xfId="0" applyFont="1" applyFill="1" applyBorder="1" applyAlignment="1">
      <alignment vertical="center"/>
    </xf>
    <xf numFmtId="0" fontId="2" fillId="0" borderId="0" xfId="0" applyFont="1" applyAlignment="1">
      <alignment horizontal="right" vertical="center"/>
    </xf>
    <xf numFmtId="0" fontId="35" fillId="0" borderId="0" xfId="0" applyFont="1" applyAlignment="1">
      <alignment vertical="center"/>
    </xf>
    <xf numFmtId="0" fontId="24" fillId="0" borderId="0" xfId="0" applyFont="1" applyAlignment="1">
      <alignment vertical="center"/>
    </xf>
    <xf numFmtId="0" fontId="2" fillId="8" borderId="0" xfId="0" applyFont="1" applyFill="1" applyAlignment="1">
      <alignment vertical="center"/>
    </xf>
    <xf numFmtId="0" fontId="24" fillId="8" borderId="0" xfId="0" applyFont="1" applyFill="1" applyAlignment="1">
      <alignment vertical="center"/>
    </xf>
    <xf numFmtId="0" fontId="2" fillId="0" borderId="0" xfId="0" applyFont="1" applyAlignment="1">
      <alignment vertical="center"/>
    </xf>
    <xf numFmtId="164" fontId="2" fillId="0" borderId="0" xfId="0" applyNumberFormat="1" applyFont="1" applyAlignment="1">
      <alignment vertical="center"/>
    </xf>
    <xf numFmtId="0" fontId="2" fillId="7" borderId="1" xfId="0" applyFont="1" applyFill="1" applyBorder="1" applyAlignment="1">
      <alignment vertical="center"/>
    </xf>
    <xf numFmtId="0" fontId="22" fillId="0" borderId="0" xfId="0" applyFont="1" applyAlignment="1">
      <alignment vertical="center"/>
    </xf>
    <xf numFmtId="0" fontId="2" fillId="3" borderId="0" xfId="0" applyFont="1" applyFill="1" applyAlignment="1">
      <alignment vertical="center"/>
    </xf>
    <xf numFmtId="0" fontId="2" fillId="4" borderId="0" xfId="0" applyFont="1" applyFill="1" applyAlignment="1">
      <alignment vertical="center"/>
    </xf>
    <xf numFmtId="0" fontId="2" fillId="5" borderId="0" xfId="0" applyFont="1" applyFill="1" applyAlignment="1">
      <alignment vertical="center"/>
    </xf>
    <xf numFmtId="0" fontId="2" fillId="7" borderId="0" xfId="0" applyFont="1" applyFill="1" applyAlignment="1">
      <alignment vertical="center"/>
    </xf>
    <xf numFmtId="167" fontId="2" fillId="10" borderId="0" xfId="0" applyNumberFormat="1" applyFont="1" applyFill="1" applyAlignment="1">
      <alignment vertical="center"/>
    </xf>
    <xf numFmtId="21" fontId="2" fillId="0" borderId="0" xfId="0" applyNumberFormat="1" applyFont="1" applyAlignment="1">
      <alignment vertical="center"/>
    </xf>
    <xf numFmtId="0" fontId="2" fillId="7" borderId="0" xfId="0" applyFont="1" applyFill="1" applyAlignment="1">
      <alignment vertical="center"/>
    </xf>
    <xf numFmtId="0" fontId="2" fillId="3" borderId="0" xfId="0" applyFont="1" applyFill="1" applyAlignment="1">
      <alignment vertical="center"/>
    </xf>
    <xf numFmtId="167" fontId="2" fillId="0" borderId="0" xfId="0" applyNumberFormat="1" applyFont="1" applyAlignment="1">
      <alignment vertical="center"/>
    </xf>
    <xf numFmtId="0" fontId="2" fillId="10" borderId="0" xfId="0" applyFont="1" applyFill="1" applyAlignment="1">
      <alignment vertical="center"/>
    </xf>
    <xf numFmtId="0" fontId="2" fillId="10" borderId="0" xfId="0" applyFont="1" applyFill="1" applyAlignment="1">
      <alignment vertical="center"/>
    </xf>
    <xf numFmtId="0" fontId="36" fillId="10" borderId="0" xfId="0" applyFont="1" applyFill="1" applyAlignment="1">
      <alignment horizontal="left" vertical="center"/>
    </xf>
    <xf numFmtId="0" fontId="2" fillId="10" borderId="0" xfId="0" applyFont="1" applyFill="1" applyAlignment="1">
      <alignment horizontal="left" vertical="center"/>
    </xf>
    <xf numFmtId="164" fontId="2" fillId="10" borderId="0" xfId="0" applyNumberFormat="1" applyFont="1" applyFill="1" applyAlignment="1">
      <alignment vertical="center"/>
    </xf>
    <xf numFmtId="0" fontId="2" fillId="10" borderId="0" xfId="0" applyFont="1" applyFill="1" applyAlignment="1">
      <alignment horizontal="right" vertical="center"/>
    </xf>
    <xf numFmtId="21" fontId="2" fillId="10" borderId="0" xfId="0" applyNumberFormat="1" applyFont="1" applyFill="1" applyAlignment="1">
      <alignment vertical="center"/>
    </xf>
    <xf numFmtId="167" fontId="2" fillId="10" borderId="0" xfId="0" applyNumberFormat="1" applyFont="1" applyFill="1" applyAlignment="1">
      <alignment vertical="center"/>
    </xf>
    <xf numFmtId="0" fontId="24" fillId="10" borderId="0" xfId="0" applyFont="1" applyFill="1" applyAlignment="1">
      <alignment vertical="center"/>
    </xf>
    <xf numFmtId="21" fontId="2" fillId="0" borderId="0" xfId="0" applyNumberFormat="1" applyFont="1" applyAlignment="1">
      <alignment vertical="center"/>
    </xf>
    <xf numFmtId="0" fontId="37" fillId="0" borderId="0" xfId="0" applyFont="1" applyAlignment="1">
      <alignment horizontal="left" vertical="center"/>
    </xf>
    <xf numFmtId="165" fontId="2" fillId="0" borderId="0" xfId="0" applyNumberFormat="1" applyFont="1" applyAlignment="1">
      <alignment vertical="center"/>
    </xf>
    <xf numFmtId="2" fontId="2" fillId="0" borderId="0" xfId="0" applyNumberFormat="1" applyFont="1" applyAlignment="1">
      <alignment vertical="center"/>
    </xf>
    <xf numFmtId="15" fontId="2" fillId="0" borderId="0" xfId="0" applyNumberFormat="1" applyFont="1" applyAlignment="1">
      <alignment vertical="center"/>
    </xf>
    <xf numFmtId="21" fontId="2" fillId="0" borderId="0" xfId="0" applyNumberFormat="1" applyFont="1" applyAlignment="1">
      <alignment vertical="center"/>
    </xf>
    <xf numFmtId="165" fontId="2" fillId="0" borderId="0" xfId="0" applyNumberFormat="1" applyFont="1" applyAlignment="1">
      <alignment vertical="center"/>
    </xf>
    <xf numFmtId="2" fontId="2" fillId="0" borderId="0" xfId="0" applyNumberFormat="1" applyFont="1" applyAlignment="1">
      <alignment vertical="center"/>
    </xf>
    <xf numFmtId="166" fontId="2" fillId="0" borderId="0" xfId="0" applyNumberFormat="1" applyFont="1" applyAlignment="1">
      <alignment vertical="center"/>
    </xf>
    <xf numFmtId="171" fontId="2" fillId="0" borderId="0" xfId="0" applyNumberFormat="1" applyFont="1" applyAlignment="1">
      <alignment vertical="center"/>
    </xf>
    <xf numFmtId="164" fontId="0" fillId="0" borderId="0" xfId="0" applyNumberFormat="1" applyFont="1" applyAlignment="1"/>
    <xf numFmtId="172" fontId="2" fillId="0" borderId="0" xfId="0" applyNumberFormat="1" applyFont="1" applyAlignment="1"/>
    <xf numFmtId="0" fontId="10" fillId="8" borderId="0" xfId="0" applyFont="1" applyFill="1"/>
    <xf numFmtId="0" fontId="29" fillId="0" borderId="0" xfId="0" applyFont="1" applyAlignment="1">
      <alignment horizontal="left"/>
    </xf>
    <xf numFmtId="173" fontId="2" fillId="0" borderId="0" xfId="0" applyNumberFormat="1" applyFont="1" applyAlignment="1"/>
    <xf numFmtId="167" fontId="14" fillId="0" borderId="0" xfId="0" applyNumberFormat="1" applyFont="1" applyAlignment="1"/>
    <xf numFmtId="0" fontId="14" fillId="0" borderId="0" xfId="0" applyFont="1"/>
    <xf numFmtId="21" fontId="14" fillId="0" borderId="0" xfId="0" applyNumberFormat="1" applyFont="1" applyAlignment="1"/>
    <xf numFmtId="0" fontId="38" fillId="3" borderId="0" xfId="0" applyFont="1" applyFill="1" applyAlignment="1"/>
    <xf numFmtId="0" fontId="11" fillId="0" borderId="0" xfId="0" applyFont="1" applyAlignment="1"/>
    <xf numFmtId="0" fontId="11" fillId="0" borderId="0" xfId="0" applyFont="1"/>
    <xf numFmtId="21" fontId="11" fillId="0" borderId="0" xfId="0" applyNumberFormat="1" applyFont="1" applyAlignment="1"/>
    <xf numFmtId="21" fontId="29" fillId="0" borderId="0" xfId="0" applyNumberFormat="1" applyFont="1" applyAlignment="1"/>
    <xf numFmtId="167" fontId="11" fillId="0" borderId="0" xfId="0" applyNumberFormat="1" applyFont="1" applyAlignment="1"/>
    <xf numFmtId="164" fontId="29" fillId="0" borderId="0" xfId="0" applyNumberFormat="1" applyFont="1" applyAlignment="1"/>
    <xf numFmtId="0" fontId="29" fillId="0" borderId="0" xfId="0" applyFont="1" applyAlignment="1">
      <alignment horizontal="right"/>
    </xf>
    <xf numFmtId="21" fontId="29" fillId="0" borderId="0" xfId="0" applyNumberFormat="1" applyFont="1" applyAlignment="1"/>
    <xf numFmtId="0" fontId="29" fillId="0" borderId="0" xfId="0" applyFont="1" applyAlignment="1">
      <alignment vertical="center"/>
    </xf>
    <xf numFmtId="0" fontId="29" fillId="0" borderId="0" xfId="0" applyFont="1" applyAlignment="1">
      <alignment horizontal="left" vertical="center"/>
    </xf>
    <xf numFmtId="0" fontId="29" fillId="4" borderId="0" xfId="0" applyFont="1" applyFill="1" applyAlignment="1"/>
    <xf numFmtId="0" fontId="29" fillId="5" borderId="0" xfId="0" applyFont="1" applyFill="1" applyAlignment="1"/>
    <xf numFmtId="167" fontId="29" fillId="0" borderId="0" xfId="0" applyNumberFormat="1" applyFont="1" applyAlignment="1"/>
    <xf numFmtId="0" fontId="29" fillId="0" borderId="0" xfId="0" applyFont="1" applyAlignment="1">
      <alignment vertical="center"/>
    </xf>
    <xf numFmtId="0" fontId="29" fillId="0" borderId="0" xfId="0" applyFont="1" applyAlignment="1">
      <alignment horizontal="left" vertical="center"/>
    </xf>
    <xf numFmtId="0" fontId="29" fillId="3" borderId="0" xfId="0" applyFont="1" applyFill="1" applyAlignment="1"/>
    <xf numFmtId="0" fontId="29" fillId="10" borderId="0" xfId="0" applyFont="1" applyFill="1" applyAlignment="1"/>
    <xf numFmtId="0" fontId="29" fillId="12" borderId="0" xfId="0" applyFont="1" applyFill="1" applyAlignment="1"/>
    <xf numFmtId="0" fontId="29" fillId="10" borderId="0" xfId="0" applyFont="1" applyFill="1" applyAlignment="1"/>
    <xf numFmtId="0" fontId="29" fillId="12" borderId="0" xfId="0" applyFont="1" applyFill="1" applyAlignment="1"/>
    <xf numFmtId="0" fontId="39" fillId="0" borderId="0" xfId="0" applyFont="1" applyAlignment="1">
      <alignment horizontal="left" vertical="center"/>
    </xf>
    <xf numFmtId="0" fontId="29" fillId="10" borderId="0" xfId="0" applyFont="1" applyFill="1" applyAlignment="1">
      <alignment vertical="center"/>
    </xf>
    <xf numFmtId="0" fontId="29" fillId="12" borderId="0" xfId="0" applyFont="1" applyFill="1" applyAlignment="1">
      <alignment horizontal="left" vertical="center"/>
    </xf>
    <xf numFmtId="2" fontId="11" fillId="0" borderId="0" xfId="0" applyNumberFormat="1" applyFont="1" applyAlignment="1"/>
    <xf numFmtId="164" fontId="2" fillId="0" borderId="0" xfId="0" applyNumberFormat="1" applyFont="1" applyAlignment="1">
      <alignment vertical="center"/>
    </xf>
    <xf numFmtId="172" fontId="2" fillId="0" borderId="0" xfId="0" applyNumberFormat="1" applyFont="1" applyAlignment="1">
      <alignment vertical="center"/>
    </xf>
    <xf numFmtId="0" fontId="2" fillId="0" borderId="0" xfId="0" applyFont="1" applyAlignment="1">
      <alignment horizontal="right"/>
    </xf>
    <xf numFmtId="0" fontId="29" fillId="7" borderId="0" xfId="0" applyFont="1" applyFill="1" applyAlignment="1"/>
    <xf numFmtId="0" fontId="40" fillId="0" borderId="0" xfId="0" applyFont="1" applyAlignment="1"/>
    <xf numFmtId="46" fontId="29" fillId="0" borderId="0" xfId="0" applyNumberFormat="1" applyFont="1" applyAlignment="1"/>
    <xf numFmtId="165" fontId="29" fillId="0" borderId="0" xfId="0" applyNumberFormat="1" applyFont="1" applyAlignment="1"/>
    <xf numFmtId="0" fontId="29" fillId="7" borderId="0" xfId="0" applyFont="1" applyFill="1" applyAlignment="1"/>
    <xf numFmtId="0" fontId="10" fillId="0" borderId="0" xfId="0" applyFont="1"/>
    <xf numFmtId="0" fontId="29" fillId="3" borderId="0" xfId="0" applyFont="1" applyFill="1" applyAlignment="1"/>
    <xf numFmtId="167" fontId="2" fillId="3" borderId="0" xfId="0" applyNumberFormat="1" applyFont="1" applyFill="1" applyAlignment="1"/>
    <xf numFmtId="167" fontId="2" fillId="4" borderId="0" xfId="0" applyNumberFormat="1" applyFont="1" applyFill="1" applyAlignment="1"/>
    <xf numFmtId="0" fontId="12" fillId="13" borderId="0" xfId="0" applyFont="1" applyFill="1" applyAlignment="1">
      <alignment horizontal="left" wrapText="1"/>
    </xf>
    <xf numFmtId="0" fontId="41" fillId="13" borderId="0" xfId="0" applyFont="1" applyFill="1" applyAlignment="1">
      <alignment horizontal="center" wrapText="1"/>
    </xf>
    <xf numFmtId="0" fontId="42" fillId="13" borderId="0" xfId="0" applyFont="1" applyFill="1" applyAlignment="1">
      <alignment horizontal="left" wrapText="1"/>
    </xf>
    <xf numFmtId="0" fontId="43" fillId="13" borderId="0" xfId="0" applyFont="1" applyFill="1" applyAlignment="1">
      <alignment horizontal="left"/>
    </xf>
    <xf numFmtId="0" fontId="12" fillId="13" borderId="0" xfId="0" applyFont="1" applyFill="1" applyAlignment="1">
      <alignment horizontal="left"/>
    </xf>
    <xf numFmtId="0" fontId="12" fillId="13" borderId="0" xfId="0" applyFont="1" applyFill="1" applyAlignment="1">
      <alignment horizontal="left" wrapText="1"/>
    </xf>
    <xf numFmtId="0" fontId="44" fillId="13" borderId="0" xfId="0" applyFont="1" applyFill="1" applyAlignment="1">
      <alignment horizontal="left" wrapText="1"/>
    </xf>
    <xf numFmtId="0" fontId="43" fillId="13" borderId="0" xfId="0" applyFont="1" applyFill="1" applyAlignment="1">
      <alignment horizontal="left"/>
    </xf>
    <xf numFmtId="164" fontId="12" fillId="13" borderId="1" xfId="0" applyNumberFormat="1" applyFont="1" applyFill="1" applyBorder="1" applyAlignment="1">
      <alignment horizontal="left" wrapText="1"/>
    </xf>
    <xf numFmtId="0" fontId="12" fillId="13" borderId="1" xfId="0" applyFont="1" applyFill="1" applyBorder="1" applyAlignment="1">
      <alignment horizontal="left" wrapText="1"/>
    </xf>
    <xf numFmtId="0" fontId="45" fillId="13" borderId="1" xfId="0" applyFont="1" applyFill="1" applyBorder="1" applyAlignment="1">
      <alignment horizontal="left" wrapText="1"/>
    </xf>
    <xf numFmtId="0" fontId="12" fillId="13" borderId="0" xfId="0" applyFont="1" applyFill="1" applyAlignment="1">
      <alignment horizontal="left" wrapText="1"/>
    </xf>
    <xf numFmtId="0" fontId="12" fillId="13" borderId="0" xfId="0" applyFont="1" applyFill="1" applyAlignment="1">
      <alignment horizontal="left" wrapText="1"/>
    </xf>
    <xf numFmtId="0" fontId="43" fillId="13" borderId="0" xfId="0" applyFont="1" applyFill="1" applyAlignment="1">
      <alignment horizontal="left"/>
    </xf>
    <xf numFmtId="0" fontId="43" fillId="0" borderId="0" xfId="0" applyFont="1" applyAlignment="1">
      <alignment horizontal="left"/>
    </xf>
    <xf numFmtId="0" fontId="12" fillId="0" borderId="0" xfId="0" applyFont="1" applyAlignment="1"/>
    <xf numFmtId="0" fontId="12" fillId="0" borderId="0" xfId="0" applyFont="1" applyAlignment="1">
      <alignment horizontal="left"/>
    </xf>
    <xf numFmtId="0" fontId="12" fillId="3" borderId="1" xfId="0" applyFont="1" applyFill="1" applyBorder="1" applyAlignment="1"/>
    <xf numFmtId="0" fontId="12" fillId="4" borderId="1" xfId="0" applyFont="1" applyFill="1" applyBorder="1" applyAlignment="1"/>
    <xf numFmtId="0" fontId="12" fillId="5" borderId="1" xfId="0" applyFont="1" applyFill="1" applyBorder="1" applyAlignment="1"/>
    <xf numFmtId="0" fontId="12" fillId="7" borderId="1" xfId="0" applyFont="1" applyFill="1" applyBorder="1" applyAlignment="1"/>
    <xf numFmtId="0" fontId="12" fillId="8" borderId="0" xfId="0" applyFont="1" applyFill="1" applyAlignment="1"/>
    <xf numFmtId="0" fontId="43" fillId="0" borderId="0" xfId="0" applyFont="1"/>
    <xf numFmtId="0" fontId="12" fillId="0" borderId="0" xfId="0" applyFont="1" applyAlignment="1"/>
    <xf numFmtId="0" fontId="46" fillId="0" borderId="0" xfId="0" applyFont="1" applyAlignment="1">
      <alignment horizontal="left" vertical="center"/>
    </xf>
    <xf numFmtId="0" fontId="47" fillId="0" borderId="0" xfId="0" applyFont="1"/>
    <xf numFmtId="0" fontId="12" fillId="0" borderId="0" xfId="0" applyFont="1" applyAlignment="1">
      <alignment vertical="center"/>
    </xf>
    <xf numFmtId="0" fontId="12" fillId="0" borderId="0" xfId="0" applyFont="1" applyAlignment="1">
      <alignment horizontal="left" vertical="center"/>
    </xf>
    <xf numFmtId="164" fontId="12" fillId="0" borderId="0" xfId="0" applyNumberFormat="1" applyFont="1" applyAlignment="1"/>
    <xf numFmtId="0" fontId="12" fillId="0" borderId="0" xfId="0" applyFont="1" applyAlignment="1">
      <alignment horizontal="right"/>
    </xf>
    <xf numFmtId="20" fontId="12" fillId="0" borderId="0" xfId="0" applyNumberFormat="1" applyFont="1" applyAlignment="1"/>
    <xf numFmtId="0" fontId="12" fillId="3" borderId="0" xfId="0" applyFont="1" applyFill="1" applyAlignment="1"/>
    <xf numFmtId="0" fontId="12" fillId="4" borderId="0" xfId="0" applyFont="1" applyFill="1" applyAlignment="1"/>
    <xf numFmtId="0" fontId="12" fillId="5" borderId="0" xfId="0" applyFont="1" applyFill="1" applyAlignment="1"/>
    <xf numFmtId="0" fontId="12" fillId="7" borderId="0" xfId="0" applyFont="1" applyFill="1" applyAlignment="1"/>
    <xf numFmtId="46" fontId="12" fillId="0" borderId="0" xfId="0" applyNumberFormat="1" applyFont="1" applyAlignment="1"/>
    <xf numFmtId="0" fontId="47" fillId="0" borderId="0" xfId="0" applyFont="1" applyAlignment="1"/>
    <xf numFmtId="0" fontId="12" fillId="3" borderId="0" xfId="0" applyFont="1" applyFill="1" applyAlignment="1"/>
    <xf numFmtId="0" fontId="12" fillId="0" borderId="0" xfId="0" applyFont="1" applyAlignment="1">
      <alignment vertical="center"/>
    </xf>
    <xf numFmtId="0" fontId="48" fillId="0" borderId="0" xfId="0" applyFont="1" applyAlignment="1"/>
    <xf numFmtId="165" fontId="12" fillId="0" borderId="0" xfId="0" applyNumberFormat="1" applyFont="1" applyAlignment="1"/>
    <xf numFmtId="0" fontId="12" fillId="3" borderId="1" xfId="0" applyFont="1" applyFill="1" applyBorder="1" applyAlignment="1"/>
    <xf numFmtId="0" fontId="12" fillId="4" borderId="1" xfId="0" applyFont="1" applyFill="1" applyBorder="1" applyAlignment="1"/>
    <xf numFmtId="0" fontId="12" fillId="7" borderId="1" xfId="0" applyFont="1" applyFill="1" applyBorder="1" applyAlignment="1"/>
    <xf numFmtId="0" fontId="12" fillId="8" borderId="0" xfId="0" applyFont="1" applyFill="1" applyAlignment="1"/>
    <xf numFmtId="0" fontId="49" fillId="0" borderId="0" xfId="0" applyFont="1" applyAlignment="1">
      <alignment horizontal="left"/>
    </xf>
    <xf numFmtId="0" fontId="50" fillId="0" borderId="0" xfId="0" applyFont="1" applyAlignment="1">
      <alignment horizontal="left"/>
    </xf>
    <xf numFmtId="165" fontId="0" fillId="0" borderId="0" xfId="0" applyNumberFormat="1" applyFont="1" applyAlignment="1"/>
    <xf numFmtId="0" fontId="0" fillId="3" borderId="0" xfId="0" applyFont="1" applyFill="1" applyAlignment="1"/>
    <xf numFmtId="0" fontId="0" fillId="3" borderId="0" xfId="0" applyFont="1" applyFill="1" applyAlignment="1"/>
    <xf numFmtId="0" fontId="0" fillId="4" borderId="0" xfId="0" applyFont="1" applyFill="1" applyAlignment="1"/>
    <xf numFmtId="0" fontId="0" fillId="5" borderId="0" xfId="0" applyFont="1" applyFill="1" applyAlignment="1"/>
    <xf numFmtId="0" fontId="0" fillId="7" borderId="0" xfId="0" applyFont="1" applyFill="1" applyAlignment="1"/>
    <xf numFmtId="0" fontId="0" fillId="8" borderId="0" xfId="0" applyFont="1" applyFill="1" applyAlignment="1"/>
    <xf numFmtId="165" fontId="0" fillId="0" borderId="0" xfId="0" applyNumberFormat="1" applyFont="1" applyAlignment="1"/>
    <xf numFmtId="0" fontId="0" fillId="5" borderId="0" xfId="0" applyFont="1" applyFill="1" applyAlignment="1"/>
    <xf numFmtId="0" fontId="51" fillId="0" borderId="0" xfId="0" applyFont="1" applyAlignment="1">
      <alignment horizontal="center" wrapText="1"/>
    </xf>
    <xf numFmtId="0" fontId="52" fillId="0" borderId="0" xfId="0" applyFont="1" applyAlignment="1">
      <alignment horizontal="left" wrapText="1"/>
    </xf>
    <xf numFmtId="0" fontId="24" fillId="0" borderId="0" xfId="0" applyFont="1" applyAlignment="1">
      <alignment horizontal="left"/>
    </xf>
    <xf numFmtId="0" fontId="53" fillId="0" borderId="0" xfId="0" applyFont="1" applyAlignment="1">
      <alignment horizontal="left" wrapText="1"/>
    </xf>
    <xf numFmtId="0" fontId="24" fillId="0" borderId="0" xfId="0" applyFont="1" applyAlignment="1">
      <alignment horizontal="left"/>
    </xf>
    <xf numFmtId="0" fontId="2" fillId="6" borderId="1" xfId="0" applyFont="1" applyFill="1" applyBorder="1" applyAlignment="1">
      <alignment horizontal="left" wrapText="1"/>
    </xf>
    <xf numFmtId="46" fontId="2" fillId="0" borderId="0" xfId="0" applyNumberFormat="1" applyFont="1" applyAlignment="1">
      <alignment horizontal="left" wrapText="1"/>
    </xf>
    <xf numFmtId="167" fontId="2" fillId="0" borderId="0" xfId="0" applyNumberFormat="1" applyFont="1" applyAlignment="1">
      <alignment horizontal="left" wrapText="1"/>
    </xf>
    <xf numFmtId="0" fontId="54" fillId="7" borderId="1" xfId="0" applyFont="1" applyFill="1" applyBorder="1" applyAlignment="1">
      <alignment horizontal="left" wrapText="1"/>
    </xf>
    <xf numFmtId="46" fontId="2" fillId="0" borderId="0" xfId="0" applyNumberFormat="1" applyFont="1" applyAlignment="1"/>
    <xf numFmtId="0" fontId="55" fillId="0" borderId="0" xfId="0" applyFont="1"/>
    <xf numFmtId="0" fontId="56" fillId="0" borderId="0" xfId="0" applyFont="1" applyAlignment="1"/>
    <xf numFmtId="0" fontId="57" fillId="0" borderId="0" xfId="0" applyFont="1" applyAlignment="1"/>
    <xf numFmtId="0" fontId="58" fillId="0" borderId="0" xfId="0" applyFont="1" applyAlignment="1"/>
    <xf numFmtId="0" fontId="58" fillId="0" borderId="0" xfId="0" applyFont="1" applyAlignment="1"/>
    <xf numFmtId="0" fontId="58" fillId="10" borderId="0" xfId="0" applyFont="1" applyFill="1" applyAlignment="1"/>
    <xf numFmtId="0" fontId="43" fillId="0" borderId="0" xfId="0" applyFont="1" applyAlignment="1"/>
    <xf numFmtId="0" fontId="58" fillId="0" borderId="0" xfId="0" applyFont="1" applyAlignment="1"/>
    <xf numFmtId="0" fontId="57" fillId="0" borderId="0" xfId="0" applyFont="1" applyAlignment="1"/>
    <xf numFmtId="0" fontId="12" fillId="10" borderId="4" xfId="0" applyFont="1" applyFill="1" applyBorder="1" applyAlignment="1"/>
    <xf numFmtId="0" fontId="12" fillId="10" borderId="0" xfId="0" applyFont="1" applyFill="1" applyAlignment="1"/>
    <xf numFmtId="0" fontId="57" fillId="0" borderId="0" xfId="0" applyFont="1" applyAlignment="1"/>
    <xf numFmtId="0" fontId="57" fillId="0" borderId="0" xfId="0" applyFont="1"/>
    <xf numFmtId="0" fontId="43" fillId="0" borderId="0" xfId="0" applyFont="1" applyAlignment="1"/>
    <xf numFmtId="0" fontId="43" fillId="0" borderId="0" xfId="0" applyFont="1" applyAlignment="1"/>
    <xf numFmtId="0" fontId="59" fillId="0" borderId="0" xfId="0" applyFont="1" applyAlignment="1"/>
    <xf numFmtId="0" fontId="10" fillId="0" borderId="0" xfId="0" applyFont="1" applyAlignment="1">
      <alignment vertical="top"/>
    </xf>
    <xf numFmtId="0" fontId="60" fillId="0" borderId="0" xfId="0" applyFont="1" applyAlignment="1"/>
    <xf numFmtId="0" fontId="61" fillId="10" borderId="0" xfId="0" applyFont="1" applyFill="1" applyAlignment="1"/>
    <xf numFmtId="0" fontId="62" fillId="0" borderId="0" xfId="0" applyFont="1" applyAlignment="1"/>
    <xf numFmtId="0" fontId="12" fillId="10" borderId="1" xfId="0" applyFont="1" applyFill="1" applyBorder="1" applyAlignment="1"/>
    <xf numFmtId="0" fontId="63" fillId="10" borderId="0" xfId="0" applyFont="1" applyFill="1" applyAlignment="1">
      <alignment horizontal="left"/>
    </xf>
    <xf numFmtId="0" fontId="23" fillId="10" borderId="0" xfId="0" applyFont="1" applyFill="1" applyAlignment="1"/>
    <xf numFmtId="0" fontId="64" fillId="10" borderId="0" xfId="0" applyFont="1" applyFill="1" applyAlignment="1"/>
    <xf numFmtId="0" fontId="63" fillId="10" borderId="1" xfId="0" applyFont="1" applyFill="1" applyBorder="1" applyAlignment="1"/>
    <xf numFmtId="0" fontId="43" fillId="0" borderId="0" xfId="0" applyFont="1" applyAlignment="1">
      <alignment horizontal="right"/>
    </xf>
    <xf numFmtId="0" fontId="43" fillId="0" borderId="5" xfId="0" applyFont="1" applyBorder="1" applyAlignment="1"/>
    <xf numFmtId="0" fontId="43" fillId="0" borderId="0" xfId="0" applyFont="1" applyAlignment="1"/>
    <xf numFmtId="0" fontId="62" fillId="0" borderId="0" xfId="0" applyFont="1" applyAlignment="1"/>
    <xf numFmtId="0" fontId="12" fillId="0" borderId="0" xfId="0" applyFont="1" applyAlignment="1"/>
    <xf numFmtId="0" fontId="65" fillId="10" borderId="0" xfId="0" applyFont="1" applyFill="1" applyAlignment="1">
      <alignment horizontal="left"/>
    </xf>
    <xf numFmtId="0" fontId="65" fillId="10" borderId="0" xfId="0" applyFont="1" applyFill="1" applyAlignment="1"/>
    <xf numFmtId="0" fontId="63" fillId="10" borderId="0" xfId="0" applyFont="1" applyFill="1" applyAlignment="1"/>
    <xf numFmtId="166" fontId="43" fillId="0" borderId="0" xfId="0" applyNumberFormat="1" applyFont="1" applyAlignment="1"/>
    <xf numFmtId="46" fontId="2" fillId="0" borderId="0" xfId="0" applyNumberFormat="1" applyFont="1" applyAlignment="1"/>
    <xf numFmtId="0" fontId="23" fillId="10" borderId="0" xfId="0" applyFont="1" applyFill="1" applyAlignment="1"/>
    <xf numFmtId="0" fontId="2" fillId="10" borderId="0" xfId="0" applyFont="1" applyFill="1" applyAlignment="1"/>
    <xf numFmtId="46" fontId="24" fillId="0" borderId="0" xfId="0" applyNumberFormat="1" applyFont="1" applyAlignment="1"/>
    <xf numFmtId="46" fontId="2" fillId="0" borderId="0" xfId="0" applyNumberFormat="1" applyFont="1" applyAlignment="1">
      <alignment horizontal="right"/>
    </xf>
    <xf numFmtId="46" fontId="2" fillId="0" borderId="0" xfId="0" applyNumberFormat="1" applyFont="1" applyAlignment="1"/>
    <xf numFmtId="0" fontId="2" fillId="0" borderId="0" xfId="0" applyFont="1" applyAlignment="1"/>
    <xf numFmtId="0" fontId="2" fillId="3" borderId="0" xfId="0" applyFont="1" applyFill="1" applyAlignment="1"/>
    <xf numFmtId="0" fontId="2" fillId="0" borderId="0" xfId="0" applyFont="1" applyAlignment="1"/>
    <xf numFmtId="0" fontId="2" fillId="0" borderId="5" xfId="0" applyFont="1" applyBorder="1" applyAlignment="1"/>
    <xf numFmtId="0" fontId="2" fillId="0" borderId="5" xfId="0" applyFont="1" applyBorder="1" applyAlignment="1"/>
    <xf numFmtId="164" fontId="1" fillId="0" borderId="5" xfId="0" applyNumberFormat="1" applyFont="1" applyBorder="1" applyAlignment="1"/>
    <xf numFmtId="167" fontId="2" fillId="0" borderId="0" xfId="0" applyNumberFormat="1" applyFont="1" applyAlignment="1">
      <alignment horizontal="right"/>
    </xf>
    <xf numFmtId="0" fontId="1" fillId="4" borderId="3" xfId="0" applyFont="1" applyFill="1" applyBorder="1" applyAlignment="1"/>
    <xf numFmtId="0" fontId="1" fillId="5" borderId="3" xfId="0" applyFont="1" applyFill="1" applyBorder="1" applyAlignment="1"/>
    <xf numFmtId="0" fontId="2" fillId="7" borderId="3" xfId="0" applyFont="1" applyFill="1" applyBorder="1" applyAlignment="1"/>
    <xf numFmtId="0" fontId="1" fillId="8" borderId="0" xfId="0" applyFont="1" applyFill="1" applyAlignment="1"/>
    <xf numFmtId="0" fontId="2" fillId="0" borderId="5" xfId="0" applyFont="1" applyBorder="1" applyAlignment="1"/>
    <xf numFmtId="2" fontId="2" fillId="0" borderId="0" xfId="0" applyNumberFormat="1" applyFont="1" applyAlignment="1">
      <alignment horizontal="right"/>
    </xf>
    <xf numFmtId="167" fontId="24" fillId="0" borderId="0" xfId="0" applyNumberFormat="1" applyFont="1" applyAlignment="1"/>
    <xf numFmtId="0" fontId="2" fillId="3" borderId="0" xfId="0" applyFont="1" applyFill="1" applyAlignment="1"/>
    <xf numFmtId="0" fontId="2" fillId="12" borderId="0" xfId="0" applyFont="1" applyFill="1" applyAlignment="1"/>
    <xf numFmtId="0" fontId="2" fillId="10" borderId="0" xfId="0" applyFont="1" applyFill="1" applyAlignment="1"/>
    <xf numFmtId="0" fontId="2" fillId="12" borderId="0" xfId="0" applyFont="1" applyFill="1" applyAlignment="1"/>
    <xf numFmtId="0" fontId="2" fillId="10" borderId="0" xfId="0" applyFont="1" applyFill="1" applyAlignment="1">
      <alignment vertical="center"/>
    </xf>
    <xf numFmtId="0" fontId="2" fillId="12" borderId="0" xfId="0" applyFont="1" applyFill="1" applyAlignment="1">
      <alignment horizontal="left" vertical="center"/>
    </xf>
    <xf numFmtId="2" fontId="24" fillId="0" borderId="0" xfId="0" applyNumberFormat="1" applyFont="1" applyAlignment="1"/>
    <xf numFmtId="15" fontId="2" fillId="0" borderId="0" xfId="0" applyNumberFormat="1" applyFont="1" applyAlignment="1"/>
    <xf numFmtId="46" fontId="2" fillId="0" borderId="0" xfId="0" applyNumberFormat="1" applyFont="1" applyAlignment="1">
      <alignment horizontal="right"/>
    </xf>
    <xf numFmtId="164" fontId="58" fillId="0" borderId="0" xfId="0" applyNumberFormat="1" applyFont="1" applyAlignment="1"/>
    <xf numFmtId="46" fontId="2" fillId="0" borderId="0" xfId="0" applyNumberFormat="1" applyFont="1" applyAlignment="1"/>
    <xf numFmtId="0" fontId="55" fillId="8" borderId="0" xfId="0" applyFont="1" applyFill="1"/>
    <xf numFmtId="0" fontId="0" fillId="0" borderId="0" xfId="0" applyFont="1" applyAlignment="1">
      <alignment wrapText="1"/>
    </xf>
    <xf numFmtId="0" fontId="67" fillId="0" borderId="0" xfId="0" applyFont="1" applyAlignment="1">
      <alignment wrapText="1"/>
    </xf>
    <xf numFmtId="0" fontId="0" fillId="0" borderId="0" xfId="0" applyFont="1" applyAlignment="1">
      <alignment horizontal="left"/>
    </xf>
    <xf numFmtId="15" fontId="69" fillId="0" borderId="0" xfId="0" applyNumberFormat="1" applyFont="1" applyAlignment="1"/>
    <xf numFmtId="0" fontId="71" fillId="0" borderId="0" xfId="0" applyNumberFormat="1" applyFont="1" applyAlignment="1">
      <alignment wrapText="1"/>
    </xf>
    <xf numFmtId="0" fontId="67" fillId="0" borderId="0" xfId="0" applyNumberFormat="1" applyFont="1" applyAlignment="1">
      <alignment wrapText="1"/>
    </xf>
    <xf numFmtId="174" fontId="67" fillId="0" borderId="0" xfId="0" applyNumberFormat="1" applyFont="1" applyAlignment="1">
      <alignment wrapText="1"/>
    </xf>
    <xf numFmtId="0" fontId="67" fillId="0" borderId="0" xfId="0" pivotButton="1" applyFont="1" applyAlignment="1">
      <alignment wrapText="1"/>
    </xf>
    <xf numFmtId="0" fontId="71" fillId="0" borderId="0" xfId="0" pivotButton="1" applyFont="1" applyAlignment="1"/>
    <xf numFmtId="0" fontId="71" fillId="0" borderId="0" xfId="0" applyFont="1" applyAlignment="1">
      <alignment horizontal="left" indent="1"/>
    </xf>
    <xf numFmtId="0" fontId="67" fillId="0" borderId="0" xfId="0" applyFont="1" applyAlignment="1"/>
    <xf numFmtId="0" fontId="70" fillId="0" borderId="0" xfId="0" applyFont="1" applyAlignment="1">
      <alignment wrapText="1"/>
    </xf>
    <xf numFmtId="0" fontId="68" fillId="14" borderId="0" xfId="0" applyFont="1" applyFill="1" applyAlignment="1">
      <alignment horizontal="center" wrapText="1"/>
    </xf>
    <xf numFmtId="0" fontId="70" fillId="0" borderId="0" xfId="0" applyFont="1" applyAlignment="1"/>
    <xf numFmtId="0" fontId="73" fillId="0" borderId="0" xfId="0" applyFont="1" applyAlignment="1">
      <alignment wrapText="1"/>
    </xf>
    <xf numFmtId="0" fontId="68" fillId="14" borderId="6" xfId="0" applyFont="1" applyFill="1" applyBorder="1" applyAlignment="1">
      <alignment wrapText="1"/>
    </xf>
    <xf numFmtId="0" fontId="68" fillId="15" borderId="6" xfId="0" applyFont="1" applyFill="1" applyBorder="1" applyAlignment="1">
      <alignment wrapText="1"/>
    </xf>
    <xf numFmtId="0" fontId="68" fillId="16" borderId="6" xfId="0" applyFont="1" applyFill="1" applyBorder="1" applyAlignment="1">
      <alignment wrapText="1"/>
    </xf>
    <xf numFmtId="0" fontId="71" fillId="0" borderId="0" xfId="0" applyFont="1" applyAlignment="1">
      <alignment horizontal="left" wrapText="1"/>
    </xf>
    <xf numFmtId="0" fontId="67" fillId="17" borderId="0" xfId="0" applyNumberFormat="1" applyFont="1" applyFill="1" applyAlignment="1">
      <alignment wrapText="1"/>
    </xf>
    <xf numFmtId="174" fontId="67" fillId="17" borderId="0" xfId="0" applyNumberFormat="1" applyFont="1" applyFill="1" applyAlignment="1">
      <alignment wrapText="1"/>
    </xf>
    <xf numFmtId="0" fontId="67" fillId="18" borderId="0" xfId="0" applyNumberFormat="1" applyFont="1" applyFill="1" applyAlignment="1">
      <alignment wrapText="1"/>
    </xf>
    <xf numFmtId="174" fontId="67" fillId="18" borderId="0" xfId="0" applyNumberFormat="1" applyFont="1" applyFill="1" applyAlignment="1">
      <alignment wrapText="1"/>
    </xf>
    <xf numFmtId="0" fontId="67" fillId="19" borderId="0" xfId="0" applyNumberFormat="1" applyFont="1" applyFill="1" applyAlignment="1">
      <alignment wrapText="1"/>
    </xf>
    <xf numFmtId="174" fontId="67" fillId="19" borderId="0" xfId="0" applyNumberFormat="1" applyFont="1" applyFill="1" applyAlignment="1">
      <alignment wrapText="1"/>
    </xf>
    <xf numFmtId="0" fontId="71" fillId="20" borderId="0" xfId="0" applyFont="1" applyFill="1" applyAlignment="1">
      <alignment horizontal="left" wrapText="1"/>
    </xf>
    <xf numFmtId="0" fontId="72" fillId="21" borderId="7" xfId="0" applyNumberFormat="1" applyFont="1" applyFill="1" applyBorder="1" applyAlignment="1">
      <alignment wrapText="1"/>
    </xf>
    <xf numFmtId="174" fontId="72" fillId="21" borderId="7" xfId="0" applyNumberFormat="1" applyFont="1" applyFill="1" applyBorder="1" applyAlignment="1">
      <alignment wrapText="1"/>
    </xf>
    <xf numFmtId="0" fontId="67" fillId="20" borderId="0" xfId="0" applyNumberFormat="1" applyFont="1" applyFill="1" applyAlignment="1">
      <alignment wrapText="1"/>
    </xf>
    <xf numFmtId="0" fontId="74" fillId="22" borderId="0" xfId="0" applyFont="1" applyFill="1" applyAlignment="1">
      <alignment horizontal="left" wrapText="1"/>
    </xf>
    <xf numFmtId="0" fontId="75" fillId="21" borderId="7" xfId="0" applyNumberFormat="1" applyFont="1" applyFill="1" applyBorder="1" applyAlignment="1">
      <alignment wrapText="1"/>
    </xf>
    <xf numFmtId="174" fontId="75" fillId="21" borderId="7" xfId="0" applyNumberFormat="1" applyFont="1" applyFill="1" applyBorder="1" applyAlignment="1">
      <alignment wrapText="1"/>
    </xf>
    <xf numFmtId="0" fontId="76" fillId="21" borderId="7" xfId="0" applyNumberFormat="1" applyFont="1" applyFill="1" applyBorder="1" applyAlignment="1">
      <alignment wrapText="1"/>
    </xf>
    <xf numFmtId="174" fontId="76" fillId="21" borderId="7" xfId="0" applyNumberFormat="1" applyFont="1" applyFill="1" applyBorder="1" applyAlignment="1">
      <alignment wrapText="1"/>
    </xf>
    <xf numFmtId="0" fontId="77" fillId="20" borderId="0" xfId="0" applyNumberFormat="1" applyFont="1" applyFill="1" applyAlignment="1">
      <alignment wrapText="1"/>
    </xf>
    <xf numFmtId="0" fontId="71" fillId="0" borderId="0" xfId="0" applyNumberFormat="1" applyFont="1" applyAlignment="1">
      <alignment horizontal="left" wrapText="1" indent="1"/>
    </xf>
    <xf numFmtId="0" fontId="78" fillId="0" borderId="0" xfId="1" applyFont="1" applyAlignment="1">
      <alignment horizontal="left"/>
    </xf>
    <xf numFmtId="0" fontId="0" fillId="0" borderId="0" xfId="0" applyFont="1" applyAlignment="1">
      <alignment vertical="top" wrapText="1"/>
    </xf>
    <xf numFmtId="0" fontId="2" fillId="0" borderId="0" xfId="0" applyFont="1" applyAlignment="1">
      <alignment vertical="top" wrapText="1"/>
    </xf>
    <xf numFmtId="0" fontId="69" fillId="0" borderId="0" xfId="0" applyFont="1" applyAlignment="1">
      <alignment vertical="top" wrapText="1"/>
    </xf>
    <xf numFmtId="0" fontId="79" fillId="0" borderId="0" xfId="0" applyFont="1" applyAlignment="1">
      <alignment vertical="top" wrapText="1"/>
    </xf>
    <xf numFmtId="0" fontId="67" fillId="23" borderId="0" xfId="0" applyFont="1" applyFill="1" applyAlignment="1">
      <alignment vertical="top" wrapText="1"/>
    </xf>
    <xf numFmtId="0" fontId="80" fillId="0" borderId="0" xfId="0" applyFont="1" applyAlignment="1">
      <alignment vertical="top" wrapText="1"/>
    </xf>
    <xf numFmtId="0" fontId="24" fillId="0" borderId="0" xfId="0" applyFont="1" applyAlignment="1">
      <alignment vertical="top" wrapText="1"/>
    </xf>
    <xf numFmtId="0" fontId="2" fillId="3" borderId="0" xfId="0" applyFont="1" applyFill="1" applyAlignment="1">
      <alignment vertical="top" wrapText="1"/>
    </xf>
    <xf numFmtId="0" fontId="2" fillId="10" borderId="0" xfId="0" applyFont="1" applyFill="1" applyAlignment="1">
      <alignment vertical="top" wrapText="1"/>
    </xf>
    <xf numFmtId="2" fontId="2" fillId="0" borderId="0" xfId="0" applyNumberFormat="1" applyFont="1" applyAlignment="1">
      <alignment vertical="top" wrapText="1"/>
    </xf>
    <xf numFmtId="0" fontId="24" fillId="0" borderId="0" xfId="0" applyFont="1" applyBorder="1" applyAlignment="1">
      <alignment vertical="top" wrapText="1"/>
    </xf>
    <xf numFmtId="2" fontId="2" fillId="3" borderId="0" xfId="0" applyNumberFormat="1" applyFont="1" applyFill="1" applyAlignment="1">
      <alignment vertical="top" wrapText="1"/>
    </xf>
    <xf numFmtId="171" fontId="2" fillId="0" borderId="0" xfId="0" applyNumberFormat="1" applyFont="1" applyAlignment="1">
      <alignment vertical="top" wrapText="1"/>
    </xf>
    <xf numFmtId="0" fontId="2" fillId="0" borderId="5" xfId="0" applyFont="1" applyBorder="1" applyAlignment="1">
      <alignment vertical="top" wrapText="1"/>
    </xf>
    <xf numFmtId="0" fontId="2" fillId="0" borderId="0" xfId="0" applyFont="1" applyBorder="1" applyAlignment="1">
      <alignment vertical="top" wrapText="1"/>
    </xf>
    <xf numFmtId="0" fontId="69" fillId="11" borderId="0" xfId="0" applyFont="1" applyFill="1" applyAlignment="1">
      <alignment vertical="top" wrapText="1"/>
    </xf>
    <xf numFmtId="2" fontId="24" fillId="0" borderId="0" xfId="0" applyNumberFormat="1" applyFont="1" applyAlignment="1">
      <alignment vertical="top" wrapText="1"/>
    </xf>
    <xf numFmtId="0" fontId="69" fillId="10" borderId="0" xfId="0" applyFont="1" applyFill="1" applyAlignment="1">
      <alignment vertical="top" wrapText="1"/>
    </xf>
    <xf numFmtId="0" fontId="81" fillId="0" borderId="0" xfId="0" applyFont="1" applyAlignment="1">
      <alignment vertical="top" wrapText="1"/>
    </xf>
    <xf numFmtId="0" fontId="67" fillId="0" borderId="0" xfId="0" applyFont="1" applyAlignment="1">
      <alignment vertical="top" wrapText="1"/>
    </xf>
    <xf numFmtId="0" fontId="51" fillId="0" borderId="0" xfId="0" applyFont="1" applyAlignment="1">
      <alignment vertical="top" wrapText="1"/>
    </xf>
    <xf numFmtId="0" fontId="53" fillId="0" borderId="0" xfId="0" applyFont="1" applyAlignment="1">
      <alignment vertical="top" wrapText="1"/>
    </xf>
    <xf numFmtId="0" fontId="78" fillId="0" borderId="0" xfId="1" applyFont="1" applyAlignment="1">
      <alignment vertical="top" wrapText="1"/>
    </xf>
    <xf numFmtId="0" fontId="70" fillId="19" borderId="0" xfId="0" applyFont="1" applyFill="1" applyAlignment="1">
      <alignment horizontal="center"/>
    </xf>
    <xf numFmtId="0" fontId="68" fillId="14" borderId="0" xfId="0" applyFont="1" applyFill="1" applyAlignment="1">
      <alignment horizontal="center" wrapText="1"/>
    </xf>
    <xf numFmtId="0" fontId="68" fillId="15" borderId="0" xfId="0" applyFont="1" applyFill="1" applyAlignment="1">
      <alignment horizontal="center" wrapText="1"/>
    </xf>
    <xf numFmtId="0" fontId="68" fillId="16" borderId="0" xfId="0" applyFont="1" applyFill="1" applyAlignment="1">
      <alignment horizontal="center" wrapText="1"/>
    </xf>
    <xf numFmtId="0" fontId="3" fillId="2" borderId="0" xfId="0" applyFont="1" applyFill="1" applyAlignment="1"/>
    <xf numFmtId="0" fontId="0" fillId="0" borderId="0" xfId="0" applyFont="1" applyAlignment="1"/>
    <xf numFmtId="0" fontId="56" fillId="0" borderId="0" xfId="0" applyFont="1" applyAlignment="1">
      <alignment horizontal="center"/>
    </xf>
  </cellXfs>
  <cellStyles count="2">
    <cellStyle name="Hyperlink" xfId="1" builtinId="8"/>
    <cellStyle name="Normal" xfId="0" builtinId="0"/>
  </cellStyles>
  <dxfs count="185">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ont>
        <sz val="9"/>
      </font>
      <numFmt numFmtId="0" formatCode="General"/>
    </dxf>
    <dxf>
      <font>
        <sz val="9"/>
      </font>
      <numFmt numFmtId="0" formatCode="General"/>
    </dxf>
    <dxf>
      <font>
        <sz val="9"/>
      </font>
      <numFmt numFmtId="0" formatCode="General"/>
    </dxf>
    <dxf>
      <font>
        <sz val="9"/>
      </font>
      <numFmt numFmtId="0" formatCode="General"/>
    </dxf>
    <dxf>
      <alignment wrapText="1"/>
    </dxf>
    <dxf>
      <alignment wrapText="0"/>
    </dxf>
    <dxf>
      <font>
        <sz val="8"/>
      </font>
      <numFmt numFmtId="174" formatCode="[h]:mm:ss;@"/>
      <alignment wrapText="1"/>
    </dxf>
    <dxf>
      <font>
        <sz val="8"/>
      </font>
      <numFmt numFmtId="174" formatCode="[h]:mm:ss;@"/>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8"/>
      </font>
    </dxf>
    <dxf>
      <font>
        <sz val="8"/>
      </font>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0"/>
    </dxf>
    <dxf>
      <font>
        <sz val="8"/>
      </font>
      <numFmt numFmtId="174" formatCode="[h]:mm:ss;@"/>
      <alignment wrapText="1"/>
    </dxf>
    <dxf>
      <font>
        <sz val="8"/>
      </font>
      <numFmt numFmtId="174" formatCode="[h]:mm:ss;@"/>
      <alignment wrapText="1"/>
    </dxf>
    <dxf>
      <font>
        <sz val="9"/>
      </font>
    </dxf>
    <dxf>
      <font>
        <sz val="9"/>
      </font>
    </dxf>
    <dxf>
      <font>
        <sz val="8"/>
      </font>
      <numFmt numFmtId="174" formatCode="[h]:mm:ss;@"/>
      <alignment wrapText="1"/>
    </dxf>
    <dxf>
      <font>
        <sz val="8"/>
      </font>
      <numFmt numFmtId="174" formatCode="[h]:mm:ss;@"/>
      <alignment wrapText="1"/>
    </dxf>
    <dxf>
      <font>
        <sz val="9"/>
      </font>
    </dxf>
    <dxf>
      <font>
        <sz val="9"/>
      </font>
    </dxf>
    <dxf>
      <font>
        <sz val="10"/>
      </font>
    </dxf>
    <dxf>
      <font>
        <sz val="10"/>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2">
    <tableStyle name="US-style" pivot="0" count="3" xr9:uid="{00000000-0011-0000-FFFF-FFFF00000000}">
      <tableStyleElement type="headerRow" dxfId="184"/>
      <tableStyleElement type="firstRowStripe" dxfId="183"/>
      <tableStyleElement type="secondRowStripe" dxfId="182"/>
    </tableStyle>
    <tableStyle name="Final-style" pivot="0" count="3" xr9:uid="{00000000-0011-0000-FFFF-FFFF01000000}">
      <tableStyleElement type="headerRow" dxfId="181"/>
      <tableStyleElement type="firstRowStripe" dxfId="180"/>
      <tableStyleElement type="secondRowStripe" dxfId="17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485775</xdr:colOff>
      <xdr:row>48</xdr:row>
      <xdr:rowOff>0</xdr:rowOff>
    </xdr:to>
    <xdr:sp macro="" textlink="">
      <xdr:nvSpPr>
        <xdr:cNvPr id="8194" name="Text Box 2" hidden="1">
          <a:extLst>
            <a:ext uri="{FF2B5EF4-FFF2-40B4-BE49-F238E27FC236}">
              <a16:creationId xmlns:a16="http://schemas.microsoft.com/office/drawing/2014/main" id="{FF0508BE-22F0-42E9-B08B-6B36B7E4817A}"/>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485775</xdr:colOff>
      <xdr:row>48</xdr:row>
      <xdr:rowOff>0</xdr:rowOff>
    </xdr:to>
    <xdr:sp macro="" textlink="">
      <xdr:nvSpPr>
        <xdr:cNvPr id="2" name="AutoShape 2">
          <a:extLst>
            <a:ext uri="{FF2B5EF4-FFF2-40B4-BE49-F238E27FC236}">
              <a16:creationId xmlns:a16="http://schemas.microsoft.com/office/drawing/2014/main" id="{E180F5D7-4A97-450C-B10C-E6D32D20F676}"/>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19050</xdr:colOff>
      <xdr:row>48</xdr:row>
      <xdr:rowOff>0</xdr:rowOff>
    </xdr:to>
    <xdr:sp macro="" textlink="">
      <xdr:nvSpPr>
        <xdr:cNvPr id="2050" name="Text Box 2" hidden="1">
          <a:extLst>
            <a:ext uri="{FF2B5EF4-FFF2-40B4-BE49-F238E27FC236}">
              <a16:creationId xmlns:a16="http://schemas.microsoft.com/office/drawing/2014/main" id="{C30031ED-75A6-471B-AAF5-8B65AFA3A082}"/>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19050</xdr:colOff>
      <xdr:row>48</xdr:row>
      <xdr:rowOff>0</xdr:rowOff>
    </xdr:to>
    <xdr:sp macro="" textlink="">
      <xdr:nvSpPr>
        <xdr:cNvPr id="2" name="AutoShape 2">
          <a:extLst>
            <a:ext uri="{FF2B5EF4-FFF2-40B4-BE49-F238E27FC236}">
              <a16:creationId xmlns:a16="http://schemas.microsoft.com/office/drawing/2014/main" id="{A7B7F658-0E75-4CBE-9E47-7CC9CE7014E6}"/>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19050</xdr:colOff>
      <xdr:row>48</xdr:row>
      <xdr:rowOff>0</xdr:rowOff>
    </xdr:to>
    <xdr:sp macro="" textlink="">
      <xdr:nvSpPr>
        <xdr:cNvPr id="1026" name="Text Box 2" hidden="1">
          <a:extLst>
            <a:ext uri="{FF2B5EF4-FFF2-40B4-BE49-F238E27FC236}">
              <a16:creationId xmlns:a16="http://schemas.microsoft.com/office/drawing/2014/main" id="{675042C6-1E78-441A-BA35-F3BB42CFAA7F}"/>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19050</xdr:colOff>
      <xdr:row>48</xdr:row>
      <xdr:rowOff>0</xdr:rowOff>
    </xdr:to>
    <xdr:sp macro="" textlink="">
      <xdr:nvSpPr>
        <xdr:cNvPr id="2" name="AutoShape 2">
          <a:extLst>
            <a:ext uri="{FF2B5EF4-FFF2-40B4-BE49-F238E27FC236}">
              <a16:creationId xmlns:a16="http://schemas.microsoft.com/office/drawing/2014/main" id="{9720B7E7-3AB7-409F-A350-79015A59E54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3074" name="Text Box 2" hidden="1">
          <a:extLst>
            <a:ext uri="{FF2B5EF4-FFF2-40B4-BE49-F238E27FC236}">
              <a16:creationId xmlns:a16="http://schemas.microsoft.com/office/drawing/2014/main" id="{91E97AA9-856A-4DE1-A632-C69C6C65F4AC}"/>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2">
          <a:extLst>
            <a:ext uri="{FF2B5EF4-FFF2-40B4-BE49-F238E27FC236}">
              <a16:creationId xmlns:a16="http://schemas.microsoft.com/office/drawing/2014/main" id="{7311A49F-7C10-4B57-B87C-342567DA790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485775</xdr:colOff>
      <xdr:row>48</xdr:row>
      <xdr:rowOff>0</xdr:rowOff>
    </xdr:to>
    <xdr:sp macro="" textlink="">
      <xdr:nvSpPr>
        <xdr:cNvPr id="5122" name="Text Box 2" hidden="1">
          <a:extLst>
            <a:ext uri="{FF2B5EF4-FFF2-40B4-BE49-F238E27FC236}">
              <a16:creationId xmlns:a16="http://schemas.microsoft.com/office/drawing/2014/main" id="{39B1D915-09E3-420E-AC1D-45B8E805B24D}"/>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485775</xdr:colOff>
      <xdr:row>48</xdr:row>
      <xdr:rowOff>0</xdr:rowOff>
    </xdr:to>
    <xdr:sp macro="" textlink="">
      <xdr:nvSpPr>
        <xdr:cNvPr id="2" name="AutoShape 2">
          <a:extLst>
            <a:ext uri="{FF2B5EF4-FFF2-40B4-BE49-F238E27FC236}">
              <a16:creationId xmlns:a16="http://schemas.microsoft.com/office/drawing/2014/main" id="{BECA9E2B-6BE4-4A7F-BC94-9BB28F21D9D3}"/>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361950</xdr:colOff>
      <xdr:row>48</xdr:row>
      <xdr:rowOff>0</xdr:rowOff>
    </xdr:to>
    <xdr:sp macro="" textlink="">
      <xdr:nvSpPr>
        <xdr:cNvPr id="4098" name="Text Box 2" hidden="1">
          <a:extLst>
            <a:ext uri="{FF2B5EF4-FFF2-40B4-BE49-F238E27FC236}">
              <a16:creationId xmlns:a16="http://schemas.microsoft.com/office/drawing/2014/main" id="{7112AC4F-5371-4776-9BA8-BBBA9AE730DD}"/>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361950</xdr:colOff>
      <xdr:row>48</xdr:row>
      <xdr:rowOff>0</xdr:rowOff>
    </xdr:to>
    <xdr:sp macro="" textlink="">
      <xdr:nvSpPr>
        <xdr:cNvPr id="2" name="AutoShape 2">
          <a:extLst>
            <a:ext uri="{FF2B5EF4-FFF2-40B4-BE49-F238E27FC236}">
              <a16:creationId xmlns:a16="http://schemas.microsoft.com/office/drawing/2014/main" id="{AFFBF8A3-AF62-45A9-AF5F-DF182B31CE03}"/>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485775</xdr:colOff>
      <xdr:row>48</xdr:row>
      <xdr:rowOff>0</xdr:rowOff>
    </xdr:to>
    <xdr:sp macro="" textlink="">
      <xdr:nvSpPr>
        <xdr:cNvPr id="15362" name="Text Box 2" hidden="1">
          <a:extLst>
            <a:ext uri="{FF2B5EF4-FFF2-40B4-BE49-F238E27FC236}">
              <a16:creationId xmlns:a16="http://schemas.microsoft.com/office/drawing/2014/main" id="{C9A1FAB5-11FC-4F7A-8B32-FA142EC2D4FD}"/>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485775</xdr:colOff>
      <xdr:row>48</xdr:row>
      <xdr:rowOff>0</xdr:rowOff>
    </xdr:to>
    <xdr:sp macro="" textlink="">
      <xdr:nvSpPr>
        <xdr:cNvPr id="2" name="AutoShape 2">
          <a:extLst>
            <a:ext uri="{FF2B5EF4-FFF2-40B4-BE49-F238E27FC236}">
              <a16:creationId xmlns:a16="http://schemas.microsoft.com/office/drawing/2014/main" id="{2A00D440-7153-43B5-95F0-FA592361CBF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1419225</xdr:colOff>
      <xdr:row>48</xdr:row>
      <xdr:rowOff>0</xdr:rowOff>
    </xdr:to>
    <xdr:sp macro="" textlink="">
      <xdr:nvSpPr>
        <xdr:cNvPr id="6146" name="Text Box 2" hidden="1">
          <a:extLst>
            <a:ext uri="{FF2B5EF4-FFF2-40B4-BE49-F238E27FC236}">
              <a16:creationId xmlns:a16="http://schemas.microsoft.com/office/drawing/2014/main" id="{D49546E8-CA23-450E-9A31-FE576D462BCF}"/>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1419225</xdr:colOff>
      <xdr:row>48</xdr:row>
      <xdr:rowOff>0</xdr:rowOff>
    </xdr:to>
    <xdr:sp macro="" textlink="">
      <xdr:nvSpPr>
        <xdr:cNvPr id="2" name="AutoShape 2">
          <a:extLst>
            <a:ext uri="{FF2B5EF4-FFF2-40B4-BE49-F238E27FC236}">
              <a16:creationId xmlns:a16="http://schemas.microsoft.com/office/drawing/2014/main" id="{8D15D777-323C-454D-B74F-1E25767B73CA}"/>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619125</xdr:colOff>
      <xdr:row>48</xdr:row>
      <xdr:rowOff>0</xdr:rowOff>
    </xdr:to>
    <xdr:sp macro="" textlink="">
      <xdr:nvSpPr>
        <xdr:cNvPr id="7170" name="Text Box 2" hidden="1">
          <a:extLst>
            <a:ext uri="{FF2B5EF4-FFF2-40B4-BE49-F238E27FC236}">
              <a16:creationId xmlns:a16="http://schemas.microsoft.com/office/drawing/2014/main" id="{08DFD923-A8DE-4D9E-9485-C9ED6E166CD7}"/>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619125</xdr:colOff>
      <xdr:row>48</xdr:row>
      <xdr:rowOff>0</xdr:rowOff>
    </xdr:to>
    <xdr:sp macro="" textlink="">
      <xdr:nvSpPr>
        <xdr:cNvPr id="2" name="AutoShape 2">
          <a:extLst>
            <a:ext uri="{FF2B5EF4-FFF2-40B4-BE49-F238E27FC236}">
              <a16:creationId xmlns:a16="http://schemas.microsoft.com/office/drawing/2014/main" id="{F6E522C3-07BD-4E01-A5F1-4CCB622CBC09}"/>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9218" name="Text Box 2" hidden="1">
          <a:extLst>
            <a:ext uri="{FF2B5EF4-FFF2-40B4-BE49-F238E27FC236}">
              <a16:creationId xmlns:a16="http://schemas.microsoft.com/office/drawing/2014/main" id="{8CF679B2-67DB-43A5-82FB-E99AFECFDEFF}"/>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2">
          <a:extLst>
            <a:ext uri="{FF2B5EF4-FFF2-40B4-BE49-F238E27FC236}">
              <a16:creationId xmlns:a16="http://schemas.microsoft.com/office/drawing/2014/main" id="{1F74AFDD-53A2-426F-82B9-16CAF141FD71}"/>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10242" name="Text Box 2" hidden="1">
          <a:extLst>
            <a:ext uri="{FF2B5EF4-FFF2-40B4-BE49-F238E27FC236}">
              <a16:creationId xmlns:a16="http://schemas.microsoft.com/office/drawing/2014/main" id="{47762768-D838-4D6C-A189-861B7F26E432}"/>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2">
          <a:extLst>
            <a:ext uri="{FF2B5EF4-FFF2-40B4-BE49-F238E27FC236}">
              <a16:creationId xmlns:a16="http://schemas.microsoft.com/office/drawing/2014/main" id="{A9CC9636-7916-40C2-86CF-7569DBA15F3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161925</xdr:colOff>
      <xdr:row>48</xdr:row>
      <xdr:rowOff>0</xdr:rowOff>
    </xdr:to>
    <xdr:sp macro="" textlink="">
      <xdr:nvSpPr>
        <xdr:cNvPr id="17411" name="Text Box 3" hidden="1">
          <a:extLst>
            <a:ext uri="{FF2B5EF4-FFF2-40B4-BE49-F238E27FC236}">
              <a16:creationId xmlns:a16="http://schemas.microsoft.com/office/drawing/2014/main" id="{75492A1F-7E70-44A2-B38A-8E896DE15FD1}"/>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161925</xdr:colOff>
      <xdr:row>48</xdr:row>
      <xdr:rowOff>0</xdr:rowOff>
    </xdr:to>
    <xdr:sp macro="" textlink="">
      <xdr:nvSpPr>
        <xdr:cNvPr id="2" name="AutoShape 3">
          <a:extLst>
            <a:ext uri="{FF2B5EF4-FFF2-40B4-BE49-F238E27FC236}">
              <a16:creationId xmlns:a16="http://schemas.microsoft.com/office/drawing/2014/main" id="{3A9918DC-EA38-48E9-916A-754B2CD4536B}"/>
            </a:ext>
          </a:extLst>
        </xdr:cNvPr>
        <xdr:cNvSpPr>
          <a:spLocks noChangeArrowheads="1"/>
        </xdr:cNvSpPr>
      </xdr:nvSpPr>
      <xdr:spPr bwMode="auto">
        <a:xfrm>
          <a:off x="0" y="0"/>
          <a:ext cx="9525000" cy="8763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19050</xdr:colOff>
      <xdr:row>48</xdr:row>
      <xdr:rowOff>0</xdr:rowOff>
    </xdr:to>
    <xdr:sp macro="" textlink="">
      <xdr:nvSpPr>
        <xdr:cNvPr id="11266" name="Text Box 2" hidden="1">
          <a:extLst>
            <a:ext uri="{FF2B5EF4-FFF2-40B4-BE49-F238E27FC236}">
              <a16:creationId xmlns:a16="http://schemas.microsoft.com/office/drawing/2014/main" id="{3A0F3AB7-3554-4B1B-A99C-D9E92DB9BE59}"/>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19050</xdr:colOff>
      <xdr:row>48</xdr:row>
      <xdr:rowOff>0</xdr:rowOff>
    </xdr:to>
    <xdr:sp macro="" textlink="">
      <xdr:nvSpPr>
        <xdr:cNvPr id="2" name="AutoShape 2">
          <a:extLst>
            <a:ext uri="{FF2B5EF4-FFF2-40B4-BE49-F238E27FC236}">
              <a16:creationId xmlns:a16="http://schemas.microsoft.com/office/drawing/2014/main" id="{E90F2ABF-1423-46FD-820F-48E0A2F85E2E}"/>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19050</xdr:colOff>
      <xdr:row>48</xdr:row>
      <xdr:rowOff>0</xdr:rowOff>
    </xdr:to>
    <xdr:sp macro="" textlink="">
      <xdr:nvSpPr>
        <xdr:cNvPr id="12290" name="Text Box 2" hidden="1">
          <a:extLst>
            <a:ext uri="{FF2B5EF4-FFF2-40B4-BE49-F238E27FC236}">
              <a16:creationId xmlns:a16="http://schemas.microsoft.com/office/drawing/2014/main" id="{1E8158A2-3690-455A-839A-2FD94C16F447}"/>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19050</xdr:colOff>
      <xdr:row>48</xdr:row>
      <xdr:rowOff>0</xdr:rowOff>
    </xdr:to>
    <xdr:sp macro="" textlink="">
      <xdr:nvSpPr>
        <xdr:cNvPr id="2" name="AutoShape 2">
          <a:extLst>
            <a:ext uri="{FF2B5EF4-FFF2-40B4-BE49-F238E27FC236}">
              <a16:creationId xmlns:a16="http://schemas.microsoft.com/office/drawing/2014/main" id="{4A6F133F-1848-4918-94BE-2D8D243B114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19050</xdr:colOff>
      <xdr:row>48</xdr:row>
      <xdr:rowOff>0</xdr:rowOff>
    </xdr:to>
    <xdr:sp macro="" textlink="">
      <xdr:nvSpPr>
        <xdr:cNvPr id="13314" name="Text Box 2" hidden="1">
          <a:extLst>
            <a:ext uri="{FF2B5EF4-FFF2-40B4-BE49-F238E27FC236}">
              <a16:creationId xmlns:a16="http://schemas.microsoft.com/office/drawing/2014/main" id="{81D85827-D0FD-47A1-81D7-D81B6F43797C}"/>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19050</xdr:colOff>
      <xdr:row>48</xdr:row>
      <xdr:rowOff>0</xdr:rowOff>
    </xdr:to>
    <xdr:sp macro="" textlink="">
      <xdr:nvSpPr>
        <xdr:cNvPr id="2" name="AutoShape 2">
          <a:extLst>
            <a:ext uri="{FF2B5EF4-FFF2-40B4-BE49-F238E27FC236}">
              <a16:creationId xmlns:a16="http://schemas.microsoft.com/office/drawing/2014/main" id="{A96BF748-99D8-411E-B681-67E2152B0773}"/>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19050</xdr:colOff>
      <xdr:row>48</xdr:row>
      <xdr:rowOff>0</xdr:rowOff>
    </xdr:to>
    <xdr:sp macro="" textlink="">
      <xdr:nvSpPr>
        <xdr:cNvPr id="14338" name="Text Box 2" hidden="1">
          <a:extLst>
            <a:ext uri="{FF2B5EF4-FFF2-40B4-BE49-F238E27FC236}">
              <a16:creationId xmlns:a16="http://schemas.microsoft.com/office/drawing/2014/main" id="{A5C27AC8-EDA8-42C2-A598-72C5FD4FAC5D}"/>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19050</xdr:colOff>
      <xdr:row>48</xdr:row>
      <xdr:rowOff>0</xdr:rowOff>
    </xdr:to>
    <xdr:sp macro="" textlink="">
      <xdr:nvSpPr>
        <xdr:cNvPr id="2" name="AutoShape 2">
          <a:extLst>
            <a:ext uri="{FF2B5EF4-FFF2-40B4-BE49-F238E27FC236}">
              <a16:creationId xmlns:a16="http://schemas.microsoft.com/office/drawing/2014/main" id="{578FFDC8-12B9-400D-9EAC-05B35E04C01A}"/>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819150</xdr:colOff>
      <xdr:row>50</xdr:row>
      <xdr:rowOff>0</xdr:rowOff>
    </xdr:to>
    <xdr:sp macro="" textlink="">
      <xdr:nvSpPr>
        <xdr:cNvPr id="16387" name="Text Box 3" hidden="1">
          <a:extLst>
            <a:ext uri="{FF2B5EF4-FFF2-40B4-BE49-F238E27FC236}">
              <a16:creationId xmlns:a16="http://schemas.microsoft.com/office/drawing/2014/main" id="{E754A3AC-FDAF-441F-8986-6B61AFB739C8}"/>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819150</xdr:colOff>
      <xdr:row>50</xdr:row>
      <xdr:rowOff>0</xdr:rowOff>
    </xdr:to>
    <xdr:sp macro="" textlink="">
      <xdr:nvSpPr>
        <xdr:cNvPr id="2" name="AutoShape 3">
          <a:extLst>
            <a:ext uri="{FF2B5EF4-FFF2-40B4-BE49-F238E27FC236}">
              <a16:creationId xmlns:a16="http://schemas.microsoft.com/office/drawing/2014/main" id="{7C454F94-FB3F-4C0C-830F-83542A6D85EB}"/>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Thapliyal" refreshedDate="43065.722208796295" createdVersion="6" refreshedVersion="6" minRefreshableVersion="3" recordCount="1388" xr:uid="{B063584F-B964-4A2D-BBB6-E828D984FE5D}">
  <cacheSource type="worksheet">
    <worksheetSource ref="A1:T1048576" sheet="Final"/>
  </cacheSource>
  <cacheFields count="20">
    <cacheField name="#" numFmtId="0">
      <sharedItems containsString="0" containsBlank="1" containsNumber="1" minValue="1" maxValue="757.12"/>
    </cacheField>
    <cacheField name="Content Owner" numFmtId="0">
      <sharedItems containsBlank="1" count="7">
        <s v="HT"/>
        <m/>
        <s v="JB"/>
        <s v="RKT"/>
        <s v="AA"/>
        <s v="US"/>
        <s v="MS"/>
      </sharedItems>
    </cacheField>
    <cacheField name="Video Owner" numFmtId="0">
      <sharedItems containsNonDate="0" containsString="0" containsBlank="1"/>
    </cacheField>
    <cacheField name="Final Status" numFmtId="0">
      <sharedItems containsBlank="1" count="3">
        <s v="Done-Content"/>
        <s v="Drop"/>
        <m/>
      </sharedItems>
    </cacheField>
    <cacheField name="Video URL" numFmtId="0">
      <sharedItems containsBlank="1"/>
    </cacheField>
    <cacheField name="Video Title" numFmtId="0">
      <sharedItems containsBlank="1"/>
    </cacheField>
    <cacheField name="Clip Title" numFmtId="0">
      <sharedItems containsBlank="1"/>
    </cacheField>
    <cacheField name="Description" numFmtId="0">
      <sharedItems containsBlank="1" longText="1"/>
    </cacheField>
    <cacheField name="Tags" numFmtId="0">
      <sharedItems containsNonDate="0" containsString="0" containsBlank="1"/>
    </cacheField>
    <cacheField name="Views as on 10-Sep-17" numFmtId="0">
      <sharedItems containsString="0" containsBlank="1" containsNumber="1" containsInteger="1" minValue="118" maxValue="114000"/>
    </cacheField>
    <cacheField name="Video Duration" numFmtId="0">
      <sharedItems containsNonDate="0" containsDate="1" containsString="0" containsBlank="1" minDate="1899-12-30T00:00:24" maxDate="1899-12-30T02:50:51"/>
    </cacheField>
    <cacheField name="Posted Date" numFmtId="0">
      <sharedItems containsBlank="1"/>
    </cacheField>
    <cacheField name="Start " numFmtId="0">
      <sharedItems containsNonDate="0" containsDate="1" containsString="0" containsBlank="1" minDate="1899-12-30T00:00:00" maxDate="1899-12-30T01:58:55"/>
    </cacheField>
    <cacheField name="End" numFmtId="0">
      <sharedItems containsNonDate="0" containsDate="1" containsString="0" containsBlank="1" minDate="1899-12-30T00:01:16" maxDate="1899-12-30T02:05:03"/>
    </cacheField>
    <cacheField name="Clip Duration" numFmtId="0">
      <sharedItems containsDate="1" containsString="0" containsBlank="1" containsMixedTypes="1" minDate="1900-01-02T04:05:11" maxDate="1899-12-31T00:00:00"/>
    </cacheField>
    <cacheField name="Work Date" numFmtId="0">
      <sharedItems containsNonDate="0" containsDate="1" containsString="0" containsBlank="1" minDate="2017-09-11T00:00:00" maxDate="2017-11-26T00:00:00" count="49">
        <d v="2017-09-11T00:00:00"/>
        <d v="2017-09-12T00:00:00"/>
        <d v="2017-09-13T00:00:00"/>
        <m/>
        <d v="2017-09-30T00:00:00"/>
        <d v="2017-09-14T00:00:00"/>
        <d v="2017-10-04T00:00:00"/>
        <d v="2017-10-05T00:00:00"/>
        <d v="2017-10-06T00:00:00"/>
        <d v="2017-10-07T00:00:00"/>
        <d v="2017-10-08T00:00:00"/>
        <d v="2017-10-09T00:00:00"/>
        <d v="2017-09-19T00:00:00"/>
        <d v="2017-10-14T00:00:00"/>
        <d v="2017-10-15T00:00:00"/>
        <d v="2017-10-21T00:00:00"/>
        <d v="2017-10-22T00:00:00"/>
        <d v="2017-10-23T00:00:00"/>
        <d v="2017-10-27T00:00:00"/>
        <d v="2017-10-31T00:00:00"/>
        <d v="2017-10-13T00:00:00"/>
        <d v="2017-09-25T00:00:00"/>
        <d v="2017-10-24T00:00:00"/>
        <d v="2017-10-01T00:00:00"/>
        <d v="2017-10-12T00:00:00"/>
        <d v="2017-10-11T00:00:00"/>
        <d v="2017-10-19T00:00:00"/>
        <d v="2017-10-02T00:00:00"/>
        <d v="2017-09-29T00:00:00"/>
        <d v="2017-10-30T00:00:00"/>
        <d v="2017-10-20T00:00:00"/>
        <d v="2017-10-28T00:00:00"/>
        <d v="2017-10-29T00:00:00"/>
        <d v="2017-10-17T00:00:00"/>
        <d v="2017-10-18T00:00:00"/>
        <d v="2017-11-05T00:00:00"/>
        <d v="2017-11-22T00:00:00"/>
        <d v="2017-11-15T00:00:00"/>
        <d v="2017-11-07T00:00:00"/>
        <d v="2017-11-11T00:00:00"/>
        <d v="2017-11-13T00:00:00"/>
        <d v="2017-11-03T00:00:00"/>
        <d v="2017-11-04T00:00:00"/>
        <d v="2017-11-16T00:00:00"/>
        <d v="2017-11-18T00:00:00"/>
        <d v="2017-10-16T00:00:00"/>
        <d v="2017-11-25T00:00:00"/>
        <d v="2017-11-20T00:00:00"/>
        <d v="2017-11-23T00:00:00"/>
      </sharedItems>
      <fieldGroup base="15">
        <rangePr groupBy="days" startDate="2017-09-11T00:00:00" endDate="2017-11-26T00:00:00" groupInterval="7"/>
        <groupItems count="13">
          <s v="(blank)"/>
          <s v="11-09-17 - 17-09-17"/>
          <s v="18-09-17 - 24-09-17"/>
          <s v="25-09-17 - 01-10-17"/>
          <s v="02-10-17 - 08-10-17"/>
          <s v="09-10-17 - 15-10-17"/>
          <s v="16-10-17 - 22-10-17"/>
          <s v="23-10-17 - 29-10-17"/>
          <s v="30-10-17 - 05-11-17"/>
          <s v="06-11-17 - 12-11-17"/>
          <s v="13-11-17 - 19-11-17"/>
          <s v="20-11-17 - 26-11-17"/>
          <s v="&gt;26-11-17"/>
        </groupItems>
      </fieldGroup>
    </cacheField>
    <cacheField name="Clip URL" numFmtId="0">
      <sharedItems containsBlank="1"/>
    </cacheField>
    <cacheField name="Video Quality" numFmtId="0">
      <sharedItems containsBlank="1"/>
    </cacheField>
    <cacheField name="Audio Quality" numFmtId="0">
      <sharedItems containsBlank="1"/>
    </cacheField>
    <cacheField name="Content Qualit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8">
  <r>
    <n v="1"/>
    <x v="0"/>
    <m/>
    <x v="0"/>
    <s v="https://www.youtube.com/watch?v=RD7JpM4UrUA"/>
    <s v="&quot;Breaking India&quot; book launch - Swami Dayananda Saraswati - Part 1.wmv"/>
    <s v="Swami Dayananda Saraswati Ji on the Theory of Invasion"/>
    <s v="Swami Dayananda Saraswati Ji is talking about the book and huge efforts of Rajiv Malhotra in writing this book. He talks about how people madely talking about invasion theory and trying to create conflict in the Indian society. Also talks about Saraswati River."/>
    <m/>
    <n v="7000"/>
    <d v="1899-12-30T00:13:52"/>
    <s v="6 years ago"/>
    <m/>
    <m/>
    <d v="1899-12-30T00:00:00"/>
    <x v="0"/>
    <s v=""/>
    <s v="Good"/>
    <s v="Good"/>
    <s v="Good"/>
  </r>
  <r>
    <n v="2"/>
    <x v="0"/>
    <m/>
    <x v="0"/>
    <s v="https://www.youtube.com/watch?v=jKuCWHsoXmQ"/>
    <s v="Rajiv Malhotra's Book &quot;Breaking India&quot; Launch by Pujya Swami Dayananda Saraswati - Part 2"/>
    <s v="Swami Dayananda Saraswati Ji on minority appeasement"/>
    <s v="Majority feels prosecuted. Minority has privileges because of vote bank. Religion is transnational, so Hindus are minority in the world. Religious freedom leading to destruction of mind. Religious minority bluff has to be called. Dalit Samachart is invented recently. Destroying society in the name of religious freedom is not allowed."/>
    <m/>
    <n v="4000"/>
    <d v="1899-12-30T00:14:49"/>
    <s v="6 years ago"/>
    <m/>
    <m/>
    <d v="1899-12-30T00:00:00"/>
    <x v="0"/>
    <s v=""/>
    <s v="Good"/>
    <s v="Good"/>
    <s v="Good"/>
  </r>
  <r>
    <n v="3"/>
    <x v="0"/>
    <m/>
    <x v="0"/>
    <s v="https://www.youtube.com/watch?v=21ZKFBL-Yc0"/>
    <s v="&quot;Breaking India&quot; book launch - Admiral Nayyar.wmv"/>
    <s v="Admiral Nayyar on Tolerance &amp; Partition of India"/>
    <s v="Admiral Nayyar says we are product and prisoner of our time. In the name of tolerance we cannot afford to have another partition of this country as it happened in 1947"/>
    <m/>
    <n v="826"/>
    <d v="1899-12-30T00:03:07"/>
    <s v="6 years ago"/>
    <m/>
    <m/>
    <d v="1899-12-30T00:00:00"/>
    <x v="1"/>
    <s v=""/>
    <s v="Good"/>
    <s v="Good"/>
    <s v="Good"/>
  </r>
  <r>
    <n v="4"/>
    <x v="0"/>
    <m/>
    <x v="1"/>
    <s v="https://www.youtube.com/watch?v=FytdS2vMJfU"/>
    <s v="Cho Ramaswamy - &quot;Breaking India&quot; Book Launch"/>
    <s v="Cho Ramaswamy on Secularism"/>
    <m/>
    <m/>
    <n v="10000"/>
    <d v="1899-12-30T00:01:24"/>
    <s v="6 years ago"/>
    <m/>
    <m/>
    <d v="1899-12-30T00:00:00"/>
    <x v="1"/>
    <s v=""/>
    <s v="Good"/>
    <s v="Good"/>
    <s v="No Msg"/>
  </r>
  <r>
    <n v="5"/>
    <x v="0"/>
    <m/>
    <x v="1"/>
    <s v="https://www.youtube.com/watch?v=7WsGnkGob7A"/>
    <s v="&quot;Breaking India&quot; Launch Ritual"/>
    <s v="NR"/>
    <s v="NR"/>
    <m/>
    <n v="749"/>
    <d v="1899-12-30T00:00:35"/>
    <s v="6 years ago"/>
    <m/>
    <m/>
    <d v="1899-12-30T00:00:00"/>
    <x v="1"/>
    <s v=""/>
    <s v="Good"/>
    <s v="Good"/>
    <s v="No Msg"/>
  </r>
  <r>
    <n v="6"/>
    <x v="0"/>
    <m/>
    <x v="1"/>
    <s v="https://www.youtube.com/watch?v=WU456HIXN5U"/>
    <s v="S. Ramachandran - &quot;Breaking India&quot; Book Launch"/>
    <s v="Msg in Tamil Language. I do not know title!"/>
    <m/>
    <m/>
    <n v="1700"/>
    <d v="1899-12-30T00:05:45"/>
    <s v="6 years ago"/>
    <m/>
    <m/>
    <d v="1899-12-30T00:00:00"/>
    <x v="1"/>
    <s v=""/>
    <s v="Good"/>
    <s v="Good"/>
    <s v="Good"/>
  </r>
  <r>
    <n v="7"/>
    <x v="0"/>
    <m/>
    <x v="0"/>
    <s v="https://www.youtube.com/watch?v=PcNDlU0LyJk"/>
    <s v="S. Gurumurthy - Chennai Launch of &quot;Breaking India&quot;"/>
    <s v="S Gurumurthy on Dharma, Secularism, dravidian movement, tiruvallur and Christianity"/>
    <m/>
    <m/>
    <n v="5100"/>
    <d v="1899-12-30T00:04:51"/>
    <s v="6 years ago"/>
    <m/>
    <m/>
    <d v="1899-12-30T00:00:00"/>
    <x v="1"/>
    <s v=""/>
    <s v="Good"/>
    <s v="Good"/>
    <s v="Good"/>
  </r>
  <r>
    <n v="8"/>
    <x v="0"/>
    <m/>
    <x v="0"/>
    <s v="https://www.youtube.com/watch?v=mjFek0gF97s"/>
    <s v="The Authors Discuss Breaking India"/>
    <s v="Aravindan Neelakandan &amp; Rajiv Malhotra on how &quot;Breaking India&quot; book was conceived. "/>
    <s v="Three international nexuses 1- Bahabism vs Indian Islam, 2- China &amp; Maoism 3-Dalit &amp; Christianity are discussed. Dravidian Christianity is also discussed. How can we be model of diversity is being discussed."/>
    <m/>
    <n v="1900"/>
    <d v="1899-12-30T00:14:56"/>
    <s v="6 years ago"/>
    <m/>
    <m/>
    <d v="1899-12-30T00:00:00"/>
    <x v="1"/>
    <s v=""/>
    <s v="Average"/>
    <s v="Good"/>
    <s v="Good"/>
  </r>
  <r>
    <n v="8.01"/>
    <x v="0"/>
    <m/>
    <x v="0"/>
    <m/>
    <m/>
    <s v="Dravidian Christian Movement in Tamil Nadu"/>
    <m/>
    <m/>
    <m/>
    <m/>
    <m/>
    <d v="1899-12-30T00:02:55"/>
    <d v="1899-12-30T00:05:49"/>
    <d v="1899-12-30T00:02:54"/>
    <x v="1"/>
    <s v="https://www.youtube.com/embed/mjFek0gF97s?start=175&amp;end=349&amp;autoplay=1"/>
    <s v="Good"/>
    <s v="Average"/>
    <s v="Good"/>
  </r>
  <r>
    <n v="9"/>
    <x v="0"/>
    <m/>
    <x v="0"/>
    <s v="https://www.youtube.com/watch?v=0_EJXPWJN4E"/>
    <s v="&quot;Breaking India&quot; Panel #1"/>
    <s v="Focus of &quot;Breaking India&quot; Book as per various well known readers"/>
    <s v="Book touches social, cultural narrative. It is not political. "/>
    <m/>
    <n v="1700"/>
    <d v="1899-12-30T00:05:00"/>
    <s v="6 years ago"/>
    <m/>
    <m/>
    <d v="1899-12-30T00:00:00"/>
    <x v="1"/>
    <s v=""/>
    <s v="Good"/>
    <s v="Good"/>
    <s v="Good"/>
  </r>
  <r>
    <n v="10"/>
    <x v="0"/>
    <m/>
    <x v="0"/>
    <s v="https://www.youtube.com/watch?v=Kxuiy8OL30w"/>
    <s v="&quot;Breaking India&quot; Panel #6"/>
    <s v="Impact of Saint Thomas on Tamil Classics"/>
    <s v="Jesus, Vedic culture &amp; diversity"/>
    <m/>
    <n v="490"/>
    <d v="1899-12-30T00:04:22"/>
    <s v="6 years ago"/>
    <m/>
    <m/>
    <d v="1899-12-30T00:00:00"/>
    <x v="1"/>
    <s v=""/>
    <s v="Good"/>
    <s v="Good"/>
    <s v="Good"/>
  </r>
  <r>
    <n v="10.01"/>
    <x v="0"/>
    <m/>
    <x v="0"/>
    <m/>
    <m/>
    <s v="If Jesus would have born in India"/>
    <m/>
    <m/>
    <m/>
    <m/>
    <m/>
    <d v="1899-12-30T00:01:29"/>
    <d v="1899-12-30T00:02:05"/>
    <d v="1899-12-30T00:00:36"/>
    <x v="1"/>
    <s v="https://www.youtube.com/embed/Kxuiy8OL30w?start=89&amp;end=125&amp;autoplay=1"/>
    <s v="Good"/>
    <s v="Good"/>
    <s v="Good"/>
  </r>
  <r>
    <n v="11"/>
    <x v="0"/>
    <m/>
    <x v="0"/>
    <s v="https://www.youtube.com/watch?v=jMgGGixmfus"/>
    <s v="&quot;Breaking India&quot; panel # 4"/>
    <s v="Why &quot;Breaking India&quot; book criticizes Dravidian Movement?"/>
    <s v="Dravidian movement is racist idea of social reforms and does not deliver justice to the all section of society."/>
    <m/>
    <n v="551"/>
    <d v="1899-12-30T00:03:29"/>
    <s v="6 years ago"/>
    <m/>
    <m/>
    <d v="1899-12-30T00:00:00"/>
    <x v="2"/>
    <s v=""/>
    <s v="Good"/>
    <s v="Good"/>
    <s v="Good"/>
  </r>
  <r>
    <n v="12"/>
    <x v="0"/>
    <m/>
    <x v="0"/>
    <s v="https://www.youtube.com/watch?v=2UnJMns3fjs"/>
    <s v="&quot;Breaking India&quot; panel #8"/>
    <s v="Tamil culture &amp; Vedic Sanskrit culture"/>
    <s v="Digesting Hinduism into Dravidian Christianity"/>
    <m/>
    <n v="384"/>
    <d v="1899-12-30T00:03:12"/>
    <s v="6 years ago"/>
    <m/>
    <m/>
    <d v="1899-12-30T00:00:00"/>
    <x v="2"/>
    <s v=""/>
    <s v="Good"/>
    <s v="Good"/>
    <s v="Good"/>
  </r>
  <r>
    <n v="13"/>
    <x v="0"/>
    <m/>
    <x v="0"/>
    <s v="https://www.youtube.com/watch?v=KVDRl_wLqdM"/>
    <s v="&quot;Breaking India&quot; panel #5"/>
    <s v="Are dravidian black of India?"/>
    <s v="How white vs black theory of racism being created in India."/>
    <m/>
    <n v="1500"/>
    <d v="1899-12-30T00:05:05"/>
    <s v="6 years ago"/>
    <m/>
    <m/>
    <d v="1899-12-30T00:00:00"/>
    <x v="2"/>
    <s v=""/>
    <s v="Good"/>
    <s v="Good"/>
    <s v="Good"/>
  </r>
  <r>
    <n v="14"/>
    <x v="0"/>
    <m/>
    <x v="0"/>
    <s v="https://www.youtube.com/watch?v=Smd_3o5vtLo"/>
    <s v="&quot;Breaking India&quot; Panel #2"/>
    <s v="Human right, conversion theory and Mahatma Gandhi"/>
    <m/>
    <m/>
    <n v="595"/>
    <d v="1899-12-30T00:05:52"/>
    <s v="6 years ago"/>
    <m/>
    <m/>
    <d v="1899-12-30T00:00:00"/>
    <x v="2"/>
    <s v=""/>
    <s v="Good"/>
    <s v="Good"/>
    <s v="Good"/>
  </r>
  <r>
    <n v="15"/>
    <x v="0"/>
    <m/>
    <x v="0"/>
    <s v="https://www.youtube.com/watch?v=iBwpK4_JtEw"/>
    <s v="&quot;Breaking India&quot; Panel #3"/>
    <s v="Conspiracy theory and &quot;Breaking India&quot; book "/>
    <m/>
    <m/>
    <n v="477"/>
    <d v="1899-12-30T00:03:51"/>
    <s v="6 years ago"/>
    <m/>
    <m/>
    <d v="1899-12-30T00:00:00"/>
    <x v="2"/>
    <s v=""/>
    <s v="Good"/>
    <s v="Good"/>
    <s v="Good"/>
  </r>
  <r>
    <n v="16"/>
    <x v="0"/>
    <m/>
    <x v="0"/>
    <s v="https://www.youtube.com/watch?v=NCOKqHoIW7M"/>
    <s v="&quot;Breaking India&quot; Panel #7"/>
    <s v="Contribution of St Thomas to Indian Christianity. Temple vs Churches."/>
    <s v="St Thomas came to Pakistan area not South of India. Even after 200 years of death of Jesus Kerala has only 8 families. In 1816 Kerala had 35000 christians and 55 churches, 19600 temples. In 1876 Temples reduced to 962 Churches &gt; 1000. During freedom fight kerala churches was praying for British Govt. Churches are opportunists. In order to convert Brahmins into christianity a paadri from Italy came and settled in Madurai, learned sanskrit, translated bible into sanskrit and started church prayers in sanskrit."/>
    <m/>
    <n v="506"/>
    <d v="1899-12-30T00:08:14"/>
    <s v="6 years ago"/>
    <m/>
    <m/>
    <d v="1899-12-30T00:00:00"/>
    <x v="2"/>
    <s v=""/>
    <s v="Good"/>
    <s v="Good"/>
    <s v="Good"/>
  </r>
  <r>
    <n v="17"/>
    <x v="1"/>
    <m/>
    <x v="2"/>
    <s v="https://www.youtube.com/watch?v=tkF_3Ixn02I"/>
    <s v="&quot;Breaking India&quot; Panel #9"/>
    <m/>
    <m/>
    <m/>
    <n v="343"/>
    <d v="1899-12-30T00:03:57"/>
    <s v="6 years ago"/>
    <m/>
    <m/>
    <d v="1899-12-30T00:00:00"/>
    <x v="3"/>
    <s v=""/>
    <m/>
    <m/>
    <m/>
  </r>
  <r>
    <n v="18"/>
    <x v="1"/>
    <m/>
    <x v="2"/>
    <s v="https://www.youtube.com/watch?v=0Y3z-QStbk8"/>
    <s v="&quot;Breaking India&quot; panel #11"/>
    <m/>
    <m/>
    <m/>
    <n v="1000"/>
    <d v="1899-12-30T00:03:33"/>
    <s v="6 years ago"/>
    <m/>
    <m/>
    <d v="1899-12-30T00:00:00"/>
    <x v="3"/>
    <s v=""/>
    <m/>
    <m/>
    <m/>
  </r>
  <r>
    <n v="19"/>
    <x v="1"/>
    <m/>
    <x v="2"/>
    <s v="https://www.youtube.com/watch?v=Wpkt3HpzBTs"/>
    <s v="&quot;Breaking India&quot; panel #10"/>
    <m/>
    <m/>
    <m/>
    <n v="378"/>
    <d v="1899-12-30T00:01:37"/>
    <s v="6 years ago"/>
    <m/>
    <m/>
    <d v="1899-12-30T00:00:00"/>
    <x v="3"/>
    <s v=""/>
    <m/>
    <m/>
    <m/>
  </r>
  <r>
    <n v="20"/>
    <x v="2"/>
    <m/>
    <x v="0"/>
    <s v="https://www.youtube.com/watch?v=_IcfDP-ezpo"/>
    <s v="Princeton University: Talk by Rajiv Malhotra - Part 1"/>
    <m/>
    <m/>
    <m/>
    <n v="8500"/>
    <d v="1899-12-30T00:10:21"/>
    <s v="6 years ago"/>
    <m/>
    <m/>
    <d v="1899-12-30T00:00:00"/>
    <x v="1"/>
    <s v=""/>
    <m/>
    <m/>
    <m/>
  </r>
  <r>
    <n v="20.010000000000002"/>
    <x v="2"/>
    <m/>
    <x v="0"/>
    <m/>
    <m/>
    <s v="Nexus of Foreign NGOs and their role in BI"/>
    <s v="RM reveals how foreign NGOs are systematically working towards breaking India."/>
    <m/>
    <m/>
    <m/>
    <m/>
    <d v="1899-12-30T00:00:50"/>
    <d v="1899-12-30T00:04:40"/>
    <d v="1899-12-30T00:03:50"/>
    <x v="1"/>
    <s v="https://www.youtube.com/embed/_IcfDP-ezpo?start=50&amp;end=280&amp;autoplay=1"/>
    <s v="Good"/>
    <s v="Bad"/>
    <s v="Good"/>
  </r>
  <r>
    <n v="20.02"/>
    <x v="2"/>
    <m/>
    <x v="0"/>
    <m/>
    <m/>
    <s v="The Christianity ambush on multiple fronts"/>
    <s v="Aryan theory, Dravidian theory, Dravidian Christianity, Appropriation of Mahabharata etc into Christian frameworks"/>
    <m/>
    <m/>
    <m/>
    <m/>
    <d v="1899-12-30T00:04:40"/>
    <d v="1899-12-30T00:08:19"/>
    <d v="1899-12-30T00:03:39"/>
    <x v="1"/>
    <s v="https://www.youtube.com/embed/_IcfDP-ezpo?start=280&amp;end=499&amp;autoplay=1"/>
    <s v="Good"/>
    <s v="Bad"/>
    <s v="Good"/>
  </r>
  <r>
    <n v="20.03"/>
    <x v="2"/>
    <m/>
    <x v="0"/>
    <m/>
    <m/>
    <s v="Human rights and its use for conversion"/>
    <s v="How missionaries use religion and human rights as pretext to promote their conversion agenda"/>
    <m/>
    <m/>
    <m/>
    <m/>
    <d v="1899-12-30T00:08:19"/>
    <d v="1899-12-30T00:10:20"/>
    <d v="1899-12-30T00:02:01"/>
    <x v="1"/>
    <s v="https://www.youtube.com/embed/_IcfDP-ezpo?start=499&amp;end=620&amp;autoplay=1"/>
    <s v="Good"/>
    <s v="Bad"/>
    <s v="Good"/>
  </r>
  <r>
    <n v="21"/>
    <x v="1"/>
    <m/>
    <x v="2"/>
    <s v="https://www.youtube.com/watch?v=DMG2XD9_nTI"/>
    <s v="Princeton University: Introduction by Vineet Chander"/>
    <m/>
    <m/>
    <m/>
    <n v="3200"/>
    <d v="1899-12-30T00:01:53"/>
    <s v="6 years ago"/>
    <m/>
    <m/>
    <d v="1899-12-30T00:00:00"/>
    <x v="3"/>
    <s v=""/>
    <m/>
    <m/>
    <m/>
  </r>
  <r>
    <n v="22"/>
    <x v="2"/>
    <m/>
    <x v="0"/>
    <s v="https://www.youtube.com/watch?v=Uq2PJjcHiqI"/>
    <s v="Princeton University: Talk by Rajiv Malhotra - Part 2"/>
    <m/>
    <m/>
    <m/>
    <n v="4900"/>
    <d v="1899-12-30T00:13:23"/>
    <s v="6 years ago"/>
    <m/>
    <m/>
    <d v="1899-12-30T00:00:00"/>
    <x v="1"/>
    <s v=""/>
    <m/>
    <m/>
    <m/>
  </r>
  <r>
    <n v="22.01"/>
    <x v="2"/>
    <m/>
    <x v="0"/>
    <m/>
    <m/>
    <s v="Ambedkar's views on conversion"/>
    <s v="Ambedkar was opposed to conversion as he believed this would break up the unity of India owing to the foreign hands involved."/>
    <m/>
    <m/>
    <m/>
    <m/>
    <d v="1899-12-30T00:00:00"/>
    <d v="1899-12-30T00:01:42"/>
    <d v="1899-12-30T00:01:42"/>
    <x v="1"/>
    <s v="https://www.youtube.com/embed/Uq2PJjcHiqI?start=0&amp;end=102&amp;autoplay=1"/>
    <s v="Good"/>
    <s v="Bad"/>
    <s v="Good"/>
  </r>
  <r>
    <n v="22.02"/>
    <x v="2"/>
    <m/>
    <x v="0"/>
    <m/>
    <m/>
    <s v="Conversion to Christianity and the demonization of Hinduism, ancient Indian culture"/>
    <s v="When Indian convert to Christianity, irrespective of the reasons behind it they tend to distance themselves from the indigenous culture and practices slowly. Instead they develop their own clique encouraged by the perpetrators of conversion."/>
    <m/>
    <m/>
    <m/>
    <m/>
    <d v="1899-12-30T00:01:42"/>
    <d v="1899-12-30T00:04:28"/>
    <d v="1899-12-30T00:02:46"/>
    <x v="1"/>
    <s v="https://www.youtube.com/embed/Uq2PJjcHiqI?start=102&amp;end=268&amp;autoplay=1"/>
    <s v="Good"/>
    <s v="Bad"/>
    <s v="Good"/>
  </r>
  <r>
    <n v="22.03"/>
    <x v="2"/>
    <m/>
    <x v="0"/>
    <m/>
    <m/>
    <s v="Improvement in conditions of Dalits is not connected to conversion"/>
    <s v="The improvement in the conditions of Dalits was due to the excellent initiatives from the Government of India and not because of conversion as is wrongly believed."/>
    <m/>
    <m/>
    <m/>
    <m/>
    <d v="1899-12-30T00:04:28"/>
    <d v="1899-12-30T00:06:41"/>
    <d v="1899-12-30T00:02:13"/>
    <x v="1"/>
    <s v="https://www.youtube.com/embed/Uq2PJjcHiqI?start=268&amp;end=401&amp;autoplay=1"/>
    <s v="Good"/>
    <s v="Bad"/>
    <s v="Good"/>
  </r>
  <r>
    <n v="22.04"/>
    <x v="2"/>
    <m/>
    <x v="0"/>
    <m/>
    <m/>
    <s v="Nexus of foreign NGOs and their role in human rights"/>
    <s v="RM reveals how foreign NGOs are systematically working towards breaking India. He gives specific examples to illustrate his point."/>
    <m/>
    <m/>
    <m/>
    <m/>
    <d v="1899-12-30T00:06:41"/>
    <d v="1899-12-30T00:10:23"/>
    <d v="1899-12-30T00:03:42"/>
    <x v="1"/>
    <s v="https://www.youtube.com/embed/Uq2PJjcHiqI?start=401&amp;end=623&amp;autoplay=1"/>
    <s v="Good"/>
    <s v="Bad"/>
    <s v="Good"/>
  </r>
  <r>
    <n v="22.05"/>
    <x v="2"/>
    <m/>
    <x v="0"/>
    <m/>
    <m/>
    <s v="Rajiv Malhotra on Christian media network"/>
    <s v="Christian media worldwide orchestrate efforts to deliberately project India as a country where all sort of atrocities occur.  "/>
    <m/>
    <m/>
    <m/>
    <m/>
    <d v="1899-12-30T00:10:23"/>
    <d v="1899-12-30T00:11:03"/>
    <d v="1899-12-30T00:00:40"/>
    <x v="1"/>
    <s v="https://www.youtube.com/embed/Uq2PJjcHiqI?start=623&amp;end=663&amp;autoplay=1"/>
    <s v="Good"/>
    <s v="Bad"/>
    <s v="Good"/>
  </r>
  <r>
    <n v="22.06"/>
    <x v="2"/>
    <m/>
    <x v="0"/>
    <m/>
    <m/>
    <s v="Defining who is a minority"/>
    <s v="RM argues that we need to relook at the way we define minorities. It should be viewed in the light that certain minorities are governed by foreign players and hence definitely not be considered as a minority. "/>
    <m/>
    <m/>
    <m/>
    <m/>
    <d v="1899-12-30T00:11:04"/>
    <d v="1899-12-30T00:13:22"/>
    <d v="1899-12-30T00:02:18"/>
    <x v="1"/>
    <s v="https://www.youtube.com/embed/Uq2PJjcHiqI?start=664&amp;end=802&amp;autoplay=1"/>
    <s v="Good"/>
    <s v="Bad"/>
    <s v="Good"/>
  </r>
  <r>
    <n v="23"/>
    <x v="2"/>
    <m/>
    <x v="0"/>
    <s v="https://www.youtube.com/watch?v=5LJPOCxc3E8"/>
    <s v="Princeton University: Talk by Rajiv Malhotra - Part 3"/>
    <m/>
    <m/>
    <m/>
    <n v="3600"/>
    <d v="1899-12-30T00:10:46"/>
    <s v="6 years ago"/>
    <m/>
    <m/>
    <d v="1899-12-30T00:00:00"/>
    <x v="2"/>
    <s v=""/>
    <m/>
    <m/>
    <m/>
  </r>
  <r>
    <n v="23.01"/>
    <x v="2"/>
    <m/>
    <x v="0"/>
    <m/>
    <m/>
    <s v="Christian controlled media and literature"/>
    <s v="There is a steady stream of Christian propaganda from foreign controlled sources with good credentials."/>
    <m/>
    <m/>
    <m/>
    <m/>
    <d v="1899-12-30T00:00:00"/>
    <d v="1899-12-30T00:02:11"/>
    <d v="1899-12-30T00:02:11"/>
    <x v="2"/>
    <s v="https://www.youtube.com/embed/5LJPOCxc3E8?start=0&amp;end=131&amp;autoplay=1"/>
    <m/>
    <m/>
    <m/>
  </r>
  <r>
    <n v="23.02"/>
    <x v="2"/>
    <m/>
    <x v="0"/>
    <m/>
    <m/>
    <s v="Radicalization of Christianity in India "/>
    <s v="Christians in the West are more liberal in their thinking and open to many ideas. Whereas this kind of thinking will not sell the conversion agenda in India and instead a more radical approach is propagated."/>
    <m/>
    <m/>
    <m/>
    <m/>
    <d v="1899-12-30T00:02:11"/>
    <d v="1899-12-30T00:05:53"/>
    <d v="1899-12-30T00:03:42"/>
    <x v="2"/>
    <s v="https://www.youtube.com/embed/5LJPOCxc3E8?start=131&amp;end=353&amp;autoplay=1"/>
    <m/>
    <m/>
    <m/>
  </r>
  <r>
    <n v="23.03"/>
    <x v="2"/>
    <m/>
    <x v="0"/>
    <m/>
    <m/>
    <s v="Role of US government, donors and NGOs in conversion"/>
    <s v="Foreign policy makers in the US need to rethink the Christianity agenda in India. The earlier thinking of dividing India based on religion should be changed."/>
    <m/>
    <m/>
    <m/>
    <m/>
    <d v="1899-12-30T00:05:58"/>
    <d v="1899-12-30T00:10:39"/>
    <d v="1899-12-30T00:04:41"/>
    <x v="2"/>
    <s v="https://www.youtube.com/embed/5LJPOCxc3E8?start=358&amp;end=639&amp;autoplay=1"/>
    <m/>
    <m/>
    <m/>
  </r>
  <r>
    <n v="24"/>
    <x v="2"/>
    <m/>
    <x v="0"/>
    <s v="https://www.youtube.com/watch?v=LdrmgXtd_rs"/>
    <s v="Princeton University: Talk by Reverend Thompson - Part 1"/>
    <s v="Princeton University  discussion on &quot;Breaking India&quot; - speaker Reverend Thompson."/>
    <m/>
    <m/>
    <n v="2400"/>
    <d v="1899-12-30T00:11:53"/>
    <s v="6 years ago"/>
    <m/>
    <m/>
    <d v="1899-12-30T00:00:00"/>
    <x v="4"/>
    <s v=""/>
    <m/>
    <m/>
    <m/>
  </r>
  <r>
    <n v="24.01"/>
    <x v="2"/>
    <m/>
    <x v="0"/>
    <m/>
    <m/>
    <s v="Rev. Thompson on forcible conversion to Christianity"/>
    <s v="Rev. Thompson says conversion is a religious right and dismisses claims of forcible conversion"/>
    <m/>
    <m/>
    <m/>
    <m/>
    <d v="1899-12-30T00:02:03"/>
    <d v="1899-12-30T00:02:49"/>
    <d v="1899-12-30T00:00:46"/>
    <x v="4"/>
    <s v="https://www.youtube.com/embed/LdrmgXtd_rs?start=123&amp;end=169&amp;autoplay=1"/>
    <s v="Good"/>
    <s v="Bad"/>
    <s v="Bad"/>
  </r>
  <r>
    <n v="24.02"/>
    <x v="2"/>
    <m/>
    <x v="0"/>
    <m/>
    <m/>
    <s v="Rev. Thompson's reasoning for conversion"/>
    <s v="Rev. Thompson explains why his family converted to Christianity from being a Hindu; social oppression owing to belonging to a lower caste is his reasoning"/>
    <m/>
    <m/>
    <m/>
    <m/>
    <d v="1899-12-30T00:03:43"/>
    <d v="1899-12-30T00:07:52"/>
    <d v="1899-12-30T00:04:09"/>
    <x v="4"/>
    <s v="https://www.youtube.com/embed/LdrmgXtd_rs?start=223&amp;end=472&amp;autoplay=1"/>
    <m/>
    <m/>
    <m/>
  </r>
  <r>
    <n v="24.03"/>
    <x v="2"/>
    <m/>
    <x v="0"/>
    <m/>
    <m/>
    <s v="Rev. Thompson explains why anti-Brahmin feelings rose"/>
    <s v="Rev. Thompson gives the example of the Tamil movie Parashakti where Brahmins are cast in the worst light possible. This movie was a super hit and made Sivaji Ganesan a superstar"/>
    <m/>
    <m/>
    <m/>
    <m/>
    <d v="1899-12-30T00:07:52"/>
    <d v="1899-12-30T00:09:32"/>
    <d v="1899-12-30T00:01:40"/>
    <x v="4"/>
    <s v="https://www.youtube.com/embed/LdrmgXtd_rs?start=472&amp;end=572&amp;autoplay=1"/>
    <m/>
    <m/>
    <m/>
  </r>
  <r>
    <n v="24.04"/>
    <x v="2"/>
    <m/>
    <x v="0"/>
    <m/>
    <m/>
    <s v="Rev. Thompson speaks in support of the Aryan - Dravidian theory"/>
    <s v="Rev. Thompson cites the work of a few historians to support the theory that Dravidians were the original inhabitants of the Indus valley civilization"/>
    <m/>
    <m/>
    <m/>
    <m/>
    <d v="1899-12-30T00:09:32"/>
    <d v="1899-12-30T00:11:52"/>
    <d v="1899-12-30T00:02:20"/>
    <x v="4"/>
    <s v="https://www.youtube.com/embed/LdrmgXtd_rs?start=572&amp;end=712&amp;autoplay=1"/>
    <m/>
    <m/>
    <m/>
  </r>
  <r>
    <n v="25"/>
    <x v="2"/>
    <m/>
    <x v="0"/>
    <s v="https://www.youtube.com/watch?v=gbWoqwJKhbM"/>
    <s v="Princeton University: Talk by Reverend Thompson - Part 2"/>
    <m/>
    <m/>
    <m/>
    <n v="2100"/>
    <d v="1899-12-30T00:13:51"/>
    <s v="6 years ago"/>
    <m/>
    <m/>
    <d v="1899-12-30T00:00:00"/>
    <x v="4"/>
    <s v=""/>
    <m/>
    <m/>
    <m/>
  </r>
  <r>
    <n v="25.01"/>
    <x v="2"/>
    <m/>
    <x v="0"/>
    <m/>
    <m/>
    <s v="Rev. Thompson speaks in support of the Aryan - Dravidian theory"/>
    <s v="Rev. Thompson continues with his argument that Dravidians were the superior race and Aryans borrowed many of the original ideas of Dravidians. Aryans brought about the caste system."/>
    <m/>
    <m/>
    <m/>
    <m/>
    <d v="1899-12-30T00:00:02"/>
    <d v="1899-12-30T00:08:44"/>
    <d v="1899-12-30T00:08:42"/>
    <x v="4"/>
    <s v="https://www.youtube.com/embed/gbWoqwJKhbM?start=2&amp;end=524&amp;autoplay=1"/>
    <s v="Good"/>
    <s v="Bad"/>
    <s v="Bad"/>
  </r>
  <r>
    <n v="26"/>
    <x v="2"/>
    <m/>
    <x v="0"/>
    <s v="https://www.youtube.com/watch?v=RdBz1kIwrqo"/>
    <s v="Princeton University: Questions and Answers - Part 1"/>
    <m/>
    <m/>
    <m/>
    <n v="14000"/>
    <d v="1899-12-30T00:10:47"/>
    <s v="6 years ago"/>
    <m/>
    <m/>
    <d v="1899-12-30T00:00:00"/>
    <x v="2"/>
    <s v=""/>
    <m/>
    <m/>
    <m/>
  </r>
  <r>
    <n v="26.01"/>
    <x v="2"/>
    <m/>
    <x v="0"/>
    <m/>
    <m/>
    <s v="Conversion to Christianity and the demonization of Hinduism, ancient Indian culture"/>
    <s v="The systematic approach to converting people to Christianity in India is objectionable. "/>
    <m/>
    <m/>
    <m/>
    <m/>
    <d v="1899-12-30T00:01:20"/>
    <d v="1899-12-30T00:04:18"/>
    <d v="1899-12-30T00:02:58"/>
    <x v="2"/>
    <s v="https://www.youtube.com/embed/RdBz1kIwrqo?start=80&amp;end=258&amp;autoplay=1"/>
    <m/>
    <m/>
    <m/>
  </r>
  <r>
    <n v="26.02"/>
    <x v="2"/>
    <m/>
    <x v="0"/>
    <m/>
    <m/>
    <s v="Does Christianity respect other religions?"/>
    <s v="Rev. Thompson's response is that not all churches aim to convert people. Only a narrow-minded set of Christians refuse to acknowledge other religions."/>
    <m/>
    <m/>
    <m/>
    <m/>
    <d v="1899-12-30T00:04:26"/>
    <d v="1899-12-30T00:06:41"/>
    <d v="1899-12-30T00:02:15"/>
    <x v="2"/>
    <s v="https://www.youtube.com/embed/RdBz1kIwrqo?start=266&amp;end=401&amp;autoplay=1"/>
    <m/>
    <m/>
    <m/>
  </r>
  <r>
    <n v="26.03"/>
    <x v="2"/>
    <m/>
    <x v="0"/>
    <m/>
    <m/>
    <s v="Christian powered violence against Hindus"/>
    <s v="In pockets of India which have a Christian majority, they have an issue in co-existing with Hindus and in fact turn violent against them."/>
    <m/>
    <m/>
    <m/>
    <m/>
    <d v="1899-12-30T00:09:23"/>
    <d v="1899-12-30T00:10:46"/>
    <d v="1899-12-30T00:01:23"/>
    <x v="2"/>
    <s v="https://www.youtube.com/embed/RdBz1kIwrqo?start=563&amp;end=646&amp;autoplay=1"/>
    <m/>
    <m/>
    <m/>
  </r>
  <r>
    <n v="27"/>
    <x v="2"/>
    <m/>
    <x v="0"/>
    <s v="https://www.youtube.com/watch?v=WsjxXfklatk"/>
    <s v="Princeton University: Questions and Answers Unfortunate Incident"/>
    <m/>
    <m/>
    <m/>
    <n v="15000"/>
    <d v="1899-12-30T00:04:40"/>
    <s v="6 years ago"/>
    <m/>
    <m/>
    <d v="1899-12-30T00:00:00"/>
    <x v="2"/>
    <s v=""/>
    <m/>
    <m/>
    <m/>
  </r>
  <r>
    <n v="28"/>
    <x v="2"/>
    <m/>
    <x v="0"/>
    <s v="https://www.youtube.com/watch?v=N0PD3TuLvoo"/>
    <s v="Princeton University: Questions and Answers - Part 2"/>
    <m/>
    <m/>
    <m/>
    <n v="9300"/>
    <d v="1899-12-30T00:11:37"/>
    <s v="6 years ago"/>
    <m/>
    <m/>
    <d v="1899-12-30T00:00:00"/>
    <x v="2"/>
    <s v=""/>
    <m/>
    <m/>
    <m/>
  </r>
  <r>
    <n v="28.01"/>
    <x v="2"/>
    <m/>
    <x v="0"/>
    <m/>
    <m/>
    <s v="Expectations from the church in India"/>
    <s v="Christianity practiced without an institutionalized approach to conversion is not a problem. It is only when it is thrust upon the people and Hindus protest that tension arises."/>
    <m/>
    <m/>
    <m/>
    <m/>
    <d v="1899-12-30T00:00:00"/>
    <d v="1899-12-30T00:01:16"/>
    <d v="1899-12-30T00:01:16"/>
    <x v="2"/>
    <s v="https://www.youtube.com/embed/N0PD3TuLvoo?start=0&amp;end=76&amp;autoplay=1"/>
    <m/>
    <m/>
    <m/>
  </r>
  <r>
    <n v="28.02"/>
    <x v="2"/>
    <m/>
    <x v="0"/>
    <m/>
    <m/>
    <s v="Link between reservation, conversion and college admissions"/>
    <s v="Rev. Thompson's views on whether reservation based college admissions influences conversions."/>
    <m/>
    <m/>
    <m/>
    <m/>
    <d v="1899-12-30T00:01:17"/>
    <d v="1899-12-30T00:03:04"/>
    <d v="1899-12-30T00:01:47"/>
    <x v="2"/>
    <s v="https://www.youtube.com/embed/N0PD3TuLvoo?start=77&amp;end=184&amp;autoplay=1"/>
    <m/>
    <m/>
    <m/>
  </r>
  <r>
    <n v="28.03"/>
    <x v="2"/>
    <m/>
    <x v="0"/>
    <m/>
    <m/>
    <s v="Why does Christianity promote conversions?"/>
    <s v="Conversion implies that Christianity believes it is superior to other religions. Rev. Thompson responds to a question on that."/>
    <m/>
    <m/>
    <m/>
    <m/>
    <d v="1899-12-30T00:03:17"/>
    <d v="1899-12-30T00:05:04"/>
    <d v="1899-12-30T00:01:47"/>
    <x v="2"/>
    <s v="https://www.youtube.com/embed/N0PD3TuLvoo?start=197&amp;end=304&amp;autoplay=1"/>
    <m/>
    <m/>
    <m/>
  </r>
  <r>
    <n v="28.04"/>
    <x v="2"/>
    <m/>
    <x v="0"/>
    <m/>
    <m/>
    <s v="Methodology behind BI research"/>
    <s v="RM explains the methodology used to arrive at the conclusion that there is a large scale orchestration effort based in the US to promote the conversion agenda. "/>
    <m/>
    <m/>
    <m/>
    <m/>
    <d v="1899-12-30T00:05:04"/>
    <d v="1899-12-30T00:08:47"/>
    <d v="1899-12-30T00:03:43"/>
    <x v="2"/>
    <s v="https://www.youtube.com/embed/N0PD3TuLvoo?start=304&amp;end=527&amp;autoplay=1"/>
    <m/>
    <m/>
    <m/>
  </r>
  <r>
    <n v="29"/>
    <x v="2"/>
    <m/>
    <x v="0"/>
    <s v="https://www.youtube.com/watch?v=C3_6Ub1GnfA"/>
    <s v="Princeton University: Response by Rajiv Malhotra to Reverend Thompson"/>
    <m/>
    <m/>
    <m/>
    <n v="35000"/>
    <d v="1899-12-30T00:11:04"/>
    <s v="6 years ago"/>
    <m/>
    <m/>
    <d v="1899-12-30T00:00:00"/>
    <x v="5"/>
    <s v=""/>
    <m/>
    <m/>
    <m/>
  </r>
  <r>
    <n v="29.01"/>
    <x v="2"/>
    <m/>
    <x v="0"/>
    <m/>
    <m/>
    <s v="Nexus of Foreign NGOs and their role in BI"/>
    <s v="RM presents examples of books written by Western authors on the propagation of Christianity by the US."/>
    <m/>
    <m/>
    <m/>
    <m/>
    <d v="1899-12-30T00:00:00"/>
    <d v="1899-12-30T00:03:31"/>
    <d v="1899-12-30T00:03:31"/>
    <x v="5"/>
    <s v="https://www.youtube.com/embed/C3_6Ub1GnfA?start=0&amp;end=211&amp;autoplay=1"/>
    <m/>
    <m/>
    <m/>
  </r>
  <r>
    <n v="29.02"/>
    <x v="2"/>
    <m/>
    <x v="0"/>
    <m/>
    <m/>
    <s v="Does Christianity respect other religions?"/>
    <s v="Christianity does not believe in pluralism unlike Hinduism and this therefore reduces diversity. Religious freedom is curtailed when you join a religion of exclusivity such as CHristianity."/>
    <m/>
    <m/>
    <m/>
    <m/>
    <d v="1899-12-30T00:03:31"/>
    <d v="1899-12-30T00:07:10"/>
    <d v="1899-12-30T00:03:39"/>
    <x v="5"/>
    <s v="https://www.youtube.com/embed/C3_6Ub1GnfA?start=211&amp;end=430&amp;autoplay=1"/>
    <m/>
    <m/>
    <m/>
  </r>
  <r>
    <n v="29.03"/>
    <x v="2"/>
    <m/>
    <x v="0"/>
    <m/>
    <m/>
    <s v="Conversion does not solve casteism problem"/>
    <s v="Christianity in India has a thriving caste system built into it. It is a myth that Christianity has overcome the caste problem."/>
    <m/>
    <m/>
    <m/>
    <m/>
    <d v="1899-12-30T00:07:11"/>
    <d v="1899-12-30T00:08:40"/>
    <d v="1899-12-30T00:01:29"/>
    <x v="5"/>
    <s v="https://www.youtube.com/embed/C3_6Ub1GnfA?start=431&amp;end=520&amp;autoplay=1"/>
    <m/>
    <m/>
    <m/>
  </r>
  <r>
    <n v="29.04"/>
    <x v="2"/>
    <m/>
    <x v="0"/>
    <m/>
    <m/>
    <s v="Rajiv Malhotra on Buddhism in India"/>
    <s v="Buddhism in India flourished for nearly 1000 years in India before its decline. "/>
    <m/>
    <m/>
    <m/>
    <m/>
    <d v="1899-12-30T00:08:58"/>
    <d v="1899-12-30T00:09:49"/>
    <d v="1899-12-30T00:00:51"/>
    <x v="5"/>
    <s v="https://www.youtube.com/embed/C3_6Ub1GnfA?start=538&amp;end=589&amp;autoplay=1"/>
    <m/>
    <m/>
    <m/>
  </r>
  <r>
    <n v="29.05"/>
    <x v="2"/>
    <m/>
    <x v="0"/>
    <m/>
    <m/>
    <s v="Conversion to Christianity and the demonization of Hinduism, ancient Indian culture"/>
    <s v="RM refutes Rev. Thompson's statement on the existence of Hindutva during St. Thomas' time."/>
    <m/>
    <m/>
    <m/>
    <m/>
    <d v="1899-12-30T00:09:49"/>
    <d v="1899-12-30T00:11:03"/>
    <d v="1899-12-30T00:01:14"/>
    <x v="5"/>
    <s v="https://www.youtube.com/embed/C3_6Ub1GnfA?start=589&amp;end=663&amp;autoplay=1"/>
    <m/>
    <m/>
    <m/>
  </r>
  <r>
    <n v="30"/>
    <x v="1"/>
    <m/>
    <x v="2"/>
    <s v="https://www.youtube.com/watch?v=dp7l5qmLHJI"/>
    <s v="Princeton University: Reactions After Event"/>
    <m/>
    <m/>
    <m/>
    <n v="6900"/>
    <d v="1899-12-30T00:07:30"/>
    <s v="6 years ago"/>
    <m/>
    <m/>
    <d v="1899-12-30T00:00:00"/>
    <x v="3"/>
    <s v=""/>
    <m/>
    <m/>
    <m/>
  </r>
  <r>
    <n v="31"/>
    <x v="1"/>
    <m/>
    <x v="2"/>
    <s v="https://www.youtube.com/watch?v=elqL0Sr_sVU"/>
    <s v="Atlanta April 23rd, 2011: Introduction by Krishna Kirti Das, President, The Samprajyna Institute"/>
    <m/>
    <m/>
    <m/>
    <n v="645"/>
    <d v="1899-12-30T00:07:00"/>
    <s v="6 years ago"/>
    <m/>
    <m/>
    <d v="1899-12-30T00:00:00"/>
    <x v="3"/>
    <s v=""/>
    <m/>
    <m/>
    <m/>
  </r>
  <r>
    <n v="32"/>
    <x v="1"/>
    <m/>
    <x v="2"/>
    <s v="https://www.youtube.com/watch?v=ryQMb29oX3s"/>
    <s v="Atlanta April 23rd, 2011: Introduction by Dr. Basant K. Tariyal"/>
    <m/>
    <m/>
    <m/>
    <n v="282"/>
    <d v="1899-12-30T00:01:44"/>
    <s v="6 years ago"/>
    <m/>
    <m/>
    <d v="1899-12-30T00:00:00"/>
    <x v="3"/>
    <s v=""/>
    <m/>
    <m/>
    <m/>
  </r>
  <r>
    <n v="33"/>
    <x v="1"/>
    <m/>
    <x v="2"/>
    <s v="https://www.youtube.com/watch?v=BEz8X5SUwjY"/>
    <s v="Atlanta April 23rd, 2011: Talk by Rajiv Malhotra - Part 1"/>
    <m/>
    <m/>
    <m/>
    <n v="732"/>
    <d v="1899-12-30T00:10:34"/>
    <s v="6 years ago"/>
    <m/>
    <m/>
    <d v="1899-12-30T00:00:00"/>
    <x v="3"/>
    <s v=""/>
    <m/>
    <m/>
    <m/>
  </r>
  <r>
    <n v="33.01"/>
    <x v="2"/>
    <m/>
    <x v="0"/>
    <m/>
    <m/>
    <s v="Using the Dalit cause as a Breaking India factor"/>
    <s v="The Dalit identity and using the victimhood card are used as a divisive strategy. It is a well-thought through and funded campaign including from US based organizations."/>
    <m/>
    <m/>
    <m/>
    <m/>
    <d v="1899-12-30T00:01:07"/>
    <d v="1899-12-30T00:05:55"/>
    <d v="1899-12-30T00:04:48"/>
    <x v="6"/>
    <s v="https://www.youtube.com/embed/BEz8X5SUwjY?start=67&amp;end=355&amp;autoplay=1"/>
    <s v="Good"/>
    <s v="Good"/>
    <s v="Good"/>
  </r>
  <r>
    <n v="33.020000000000003"/>
    <x v="2"/>
    <m/>
    <x v="0"/>
    <m/>
    <m/>
    <s v="Who is behind the Breaking India movement?"/>
    <s v="RM has meticulously researched the forces behind the Dalit movement and exposes their hidden agenda. There are several organizations based mainly in the US which have targeted India for conversion."/>
    <m/>
    <m/>
    <m/>
    <m/>
    <d v="1899-12-30T00:05:55"/>
    <d v="1899-12-30T00:10:33"/>
    <d v="1899-12-30T00:04:38"/>
    <x v="6"/>
    <s v="https://www.youtube.com/embed/BEz8X5SUwjY?start=355&amp;end=633&amp;autoplay=1"/>
    <s v="Good"/>
    <s v="Good"/>
    <s v="Good"/>
  </r>
  <r>
    <n v="34"/>
    <x v="2"/>
    <m/>
    <x v="0"/>
    <s v="https://www.youtube.com/watch?v=lzMEDrUFlpw"/>
    <s v="Atlanta April 23rd, 2011: Talk by Rajiv Malhotra - Part 2"/>
    <m/>
    <m/>
    <m/>
    <n v="459"/>
    <d v="1899-12-30T00:11:00"/>
    <s v="6 years ago"/>
    <m/>
    <m/>
    <d v="1899-12-30T00:00:00"/>
    <x v="6"/>
    <s v=""/>
    <m/>
    <m/>
    <m/>
  </r>
  <r>
    <n v="34.01"/>
    <x v="2"/>
    <m/>
    <x v="0"/>
    <m/>
    <m/>
    <s v="The systematic campaign to tag India as a place where there is no religious freedom."/>
    <s v="Extensive research by RM has revealed how churches, governments, private think-tanks, foundations, academic institutions provide funding, ideology and manpower. Media also cooperates by painting a biased view of the happenings in India. "/>
    <m/>
    <m/>
    <m/>
    <m/>
    <d v="1899-12-30T00:00:00"/>
    <d v="1899-12-30T00:06:08"/>
    <d v="1899-12-30T00:06:08"/>
    <x v="6"/>
    <s v="https://www.youtube.com/embed/lzMEDrUFlpw?start=0&amp;end=368&amp;autoplay=1"/>
    <m/>
    <m/>
    <m/>
  </r>
  <r>
    <n v="34.020000000000003"/>
    <x v="2"/>
    <m/>
    <x v="0"/>
    <m/>
    <m/>
    <s v="Some Liberal Christians who get involved unknowingly in the Breaking India movement"/>
    <s v="Some prestigious think tanks and liberal Christians in the US unknowingly get involved in the Breaking India activities without realizing the consequences of some of the actions they take. "/>
    <m/>
    <m/>
    <m/>
    <m/>
    <d v="1899-12-30T00:06:08"/>
    <d v="1899-12-30T00:09:02"/>
    <d v="1899-12-30T00:02:54"/>
    <x v="6"/>
    <s v="https://www.youtube.com/embed/lzMEDrUFlpw?start=368&amp;end=542&amp;autoplay=1"/>
    <m/>
    <m/>
    <m/>
  </r>
  <r>
    <n v="34.03"/>
    <x v="2"/>
    <m/>
    <x v="0"/>
    <m/>
    <m/>
    <s v="Understanding the campaign by vested interests for a Dravidian identity "/>
    <s v="RM explains how the Dravidian narrative is carefully built by a well-executed campaign over several years involving even famous names."/>
    <m/>
    <m/>
    <m/>
    <m/>
    <d v="1899-12-30T00:09:02"/>
    <d v="1899-12-30T00:10:59"/>
    <d v="1899-12-30T00:01:57"/>
    <x v="6"/>
    <s v="https://www.youtube.com/embed/lzMEDrUFlpw?start=542&amp;end=659&amp;autoplay=1"/>
    <m/>
    <m/>
    <m/>
  </r>
  <r>
    <n v="35"/>
    <x v="2"/>
    <m/>
    <x v="0"/>
    <s v="https://www.youtube.com/watch?v=qCG2vqnaUx4"/>
    <s v="Atlanta April 23rd, 2011: Talk by Rajiv Malhotra - Part 3"/>
    <m/>
    <m/>
    <m/>
    <n v="419"/>
    <d v="1899-12-30T00:08:34"/>
    <s v="6 years ago"/>
    <m/>
    <m/>
    <d v="1899-12-30T00:00:00"/>
    <x v="6"/>
    <s v=""/>
    <m/>
    <m/>
    <m/>
  </r>
  <r>
    <n v="35.01"/>
    <x v="2"/>
    <m/>
    <x v="0"/>
    <m/>
    <m/>
    <s v="Using the minority card to create a divide"/>
    <s v="Minorities are being whitewashed into believing they are victims leading to divisiveness and even violent confrontations."/>
    <m/>
    <m/>
    <m/>
    <m/>
    <d v="1899-12-30T00:00:00"/>
    <d v="1899-12-30T00:05:47"/>
    <d v="1899-12-30T00:05:47"/>
    <x v="6"/>
    <s v="https://www.youtube.com/embed/qCG2vqnaUx4?start=0&amp;end=347&amp;autoplay=1"/>
    <m/>
    <m/>
    <m/>
  </r>
  <r>
    <n v="35.020000000000003"/>
    <x v="2"/>
    <m/>
    <x v="0"/>
    <m/>
    <m/>
    <s v="GoI intervention is needed to stem the Breaking India movement"/>
    <s v="The Govt. of India has strangely remained quiet with regard to the Breaking India movement. In addition to private stakeholders, the government should also get involved and protest to the US government. The Chinese response to similar situations is interesting."/>
    <m/>
    <m/>
    <m/>
    <m/>
    <d v="1899-12-30T00:05:47"/>
    <d v="1899-12-30T00:08:34"/>
    <d v="1899-12-30T00:02:47"/>
    <x v="6"/>
    <s v="https://www.youtube.com/embed/qCG2vqnaUx4?start=347&amp;end=514&amp;autoplay=1"/>
    <m/>
    <m/>
    <m/>
  </r>
  <r>
    <n v="36"/>
    <x v="2"/>
    <m/>
    <x v="0"/>
    <s v="https://www.youtube.com/watch?v=ycnvyB8pDEM"/>
    <s v="Atlanta April 23rd, 2011: Questions and Answers - Part 1"/>
    <m/>
    <m/>
    <m/>
    <n v="755"/>
    <d v="1899-12-30T00:12:01"/>
    <s v="6 years ago"/>
    <m/>
    <m/>
    <d v="1899-12-30T00:00:00"/>
    <x v="7"/>
    <s v=""/>
    <m/>
    <m/>
    <m/>
  </r>
  <r>
    <n v="36.01"/>
    <x v="2"/>
    <m/>
    <x v="0"/>
    <m/>
    <m/>
    <s v="How to make more people aware of the Breaking India movement"/>
    <s v="Steps need to be taken beyond publishing the book to spread the message from the book to a larger audience. Some measures include Tamil translation, debates, lobbying with the US government etc."/>
    <m/>
    <m/>
    <m/>
    <m/>
    <d v="1899-12-30T00:00:31"/>
    <d v="1899-12-30T00:05:06"/>
    <d v="1899-12-30T00:04:35"/>
    <x v="7"/>
    <s v="https://www.youtube.com/embed/ycnvyB8pDEM?start=31&amp;end=306&amp;autoplay=1"/>
    <s v="Bad"/>
    <s v="Good"/>
    <s v="Good"/>
  </r>
  <r>
    <n v="36.020000000000003"/>
    <x v="2"/>
    <m/>
    <x v="0"/>
    <m/>
    <m/>
    <s v="Why are Indian leaders unable to take bold steps on anti-conversion?"/>
    <s v="RM's view is that we need strong and clean leaders to initiate bold steps against conversion. Sadly, India lacks that and hence most leaders can be compromised."/>
    <m/>
    <m/>
    <m/>
    <m/>
    <d v="1899-12-30T00:05:07"/>
    <d v="1899-12-30T00:06:35"/>
    <d v="1899-12-30T00:01:28"/>
    <x v="7"/>
    <s v="https://www.youtube.com/embed/ycnvyB8pDEM?start=307&amp;end=395&amp;autoplay=1"/>
    <s v="Good"/>
    <s v="Good"/>
    <s v="Good"/>
  </r>
  <r>
    <n v="36.03"/>
    <x v="2"/>
    <m/>
    <x v="0"/>
    <m/>
    <m/>
    <s v="The challenges in getting organized support against Breaking India forces in India "/>
    <s v="Media, politicians, corporates cannot be relied on to support campaign against Breaking India forces as they have their own agendas to fulfill. However, the defence sector is cognizant of the challenges that India as a nation faces from such forces and are supportive."/>
    <m/>
    <m/>
    <m/>
    <m/>
    <d v="1899-12-30T00:06:35"/>
    <d v="1899-12-30T00:08:48"/>
    <d v="1899-12-30T00:02:13"/>
    <x v="7"/>
    <s v="https://www.youtube.com/embed/ycnvyB8pDEM?start=395&amp;end=528&amp;autoplay=1"/>
    <s v="Good"/>
    <s v="Good"/>
    <s v="Good"/>
  </r>
  <r>
    <n v="36.04"/>
    <x v="2"/>
    <m/>
    <x v="0"/>
    <m/>
    <m/>
    <s v="The three external threats that India faces"/>
    <s v="The West, Islam and China are always at work to convert the large Indian population to their agenda. The inaction of the Indian Government enables them to get away with such activities."/>
    <m/>
    <m/>
    <m/>
    <m/>
    <d v="1899-12-30T00:08:48"/>
    <d v="1899-12-30T00:11:15"/>
    <d v="1899-12-30T00:02:27"/>
    <x v="7"/>
    <s v="https://www.youtube.com/embed/ycnvyB8pDEM?start=528&amp;end=675&amp;autoplay=1"/>
    <s v="Good"/>
    <s v="Good"/>
    <s v="Good"/>
  </r>
  <r>
    <n v="37"/>
    <x v="2"/>
    <m/>
    <x v="0"/>
    <s v="https://www.youtube.com/watch?v=xANxZaCCD70"/>
    <s v="Atlanta April 23rd, 2011: Questions and Answers - Part 2"/>
    <m/>
    <m/>
    <m/>
    <n v="773"/>
    <d v="1899-12-30T00:13:45"/>
    <s v="6 years ago"/>
    <m/>
    <m/>
    <d v="1899-12-30T00:00:00"/>
    <x v="7"/>
    <s v=""/>
    <m/>
    <m/>
    <m/>
  </r>
  <r>
    <n v="37.01"/>
    <x v="2"/>
    <m/>
    <x v="0"/>
    <m/>
    <m/>
    <s v="Can India's inherent strengths not protect her from Breaking India forces?"/>
    <s v="Over 2000 years ago, India extended from Afghanistan to Bali. The country has lost 80% of its land to the two new religions that have been expanding aggressively. The partition threat is alive even today in Kashmir, NE and Tamil Nadu."/>
    <m/>
    <m/>
    <m/>
    <m/>
    <d v="1899-12-30T00:00:00"/>
    <d v="1899-12-30T00:05:18"/>
    <d v="1899-12-30T00:05:18"/>
    <x v="7"/>
    <s v="https://www.youtube.com/embed/xANxZaCCD70?start=0&amp;end=318&amp;autoplay=1"/>
    <s v="Good"/>
    <s v="Good"/>
    <s v="Good"/>
  </r>
  <r>
    <n v="37.020000000000003"/>
    <x v="2"/>
    <m/>
    <x v="0"/>
    <m/>
    <m/>
    <s v="Will truth not prevail over the Breaking India forces?"/>
    <s v="Like in any competitive arena, the best team wins irrespective of whether they are speaking the truth or not."/>
    <m/>
    <m/>
    <m/>
    <m/>
    <d v="1899-12-30T00:05:18"/>
    <d v="1899-12-30T00:07:18"/>
    <d v="1899-12-30T00:02:00"/>
    <x v="7"/>
    <s v="https://www.youtube.com/embed/xANxZaCCD70?start=318&amp;end=438&amp;autoplay=1"/>
    <s v="Bad"/>
    <s v="Good"/>
    <s v="Good"/>
  </r>
  <r>
    <n v="37.03"/>
    <x v="2"/>
    <m/>
    <x v="0"/>
    <m/>
    <m/>
    <s v="Willingness of people to contribute to Rajiv Malhotra's efforts"/>
    <s v="RM describes the attitude of people when it comes to contributing to the anti - Breaking India efforts. Most Indians tend to be cheerleaders rather than active participants despite the gravity of the situation. "/>
    <m/>
    <m/>
    <m/>
    <m/>
    <d v="1899-12-30T00:07:20"/>
    <d v="1899-12-30T00:13:44"/>
    <d v="1899-12-30T00:06:24"/>
    <x v="7"/>
    <s v="https://www.youtube.com/embed/xANxZaCCD70?start=440&amp;end=824&amp;autoplay=1"/>
    <m/>
    <m/>
    <m/>
  </r>
  <r>
    <n v="38"/>
    <x v="2"/>
    <m/>
    <x v="1"/>
    <s v="https://www.youtube.com/watch?v=VeR7IhIkDk0"/>
    <s v="Atlanta April 23rd, 2011: Conclusion by Gokul Kunnath"/>
    <m/>
    <m/>
    <m/>
    <n v="427"/>
    <d v="1899-12-30T00:04:50"/>
    <s v="6 years ago"/>
    <m/>
    <m/>
    <d v="1899-12-30T00:00:00"/>
    <x v="8"/>
    <s v=""/>
    <m/>
    <m/>
    <m/>
  </r>
  <r>
    <n v="39"/>
    <x v="1"/>
    <m/>
    <x v="2"/>
    <s v="https://www.youtube.com/watch?v=iS7CE9mrtI4"/>
    <s v="God and Identity: Rajiv Malhotra &amp; Joshua Stanton #1"/>
    <m/>
    <m/>
    <m/>
    <n v="5900"/>
    <d v="1899-12-30T00:09:28"/>
    <s v="6 years ago"/>
    <m/>
    <m/>
    <d v="1899-12-30T00:00:00"/>
    <x v="3"/>
    <s v=""/>
    <m/>
    <m/>
    <m/>
  </r>
  <r>
    <n v="40"/>
    <x v="3"/>
    <m/>
    <x v="0"/>
    <s v="https://www.youtube.com/watch?v=THua8SMPtK4"/>
    <s v="Brahman and Karma: Rajiv Malhotra &amp; Joshua Stanton #2"/>
    <m/>
    <m/>
    <m/>
    <n v="3000"/>
    <d v="1899-12-30T00:04:36"/>
    <s v="6 years ago"/>
    <m/>
    <m/>
    <d v="1899-12-30T00:00:00"/>
    <x v="9"/>
    <s v=""/>
    <m/>
    <m/>
    <m/>
  </r>
  <r>
    <n v="40.01"/>
    <x v="3"/>
    <m/>
    <x v="0"/>
    <m/>
    <m/>
    <s v="Brahman and Karma explained"/>
    <s v="Brahman does not have an anti-brahman, karma is the equalization/ justice"/>
    <m/>
    <m/>
    <m/>
    <m/>
    <d v="1899-12-30T00:00:00"/>
    <d v="1899-12-30T00:04:36"/>
    <d v="1899-12-30T00:04:36"/>
    <x v="9"/>
    <s v="https://www.youtube.com/embed/THua8SMPtK4?start=0&amp;end=276&amp;autoplay=1"/>
    <s v="Good"/>
    <s v="Average"/>
    <s v="Good"/>
  </r>
  <r>
    <n v="41"/>
    <x v="3"/>
    <m/>
    <x v="0"/>
    <s v="https://www.youtube.com/watch?v=6_9IYK6ZlyY"/>
    <s v="Why Reincarnation: Rajiv Malhotra &amp; Joshua Stanton #3"/>
    <m/>
    <m/>
    <m/>
    <n v="3300"/>
    <d v="1899-12-30T00:12:46"/>
    <s v="6 years ago"/>
    <m/>
    <m/>
    <d v="1899-12-30T00:00:00"/>
    <x v="9"/>
    <s v=""/>
    <m/>
    <m/>
    <m/>
  </r>
  <r>
    <n v="41.01"/>
    <x v="3"/>
    <m/>
    <x v="0"/>
    <m/>
    <m/>
    <s v="Reincarnation frees from History centrism "/>
    <s v="nicely explains how Hindu Dharma frees us from history centrism"/>
    <m/>
    <m/>
    <m/>
    <m/>
    <d v="1899-12-30T00:01:26"/>
    <d v="1899-12-30T00:03:08"/>
    <d v="1899-12-30T00:01:42"/>
    <x v="9"/>
    <s v="https://www.youtube.com/embed/6_9IYK6ZlyY?start=86&amp;end=188&amp;autoplay=1"/>
    <s v="Good"/>
    <s v="Good"/>
    <s v="Good"/>
  </r>
  <r>
    <n v="41.02"/>
    <x v="3"/>
    <m/>
    <x v="0"/>
    <m/>
    <m/>
    <s v="Abrahamic religions do not explain birth inequalities"/>
    <s v="Like the dna/ genes drive a person's physical appearance, karma drives the soul's birth as a certain form"/>
    <m/>
    <m/>
    <m/>
    <m/>
    <d v="1899-12-30T00:03:09"/>
    <d v="1899-12-30T00:05:15"/>
    <d v="1899-12-30T00:02:06"/>
    <x v="9"/>
    <s v="https://www.youtube.com/embed/6_9IYK6ZlyY?start=189&amp;end=315&amp;autoplay=1"/>
    <s v="Good"/>
    <s v="Good"/>
    <s v="Good"/>
  </r>
  <r>
    <n v="41.03"/>
    <x v="3"/>
    <m/>
    <x v="0"/>
    <m/>
    <m/>
    <s v="Does karma absolve social accountability"/>
    <s v="Since everyone is brahman, you help the brahman"/>
    <m/>
    <m/>
    <m/>
    <m/>
    <d v="1899-12-30T00:05:16"/>
    <d v="1899-12-30T00:07:56"/>
    <d v="1899-12-30T00:02:40"/>
    <x v="9"/>
    <s v="https://www.youtube.com/embed/6_9IYK6ZlyY?start=316&amp;end=476&amp;autoplay=1"/>
    <s v="Good"/>
    <s v="Good"/>
    <s v="Good"/>
  </r>
  <r>
    <n v="41.04"/>
    <x v="3"/>
    <m/>
    <x v="0"/>
    <m/>
    <m/>
    <s v="Who does accounting of karma"/>
    <s v="it is the nature of existence, vittam virtue of dharma - once you realize that you are brahman then karma is driven by this realization"/>
    <m/>
    <m/>
    <m/>
    <m/>
    <d v="1899-12-30T00:07:57"/>
    <d v="1899-12-30T00:12:44"/>
    <d v="1899-12-30T00:04:47"/>
    <x v="9"/>
    <s v="https://www.youtube.com/embed/6_9IYK6ZlyY?start=477&amp;end=764&amp;autoplay=1"/>
    <s v="Good"/>
    <s v="Good"/>
    <s v="Good"/>
  </r>
  <r>
    <n v="42"/>
    <x v="3"/>
    <m/>
    <x v="0"/>
    <s v="https://www.youtube.com/watch?v=LXrKKz7Mld8"/>
    <s v="Limits &amp; Possibilities of Self: Rajiv Malhotra &amp; Joshua Stanton #4"/>
    <m/>
    <m/>
    <m/>
    <n v="1700"/>
    <d v="1899-12-30T00:07:29"/>
    <s v="6 years ago"/>
    <m/>
    <m/>
    <d v="1899-12-30T00:00:00"/>
    <x v="9"/>
    <s v=""/>
    <m/>
    <m/>
    <m/>
  </r>
  <r>
    <n v="42.1"/>
    <x v="3"/>
    <m/>
    <x v="0"/>
    <m/>
    <m/>
    <s v="Dharma is deconstruction of the &quot;I&quot; in self"/>
    <s v="Meditation and other dharmic paths lead to the realization of brahman in self"/>
    <m/>
    <m/>
    <m/>
    <m/>
    <d v="1899-12-30T00:00:00"/>
    <d v="1899-12-30T00:07:27"/>
    <d v="1899-12-30T00:07:27"/>
    <x v="9"/>
    <s v="https://www.youtube.com/embed/LXrKKz7Mld8?start=0&amp;end=447&amp;autoplay=1"/>
    <s v="Good"/>
    <s v="Good"/>
    <s v="Good"/>
  </r>
  <r>
    <n v="43"/>
    <x v="3"/>
    <m/>
    <x v="0"/>
    <s v="https://www.youtube.com/watch?v=ufZ1BZcZzKI"/>
    <s v="History &amp; Dharmic Traditions: Rajiv Malhotra &amp; Joshua Stanton #8"/>
    <m/>
    <m/>
    <m/>
    <n v="1000"/>
    <d v="1899-12-30T00:04:58"/>
    <s v="6 years ago"/>
    <m/>
    <m/>
    <d v="1899-12-30T00:00:00"/>
    <x v="9"/>
    <s v=""/>
    <m/>
    <m/>
    <m/>
  </r>
  <r>
    <n v="43.1"/>
    <x v="3"/>
    <m/>
    <x v="0"/>
    <m/>
    <m/>
    <s v="Swa-dharma, mutual respect - celebrate the diversity"/>
    <s v="Brahman in different forms, allows people to follow their own swa-dharma, does not promote conversion to any one belief"/>
    <m/>
    <m/>
    <m/>
    <m/>
    <d v="1899-12-30T00:00:00"/>
    <d v="1899-12-30T00:04:57"/>
    <d v="1899-12-30T00:04:57"/>
    <x v="9"/>
    <s v="https://www.youtube.com/embed/ufZ1BZcZzKI?start=0&amp;end=297&amp;autoplay=1"/>
    <s v="Good"/>
    <s v="Good"/>
    <s v="Good"/>
  </r>
  <r>
    <n v="44"/>
    <x v="3"/>
    <m/>
    <x v="0"/>
    <s v="https://www.youtube.com/watch?v=rNhQIKC2jPM"/>
    <s v="Personal Motivations: Rajiv Malhotra &amp; Joshua Stanton #5"/>
    <m/>
    <m/>
    <m/>
    <n v="1300"/>
    <d v="1899-12-30T00:07:40"/>
    <s v="6 years ago"/>
    <m/>
    <m/>
    <d v="1899-12-30T00:00:00"/>
    <x v="9"/>
    <s v=""/>
    <m/>
    <m/>
    <m/>
  </r>
  <r>
    <n v="44.1"/>
    <x v="3"/>
    <m/>
    <x v="0"/>
    <m/>
    <m/>
    <s v="Soul, Salvation,  Atman, Moksha are not same concepts"/>
    <s v="Need to introduce sanskrit words into English"/>
    <m/>
    <m/>
    <m/>
    <m/>
    <d v="1899-12-30T00:04:21"/>
    <d v="1899-12-30T00:07:37"/>
    <d v="1899-12-30T00:03:16"/>
    <x v="9"/>
    <s v="https://www.youtube.com/embed/rNhQIKC2jPM?start=261&amp;end=457&amp;autoplay=1"/>
    <s v="Good"/>
    <s v="Good"/>
    <s v="Good"/>
  </r>
  <r>
    <n v="45"/>
    <x v="3"/>
    <m/>
    <x v="0"/>
    <s v="https://www.youtube.com/watch?v=FndfcBhZklU"/>
    <s v="Dharma &amp; Modern India: Rajiv Malhotra &amp; Joshua Stanton #9"/>
    <m/>
    <m/>
    <m/>
    <n v="1300"/>
    <d v="1899-12-30T00:11:52"/>
    <s v="6 years ago"/>
    <m/>
    <m/>
    <d v="1899-12-30T00:00:00"/>
    <x v="9"/>
    <s v=""/>
    <m/>
    <m/>
    <m/>
  </r>
  <r>
    <n v="45.1"/>
    <x v="3"/>
    <m/>
    <x v="0"/>
    <m/>
    <m/>
    <s v="What is Purva-Paksha - in dharmic tradition"/>
    <s v="respecting differences and having a healthy debate"/>
    <m/>
    <m/>
    <m/>
    <m/>
    <d v="1899-12-30T00:00:00"/>
    <d v="1899-12-30T00:06:00"/>
    <d v="1899-12-30T00:06:00"/>
    <x v="9"/>
    <s v="https://www.youtube.com/embed/FndfcBhZklU?start=0&amp;end=360&amp;autoplay=1"/>
    <s v="Average"/>
    <s v="Good"/>
    <s v="Good"/>
  </r>
  <r>
    <n v="46"/>
    <x v="3"/>
    <m/>
    <x v="0"/>
    <s v="https://www.youtube.com/watch?v=20u8yHim1tM"/>
    <s v="Educating the Next Generation: Rajiv Malhotra &amp; Joshua Stanton #11"/>
    <m/>
    <m/>
    <m/>
    <n v="940"/>
    <d v="1899-12-30T00:03:44"/>
    <s v="6 years ago"/>
    <m/>
    <m/>
    <d v="1899-12-30T00:00:00"/>
    <x v="9"/>
    <s v=""/>
    <m/>
    <m/>
    <m/>
  </r>
  <r>
    <n v="46.1"/>
    <x v="3"/>
    <m/>
    <x v="0"/>
    <m/>
    <m/>
    <s v="Educating the next generation"/>
    <m/>
    <m/>
    <m/>
    <m/>
    <m/>
    <d v="1899-12-30T00:00:00"/>
    <d v="1899-12-30T00:03:42"/>
    <d v="1899-12-30T00:03:42"/>
    <x v="9"/>
    <s v="https://www.youtube.com/embed/20u8yHim1tM?start=0&amp;end=222&amp;autoplay=1"/>
    <s v="Good"/>
    <s v="Good"/>
    <s v="Good"/>
  </r>
  <r>
    <n v="47"/>
    <x v="3"/>
    <m/>
    <x v="1"/>
    <s v="https://www.youtube.com/watch?v=K9s433rQloA"/>
    <s v="Dharmic Framework for Dialogue: Rajiv Malhotra &amp; Joshua Stanton #10"/>
    <m/>
    <m/>
    <m/>
    <n v="864"/>
    <d v="1899-12-30T00:06:02"/>
    <s v="6 years ago"/>
    <m/>
    <m/>
    <d v="1899-12-30T00:00:00"/>
    <x v="9"/>
    <s v=""/>
    <m/>
    <m/>
    <m/>
  </r>
  <r>
    <n v="48"/>
    <x v="3"/>
    <m/>
    <x v="0"/>
    <s v="https://www.youtube.com/watch?v=QEUeYDEFtsE"/>
    <s v="Language and Difference: Rajiv Malhotra &amp; Joshua Stanton #6"/>
    <m/>
    <m/>
    <m/>
    <n v="1100"/>
    <d v="1899-12-30T00:04:45"/>
    <s v="6 years ago"/>
    <m/>
    <m/>
    <d v="1899-12-30T00:00:00"/>
    <x v="9"/>
    <s v=""/>
    <m/>
    <m/>
    <m/>
  </r>
  <r>
    <n v="48.1"/>
    <x v="3"/>
    <m/>
    <x v="0"/>
    <m/>
    <m/>
    <s v="Hindu dharma respects diversity"/>
    <m/>
    <m/>
    <m/>
    <m/>
    <m/>
    <d v="1899-12-30T00:00:00"/>
    <d v="1899-12-30T00:04:44"/>
    <d v="1899-12-30T00:04:44"/>
    <x v="9"/>
    <s v="https://www.youtube.com/embed/QEUeYDEFtsE?start=0&amp;end=284&amp;autoplay=1"/>
    <s v="Good"/>
    <s v="Average"/>
    <s v="Good"/>
  </r>
  <r>
    <n v="49"/>
    <x v="3"/>
    <m/>
    <x v="0"/>
    <s v="https://www.youtube.com/watch?v=Yhp3rFuo5Cw"/>
    <s v="History Centrism As the Problem: Rajiv Malhotra and Joshua Stanton #7"/>
    <m/>
    <m/>
    <m/>
    <n v="1500"/>
    <d v="1899-12-30T00:12:53"/>
    <s v="6 years ago"/>
    <m/>
    <m/>
    <d v="1899-12-30T00:00:00"/>
    <x v="9"/>
    <s v=""/>
    <m/>
    <m/>
    <m/>
  </r>
  <r>
    <n v="49.01"/>
    <x v="3"/>
    <m/>
    <x v="0"/>
    <m/>
    <m/>
    <s v="History centricism vs. Dharmic Brahman concept"/>
    <m/>
    <m/>
    <m/>
    <m/>
    <m/>
    <d v="1899-12-30T00:00:00"/>
    <d v="1899-12-30T00:06:00"/>
    <d v="1899-12-30T00:06:00"/>
    <x v="9"/>
    <s v="https://www.youtube.com/embed/Yhp3rFuo5Cw?start=0&amp;end=360&amp;autoplay=1"/>
    <s v="Good"/>
    <s v="Good"/>
    <s v="Good"/>
  </r>
  <r>
    <n v="49.02"/>
    <x v="3"/>
    <m/>
    <x v="0"/>
    <m/>
    <m/>
    <s v="History centrisim, the cause for Institutionalization of Abrahamic traditions "/>
    <m/>
    <m/>
    <m/>
    <m/>
    <m/>
    <d v="1899-12-30T00:06:01"/>
    <d v="1899-12-30T00:12:51"/>
    <d v="1899-12-30T00:06:50"/>
    <x v="9"/>
    <s v="https://www.youtube.com/embed/Yhp3rFuo5Cw?start=361&amp;end=771&amp;autoplay=1"/>
    <s v="Good"/>
    <s v="Good"/>
    <s v="Good"/>
  </r>
  <r>
    <n v="50"/>
    <x v="2"/>
    <m/>
    <x v="0"/>
    <s v="https://www.youtube.com/watch?v=8qjQH_-WzyE"/>
    <s v="Rajiv Malhotra California June 2011 - 1: Importance of Managing our Civilization Discourse"/>
    <m/>
    <m/>
    <m/>
    <n v="1700"/>
    <d v="1899-12-30T00:14:47"/>
    <s v="6 years ago"/>
    <m/>
    <m/>
    <d v="1899-12-30T00:00:00"/>
    <x v="8"/>
    <s v=""/>
    <m/>
    <m/>
    <m/>
  </r>
  <r>
    <n v="50.01"/>
    <x v="2"/>
    <m/>
    <x v="0"/>
    <m/>
    <m/>
    <s v="Why is there a need to manage our Hindu civilization discourse?"/>
    <s v="Discourses shape social realities and therefore the future. It is imperative to therefore have a discourse on our civilization so that we have a say in our future rather than allow others to dictate it."/>
    <m/>
    <m/>
    <m/>
    <m/>
    <d v="1899-12-30T00:00:00"/>
    <d v="1899-12-30T00:05:44"/>
    <d v="1899-12-30T00:05:44"/>
    <x v="8"/>
    <s v="https://www.youtube.com/embed/8qjQH_-WzyE?start=0&amp;end=344&amp;autoplay=1"/>
    <s v="Good"/>
    <s v="Average"/>
    <s v="Good"/>
  </r>
  <r>
    <n v="50.02"/>
    <x v="2"/>
    <m/>
    <x v="1"/>
    <m/>
    <m/>
    <s v="What is a discourse?"/>
    <s v="Borrowing IT terminology, discourse is like the &quot;apps&quot; part of the equation if you consider temple etc. as the infrastructure. "/>
    <m/>
    <m/>
    <m/>
    <m/>
    <d v="1899-12-30T00:05:45"/>
    <d v="1899-12-30T00:06:50"/>
    <d v="1899-12-30T00:01:05"/>
    <x v="8"/>
    <s v="https://www.youtube.com/embed/8qjQH_-WzyE?start=345&amp;end=410&amp;autoplay=1"/>
    <s v="Good"/>
    <s v="Good"/>
    <s v="Good"/>
  </r>
  <r>
    <n v="50.03"/>
    <x v="2"/>
    <m/>
    <x v="0"/>
    <m/>
    <m/>
    <s v="Is Western collaboration necessary to manage the Hindu discourse?"/>
    <s v="Involving Western institutions will mean giving up control of what will be disseminated to them. This is like colonization all over again."/>
    <m/>
    <m/>
    <m/>
    <m/>
    <d v="1899-12-30T00:06:51"/>
    <d v="1899-12-30T00:10:20"/>
    <d v="1899-12-30T00:03:29"/>
    <x v="8"/>
    <s v="https://www.youtube.com/embed/8qjQH_-WzyE?start=411&amp;end=620&amp;autoplay=1"/>
    <s v="Good"/>
    <s v="Good"/>
    <s v="Good"/>
  </r>
  <r>
    <n v="50.04"/>
    <x v="2"/>
    <m/>
    <x v="0"/>
    <m/>
    <m/>
    <s v="Are Hindus present in the discourse forums?"/>
    <s v="Hindus are not sufficiently present in discourse forums, Even our gurus and acharyas are unprepared when it comes to understanding the Western point of view and presenting a solid argument. The concept of purva paksha has been forgotten. Independent thinkers are necessary to change perspectives."/>
    <m/>
    <m/>
    <m/>
    <m/>
    <d v="1899-12-30T00:10:21"/>
    <d v="1899-12-30T00:13:34"/>
    <d v="1899-12-30T00:03:13"/>
    <x v="8"/>
    <s v="https://www.youtube.com/embed/8qjQH_-WzyE?start=621&amp;end=814&amp;autoplay=1"/>
    <s v="Good"/>
    <s v="Good"/>
    <s v="Good"/>
  </r>
  <r>
    <n v="51"/>
    <x v="2"/>
    <m/>
    <x v="0"/>
    <s v="https://www.youtube.com/watch?v=vHWsmGyjOk0"/>
    <s v="Rajiv Malhotra California June 2011 - 2: Changing the Game through Non-Ignorable Interventions"/>
    <m/>
    <m/>
    <m/>
    <n v="679"/>
    <d v="1899-12-30T00:08:46"/>
    <s v="6 years ago"/>
    <m/>
    <m/>
    <d v="1899-12-30T00:00:00"/>
    <x v="10"/>
    <s v=""/>
    <m/>
    <m/>
    <m/>
  </r>
  <r>
    <n v="51.01"/>
    <x v="2"/>
    <m/>
    <x v="0"/>
    <m/>
    <m/>
    <s v="How Hindus can initiate discourses that cannot be ignored"/>
    <s v="What is effective is for Hindus to hold public discourses that challenge institutions and people of today rather than criticize history. Avoiding naming names ensures that your discourse is ignored by your opponent. RM's approach has therefore been to take on public discourses/intellectual discussions with living thinkers."/>
    <m/>
    <m/>
    <m/>
    <m/>
    <d v="1899-12-30T00:00:00"/>
    <d v="1899-12-30T00:06:45"/>
    <d v="1899-12-30T00:06:45"/>
    <x v="10"/>
    <s v="https://www.youtube.com/embed/vHWsmGyjOk0?start=0&amp;end=405&amp;autoplay=1"/>
    <s v="Good"/>
    <s v="Good"/>
    <s v="Good"/>
  </r>
  <r>
    <n v="52"/>
    <x v="2"/>
    <m/>
    <x v="0"/>
    <s v="https://www.youtube.com/watch?v=-udb2VYB5uo"/>
    <s v="Rajiv Malhotra California June 2011 - 3: Anti-India Nexuses"/>
    <m/>
    <m/>
    <m/>
    <n v="928"/>
    <d v="1899-12-30T00:14:24"/>
    <s v="6 years ago"/>
    <m/>
    <m/>
    <d v="1899-12-30T00:00:00"/>
    <x v="10"/>
    <s v=""/>
    <m/>
    <m/>
    <m/>
  </r>
  <r>
    <n v="52.01"/>
    <x v="2"/>
    <m/>
    <x v="0"/>
    <m/>
    <m/>
    <s v="Tracing the growth of Anti-India causes"/>
    <s v="RM explains how causes such as the Dravidian  identity and Dalit movement have been created and nurtured by vested interests over the years."/>
    <m/>
    <m/>
    <m/>
    <m/>
    <d v="1899-12-30T00:00:00"/>
    <d v="1899-12-30T00:04:34"/>
    <d v="1899-12-30T00:04:34"/>
    <x v="10"/>
    <s v="https://www.youtube.com/embed/-udb2VYB5uo?start=0&amp;end=274&amp;autoplay=1"/>
    <s v="Good"/>
    <s v="Good"/>
    <s v="Good"/>
  </r>
  <r>
    <n v="52.02"/>
    <x v="2"/>
    <m/>
    <x v="0"/>
    <m/>
    <m/>
    <s v="Who is involved in the Anti-India nexus and their modus operandi"/>
    <s v="The Western church, evangelists, right wing politicians are the key powers and they make use of people from India to play the Dalit face."/>
    <m/>
    <m/>
    <m/>
    <m/>
    <d v="1899-12-30T00:04:35"/>
    <d v="1899-12-30T00:14:23"/>
    <d v="1899-12-30T00:09:48"/>
    <x v="10"/>
    <s v="https://www.youtube.com/embed/-udb2VYB5uo?start=275&amp;end=863&amp;autoplay=1"/>
    <s v="Good"/>
    <s v="Good"/>
    <s v="Good"/>
  </r>
  <r>
    <n v="53"/>
    <x v="2"/>
    <m/>
    <x v="0"/>
    <s v="https://www.youtube.com/watch?v=f-MLHIb4dFU"/>
    <s v="Rajiv Malhotra California: #4 Exploiting India's Minorities"/>
    <m/>
    <m/>
    <m/>
    <n v="961"/>
    <d v="1899-12-30T00:12:56"/>
    <s v="6 years ago"/>
    <m/>
    <m/>
    <d v="1899-12-30T00:00:00"/>
    <x v="11"/>
    <s v=""/>
    <m/>
    <m/>
    <m/>
  </r>
  <r>
    <n v="53.01"/>
    <x v="2"/>
    <m/>
    <x v="0"/>
    <m/>
    <m/>
    <s v="Who is behind the Breaking India movement?"/>
    <s v="The anti-India forces are church based, secular left-wing think tanks, government agencies, and academics  in the US and Europe. In India the left is aligned with the right wing Christians as the common goal is to break India."/>
    <m/>
    <m/>
    <m/>
    <m/>
    <d v="1899-12-30T00:00:00"/>
    <d v="1899-12-30T00:03:10"/>
    <d v="1899-12-30T00:03:10"/>
    <x v="11"/>
    <s v="https://www.youtube.com/embed/f-MLHIb4dFU?start=0&amp;end=190&amp;autoplay=1"/>
    <s v="Good"/>
    <s v="Good"/>
    <s v="Good"/>
  </r>
  <r>
    <n v="53.02"/>
    <x v="2"/>
    <m/>
    <x v="0"/>
    <m/>
    <m/>
    <s v="Defining who is a minority in India"/>
    <s v="RM argues that we need to relook at the way we define minorities. It should be viewed in the light that certain minorities are governed by foreign players and hence definitely not be considered as a minority. "/>
    <m/>
    <m/>
    <m/>
    <m/>
    <d v="1899-12-30T00:04:34"/>
    <d v="1899-12-30T00:06:56"/>
    <d v="1899-12-30T00:02:22"/>
    <x v="11"/>
    <s v="https://www.youtube.com/embed/f-MLHIb4dFU?start=274&amp;end=416&amp;autoplay=1"/>
    <s v="Good"/>
    <s v="Good"/>
    <s v="Good"/>
  </r>
  <r>
    <n v="53.03"/>
    <x v="2"/>
    <m/>
    <x v="0"/>
    <m/>
    <m/>
    <s v="Corruption in the Christian conversion process"/>
    <s v="Many middlemen siphon off grant money from the West to be used for conversion purposes."/>
    <m/>
    <m/>
    <m/>
    <m/>
    <d v="1899-12-30T00:09:24"/>
    <d v="1899-12-30T00:10:10"/>
    <d v="1899-12-30T00:00:46"/>
    <x v="11"/>
    <s v="https://www.youtube.com/embed/f-MLHIb4dFU?start=564&amp;end=610&amp;autoplay=1"/>
    <s v="Good"/>
    <s v="Good"/>
    <s v="Good"/>
  </r>
  <r>
    <n v="53.04"/>
    <x v="2"/>
    <m/>
    <x v="0"/>
    <m/>
    <m/>
    <s v="Conversion does not solve casteism problem"/>
    <s v="Christianity in India has a thriving caste system built into it. It is a myth that Christianity has overcome the caste problem."/>
    <m/>
    <m/>
    <m/>
    <m/>
    <d v="1899-12-30T00:10:25"/>
    <d v="1899-12-30T00:11:55"/>
    <d v="1899-12-30T00:01:30"/>
    <x v="11"/>
    <s v="https://www.youtube.com/embed/f-MLHIb4dFU?start=625&amp;end=715&amp;autoplay=1"/>
    <s v="Good"/>
    <s v="Good"/>
    <s v="Good"/>
  </r>
  <r>
    <n v="54"/>
    <x v="1"/>
    <m/>
    <x v="2"/>
    <s v="https://www.youtube.com/watch?v=m3jwqSSyVkg"/>
    <s v="Rajiv Malhotra California June 2011 - 5: Q &amp; A (Los Angeles) 1"/>
    <m/>
    <m/>
    <m/>
    <n v="1300"/>
    <d v="1899-12-30T00:13:25"/>
    <s v="6 years ago"/>
    <m/>
    <m/>
    <d v="1899-12-30T00:00:00"/>
    <x v="3"/>
    <s v=""/>
    <m/>
    <m/>
    <m/>
  </r>
  <r>
    <n v="55"/>
    <x v="1"/>
    <m/>
    <x v="2"/>
    <s v="https://www.youtube.com/watch?v=QWaXqmcxm94"/>
    <s v="Rajiv Malhotra California June 2011 - 6: Q &amp; A (Los Angeles) 2"/>
    <m/>
    <m/>
    <m/>
    <n v="959"/>
    <d v="1899-12-30T00:13:04"/>
    <s v="6 years ago"/>
    <m/>
    <m/>
    <d v="1899-12-30T00:00:00"/>
    <x v="3"/>
    <s v=""/>
    <m/>
    <m/>
    <m/>
  </r>
  <r>
    <n v="56"/>
    <x v="1"/>
    <m/>
    <x v="2"/>
    <s v="https://www.youtube.com/watch?v=JXjMYvGqqDE"/>
    <s v="Rajiv Malhotra California June 2011 - 7: Q &amp; A (Los Angeles) 3"/>
    <m/>
    <m/>
    <m/>
    <n v="1100"/>
    <d v="1899-12-30T00:07:28"/>
    <s v="6 years ago"/>
    <m/>
    <m/>
    <d v="1899-12-30T00:00:00"/>
    <x v="3"/>
    <s v=""/>
    <m/>
    <m/>
    <m/>
  </r>
  <r>
    <n v="57"/>
    <x v="1"/>
    <m/>
    <x v="2"/>
    <s v="https://www.youtube.com/watch?v=TGgYE0Ui0co"/>
    <s v="Rajiv Malhotra California June 2011 - 8: Q &amp; A (Bay Area) 4"/>
    <m/>
    <m/>
    <m/>
    <n v="1000"/>
    <d v="1899-12-30T00:12:23"/>
    <s v="6 years ago"/>
    <m/>
    <m/>
    <d v="1899-12-30T00:00:00"/>
    <x v="3"/>
    <s v=""/>
    <m/>
    <m/>
    <m/>
  </r>
  <r>
    <n v="58"/>
    <x v="1"/>
    <m/>
    <x v="2"/>
    <s v="https://www.youtube.com/watch?v=xtHzknvaS7s"/>
    <s v="Rajiv Malhotra California June 2011 - 9: Q &amp; A (Bay Area) 5"/>
    <m/>
    <m/>
    <m/>
    <n v="1500"/>
    <d v="1899-12-30T00:14:24"/>
    <s v="6 years ago"/>
    <m/>
    <m/>
    <d v="1899-12-30T00:00:00"/>
    <x v="3"/>
    <s v=""/>
    <m/>
    <m/>
    <m/>
  </r>
  <r>
    <n v="59"/>
    <x v="0"/>
    <m/>
    <x v="0"/>
    <s v="https://www.youtube.com/watch?v=ByaheAphduQ"/>
    <s v="Hindu Unity Day: Dallas August, 2011"/>
    <m/>
    <m/>
    <m/>
    <n v="3600"/>
    <d v="1899-12-30T00:52:35"/>
    <s v="6 years ago"/>
    <m/>
    <m/>
    <d v="1899-12-30T00:00:00"/>
    <x v="0"/>
    <s v=""/>
    <s v="Good"/>
    <s v="Good"/>
    <s v="Good"/>
  </r>
  <r>
    <n v="59.01"/>
    <x v="0"/>
    <m/>
    <x v="0"/>
    <m/>
    <m/>
    <s v="What Rajiv Malhotra is try to do?"/>
    <s v="Analyse how Hindu Sampradya, Parampara, Family system, festivals are being viewed, misinterpreted and appropriated by west"/>
    <m/>
    <m/>
    <m/>
    <m/>
    <d v="1899-12-30T00:00:00"/>
    <d v="1899-12-30T00:07:30"/>
    <d v="1899-12-30T00:07:30"/>
    <x v="0"/>
    <s v="https://www.youtube.com/embed/ByaheAphduQ?start=0&amp;end=450&amp;autoplay=1"/>
    <s v="Good"/>
    <s v="Good"/>
    <s v="Good"/>
  </r>
  <r>
    <n v="59.02"/>
    <x v="0"/>
    <m/>
    <x v="0"/>
    <m/>
    <m/>
    <s v="What is Afro-Dalit project of missionaries in India?"/>
    <s v="This project was the seed of writing book called &quot;Breaking India&quot;"/>
    <m/>
    <m/>
    <m/>
    <m/>
    <d v="1899-12-30T00:08:55"/>
    <d v="1899-12-30T00:15:56"/>
    <d v="1899-12-30T00:07:01"/>
    <x v="0"/>
    <s v="https://www.youtube.com/embed/ByaheAphduQ?start=535&amp;end=956&amp;autoplay=1"/>
    <s v="Good"/>
    <s v="Good"/>
    <s v="Good"/>
  </r>
  <r>
    <n v="59.03"/>
    <x v="0"/>
    <m/>
    <x v="0"/>
    <m/>
    <m/>
    <s v="How churches creating dominance in India?"/>
    <s v="Churches buy huge land in remote part of India to create dominance"/>
    <m/>
    <m/>
    <m/>
    <m/>
    <d v="1899-12-30T00:18:10"/>
    <d v="1899-12-30T00:19:59"/>
    <d v="1899-12-30T00:01:49"/>
    <x v="0"/>
    <s v="https://www.youtube.com/embed/ByaheAphduQ?start=1090&amp;end=1199&amp;autoplay=1"/>
    <s v="Good"/>
    <s v="Good"/>
    <s v="Good"/>
  </r>
  <r>
    <n v="59.04"/>
    <x v="0"/>
    <m/>
    <x v="0"/>
    <m/>
    <m/>
    <s v="Churches and their human right arguments"/>
    <s v="Churches using human right as a tool for conversion and spreading base"/>
    <m/>
    <m/>
    <m/>
    <m/>
    <d v="1899-12-30T00:20:05"/>
    <d v="1899-12-30T00:21:20"/>
    <d v="1899-12-30T00:01:15"/>
    <x v="0"/>
    <s v="https://www.youtube.com/embed/ByaheAphduQ?start=1205&amp;end=1280&amp;autoplay=1"/>
    <s v="Good"/>
    <s v="Good"/>
    <s v="Good"/>
  </r>
  <r>
    <n v="59.05"/>
    <x v="0"/>
    <m/>
    <x v="0"/>
    <m/>
    <m/>
    <s v="Nexus of US Govt, Foundations and Churches from US"/>
    <s v="What is US Commision on International Religious Freedom and their relation with US Political system"/>
    <m/>
    <m/>
    <m/>
    <m/>
    <d v="1899-12-30T00:21:22"/>
    <d v="1899-12-30T00:23:30"/>
    <d v="1899-12-30T00:02:08"/>
    <x v="0"/>
    <s v="https://www.youtube.com/embed/ByaheAphduQ?start=1282&amp;end=1410&amp;autoplay=1"/>
    <s v="Good"/>
    <s v="Good"/>
    <s v="Good"/>
  </r>
  <r>
    <n v="59.06"/>
    <x v="0"/>
    <m/>
    <x v="0"/>
    <m/>
    <m/>
    <s v="People behind religious freedom project of US Commision"/>
    <m/>
    <m/>
    <m/>
    <m/>
    <m/>
    <d v="1899-12-30T00:24:10"/>
    <d v="1899-12-30T00:27:00"/>
    <d v="1899-12-30T00:02:50"/>
    <x v="0"/>
    <s v="https://www.youtube.com/embed/ByaheAphduQ?start=1450&amp;end=1620&amp;autoplay=1"/>
    <s v="Good"/>
    <s v="Good"/>
    <s v="Good"/>
  </r>
  <r>
    <n v="59.07"/>
    <x v="0"/>
    <m/>
    <x v="0"/>
    <m/>
    <m/>
    <s v="Who created Dravid Identify in India?"/>
    <m/>
    <m/>
    <m/>
    <m/>
    <m/>
    <d v="1899-12-30T00:28:04"/>
    <d v="1899-12-30T00:29:50"/>
    <d v="1899-12-30T00:01:46"/>
    <x v="0"/>
    <s v="https://www.youtube.com/embed/ByaheAphduQ?start=1684&amp;end=1790&amp;autoplay=1"/>
    <s v="Good"/>
    <s v="Good"/>
    <s v="Good"/>
  </r>
  <r>
    <n v="59.08"/>
    <x v="0"/>
    <m/>
    <x v="0"/>
    <m/>
    <m/>
    <s v="21st Century methods to divide to rule the India"/>
    <s v="Aryan-Dravidian Divide -&gt; Dalit-non-Dalit Divide, Majority-minority divide =&gt; Hindu vs Dravidian + Dalit divide in society"/>
    <m/>
    <m/>
    <m/>
    <m/>
    <d v="1899-12-30T00:30:25"/>
    <d v="1899-12-30T00:31:15"/>
    <d v="1899-12-30T00:00:50"/>
    <x v="0"/>
    <s v="https://www.youtube.com/embed/ByaheAphduQ?start=1825&amp;end=1875&amp;autoplay=1"/>
    <s v="Good"/>
    <s v="Good"/>
    <s v="Good"/>
  </r>
  <r>
    <n v="59.09"/>
    <x v="0"/>
    <m/>
    <x v="0"/>
    <m/>
    <m/>
    <s v="Who is responsible for assaulting indian culture"/>
    <s v="A book on Chritian Media in India by Pradip N Thomas "/>
    <m/>
    <m/>
    <m/>
    <m/>
    <d v="1899-12-30T00:32:50"/>
    <d v="1899-12-30T00:34:52"/>
    <d v="1899-12-30T00:02:02"/>
    <x v="0"/>
    <s v="https://www.youtube.com/embed/ByaheAphduQ?start=1970&amp;end=2092&amp;autoplay=1"/>
    <s v="Good"/>
    <s v="Good"/>
    <s v="Good"/>
  </r>
  <r>
    <n v="59.1"/>
    <x v="0"/>
    <m/>
    <x v="0"/>
    <m/>
    <m/>
    <s v="Left-Right unity in India"/>
    <m/>
    <m/>
    <m/>
    <m/>
    <m/>
    <d v="1899-12-30T00:36:00"/>
    <d v="1899-12-30T00:38:18"/>
    <d v="1899-12-30T00:02:18"/>
    <x v="0"/>
    <s v="https://www.youtube.com/embed/ByaheAphduQ?start=2160&amp;end=2298&amp;autoplay=1"/>
    <s v="Good"/>
    <s v="Good"/>
    <s v="Good"/>
  </r>
  <r>
    <n v="59.11"/>
    <x v="0"/>
    <m/>
    <x v="0"/>
    <m/>
    <m/>
    <s v="What is minority community?"/>
    <m/>
    <m/>
    <m/>
    <m/>
    <m/>
    <d v="1899-12-30T00:38:30"/>
    <d v="1899-12-30T00:42:35"/>
    <d v="1899-12-30T00:04:05"/>
    <x v="0"/>
    <s v="https://www.youtube.com/embed/ByaheAphduQ?start=2310&amp;end=2555&amp;autoplay=1"/>
    <s v="Good"/>
    <s v="Good"/>
    <s v="Good"/>
  </r>
  <r>
    <n v="59.120000000000097"/>
    <x v="0"/>
    <m/>
    <x v="0"/>
    <m/>
    <m/>
    <s v="Human right in India vs China from the US lenses"/>
    <m/>
    <m/>
    <m/>
    <m/>
    <m/>
    <d v="1899-12-30T00:43:15"/>
    <d v="1899-12-30T00:44:10"/>
    <d v="1899-12-30T00:00:55"/>
    <x v="0"/>
    <s v="https://www.youtube.com/embed/ByaheAphduQ?start=2595&amp;end=2650&amp;autoplay=1"/>
    <s v="Good"/>
    <s v="Good"/>
    <s v="Good"/>
  </r>
  <r>
    <n v="59.130000000000102"/>
    <x v="0"/>
    <m/>
    <x v="0"/>
    <m/>
    <m/>
    <s v="In fighting of Hinduism, sufism and uniting Hindus strategy"/>
    <s v="Principle of Karma, reincarnation, cosmic unity are non-negotiable. No-history is suprior, many path to the truth is the Hindu way. To unite Hindus we should compare how other traditions are different from Hindu tradition rather than how we are different within."/>
    <m/>
    <m/>
    <m/>
    <m/>
    <d v="1899-12-30T00:46:00"/>
    <d v="1899-12-30T00:48:50"/>
    <d v="1899-12-30T00:02:50"/>
    <x v="0"/>
    <s v="https://www.youtube.com/embed/ByaheAphduQ?start=2760&amp;end=2930&amp;autoplay=1"/>
    <s v="Good"/>
    <s v="Good"/>
    <s v="Good"/>
  </r>
  <r>
    <n v="59.1400000000001"/>
    <x v="0"/>
    <m/>
    <x v="0"/>
    <m/>
    <m/>
    <s v="How west was unified by Hegal in 17th Century"/>
    <s v="Hegal is orignator of western sense of unity. Hindus need this same concept for unity."/>
    <m/>
    <m/>
    <m/>
    <m/>
    <d v="1899-12-30T00:49:50"/>
    <d v="1899-12-30T00:50:41"/>
    <d v="1899-12-30T00:00:51"/>
    <x v="0"/>
    <s v="https://www.youtube.com/embed/ByaheAphduQ?start=2990&amp;end=3041&amp;autoplay=1"/>
    <s v="Good"/>
    <s v="Good"/>
    <s v="Good"/>
  </r>
  <r>
    <n v="60"/>
    <x v="1"/>
    <m/>
    <x v="2"/>
    <s v="https://www.youtube.com/watch?v=sc4OOSLMiQQ"/>
    <s v="Rajiv Malhotra: #1 Seminar in Houston, Book: Breaking India"/>
    <m/>
    <m/>
    <m/>
    <n v="2300"/>
    <d v="1899-12-30T00:08:04"/>
    <s v="5 years ago"/>
    <m/>
    <m/>
    <d v="1899-12-30T00:00:00"/>
    <x v="3"/>
    <s v=""/>
    <m/>
    <m/>
    <m/>
  </r>
  <r>
    <n v="61"/>
    <x v="1"/>
    <m/>
    <x v="2"/>
    <s v="https://www.youtube.com/watch?v=QZxRsM9xvK4"/>
    <s v="Rajiv Malhotra: #3 Seminar in Houston, Book: Breaking India"/>
    <m/>
    <m/>
    <m/>
    <n v="709"/>
    <d v="1899-12-30T00:02:54"/>
    <s v="5 years ago"/>
    <m/>
    <m/>
    <d v="1899-12-30T00:00:00"/>
    <x v="3"/>
    <s v=""/>
    <m/>
    <m/>
    <m/>
  </r>
  <r>
    <n v="62"/>
    <x v="0"/>
    <m/>
    <x v="0"/>
    <s v="https://www.youtube.com/watch?v=s3LVHHEe2vc"/>
    <s v="Rajiv Malhotra: #2 Seminar in Houston, Book: Breaking India"/>
    <m/>
    <m/>
    <m/>
    <n v="6100"/>
    <d v="1899-12-30T00:51:54"/>
    <s v="5 years ago"/>
    <m/>
    <m/>
    <d v="1899-12-30T00:00:00"/>
    <x v="12"/>
    <s v=""/>
    <s v="Good"/>
    <s v="Good"/>
    <s v="Good"/>
  </r>
  <r>
    <n v="62.01"/>
    <x v="0"/>
    <m/>
    <x v="0"/>
    <m/>
    <m/>
    <s v="3 Naxus against India"/>
    <m/>
    <m/>
    <m/>
    <m/>
    <m/>
    <d v="1899-12-30T00:04:12"/>
    <d v="1899-12-30T00:06:00"/>
    <d v="1899-12-30T00:01:48"/>
    <x v="12"/>
    <s v="https://www.youtube.com/embed/s3LVHHEe2vc?start=252&amp;end=360&amp;autoplay=1"/>
    <s v="Good"/>
    <s v="Good"/>
    <s v="Good"/>
  </r>
  <r>
    <n v="62.02"/>
    <x v="0"/>
    <m/>
    <x v="0"/>
    <m/>
    <m/>
    <s v="What is being Broken &amp; Why?"/>
    <s v="Sense of continuity, Teertha, Secrad Geography, Collective Destinity, Symbols, abusing some tradition, psychological sense of unity, sense of identify are being broken."/>
    <m/>
    <m/>
    <m/>
    <m/>
    <d v="1899-12-30T00:07:15"/>
    <d v="1899-12-30T00:09:21"/>
    <d v="1899-12-30T00:02:06"/>
    <x v="12"/>
    <s v="https://www.youtube.com/embed/s3LVHHEe2vc?start=435&amp;end=561&amp;autoplay=1"/>
    <s v="Good"/>
    <s v="Good"/>
    <s v="Good"/>
  </r>
  <r>
    <n v="62.03"/>
    <x v="0"/>
    <m/>
    <x v="0"/>
    <m/>
    <m/>
    <s v="Dravidian Aryan Artificial Theory"/>
    <s v="Stage of development of Drvaidian theory. Linguistic separation-&gt; culture different-&gt; race different-&gt; religion -&gt; now Dravidian is not secular but Christian Dravdian."/>
    <m/>
    <m/>
    <m/>
    <m/>
    <d v="1899-12-30T00:12:10"/>
    <d v="1899-12-30T00:16:40"/>
    <d v="1899-12-30T00:04:30"/>
    <x v="12"/>
    <s v="https://www.youtube.com/embed/s3LVHHEe2vc?start=730&amp;end=1000&amp;autoplay=1"/>
    <s v="Good"/>
    <s v="Good"/>
    <s v="Good"/>
  </r>
  <r>
    <n v="62.04"/>
    <x v="0"/>
    <m/>
    <x v="0"/>
    <m/>
    <m/>
    <s v="Objective of DFN (Dalit Freedom Network)"/>
    <m/>
    <m/>
    <m/>
    <m/>
    <m/>
    <d v="1899-12-30T00:37:17"/>
    <d v="1899-12-30T00:39:00"/>
    <d v="1899-12-30T00:01:43"/>
    <x v="12"/>
    <s v="https://www.youtube.com/embed/s3LVHHEe2vc?start=2237&amp;end=2340&amp;autoplay=1"/>
    <s v="Good"/>
    <s v="Good"/>
    <s v="Good"/>
  </r>
  <r>
    <n v="62.05"/>
    <x v="0"/>
    <m/>
    <x v="0"/>
    <m/>
    <m/>
    <s v="Work of Lutherian Church of Northen Europe in India"/>
    <m/>
    <m/>
    <m/>
    <m/>
    <m/>
    <d v="1899-12-30T00:39:40"/>
    <d v="1899-12-30T00:41:15"/>
    <d v="1899-12-30T00:01:35"/>
    <x v="12"/>
    <s v="https://www.youtube.com/embed/s3LVHHEe2vc?start=2380&amp;end=2475&amp;autoplay=1"/>
    <s v="Good"/>
    <s v="Good"/>
    <s v="Good"/>
  </r>
  <r>
    <n v="62.06"/>
    <x v="0"/>
    <m/>
    <x v="0"/>
    <m/>
    <m/>
    <s v="US Govt Role as a Part of Nexus"/>
    <m/>
    <m/>
    <m/>
    <m/>
    <m/>
    <d v="1899-12-30T00:41:15"/>
    <d v="1899-12-30T00:43:50"/>
    <d v="1899-12-30T00:02:35"/>
    <x v="12"/>
    <s v="https://www.youtube.com/embed/s3LVHHEe2vc?start=2475&amp;end=2630&amp;autoplay=1"/>
    <s v="Good"/>
    <s v="Good"/>
    <s v="Good"/>
  </r>
  <r>
    <n v="62.07"/>
    <x v="0"/>
    <m/>
    <x v="0"/>
    <m/>
    <m/>
    <s v="How Breaking India forces are studying India?"/>
    <m/>
    <m/>
    <m/>
    <m/>
    <m/>
    <d v="1899-12-30T00:43:55"/>
    <d v="1899-12-30T00:47:20"/>
    <d v="1899-12-30T00:03:25"/>
    <x v="12"/>
    <s v="https://www.youtube.com/embed/s3LVHHEe2vc?start=2635&amp;end=2840&amp;autoplay=1"/>
    <s v="Good"/>
    <s v="Good"/>
    <s v="Good"/>
  </r>
  <r>
    <n v="63"/>
    <x v="4"/>
    <m/>
    <x v="0"/>
    <s v="https://www.youtube.com/watch?v=-3rtVbNkNNQ"/>
    <s v="Rajiv Malhotra: #4 Seminar in Houston, Book: Breaking India"/>
    <s v="Efforts of alien groups to destroy the identity of Hindus"/>
    <s v="India's resource pool (300 Million English knowing people) is to be controlled by the western economic powers using the tool of religious conversions._x000a_"/>
    <m/>
    <n v="1200"/>
    <d v="1899-12-30T00:16:29"/>
    <s v="5 years ago"/>
    <m/>
    <m/>
    <d v="1899-12-30T00:00:00"/>
    <x v="13"/>
    <s v=""/>
    <s v="Good"/>
    <s v="Good"/>
    <s v="Good"/>
  </r>
  <r>
    <n v="64"/>
    <x v="4"/>
    <m/>
    <x v="0"/>
    <s v="https://www.youtube.com/watch?v=ytrFjytVgtk"/>
    <s v="Seminar in Houston, Book: Breaking India #5"/>
    <m/>
    <m/>
    <m/>
    <n v="694"/>
    <d v="1899-12-30T00:13:08"/>
    <s v="5 years ago"/>
    <m/>
    <m/>
    <d v="1899-12-30T00:00:00"/>
    <x v="13"/>
    <s v=""/>
    <s v="Good"/>
    <s v="Good"/>
    <s v="Good"/>
  </r>
  <r>
    <n v="64.010000000000005"/>
    <x v="4"/>
    <m/>
    <x v="0"/>
    <m/>
    <m/>
    <s v="How NRIs can defend the Hindu civilization"/>
    <s v="Get educated in comparative religion, humanities and social sciences to counter western narrative"/>
    <m/>
    <m/>
    <m/>
    <m/>
    <d v="1899-12-30T00:06:40"/>
    <d v="1899-12-30T00:11:06"/>
    <d v="1899-12-30T00:04:26"/>
    <x v="13"/>
    <s v="https://www.youtube.com/embed/ytrFjytVgtk?start=400&amp;end=666&amp;autoplay=1"/>
    <s v="Good"/>
    <s v="Good"/>
    <s v="Good"/>
  </r>
  <r>
    <n v="65"/>
    <x v="4"/>
    <m/>
    <x v="0"/>
    <s v="https://www.youtube.com/watch?v=28dLjjiriJA"/>
    <s v="Seminar in Houston, Book: Breaking India #6"/>
    <m/>
    <m/>
    <m/>
    <n v="588"/>
    <d v="1899-12-30T00:10:22"/>
    <s v="5 years ago"/>
    <m/>
    <m/>
    <d v="1899-12-30T00:00:00"/>
    <x v="14"/>
    <s v=""/>
    <m/>
    <m/>
    <m/>
  </r>
  <r>
    <n v="65.010000000000005"/>
    <x v="4"/>
    <m/>
    <x v="0"/>
    <m/>
    <m/>
    <s v="Creation of caste system by British"/>
    <m/>
    <m/>
    <m/>
    <m/>
    <m/>
    <d v="1899-12-30T00:00:10"/>
    <d v="1899-12-30T00:04:10"/>
    <d v="1899-12-30T00:04:00"/>
    <x v="14"/>
    <s v="https://www.youtube.com/embed/28dLjjiriJA?start=10&amp;end=250&amp;autoplay=1"/>
    <s v="Good"/>
    <s v="Good"/>
    <s v="Good"/>
  </r>
  <r>
    <n v="65.02"/>
    <x v="4"/>
    <m/>
    <x v="0"/>
    <m/>
    <m/>
    <s v="False propaganda of bad treatment of lower castes"/>
    <m/>
    <m/>
    <m/>
    <m/>
    <m/>
    <d v="1899-12-30T00:04:12"/>
    <d v="1899-12-30T00:09:40"/>
    <d v="1899-12-30T00:05:28"/>
    <x v="14"/>
    <s v="https://www.youtube.com/embed/28dLjjiriJA?start=252&amp;end=580&amp;autoplay=1"/>
    <s v="Good"/>
    <s v="Good"/>
    <s v="Good"/>
  </r>
  <r>
    <n v="66"/>
    <x v="1"/>
    <m/>
    <x v="2"/>
    <s v="https://www.youtube.com/watch?v=mhHQNrL_bkM"/>
    <s v="Houston Seminar on Breaking India: September 11, 2011 - Audience Q &amp; A with Rajiv Malhotra Vid 7"/>
    <m/>
    <m/>
    <m/>
    <n v="2900"/>
    <d v="1899-12-30T00:39:59"/>
    <s v="5 years ago"/>
    <m/>
    <m/>
    <d v="1899-12-30T00:00:00"/>
    <x v="3"/>
    <s v=""/>
    <m/>
    <m/>
    <m/>
  </r>
  <r>
    <n v="67"/>
    <x v="1"/>
    <m/>
    <x v="2"/>
    <s v="https://www.youtube.com/watch?v=HZ6X5Xt1nS8"/>
    <s v="Houston Seminar on Breaking India: September 11, 2011 - Jayakumar (Chief Organizer) Vid 8"/>
    <m/>
    <m/>
    <m/>
    <n v="575"/>
    <d v="1899-12-30T00:07:15"/>
    <s v="5 years ago"/>
    <m/>
    <m/>
    <d v="1899-12-30T00:00:00"/>
    <x v="3"/>
    <s v=""/>
    <m/>
    <m/>
    <m/>
  </r>
  <r>
    <n v="68"/>
    <x v="4"/>
    <m/>
    <x v="0"/>
    <s v="https://www.youtube.com/watch?v=IAmXafhUmYc"/>
    <s v="Introductory talk at Uberoi Foundation - Oct 1st, 2011"/>
    <s v="Very nice summary of Being Different"/>
    <s v="U-turn theory, common ground among HIndu sects, poorva paksha, digestion of Hindu knowledge"/>
    <m/>
    <n v="2500"/>
    <d v="1899-12-30T00:34:48"/>
    <s v="5 years ago"/>
    <d v="1899-12-30T00:00:27"/>
    <d v="1899-12-30T00:34:00"/>
    <d v="1899-12-30T00:33:33"/>
    <x v="15"/>
    <s v=""/>
    <s v="Good"/>
    <s v="Good"/>
    <s v="Good"/>
  </r>
  <r>
    <n v="69"/>
    <x v="4"/>
    <m/>
    <x v="0"/>
    <s v="https://www.youtube.com/watch?v=M-zdPqtp9Kk"/>
    <s v="Rajiv Malhotra at Univ. of Delhi, Psychology Department, presenting BEING DIFFERENT"/>
    <m/>
    <m/>
    <m/>
    <n v="2500"/>
    <d v="1899-12-30T00:51:01"/>
    <s v="5 years ago"/>
    <m/>
    <m/>
    <d v="1899-12-30T00:00:00"/>
    <x v="16"/>
    <s v=""/>
    <m/>
    <m/>
    <m/>
  </r>
  <r>
    <n v="69.010000000000005"/>
    <x v="4"/>
    <m/>
    <x v="0"/>
    <m/>
    <m/>
    <s v="Being Different: Chapter 1"/>
    <s v="U-turn theory, common ground among HIndu sects, poorva paksha, digestion of Hindu knowledge"/>
    <m/>
    <m/>
    <m/>
    <m/>
    <d v="1899-12-30T00:13:25"/>
    <d v="1899-12-30T00:30:45"/>
    <d v="1899-12-30T00:17:20"/>
    <x v="16"/>
    <s v="https://www.youtube.com/embed/M-zdPqtp9Kk?start=805&amp;end=1845&amp;autoplay=1"/>
    <s v="Good"/>
    <s v="Not Good"/>
    <s v="Good"/>
  </r>
  <r>
    <n v="69.02"/>
    <x v="4"/>
    <m/>
    <x v="0"/>
    <m/>
    <m/>
    <s v="Being Different: Chapter 2"/>
    <s v="History centrism, Christian mystics, T S Eliot, Integral vs synthetic unity"/>
    <m/>
    <m/>
    <m/>
    <m/>
    <d v="1899-12-30T00:30:45"/>
    <d v="1899-12-30T00:52:00"/>
    <d v="1899-12-30T00:21:15"/>
    <x v="16"/>
    <s v="https://www.youtube.com/embed/M-zdPqtp9Kk?start=1845&amp;end=3120&amp;autoplay=1"/>
    <s v="Good"/>
    <s v="Not Good"/>
    <s v="Good"/>
  </r>
  <r>
    <n v="70"/>
    <x v="4"/>
    <m/>
    <x v="0"/>
    <s v="https://www.youtube.com/watch?v=J5mYtIH7Pho"/>
    <s v="HarperCollins launch of BEING DIFFERENT by Rajiv Malhotra - Part 1 - Preliminaries"/>
    <m/>
    <m/>
    <m/>
    <n v="568"/>
    <d v="1899-12-30T00:05:04"/>
    <s v="5 years ago"/>
    <m/>
    <m/>
    <d v="1899-12-30T00:00:00"/>
    <x v="17"/>
    <s v=""/>
    <s v="Good"/>
    <s v="Good"/>
    <s v="Good"/>
  </r>
  <r>
    <n v="71"/>
    <x v="4"/>
    <m/>
    <x v="0"/>
    <s v="https://www.youtube.com/watch?v=OpsoPcAUMbw"/>
    <s v="HarperCollins launch of BEING DIFFERENT - Pt 2 Pavan Verma Indian Ambassador to Bhutan"/>
    <s v="Internalization of colonization by the subjugated populace"/>
    <s v="Pavan K Verma introduces Being Diferent"/>
    <m/>
    <n v="1100"/>
    <d v="1899-12-30T00:12:19"/>
    <s v="5 years ago"/>
    <m/>
    <m/>
    <d v="1899-12-30T00:00:00"/>
    <x v="18"/>
    <s v=""/>
    <s v="Good"/>
    <s v="Good"/>
    <s v="Good"/>
  </r>
  <r>
    <n v="72"/>
    <x v="4"/>
    <m/>
    <x v="0"/>
    <s v="https://www.youtube.com/watch?v=MlTxtaiX1xI"/>
    <s v="HarperCollins launch of BEING DIFFERENT by Rajiv Malhotra Part 3 - Madhu Khanna, Prof of Religion"/>
    <m/>
    <m/>
    <m/>
    <n v="868"/>
    <d v="1899-12-30T00:15:43"/>
    <s v="5 years ago"/>
    <m/>
    <m/>
    <m/>
    <x v="19"/>
    <s v=""/>
    <s v="Good"/>
    <s v="Not Good"/>
    <s v="Good"/>
  </r>
  <r>
    <n v="72.010000000000005"/>
    <x v="4"/>
    <m/>
    <x v="0"/>
    <s v="https://www.youtube.com/watch?v=MlTxtaiX1xI"/>
    <s v="HarperCollins launch of BEING DIFFERENT by Rajiv Malhotra Part 3 - Madhu Khanna, Prof of Religion"/>
    <s v="General comparison between Hindu and western ideology"/>
    <s v="Notions of Dharma, Kosha layers of the self, Male-Female principles as major concepts in Hinduism"/>
    <m/>
    <m/>
    <m/>
    <m/>
    <d v="1899-12-30T00:08:15"/>
    <d v="1899-12-30T00:13:45"/>
    <m/>
    <x v="19"/>
    <s v="https://www.youtube.com/embed/MlTxtaiX1xI?start=495&amp;end=825&amp;autoplay=1"/>
    <s v="Good"/>
    <s v="Not Good"/>
    <s v="Good"/>
  </r>
  <r>
    <n v="73"/>
    <x v="3"/>
    <m/>
    <x v="0"/>
    <s v="https://www.youtube.com/watch?v=4yz6ZL-TC94"/>
    <s v="Mark Tully Discusses Rajiv Malhotra's Book BEING DIFFERENT"/>
    <m/>
    <m/>
    <m/>
    <n v="28000"/>
    <d v="1899-12-30T01:36:42"/>
    <s v="5 years ago"/>
    <m/>
    <m/>
    <d v="1899-12-30T00:00:00"/>
    <x v="20"/>
    <s v=""/>
    <m/>
    <m/>
    <m/>
  </r>
  <r>
    <n v="73.010000000000005"/>
    <x v="3"/>
    <m/>
    <x v="0"/>
    <m/>
    <m/>
    <s v="Christianity-Islam opposing history-centric views"/>
    <s v="Islam requires Jesus to be a prophet (not son of God), while xtians belive in virgin birth/ son of God - opposing views"/>
    <m/>
    <m/>
    <m/>
    <m/>
    <d v="1899-12-30T00:03:44"/>
    <d v="1899-12-30T00:11:26"/>
    <d v="1899-12-30T00:07:42"/>
    <x v="20"/>
    <m/>
    <s v="Average"/>
    <s v="Average"/>
    <s v="Good"/>
  </r>
  <r>
    <n v="73.02"/>
    <x v="3"/>
    <m/>
    <x v="0"/>
    <m/>
    <m/>
    <s v="Nicene creed/ history-centrism drives powerful protestant Xtianity (in US)"/>
    <m/>
    <m/>
    <m/>
    <m/>
    <m/>
    <d v="1899-12-30T00:16:45"/>
    <d v="1899-12-30T00:21:45"/>
    <d v="1899-12-30T00:05:00"/>
    <x v="20"/>
    <m/>
    <s v="Good"/>
    <s v="Average"/>
    <s v="Good"/>
  </r>
  <r>
    <n v="73.03"/>
    <x v="3"/>
    <m/>
    <x v="0"/>
    <m/>
    <m/>
    <s v="Semiticied, history-centric Hinduism - new phenomenon but no Exclusivity"/>
    <m/>
    <m/>
    <m/>
    <m/>
    <m/>
    <d v="1899-12-30T00:22:17"/>
    <d v="1899-12-30T00:25:00"/>
    <d v="1899-12-30T00:02:43"/>
    <x v="20"/>
    <m/>
    <s v="Good"/>
    <s v="Average"/>
    <s v="Good"/>
  </r>
  <r>
    <n v="73.040000000000006"/>
    <x v="3"/>
    <m/>
    <x v="0"/>
    <m/>
    <m/>
    <s v="How to be a good Christian without history-centric, exclusivity view"/>
    <m/>
    <m/>
    <m/>
    <m/>
    <m/>
    <d v="1899-12-30T00:25:01"/>
    <d v="1899-12-30T00:28:45"/>
    <d v="1899-12-30T00:03:44"/>
    <x v="20"/>
    <m/>
    <s v="Good"/>
    <s v="Average"/>
    <s v="Good"/>
  </r>
  <r>
    <n v="73.05"/>
    <x v="3"/>
    <m/>
    <x v="0"/>
    <m/>
    <m/>
    <s v="Hindu guru-hub do not respect the Abhrahamic view"/>
    <m/>
    <m/>
    <m/>
    <m/>
    <m/>
    <d v="1899-12-30T00:28:57"/>
    <d v="1899-12-30T00:35:24"/>
    <d v="1899-12-30T00:06:27"/>
    <x v="20"/>
    <m/>
    <s v="Good"/>
    <s v="Average"/>
    <s v="Good"/>
  </r>
  <r>
    <n v="73.06"/>
    <x v="3"/>
    <m/>
    <x v="0"/>
    <m/>
    <m/>
    <s v="Hindu &quot;Murti&quot; is not an idol"/>
    <m/>
    <m/>
    <m/>
    <m/>
    <m/>
    <d v="1899-12-30T00:36:45"/>
    <d v="1899-12-30T00:42:02"/>
    <d v="1899-12-30T00:05:17"/>
    <x v="20"/>
    <m/>
    <s v="Good"/>
    <s v="Average"/>
    <s v="Good"/>
  </r>
  <r>
    <n v="73.069999999999993"/>
    <x v="3"/>
    <m/>
    <x v="0"/>
    <m/>
    <m/>
    <s v="Montheism (of xtianity) not very elastic, has limitations"/>
    <m/>
    <m/>
    <m/>
    <m/>
    <m/>
    <d v="1899-12-30T00:42:22"/>
    <d v="1899-12-30T00:51:28"/>
    <d v="1899-12-30T00:09:06"/>
    <x v="20"/>
    <m/>
    <s v="Good"/>
    <s v="Average"/>
    <s v="Good"/>
  </r>
  <r>
    <n v="73.08"/>
    <x v="3"/>
    <m/>
    <x v="0"/>
    <m/>
    <m/>
    <s v="Love &amp; Morality common themes of Hindu/Xtianity for dialogue NOT for destruction of native culture"/>
    <m/>
    <m/>
    <m/>
    <m/>
    <m/>
    <d v="1899-12-30T00:51:35"/>
    <d v="1899-12-30T00:57:17"/>
    <d v="1899-12-30T00:05:42"/>
    <x v="20"/>
    <m/>
    <s v="Good"/>
    <s v="Average"/>
    <s v="Good"/>
  </r>
  <r>
    <n v="73.09"/>
    <x v="3"/>
    <m/>
    <x v="0"/>
    <m/>
    <m/>
    <s v="Rajiv's views on Churches, missionaries and conversions"/>
    <m/>
    <m/>
    <m/>
    <m/>
    <m/>
    <d v="1899-12-30T00:55:19"/>
    <d v="1899-12-30T01:04:34"/>
    <d v="1899-12-30T00:09:15"/>
    <x v="20"/>
    <m/>
    <s v="Good"/>
    <s v="Average"/>
    <s v="Good"/>
  </r>
  <r>
    <n v="73.099999999999994"/>
    <x v="3"/>
    <m/>
    <x v="0"/>
    <m/>
    <m/>
    <s v="In the US Xtianity founded on history-centrism "/>
    <m/>
    <m/>
    <m/>
    <m/>
    <m/>
    <d v="1899-12-30T01:04:35"/>
    <d v="1899-12-30T01:08:27"/>
    <d v="1899-12-30T00:03:52"/>
    <x v="20"/>
    <m/>
    <s v="Good"/>
    <s v="Average"/>
    <s v="Good"/>
  </r>
  <r>
    <n v="73.11"/>
    <x v="3"/>
    <m/>
    <x v="0"/>
    <m/>
    <m/>
    <s v="Rajiv Malhotra on &quot;Sapeksha Dharma&quot; and Nirpeksha Dharma"/>
    <m/>
    <m/>
    <m/>
    <m/>
    <m/>
    <d v="1899-12-30T01:09:57"/>
    <d v="1899-12-30T01:12:53"/>
    <d v="1899-12-30T00:02:56"/>
    <x v="20"/>
    <m/>
    <s v="Good"/>
    <s v="Average"/>
    <s v="Good"/>
  </r>
  <r>
    <n v="73.12"/>
    <x v="3"/>
    <m/>
    <x v="0"/>
    <m/>
    <m/>
    <s v="Retain fundamental difference in Hindu &amp; Xtian cosmologies -  but not history-centric"/>
    <m/>
    <m/>
    <m/>
    <m/>
    <m/>
    <d v="1899-12-30T01:13:14"/>
    <d v="1899-12-30T01:15:13"/>
    <d v="1899-12-30T00:01:59"/>
    <x v="20"/>
    <m/>
    <s v="Good"/>
    <s v="Average"/>
    <s v="Good"/>
  </r>
  <r>
    <n v="73.13"/>
    <x v="3"/>
    <m/>
    <x v="0"/>
    <m/>
    <m/>
    <s v="Mysticism in christianity and Sachitanand in Hinduism"/>
    <m/>
    <m/>
    <m/>
    <m/>
    <m/>
    <d v="1899-12-30T01:15:15"/>
    <d v="1899-12-30T01:19:18"/>
    <d v="1899-12-30T00:04:03"/>
    <x v="20"/>
    <m/>
    <s v="Good"/>
    <s v="Average"/>
    <s v="Good"/>
  </r>
  <r>
    <n v="73.14"/>
    <x v="3"/>
    <m/>
    <x v="0"/>
    <m/>
    <m/>
    <s v="Resurrection and Sachidanand are &quot;Truth claims&quot; with diff that Sachidanand achievable (in theory)"/>
    <m/>
    <m/>
    <m/>
    <m/>
    <m/>
    <d v="1899-12-30T01:19:22"/>
    <d v="1899-12-30T01:23:59"/>
    <d v="1899-12-30T00:04:37"/>
    <x v="20"/>
    <m/>
    <s v="Good"/>
    <s v="Average"/>
    <s v="Good"/>
  </r>
  <r>
    <n v="73.150000000000006"/>
    <x v="3"/>
    <m/>
    <x v="0"/>
    <m/>
    <m/>
    <s v="Outward hatred between religions - in India bieng Hindu not secular"/>
    <m/>
    <m/>
    <m/>
    <m/>
    <m/>
    <d v="1899-12-30T01:24:01"/>
    <d v="1899-12-30T01:30:00"/>
    <d v="1899-12-30T00:05:59"/>
    <x v="20"/>
    <m/>
    <s v="Good"/>
    <s v="Average"/>
    <s v="Good"/>
  </r>
  <r>
    <n v="73.16"/>
    <x v="3"/>
    <m/>
    <x v="0"/>
    <m/>
    <m/>
    <s v="Indian media, academics and politics hindu hatred and secularism"/>
    <m/>
    <m/>
    <m/>
    <m/>
    <m/>
    <d v="1899-12-30T01:30:00"/>
    <d v="1899-12-30T01:33:45"/>
    <d v="1899-12-30T00:03:45"/>
    <x v="20"/>
    <m/>
    <s v="Good"/>
    <s v="Average"/>
    <s v="Good"/>
  </r>
  <r>
    <n v="74"/>
    <x v="0"/>
    <m/>
    <x v="0"/>
    <s v="https://www.youtube.com/watch?v=YFmL65VsWdk"/>
    <s v="Rajiv Malhotra's Book &quot;Being Different&quot; Event with Swami Dayananda Saraswati"/>
    <m/>
    <m/>
    <m/>
    <n v="4400"/>
    <d v="1899-12-30T01:00:53"/>
    <s v="5 years ago"/>
    <m/>
    <m/>
    <d v="1899-12-30T00:00:00"/>
    <x v="21"/>
    <s v=""/>
    <s v="Good"/>
    <s v="Low"/>
    <s v="Good"/>
  </r>
  <r>
    <n v="74.010000000000005"/>
    <x v="0"/>
    <m/>
    <x v="0"/>
    <m/>
    <m/>
    <s v="Yagya is not equal to sacrifice"/>
    <m/>
    <m/>
    <m/>
    <m/>
    <m/>
    <d v="1899-12-30T00:06:20"/>
    <d v="1899-12-30T00:06:50"/>
    <d v="1899-12-30T00:00:30"/>
    <x v="21"/>
    <s v="https://www.youtube.com/embed/YFmL65VsWdk?start=380&amp;end=410&amp;autoplay=1"/>
    <s v="Good"/>
    <s v="Ok"/>
    <s v="Good"/>
  </r>
  <r>
    <n v="74.02"/>
    <x v="0"/>
    <m/>
    <x v="0"/>
    <m/>
    <m/>
    <s v="Non Translatable Sanskrit Words"/>
    <s v="Prophet is not Rishi, Energy in Shakti, Soul is not  Atman, Gym is not Yoga? Civilization and words for something which they have experienced. Prophet does not have experience of unity but rishi has. Prophet is non producable. Rishi potential is with everyone."/>
    <m/>
    <m/>
    <m/>
    <m/>
    <d v="1899-12-30T00:06:53"/>
    <d v="1899-12-30T00:07:54"/>
    <d v="1899-12-30T00:01:01"/>
    <x v="21"/>
    <s v="https://www.youtube.com/embed/YFmL65VsWdk?start=413&amp;end=474&amp;autoplay=1"/>
    <s v="Good"/>
    <s v="Ok"/>
    <s v="Good"/>
  </r>
  <r>
    <n v="74.03"/>
    <x v="0"/>
    <m/>
    <x v="0"/>
    <m/>
    <m/>
    <s v="What is digestion of civilization?"/>
    <m/>
    <m/>
    <m/>
    <m/>
    <m/>
    <d v="1899-12-30T00:10:14"/>
    <d v="1899-12-30T00:13:20"/>
    <d v="1899-12-30T00:03:06"/>
    <x v="21"/>
    <s v="https://www.youtube.com/embed/YFmL65VsWdk?start=614&amp;end=800&amp;autoplay=1"/>
    <s v="Good"/>
    <s v="Ok"/>
    <s v="Good"/>
  </r>
  <r>
    <n v="74.040000000000006"/>
    <x v="0"/>
    <m/>
    <x v="0"/>
    <m/>
    <m/>
    <s v="How to avoid digestion of civilization?"/>
    <s v="Karma, Reincarnation cannot be digested in Christianity."/>
    <m/>
    <m/>
    <m/>
    <m/>
    <d v="1899-12-30T00:13:21"/>
    <d v="1899-12-30T00:15:50"/>
    <d v="1899-12-30T00:02:29"/>
    <x v="21"/>
    <s v="https://www.youtube.com/embed/YFmL65VsWdk?start=801&amp;end=950&amp;autoplay=1"/>
    <s v="Good"/>
    <s v="Ok"/>
    <s v="Good"/>
  </r>
  <r>
    <n v="74.05"/>
    <x v="0"/>
    <m/>
    <x v="0"/>
    <m/>
    <m/>
    <s v="Why virgin birth so critical in Christianity?"/>
    <m/>
    <m/>
    <m/>
    <m/>
    <m/>
    <d v="1899-12-30T00:14:15"/>
    <d v="1899-12-30T00:15:00"/>
    <d v="1899-12-30T00:00:45"/>
    <x v="21"/>
    <s v="https://www.youtube.com/embed/YFmL65VsWdk?start=855&amp;end=900&amp;autoplay=1"/>
    <s v="Good"/>
    <s v="Ok"/>
    <s v="Good"/>
  </r>
  <r>
    <n v="74.06"/>
    <x v="0"/>
    <m/>
    <x v="0"/>
    <m/>
    <m/>
    <s v="People born before Jesus and original sin."/>
    <m/>
    <m/>
    <m/>
    <m/>
    <m/>
    <d v="1899-12-30T00:15:05"/>
    <d v="1899-12-30T00:15:50"/>
    <d v="1899-12-30T00:00:45"/>
    <x v="21"/>
    <s v="https://www.youtube.com/embed/YFmL65VsWdk?start=905&amp;end=950&amp;autoplay=1"/>
    <s v="Good"/>
    <s v="Ok"/>
    <s v="Good"/>
  </r>
  <r>
    <n v="74.069999999999993"/>
    <x v="0"/>
    <m/>
    <x v="0"/>
    <m/>
    <m/>
    <s v="What is nicene creed?"/>
    <m/>
    <m/>
    <m/>
    <m/>
    <m/>
    <d v="1899-12-30T00:16:05"/>
    <d v="1899-12-30T00:17:54"/>
    <d v="1899-12-30T00:01:49"/>
    <x v="21"/>
    <s v="https://www.youtube.com/embed/YFmL65VsWdk?start=965&amp;end=1074&amp;autoplay=1"/>
    <s v="Good"/>
    <s v="Ok"/>
    <s v="Good"/>
  </r>
  <r>
    <n v="74.079999999999899"/>
    <x v="0"/>
    <m/>
    <x v="0"/>
    <m/>
    <m/>
    <s v="What is history centrism?"/>
    <m/>
    <m/>
    <m/>
    <m/>
    <m/>
    <d v="1899-12-30T00:26:15"/>
    <d v="1899-12-30T00:32:00"/>
    <d v="1899-12-30T00:05:45"/>
    <x v="21"/>
    <s v="https://www.youtube.com/embed/YFmL65VsWdk?start=1575&amp;end=1920&amp;autoplay=1"/>
    <s v="Good"/>
    <s v="Ok"/>
    <s v="Good"/>
  </r>
  <r>
    <n v="74.089999999999904"/>
    <x v="0"/>
    <m/>
    <x v="0"/>
    <m/>
    <m/>
    <s v="Status of Jesus in Islam"/>
    <m/>
    <m/>
    <m/>
    <m/>
    <m/>
    <d v="1899-12-30T00:29:15"/>
    <d v="1899-12-30T00:31:06"/>
    <d v="1899-12-30T00:01:51"/>
    <x v="21"/>
    <s v="https://www.youtube.com/embed/YFmL65VsWdk?start=1755&amp;end=1866&amp;autoplay=1"/>
    <s v="Good"/>
    <s v="Ok"/>
    <s v="Good"/>
  </r>
  <r>
    <n v="74.099999999999895"/>
    <x v="0"/>
    <m/>
    <x v="0"/>
    <m/>
    <m/>
    <s v="Intergral Unity vs Synthetic Unity"/>
    <m/>
    <m/>
    <m/>
    <m/>
    <m/>
    <d v="1899-12-30T00:34:47"/>
    <d v="1899-12-30T00:36:47"/>
    <d v="1899-12-30T00:02:00"/>
    <x v="21"/>
    <s v="https://www.youtube.com/embed/YFmL65VsWdk?start=2087&amp;end=2207&amp;autoplay=1"/>
    <s v="Good"/>
    <s v="Ok"/>
    <s v="Good"/>
  </r>
  <r>
    <n v="74.1099999999999"/>
    <x v="0"/>
    <m/>
    <x v="0"/>
    <m/>
    <m/>
    <s v="Sufism &amp; Islam and Ahmadiyya"/>
    <s v="Unity consiousness is blasphamy"/>
    <m/>
    <m/>
    <m/>
    <m/>
    <d v="1899-12-30T00:42:05"/>
    <d v="1899-12-30T00:46:40"/>
    <d v="1899-12-30T00:04:35"/>
    <x v="21"/>
    <s v="https://www.youtube.com/embed/YFmL65VsWdk?start=2525&amp;end=2800&amp;autoplay=1"/>
    <s v="Good"/>
    <s v="Ok"/>
    <s v="Good"/>
  </r>
  <r>
    <n v="75"/>
    <x v="4"/>
    <m/>
    <x v="0"/>
    <s v="https://www.youtube.com/watch?v=29-xoooHPaw"/>
    <s v="Being Different at YPO/WPO, Madras: Rajiv Malhotra's Talk"/>
    <m/>
    <m/>
    <m/>
    <n v="7300"/>
    <d v="1899-12-30T01:10:21"/>
    <s v="5 years ago"/>
    <m/>
    <m/>
    <d v="1899-12-30T00:00:00"/>
    <x v="19"/>
    <s v=""/>
    <s v="Good"/>
    <s v="Good"/>
    <s v="Good"/>
  </r>
  <r>
    <n v="75.010000000000005"/>
    <x v="4"/>
    <m/>
    <x v="0"/>
    <m/>
    <m/>
    <s v="Abstract but fluid Indain thought vs rigid western thought"/>
    <s v="Self organizational thinking of smaller group of Indian thoughts within a larger narrative vs west's rigid thinking, Indian order out of chaos"/>
    <m/>
    <m/>
    <m/>
    <m/>
    <d v="1899-12-30T00:14:50"/>
    <d v="1899-12-30T00:28:45"/>
    <d v="1899-12-30T00:13:55"/>
    <x v="19"/>
    <s v="https://www.youtube.com/embed/29-xoooHPaw?start=890&amp;end=1725&amp;autoplay=1"/>
    <s v="Good"/>
    <s v="Good"/>
    <s v="Good"/>
  </r>
  <r>
    <n v="75.02"/>
    <x v="4"/>
    <m/>
    <x v="0"/>
    <m/>
    <m/>
    <s v="Forest vs desert civilizations"/>
    <m/>
    <m/>
    <m/>
    <m/>
    <m/>
    <d v="1899-12-30T00:30:00"/>
    <d v="1899-12-30T00:38:15"/>
    <d v="1899-12-30T00:08:15"/>
    <x v="19"/>
    <s v="https://www.youtube.com/embed/29-xoooHPaw?start=1800&amp;end=2295&amp;autoplay=1"/>
    <s v="Good"/>
    <s v="Good"/>
    <s v="Good"/>
  </r>
  <r>
    <n v="75.03"/>
    <x v="4"/>
    <m/>
    <x v="0"/>
    <m/>
    <m/>
    <s v="Question: Civilization vs religion"/>
    <s v="Personal dharma and sanskriti vs western civilization and religion"/>
    <m/>
    <m/>
    <m/>
    <m/>
    <d v="1899-12-30T00:40:07"/>
    <d v="1899-12-30T00:47:50"/>
    <d v="1899-12-30T00:07:43"/>
    <x v="19"/>
    <s v="https://www.youtube.com/embed/29-xoooHPaw?start=2407&amp;end=2870&amp;autoplay=1"/>
    <s v="Good"/>
    <s v="Good"/>
    <s v="Good"/>
  </r>
  <r>
    <n v="75.040000000000006"/>
    <x v="4"/>
    <m/>
    <x v="0"/>
    <m/>
    <m/>
    <s v="Question: 300 Ramayanas"/>
    <s v="How east asian countries assimilated ancient hindu religion in the new buddhist religion"/>
    <m/>
    <m/>
    <m/>
    <m/>
    <d v="1899-12-30T00:47:55"/>
    <d v="1899-12-30T00:53:20"/>
    <d v="1899-12-30T00:05:25"/>
    <x v="19"/>
    <s v="https://www.youtube.com/embed/29-xoooHPaw?start=2875&amp;end=3200&amp;autoplay=1"/>
    <s v="Good"/>
    <s v="Not Good"/>
    <s v="Good"/>
  </r>
  <r>
    <n v="75.040000000000006"/>
    <x v="4"/>
    <m/>
    <x v="0"/>
    <m/>
    <m/>
    <s v="Question: Culturual differences between India and China"/>
    <s v="Indian guides to chinese and south east asian countries never dominated political space"/>
    <m/>
    <m/>
    <m/>
    <m/>
    <d v="1899-12-30T00:53:20"/>
    <d v="1899-12-30T01:04:45"/>
    <d v="1899-12-30T00:11:25"/>
    <x v="19"/>
    <s v="https://www.youtube.com/embed/29-xoooHPaw?start=3200&amp;end=3885&amp;autoplay=1"/>
    <s v="Good"/>
    <s v="Good"/>
    <s v="Good"/>
  </r>
  <r>
    <n v="75.05"/>
    <x v="4"/>
    <m/>
    <x v="0"/>
    <m/>
    <m/>
    <s v="Question: Expectations from corporate people"/>
    <s v="Sponsoring book translations etc."/>
    <m/>
    <m/>
    <m/>
    <m/>
    <d v="1899-12-30T01:04:45"/>
    <d v="1899-12-30T01:10:20"/>
    <d v="1899-12-30T00:05:35"/>
    <x v="19"/>
    <s v="https://www.youtube.com/embed/29-xoooHPaw?start=3885&amp;end=4220&amp;autoplay=1"/>
    <s v="Good"/>
    <s v="Good"/>
    <s v="Good"/>
  </r>
  <r>
    <n v="76"/>
    <x v="3"/>
    <m/>
    <x v="0"/>
    <s v="https://www.youtube.com/watch?v=y1fdkGgCt64"/>
    <s v="IIT Madras: Rajiv Malhotra talk on &quot;Being Different&quot; Part 1"/>
    <m/>
    <m/>
    <m/>
    <n v="7900"/>
    <d v="1899-12-30T00:35:40"/>
    <s v="5 years ago"/>
    <m/>
    <m/>
    <d v="1899-12-30T00:00:00"/>
    <x v="19"/>
    <s v=""/>
    <m/>
    <m/>
    <m/>
  </r>
  <r>
    <n v="76.010000000000005"/>
    <x v="3"/>
    <m/>
    <x v="0"/>
    <m/>
    <m/>
    <s v="Indians in denial of our history/ culture"/>
    <m/>
    <m/>
    <m/>
    <m/>
    <m/>
    <d v="1899-12-30T00:07:30"/>
    <d v="1899-12-30T00:14:29"/>
    <d v="1899-12-30T00:06:59"/>
    <x v="22"/>
    <m/>
    <s v="Good"/>
    <s v="Good"/>
    <s v="Good"/>
  </r>
  <r>
    <n v="76.02"/>
    <x v="3"/>
    <m/>
    <x v="0"/>
    <m/>
    <m/>
    <s v="Gurus also responsible in creating &quot;sameness&quot; leading to distortion"/>
    <m/>
    <m/>
    <m/>
    <m/>
    <m/>
    <d v="1899-12-30T00:14:38"/>
    <d v="1899-12-30T00:15:46"/>
    <d v="1899-12-30T00:01:08"/>
    <x v="22"/>
    <m/>
    <s v="Good"/>
    <s v="Good"/>
    <s v="Good"/>
  </r>
  <r>
    <n v="76.03"/>
    <x v="3"/>
    <m/>
    <x v="0"/>
    <m/>
    <m/>
    <s v="Why should we care about being &quot;digested&quot;"/>
    <m/>
    <m/>
    <m/>
    <m/>
    <m/>
    <d v="1899-12-30T00:15:48"/>
    <d v="1899-12-30T00:19:34"/>
    <d v="1899-12-30T00:03:46"/>
    <x v="22"/>
    <m/>
    <s v="Good"/>
    <s v="Good"/>
    <s v="Good"/>
  </r>
  <r>
    <n v="76.040000000000006"/>
    <x v="3"/>
    <m/>
    <x v="0"/>
    <m/>
    <m/>
    <s v="Challenges in identifying commonalities within different Indian philosophies "/>
    <m/>
    <m/>
    <m/>
    <m/>
    <m/>
    <d v="1899-12-30T00:19:47"/>
    <d v="1899-12-30T00:24:14"/>
    <d v="1899-12-30T00:04:27"/>
    <x v="22"/>
    <m/>
    <s v="Good"/>
    <s v="Good"/>
    <s v="Good"/>
  </r>
  <r>
    <n v="76.05"/>
    <x v="3"/>
    <m/>
    <x v="0"/>
    <m/>
    <m/>
    <s v="Uniqueness of Western belief based on history-centric views "/>
    <m/>
    <m/>
    <m/>
    <m/>
    <m/>
    <d v="1899-12-30T00:24:15"/>
    <d v="1899-12-30T00:26:29"/>
    <d v="1899-12-30T00:02:14"/>
    <x v="22"/>
    <m/>
    <s v="Good"/>
    <s v="Good"/>
    <s v="Good"/>
  </r>
  <r>
    <n v="76.06"/>
    <x v="3"/>
    <m/>
    <x v="0"/>
    <m/>
    <m/>
    <s v="Indians &amp; Western attitudes to order and chaos"/>
    <m/>
    <m/>
    <m/>
    <m/>
    <m/>
    <d v="1899-12-30T00:26:30"/>
    <d v="1899-12-30T00:33:54"/>
    <d v="1899-12-30T00:07:24"/>
    <x v="22"/>
    <m/>
    <s v="Good"/>
    <s v="Good"/>
    <s v="Good"/>
  </r>
  <r>
    <n v="76.069999999999993"/>
    <x v="3"/>
    <m/>
    <x v="0"/>
    <m/>
    <m/>
    <s v="Does Sanskrit represent a pan-Indian culture? - the Aryan Dravidian argument"/>
    <m/>
    <m/>
    <m/>
    <m/>
    <m/>
    <d v="1899-12-30T00:53:36"/>
    <d v="1899-12-30T00:58:36"/>
    <d v="1899-12-30T00:05:00"/>
    <x v="22"/>
    <m/>
    <s v="Average"/>
    <s v="Good"/>
    <s v="Good"/>
  </r>
  <r>
    <n v="76.08"/>
    <x v="3"/>
    <m/>
    <x v="0"/>
    <m/>
    <m/>
    <s v="The Western philosophy is a &quot; truth claim&quot; and not &quot;universalism&quot; "/>
    <m/>
    <m/>
    <m/>
    <m/>
    <m/>
    <d v="1899-12-30T00:58:50"/>
    <d v="1899-12-30T01:01:55"/>
    <d v="1899-12-30T00:03:05"/>
    <x v="22"/>
    <m/>
    <s v="Good"/>
    <s v="Good"/>
    <s v="Good"/>
  </r>
  <r>
    <n v="76.09"/>
    <x v="3"/>
    <m/>
    <x v="0"/>
    <m/>
    <m/>
    <s v="History-centric views - incompatability between Xtianity vs Islam"/>
    <m/>
    <m/>
    <m/>
    <m/>
    <m/>
    <d v="1899-12-30T01:01:56"/>
    <d v="1899-12-30T01:10:17"/>
    <d v="1899-12-30T00:08:21"/>
    <x v="22"/>
    <m/>
    <s v="Good"/>
    <s v="Good"/>
    <s v="Good"/>
  </r>
  <r>
    <n v="76.099999999999994"/>
    <x v="3"/>
    <m/>
    <x v="0"/>
    <m/>
    <m/>
    <s v="Christian belief in Nicene creed is a requirement, not a myth"/>
    <m/>
    <m/>
    <m/>
    <m/>
    <m/>
    <d v="1899-12-30T01:10:18"/>
    <d v="1899-12-30T01:16:58"/>
    <d v="1899-12-30T00:06:40"/>
    <x v="22"/>
    <m/>
    <s v="Good"/>
    <s v="Good"/>
    <s v="Good"/>
  </r>
  <r>
    <n v="76.11"/>
    <x v="3"/>
    <m/>
    <x v="0"/>
    <m/>
    <m/>
    <s v="How can we undo what Western Indologists have done to India"/>
    <m/>
    <m/>
    <m/>
    <m/>
    <m/>
    <d v="1899-12-30T01:17:38"/>
    <d v="1899-12-30T01:26:03"/>
    <d v="1899-12-30T00:08:25"/>
    <x v="22"/>
    <m/>
    <s v="Good"/>
    <s v="Good"/>
    <s v="Good"/>
  </r>
  <r>
    <n v="76.12"/>
    <x v="3"/>
    <m/>
    <x v="0"/>
    <m/>
    <m/>
    <s v="History of Indian contribution to Science &amp; Technology"/>
    <m/>
    <m/>
    <m/>
    <m/>
    <m/>
    <d v="1899-12-30T01:26:13"/>
    <d v="1899-12-30T01:32:33"/>
    <d v="1899-12-30T00:06:20"/>
    <x v="22"/>
    <m/>
    <s v="Good"/>
    <s v="Good"/>
    <s v="Good"/>
  </r>
  <r>
    <n v="76.13"/>
    <x v="3"/>
    <m/>
    <x v="0"/>
    <m/>
    <m/>
    <s v="How to retain Indian Unity within the diversity"/>
    <m/>
    <m/>
    <m/>
    <m/>
    <m/>
    <d v="1899-12-30T01:32:53"/>
    <d v="1899-12-30T01:38:20"/>
    <d v="1899-12-30T00:05:27"/>
    <x v="22"/>
    <m/>
    <s v="Good"/>
    <s v="Good"/>
    <s v="Good"/>
  </r>
  <r>
    <n v="77"/>
    <x v="1"/>
    <m/>
    <x v="2"/>
    <s v="https://www.youtube.com/watch?v=FNqQxPkLmPI"/>
    <s v="Being Different: IIT Madras Part 3 - Q&amp;A"/>
    <m/>
    <m/>
    <m/>
    <n v="11000"/>
    <d v="1899-12-30T00:54:04"/>
    <s v="5 years ago"/>
    <m/>
    <m/>
    <d v="1899-12-30T00:00:00"/>
    <x v="3"/>
    <s v=""/>
    <m/>
    <m/>
    <m/>
  </r>
  <r>
    <n v="78"/>
    <x v="1"/>
    <m/>
    <x v="2"/>
    <s v="https://www.youtube.com/watch?v=54lSHTtU68A"/>
    <s v="Rajiv Malhotra's Opening Remarks- His Discussion with Prof Francis Clooney of Harvard: UMass 1"/>
    <m/>
    <m/>
    <m/>
    <n v="6600"/>
    <d v="1899-12-30T00:34:45"/>
    <s v="5 years ago"/>
    <m/>
    <m/>
    <d v="1899-12-30T00:00:00"/>
    <x v="3"/>
    <s v=""/>
    <m/>
    <m/>
    <m/>
  </r>
  <r>
    <n v="79"/>
    <x v="0"/>
    <m/>
    <x v="0"/>
    <s v="https://www.youtube.com/watch?v=uDANJcQm-So"/>
    <s v="Response to BEING DIFFERENT by Prof Francis Clooney of Harvard: UMass 2"/>
    <m/>
    <m/>
    <m/>
    <n v="5800"/>
    <d v="1899-12-30T00:46:51"/>
    <s v="5 years ago"/>
    <m/>
    <m/>
    <d v="1899-12-30T00:00:00"/>
    <x v="23"/>
    <s v=""/>
    <m/>
    <m/>
    <m/>
  </r>
  <r>
    <n v="79.010000000000005"/>
    <x v="0"/>
    <m/>
    <x v="0"/>
    <m/>
    <m/>
    <s v="Sanskrit Non-Translatable words"/>
    <m/>
    <m/>
    <m/>
    <m/>
    <m/>
    <d v="1899-12-30T00:19:54"/>
    <d v="1899-12-30T00:21:32"/>
    <d v="1899-12-30T00:01:38"/>
    <x v="23"/>
    <s v="https://www.youtube.com/embed/uDANJcQm-So?start=1194&amp;end=1292&amp;autoplay=1"/>
    <m/>
    <m/>
    <m/>
  </r>
  <r>
    <n v="80"/>
    <x v="1"/>
    <m/>
    <x v="2"/>
    <s v="https://www.youtube.com/watch?v=aXm-YqwVmbs"/>
    <s v="Rajiv Malhotra's Response to Francis Clooney on BEING DIFFERENT: UMass 3"/>
    <m/>
    <m/>
    <m/>
    <n v="4500"/>
    <d v="1899-12-30T00:14:15"/>
    <s v="5 years ago"/>
    <m/>
    <m/>
    <d v="1899-12-30T00:00:00"/>
    <x v="3"/>
    <s v=""/>
    <m/>
    <m/>
    <m/>
  </r>
  <r>
    <n v="81"/>
    <x v="1"/>
    <m/>
    <x v="2"/>
    <s v="https://www.youtube.com/watch?v=4eM5V0OXNNU"/>
    <s v="Being Different —Rajiv &amp; Francis Clooney's Q&amp;A with Students of UMass: 4"/>
    <m/>
    <m/>
    <m/>
    <n v="2000"/>
    <d v="1899-12-30T00:04:01"/>
    <s v="5 years ago"/>
    <m/>
    <m/>
    <d v="1899-12-30T00:00:00"/>
    <x v="3"/>
    <s v=""/>
    <m/>
    <m/>
    <m/>
  </r>
  <r>
    <n v="82"/>
    <x v="1"/>
    <m/>
    <x v="2"/>
    <s v="https://www.youtube.com/watch?v=knJJGEYwaZw"/>
    <s v="IIT Madras Part 2 - Comments on BEING DIFFERENT by Prof. Nellickappilly &amp; Prof. Venkatakrishnan"/>
    <m/>
    <m/>
    <m/>
    <n v="3700"/>
    <d v="1899-12-30T00:17:06"/>
    <s v="5 years ago"/>
    <m/>
    <m/>
    <d v="1899-12-30T00:00:00"/>
    <x v="3"/>
    <s v=""/>
    <m/>
    <m/>
    <m/>
  </r>
  <r>
    <n v="83"/>
    <x v="1"/>
    <m/>
    <x v="2"/>
    <s v="https://www.youtube.com/watch?v=3pxgnl2fHZg"/>
    <s v="Part 2- Mata Amritanandamayi's Univ: Ann Berliner, Prof. CA State Univ. Comments on BEING DIFFERENT"/>
    <m/>
    <m/>
    <m/>
    <n v="965"/>
    <d v="1899-12-30T00:02:19"/>
    <s v="5 years ago"/>
    <m/>
    <m/>
    <d v="1899-12-30T00:00:00"/>
    <x v="3"/>
    <s v=""/>
    <m/>
    <m/>
    <m/>
  </r>
  <r>
    <n v="84"/>
    <x v="1"/>
    <m/>
    <x v="2"/>
    <s v="https://www.youtube.com/watch?v=TEUt7CVuFbI"/>
    <s v="Being Different: India's Challenge to Western Universalism_Full Talk"/>
    <m/>
    <m/>
    <m/>
    <n v="3900"/>
    <d v="1899-12-30T01:00:42"/>
    <s v="5 years ago"/>
    <m/>
    <m/>
    <d v="1899-12-30T00:00:00"/>
    <x v="3"/>
    <s v=""/>
    <m/>
    <m/>
    <m/>
  </r>
  <r>
    <n v="85"/>
    <x v="1"/>
    <m/>
    <x v="2"/>
    <s v="https://www.youtube.com/watch?v=z1wT-GurohQ"/>
    <s v="IISc Video 2 - Comments by T.V. Mohandas Pai, Former Board member of Infosys"/>
    <m/>
    <m/>
    <m/>
    <n v="3500"/>
    <d v="1899-12-30T00:10:13"/>
    <s v="5 years ago"/>
    <m/>
    <m/>
    <d v="1899-12-30T00:00:00"/>
    <x v="3"/>
    <s v=""/>
    <m/>
    <m/>
    <m/>
  </r>
  <r>
    <n v="86"/>
    <x v="1"/>
    <m/>
    <x v="2"/>
    <s v="https://www.youtube.com/watch?v=f-XdG6v-RWk"/>
    <s v="Rajiv Malhotra explains his Systems Model of History Centrism at IISc"/>
    <m/>
    <m/>
    <m/>
    <n v="7400"/>
    <d v="1899-12-30T00:39:22"/>
    <s v="5 years ago"/>
    <m/>
    <m/>
    <d v="1899-12-30T00:00:00"/>
    <x v="3"/>
    <s v=""/>
    <m/>
    <m/>
    <m/>
  </r>
  <r>
    <n v="87"/>
    <x v="1"/>
    <m/>
    <x v="2"/>
    <s v="https://www.youtube.com/watch?v=BcDC-Op1hJc"/>
    <s v="IISc Video 3 - Comments by Roddam Narasimha, Scientist"/>
    <m/>
    <m/>
    <m/>
    <n v="4000"/>
    <d v="1899-12-30T00:15:23"/>
    <s v="5 years ago"/>
    <m/>
    <m/>
    <d v="1899-12-30T00:00:00"/>
    <x v="3"/>
    <s v=""/>
    <m/>
    <m/>
    <m/>
  </r>
  <r>
    <n v="88"/>
    <x v="1"/>
    <m/>
    <x v="2"/>
    <s v="https://www.youtube.com/watch?v=lXmhJr1LDyI"/>
    <s v="IISc Video 4 - Q &amp; A"/>
    <m/>
    <m/>
    <m/>
    <n v="4100"/>
    <d v="1899-12-30T00:26:00"/>
    <s v="5 years ago"/>
    <m/>
    <m/>
    <d v="1899-12-30T00:00:00"/>
    <x v="3"/>
    <s v=""/>
    <m/>
    <m/>
    <m/>
  </r>
  <r>
    <n v="89"/>
    <x v="0"/>
    <m/>
    <x v="0"/>
    <s v="https://www.youtube.com/watch?v=Wrs0XEoFHAM"/>
    <s v="Rajiv Malhotra's TV Interview with Prof. Thakur of Jawaharlal Nehru University"/>
    <m/>
    <m/>
    <m/>
    <n v="15000"/>
    <d v="1899-12-30T00:57:59"/>
    <s v="5 years ago"/>
    <m/>
    <m/>
    <d v="1899-12-30T00:00:00"/>
    <x v="24"/>
    <s v=""/>
    <s v="Bad"/>
    <s v="Yes"/>
    <s v="Yes"/>
  </r>
  <r>
    <n v="89.01"/>
    <x v="0"/>
    <m/>
    <x v="0"/>
    <m/>
    <m/>
    <s v="4 differences between Indian and western"/>
    <m/>
    <m/>
    <m/>
    <m/>
    <m/>
    <d v="1899-12-30T00:02:10"/>
    <d v="1899-12-30T00:10:36"/>
    <d v="1899-12-30T00:08:26"/>
    <x v="24"/>
    <s v="https://www.youtube.com/embed/Wrs0XEoFHAM?start=130&amp;end=636&amp;autoplay=1"/>
    <m/>
    <m/>
    <m/>
  </r>
  <r>
    <n v="89.02"/>
    <x v="0"/>
    <m/>
    <x v="0"/>
    <m/>
    <m/>
    <s v="What is the impact, if the sense of Difference is over emphasied in multi-cultural society"/>
    <m/>
    <m/>
    <m/>
    <m/>
    <m/>
    <d v="1899-12-30T00:10:50"/>
    <d v="1899-12-30T00:12:32"/>
    <d v="1899-12-30T00:01:42"/>
    <x v="24"/>
    <s v="https://www.youtube.com/embed/Wrs0XEoFHAM?start=650&amp;end=752&amp;autoplay=1"/>
    <m/>
    <m/>
    <m/>
  </r>
  <r>
    <n v="89.03"/>
    <x v="0"/>
    <m/>
    <x v="0"/>
    <m/>
    <m/>
    <s v="A good example of Jaati system in India"/>
    <m/>
    <m/>
    <m/>
    <m/>
    <m/>
    <d v="1899-12-30T00:13:43"/>
    <d v="1899-12-30T00:14:31"/>
    <d v="1899-12-30T00:00:48"/>
    <x v="24"/>
    <s v="https://www.youtube.com/embed/Wrs0XEoFHAM?start=823&amp;end=871&amp;autoplay=1"/>
    <m/>
    <m/>
    <m/>
  </r>
  <r>
    <n v="89.04"/>
    <x v="0"/>
    <m/>
    <x v="0"/>
    <m/>
    <m/>
    <s v="Synthetic identify vs Integral Identity"/>
    <m/>
    <m/>
    <m/>
    <m/>
    <m/>
    <d v="1899-12-30T00:16:54"/>
    <d v="1899-12-30T00:18:12"/>
    <d v="1899-12-30T00:01:18"/>
    <x v="24"/>
    <s v="https://www.youtube.com/embed/Wrs0XEoFHAM?start=1014&amp;end=1092&amp;autoplay=1"/>
    <m/>
    <m/>
    <m/>
  </r>
  <r>
    <n v="89.05"/>
    <x v="0"/>
    <m/>
    <x v="0"/>
    <m/>
    <m/>
    <s v="Values and problems of the caste system"/>
    <m/>
    <m/>
    <m/>
    <m/>
    <m/>
    <d v="1899-12-30T00:18:30"/>
    <d v="1899-12-30T00:19:31"/>
    <d v="1899-12-30T00:01:01"/>
    <x v="24"/>
    <s v="https://www.youtube.com/embed/Wrs0XEoFHAM?start=1110&amp;end=1171&amp;autoplay=1"/>
    <m/>
    <m/>
    <m/>
  </r>
  <r>
    <n v="89.06"/>
    <x v="0"/>
    <m/>
    <x v="0"/>
    <m/>
    <m/>
    <s v="Impact of western culture on Indian culture and how should we go ahead."/>
    <m/>
    <m/>
    <m/>
    <m/>
    <m/>
    <d v="1899-12-30T00:19:42"/>
    <d v="1899-12-30T00:25:42"/>
    <d v="1899-12-30T00:06:00"/>
    <x v="24"/>
    <s v="https://www.youtube.com/embed/Wrs0XEoFHAM?start=1182&amp;end=1542&amp;autoplay=1"/>
    <m/>
    <m/>
    <m/>
  </r>
  <r>
    <n v="89.07"/>
    <x v="0"/>
    <m/>
    <x v="0"/>
    <m/>
    <m/>
    <s v="The concept of the tolerance vs mutual respect"/>
    <m/>
    <m/>
    <m/>
    <m/>
    <m/>
    <d v="1899-12-30T00:26:30"/>
    <d v="1899-12-30T00:28:14"/>
    <d v="1899-12-30T00:01:44"/>
    <x v="24"/>
    <s v="https://www.youtube.com/embed/Wrs0XEoFHAM?start=1590&amp;end=1694&amp;autoplay=1"/>
    <m/>
    <m/>
    <m/>
  </r>
  <r>
    <n v="89.079999999999899"/>
    <x v="0"/>
    <m/>
    <x v="0"/>
    <m/>
    <m/>
    <s v="Is christianity declining in the West?"/>
    <m/>
    <m/>
    <m/>
    <m/>
    <m/>
    <d v="1899-12-30T00:29:28"/>
    <d v="1899-12-30T00:30:50"/>
    <d v="1899-12-30T00:01:22"/>
    <x v="24"/>
    <s v="https://www.youtube.com/embed/Wrs0XEoFHAM?start=1768&amp;end=1850&amp;autoplay=1"/>
    <m/>
    <m/>
    <m/>
  </r>
  <r>
    <n v="89.089999999999904"/>
    <x v="0"/>
    <m/>
    <x v="0"/>
    <m/>
    <m/>
    <s v="How sanskrit protect dharma from digestion?"/>
    <m/>
    <m/>
    <m/>
    <m/>
    <m/>
    <d v="1899-12-30T00:33:45"/>
    <d v="1899-12-30T00:35:00"/>
    <d v="1899-12-30T00:01:15"/>
    <x v="24"/>
    <s v="https://www.youtube.com/embed/Wrs0XEoFHAM?start=2025&amp;end=2100&amp;autoplay=1"/>
    <m/>
    <m/>
    <m/>
  </r>
  <r>
    <n v="89.099999999999895"/>
    <x v="0"/>
    <m/>
    <x v="0"/>
    <m/>
    <m/>
    <s v="Critical edition of some Ramayana is not good idea."/>
    <m/>
    <m/>
    <m/>
    <m/>
    <m/>
    <d v="1899-12-30T00:36:10"/>
    <d v="1899-12-30T00:37:45"/>
    <d v="1899-12-30T00:01:35"/>
    <x v="24"/>
    <s v="https://www.youtube.com/embed/Wrs0XEoFHAM?start=2170&amp;end=2265&amp;autoplay=1"/>
    <m/>
    <m/>
    <m/>
  </r>
  <r>
    <n v="89.1099999999999"/>
    <x v="0"/>
    <m/>
    <x v="0"/>
    <m/>
    <m/>
    <s v="The difference between Dharma and Religion &amp; Secularism"/>
    <m/>
    <m/>
    <m/>
    <m/>
    <m/>
    <d v="1899-12-30T00:41:15"/>
    <d v="1899-12-30T00:44:44"/>
    <d v="1899-12-30T00:03:29"/>
    <x v="24"/>
    <s v="https://www.youtube.com/embed/Wrs0XEoFHAM?start=2475&amp;end=2684&amp;autoplay=1"/>
    <m/>
    <m/>
    <m/>
  </r>
  <r>
    <n v="89.119999999999905"/>
    <x v="0"/>
    <m/>
    <x v="0"/>
    <m/>
    <m/>
    <s v="U-Turn theory &amp; Reverse-U Turn"/>
    <m/>
    <m/>
    <m/>
    <m/>
    <m/>
    <d v="1899-12-30T00:51:05"/>
    <d v="1899-12-30T00:54:19"/>
    <d v="1899-12-30T00:03:14"/>
    <x v="24"/>
    <s v="https://www.youtube.com/embed/Wrs0XEoFHAM?start=3065&amp;end=3259&amp;autoplay=1"/>
    <m/>
    <m/>
    <m/>
  </r>
  <r>
    <n v="90"/>
    <x v="1"/>
    <m/>
    <x v="2"/>
    <s v="https://www.youtube.com/watch?v=O0wEzvYOTJw"/>
    <s v="Breaking India book by Rajiv Malhotra Bangalore_ Intro by TS Mohan #1"/>
    <m/>
    <m/>
    <m/>
    <n v="4400"/>
    <d v="1899-12-30T00:03:07"/>
    <s v="5 years ago"/>
    <m/>
    <m/>
    <d v="1899-12-30T00:00:00"/>
    <x v="3"/>
    <s v=""/>
    <m/>
    <m/>
    <m/>
  </r>
  <r>
    <n v="91"/>
    <x v="2"/>
    <m/>
    <x v="0"/>
    <s v="https://www.youtube.com/watch?v=G3NpQQMh8jQ"/>
    <s v="Breaking India book by Rajiv Malhotra: Talk by Dr Swamy Part 2"/>
    <m/>
    <m/>
    <m/>
    <n v="44000"/>
    <d v="1899-12-30T00:34:40"/>
    <s v="5 years ago"/>
    <m/>
    <m/>
    <d v="1899-12-30T00:00:00"/>
    <x v="4"/>
    <s v=""/>
    <m/>
    <m/>
    <m/>
  </r>
  <r>
    <n v="91.01"/>
    <x v="2"/>
    <m/>
    <x v="0"/>
    <m/>
    <m/>
    <s v="Dr. Subramanian Swamy on Building an identity of India"/>
    <s v="Defining who an Indian is"/>
    <m/>
    <m/>
    <m/>
    <m/>
    <d v="1899-12-30T00:01:31"/>
    <d v="1899-12-30T00:04:00"/>
    <d v="1899-12-30T00:02:29"/>
    <x v="4"/>
    <s v="https://www.youtube.com/embed/G3NpQQMh8jQ?start=91&amp;end=240&amp;autoplay=1"/>
    <s v="Good"/>
    <s v="Good"/>
    <s v="Good"/>
  </r>
  <r>
    <n v="91.02"/>
    <x v="2"/>
    <m/>
    <x v="0"/>
    <m/>
    <m/>
    <s v="Dr. Subramanian Swamy on Breaking India forces at play"/>
    <s v="The forces at play to break India over the years"/>
    <m/>
    <m/>
    <m/>
    <m/>
    <d v="1899-12-30T00:04:01"/>
    <d v="1899-12-30T00:05:43"/>
    <d v="1899-12-30T00:01:42"/>
    <x v="4"/>
    <s v="https://www.youtube.com/embed/G3NpQQMh8jQ?start=241&amp;end=343&amp;autoplay=1"/>
    <s v="Good"/>
    <s v="Good"/>
    <s v="Good"/>
  </r>
  <r>
    <n v="91.03"/>
    <x v="2"/>
    <m/>
    <x v="0"/>
    <m/>
    <m/>
    <s v="Dr. Subramanian Swamy on the Aryan - Dravidian myth"/>
    <s v="Debunking the Aryan Dravidian divide"/>
    <m/>
    <m/>
    <m/>
    <m/>
    <d v="1899-12-30T00:05:43"/>
    <d v="1899-12-30T00:15:03"/>
    <d v="1899-12-30T00:09:20"/>
    <x v="4"/>
    <s v="https://www.youtube.com/embed/G3NpQQMh8jQ?start=343&amp;end=903&amp;autoplay=1"/>
    <s v="Good"/>
    <s v="Good"/>
    <s v="Good"/>
  </r>
  <r>
    <n v="91.04"/>
    <x v="2"/>
    <m/>
    <x v="0"/>
    <m/>
    <m/>
    <s v="Dr. Subramanian Swamy on how India has retained a Hindu majority"/>
    <s v="How India has managed to maintain its Hindu majority"/>
    <m/>
    <m/>
    <m/>
    <m/>
    <d v="1899-12-30T00:15:03"/>
    <d v="1899-12-30T00:18:45"/>
    <d v="1899-12-30T00:03:42"/>
    <x v="4"/>
    <s v="https://www.youtube.com/embed/G3NpQQMh8jQ?start=903&amp;end=1125&amp;autoplay=1"/>
    <s v="Good"/>
    <s v="Good"/>
    <s v="Good"/>
  </r>
  <r>
    <n v="91.05"/>
    <x v="2"/>
    <m/>
    <x v="0"/>
    <m/>
    <m/>
    <s v="Dr. Subramanian Swamy on developing a Hindu identity"/>
    <s v="Creating a collective consciousness among Hindus"/>
    <m/>
    <m/>
    <m/>
    <m/>
    <d v="1899-12-30T00:19:31"/>
    <d v="1899-12-30T00:22:53"/>
    <d v="1899-12-30T00:03:22"/>
    <x v="4"/>
    <s v="https://www.youtube.com/embed/G3NpQQMh8jQ?start=1171&amp;end=1373&amp;autoplay=1"/>
    <s v="Good"/>
    <s v="Good"/>
    <s v="Good"/>
  </r>
  <r>
    <n v="91.06"/>
    <x v="2"/>
    <m/>
    <x v="0"/>
    <m/>
    <m/>
    <s v="Why Rajv Malhotra's arguments work for the Western audience?"/>
    <s v="RM uses the same language and articulation style as the Western world"/>
    <m/>
    <m/>
    <m/>
    <m/>
    <d v="1899-12-30T00:22:53"/>
    <d v="1899-12-30T00:24:14"/>
    <d v="1899-12-30T00:01:21"/>
    <x v="4"/>
    <s v="https://www.youtube.com/embed/G3NpQQMh8jQ?start=1373&amp;end=1454&amp;autoplay=1"/>
    <s v="Good"/>
    <s v="Good"/>
    <s v="Good"/>
  </r>
  <r>
    <n v="91.07"/>
    <x v="2"/>
    <m/>
    <x v="0"/>
    <m/>
    <m/>
    <s v="Dr. Subramanian Swamy on reservation &amp; caste system in India"/>
    <s v="Thoughts on reservation, varna and jati"/>
    <m/>
    <m/>
    <m/>
    <m/>
    <d v="1899-12-30T00:24:21"/>
    <d v="1899-12-30T00:32:04"/>
    <d v="1899-12-30T00:07:43"/>
    <x v="4"/>
    <s v="https://www.youtube.com/embed/G3NpQQMh8jQ?start=1461&amp;end=1924&amp;autoplay=1"/>
    <s v="Good"/>
    <s v="Good"/>
    <s v="Good"/>
  </r>
  <r>
    <n v="92"/>
    <x v="2"/>
    <m/>
    <x v="0"/>
    <s v="https://www.youtube.com/watch?v=VP5gPVW3XDM"/>
    <s v="Being Different or Being Digested - Univ of Massachusetts"/>
    <m/>
    <m/>
    <m/>
    <n v="6300"/>
    <d v="1899-12-30T00:37:27"/>
    <s v="5 years ago"/>
    <m/>
    <m/>
    <d v="1899-12-30T00:00:00"/>
    <x v="25"/>
    <s v=""/>
    <m/>
    <m/>
    <m/>
  </r>
  <r>
    <n v="92.01"/>
    <x v="2"/>
    <m/>
    <x v="0"/>
    <m/>
    <m/>
    <s v="What is Western Universalism?"/>
    <s v="The West's point of view of the world, the truth, history, philosophy, religion and so on has become universal, although no one school of thought can claim to be an absolute authority.  Just like the Chinese and Islam have managed to create their own identity, can India do the same?"/>
    <m/>
    <m/>
    <m/>
    <m/>
    <d v="1899-12-30T00:01:08"/>
    <d v="1899-12-30T00:03:34"/>
    <d v="1899-12-30T00:02:26"/>
    <x v="25"/>
    <s v="https://www.youtube.com/embed/VP5gPVW3XDM?start=68&amp;end=214&amp;autoplay=1"/>
    <s v="Good"/>
    <s v="Good"/>
    <s v="Good"/>
  </r>
  <r>
    <n v="92.02"/>
    <x v="2"/>
    <m/>
    <x v="0"/>
    <m/>
    <m/>
    <s v="Why Being Different is important for India"/>
    <s v="The alternative to being different is to be digested  - this means homogenous cultures which is not a good thing as diversity is essential in the universe. Borrowing without harming the source is a good thing. It is how humanity advances by learning from each other. But in Digestion per se, there is no trace of the source left - as Pagans getting digested into Christianity"/>
    <m/>
    <m/>
    <m/>
    <m/>
    <d v="1899-12-30T00:03:34"/>
    <d v="1899-12-30T00:08:46"/>
    <d v="1899-12-30T00:05:12"/>
    <x v="25"/>
    <s v="https://www.youtube.com/embed/VP5gPVW3XDM?start=214&amp;end=526&amp;autoplay=1"/>
    <s v="Good"/>
    <s v="Good"/>
    <s v="Good"/>
  </r>
  <r>
    <n v="92.03"/>
    <x v="2"/>
    <m/>
    <x v="0"/>
    <m/>
    <m/>
    <s v="Why do Westerners disassociate from their Indian source of knowledge?"/>
    <s v="RM and Dr. Singh, Center of Indic Studies at UMass discuss this issue. While younger Americans are sincere in their quest for knowledge, however, as they learn more, they reach a point (RM calls it the U-turn) where they have to give up their Western identity. Most Westerners are unwilling to do that."/>
    <m/>
    <m/>
    <m/>
    <m/>
    <d v="1899-12-30T00:08:54"/>
    <d v="1899-12-30T00:13:30"/>
    <d v="1899-12-30T00:04:36"/>
    <x v="25"/>
    <s v="https://www.youtube.com/embed/VP5gPVW3XDM?start=534&amp;end=810&amp;autoplay=1"/>
    <s v="Good"/>
    <s v="Good"/>
    <s v="Good"/>
  </r>
  <r>
    <n v="92.04"/>
    <x v="2"/>
    <m/>
    <x v="0"/>
    <m/>
    <m/>
    <s v="How Hindu Gurus are furthering Western universalism and the digestion process"/>
    <s v="Indians help Western universalism by translating Sanskrit text into English although it distorts the meaning, and compromise on our tradition."/>
    <m/>
    <m/>
    <m/>
    <m/>
    <d v="1899-12-30T00:13:53"/>
    <d v="1899-12-30T00:16:40"/>
    <d v="1899-12-30T00:02:47"/>
    <x v="24"/>
    <s v="https://www.youtube.com/embed/VP5gPVW3XDM?start=833&amp;end=1000&amp;autoplay=1"/>
    <s v="Good"/>
    <s v="Good"/>
    <s v="Good"/>
  </r>
  <r>
    <n v="92.05"/>
    <x v="2"/>
    <m/>
    <x v="0"/>
    <m/>
    <m/>
    <s v="Spreading the Being Different revolution"/>
    <s v="Targeting three key stakeholders - academia, gurus and corporates, and engaging with them will help spread the Being Different revolution"/>
    <m/>
    <m/>
    <m/>
    <m/>
    <d v="1899-12-30T00:16:40"/>
    <d v="1899-12-30T00:19:36"/>
    <d v="1899-12-30T00:02:56"/>
    <x v="24"/>
    <s v="https://www.youtube.com/embed/VP5gPVW3XDM?start=1000&amp;end=1176&amp;autoplay=1"/>
    <s v="Good"/>
    <s v="Good"/>
    <s v="Good"/>
  </r>
  <r>
    <n v="92.06"/>
    <x v="2"/>
    <m/>
    <x v="0"/>
    <m/>
    <m/>
    <s v="Inspiration behind Being DIfferent"/>
    <s v="RM worked with several academics to write about Hinduism but his experience was not satisfactory, he started writing blogs, talking in conferences and writing books on his own to express his ideas."/>
    <m/>
    <m/>
    <m/>
    <m/>
    <d v="1899-12-30T00:21:50"/>
    <d v="1899-12-30T00:23:34"/>
    <d v="1899-12-30T00:01:44"/>
    <x v="24"/>
    <s v="https://www.youtube.com/embed/VP5gPVW3XDM?start=1310&amp;end=1414&amp;autoplay=1"/>
    <s v="Good"/>
    <s v="Good"/>
    <s v="Good"/>
  </r>
  <r>
    <n v="92.07"/>
    <x v="2"/>
    <m/>
    <x v="0"/>
    <m/>
    <m/>
    <s v="The Hindu view point present at the table"/>
    <s v="BY reviving the roots of our civilization, we will be able to present solutions from our view point to many of the challenges plaguing the people today."/>
    <m/>
    <m/>
    <m/>
    <m/>
    <d v="1899-12-30T00:23:53"/>
    <d v="1899-12-30T00:25:49"/>
    <d v="1899-12-30T00:01:56"/>
    <x v="24"/>
    <s v="https://www.youtube.com/embed/VP5gPVW3XDM?start=1433&amp;end=1549&amp;autoplay=1"/>
    <s v="Good"/>
    <s v="Good"/>
    <s v="Good"/>
  </r>
  <r>
    <n v="92.08"/>
    <x v="2"/>
    <m/>
    <x v="0"/>
    <m/>
    <m/>
    <s v="Why is the Indian civilzation under-represented in the cross-fertilization of civilization discussions?"/>
    <m/>
    <m/>
    <m/>
    <m/>
    <m/>
    <d v="1899-12-30T00:25:49"/>
    <d v="1899-12-30T00:29:40"/>
    <d v="1899-12-30T00:03:51"/>
    <x v="24"/>
    <s v="https://www.youtube.com/embed/VP5gPVW3XDM?start=1549&amp;end=1780&amp;autoplay=1"/>
    <s v="Good"/>
    <s v="Good"/>
    <s v="Good"/>
  </r>
  <r>
    <n v="92.09"/>
    <x v="2"/>
    <m/>
    <x v="0"/>
    <m/>
    <m/>
    <s v="How can the Indic voice get created?"/>
    <s v="By using the Purva Paksha method or studying the other view, it is possible to arrive at the commonalites within the Indic tradition and develop an Indic voice. It will help show what is different and non-digestible about the Indian civilization."/>
    <m/>
    <m/>
    <m/>
    <m/>
    <d v="1899-12-30T00:29:53"/>
    <d v="1899-12-30T00:36:01"/>
    <d v="1899-12-30T00:06:08"/>
    <x v="24"/>
    <s v="https://www.youtube.com/embed/VP5gPVW3XDM?start=1793&amp;end=2161&amp;autoplay=1"/>
    <s v="Good"/>
    <s v="Good"/>
    <s v="Good"/>
  </r>
  <r>
    <n v="93"/>
    <x v="2"/>
    <m/>
    <x v="0"/>
    <s v="https://www.youtube.com/watch?v=0uPW7Jf9y7o"/>
    <s v="Rajiv Malhotra's Talk at Kitab Khana, Mumbai's Premier Bookstore"/>
    <m/>
    <m/>
    <m/>
    <n v="986"/>
    <d v="1899-12-30T00:51:23"/>
    <s v="5 years ago"/>
    <m/>
    <m/>
    <d v="1899-12-30T00:00:00"/>
    <x v="26"/>
    <s v=""/>
    <m/>
    <m/>
    <m/>
  </r>
  <r>
    <n v="93.01"/>
    <x v="2"/>
    <m/>
    <x v="0"/>
    <m/>
    <m/>
    <s v="What is Western Universalism?"/>
    <s v="The West's point of view of the world, the truth, history, philosophy, religion and so on has become universal, although no one school of thought can claim to be an absolute authority.  Just like the Chinese and Japanese have managed to create their own identity while becoming modern, can India do the same?"/>
    <m/>
    <m/>
    <m/>
    <m/>
    <d v="1899-12-30T00:00:53"/>
    <d v="1899-12-30T00:05:17"/>
    <d v="1899-12-30T00:04:24"/>
    <x v="26"/>
    <s v="https://www.youtube.com/embed/0uPW7Jf9y7o?start=53&amp;end=317&amp;autoplay=1"/>
    <s v="Good"/>
    <s v="Good"/>
    <s v="Good"/>
  </r>
  <r>
    <n v="93.02"/>
    <x v="2"/>
    <m/>
    <x v="0"/>
    <m/>
    <m/>
    <s v="Why Being Different is important for India"/>
    <s v="Being digested results in adopting the Western way of thinking for everything. Western countires have borrowed from Indian culture but in the process have obliterated the Indian influence. Borrowing without harming the source is a good thing. It is how humanity advances by learning from each other. But in Digestion per se, there is no trace of the source left - as Pagans getting digested into Christianity"/>
    <m/>
    <m/>
    <m/>
    <m/>
    <d v="1899-12-30T00:05:17"/>
    <d v="1899-12-30T00:09:20"/>
    <d v="1899-12-30T00:04:03"/>
    <x v="26"/>
    <s v="https://www.youtube.com/embed/0uPW7Jf9y7o?start=317&amp;end=560&amp;autoplay=1"/>
    <s v="Good"/>
    <s v="Good"/>
    <s v="Good"/>
  </r>
  <r>
    <n v="93.03"/>
    <x v="2"/>
    <m/>
    <x v="0"/>
    <m/>
    <m/>
    <s v="What should India do to prevent being digested?"/>
    <s v="Focus on the non-digestible factors - 1.Adhyatma Vidya (embodied knowing) 2. Integral Unity 3. Attitude towards chaos 4. Certain Sanskrit words need to be non-translatable"/>
    <m/>
    <m/>
    <m/>
    <m/>
    <d v="1899-12-30T00:09:21"/>
    <d v="1899-12-30T00:34:20"/>
    <d v="1899-12-30T00:24:59"/>
    <x v="26"/>
    <s v="https://www.youtube.com/embed/0uPW7Jf9y7o?start=561&amp;end=2060&amp;autoplay=1"/>
    <s v="Good"/>
    <s v="Good"/>
    <s v="Good"/>
  </r>
  <r>
    <n v="93.04"/>
    <x v="2"/>
    <m/>
    <x v="0"/>
    <m/>
    <m/>
    <s v="Why is there no Sanskrit equivalent for the word chaos? "/>
    <s v="Absence of a particular word indicates that that civilization has not had the experience. RM explains about the differences between using &quot;tolerance&quot; and &quot;mutual respect&quot; and urges us to use &quot;Mutual Respect&quot;. "/>
    <m/>
    <m/>
    <m/>
    <m/>
    <d v="1899-12-30T00:34:50"/>
    <d v="1899-12-30T00:42:39"/>
    <d v="1899-12-30T00:07:49"/>
    <x v="26"/>
    <s v="https://www.youtube.com/embed/0uPW7Jf9y7o?start=2090&amp;end=2559&amp;autoplay=1"/>
    <s v="Good"/>
    <s v="Average"/>
    <s v="Good"/>
  </r>
  <r>
    <n v="93.05"/>
    <x v="2"/>
    <m/>
    <x v="0"/>
    <m/>
    <m/>
    <s v="Purva Paksha as a technique to oppose Western universalism"/>
    <s v="RM uses the Purva Paksha technique to make our views and customs known and show how different they are "/>
    <m/>
    <m/>
    <m/>
    <m/>
    <d v="1899-12-30T00:42:39"/>
    <d v="1899-12-30T00:48:38"/>
    <d v="1899-12-30T00:05:59"/>
    <x v="26"/>
    <s v="https://www.youtube.com/embed/0uPW7Jf9y7o?start=2559&amp;end=2918&amp;autoplay=1"/>
    <s v="Good"/>
    <s v="Good"/>
    <s v="Good"/>
  </r>
  <r>
    <n v="94"/>
    <x v="0"/>
    <m/>
    <x v="0"/>
    <s v="https://www.youtube.com/watch?v=fjD9BVlmPoA"/>
    <s v="Rajiv Malhotra's Keynote Address at Institute of Social &amp; Economical Change, Bangalore"/>
    <m/>
    <m/>
    <m/>
    <n v="2500"/>
    <d v="1899-12-30T01:35:45"/>
    <s v="5 years ago"/>
    <m/>
    <m/>
    <d v="1899-12-30T00:00:00"/>
    <x v="27"/>
    <s v=""/>
    <m/>
    <m/>
    <m/>
  </r>
  <r>
    <n v="94.01"/>
    <x v="0"/>
    <m/>
    <x v="0"/>
    <m/>
    <m/>
    <s v="How Indian Psychology became serious subject in western world"/>
    <m/>
    <m/>
    <m/>
    <m/>
    <m/>
    <d v="1899-12-30T00:15:04"/>
    <d v="1899-12-30T00:23:39"/>
    <d v="1899-12-30T00:08:35"/>
    <x v="27"/>
    <s v="https://www.youtube.com/embed/fjD9BVlmPoA?start=904&amp;end=1419&amp;autoplay=1"/>
    <m/>
    <m/>
    <m/>
  </r>
  <r>
    <n v="94.02"/>
    <x v="0"/>
    <m/>
    <x v="0"/>
    <m/>
    <m/>
    <s v="What is Protestant Ethics (Western Model) and its impact on India"/>
    <s v="World is for man's exploitation. Man centric, selfish. This model is not viable, scalable."/>
    <m/>
    <m/>
    <m/>
    <m/>
    <d v="1899-12-30T00:28:29"/>
    <d v="1899-12-30T00:30:50"/>
    <d v="1899-12-30T00:02:21"/>
    <x v="27"/>
    <s v="https://www.youtube.com/embed/fjD9BVlmPoA?start=1709&amp;end=1850&amp;autoplay=1"/>
    <m/>
    <m/>
    <m/>
  </r>
  <r>
    <n v="94.03"/>
    <x v="0"/>
    <m/>
    <x v="0"/>
    <m/>
    <m/>
    <s v="Indian Ashrama system and cosumerism"/>
    <m/>
    <m/>
    <m/>
    <m/>
    <m/>
    <d v="1899-12-30T00:39:05"/>
    <d v="1899-12-30T00:40:40"/>
    <d v="1899-12-30T00:01:35"/>
    <x v="27"/>
    <s v="https://www.youtube.com/embed/fjD9BVlmPoA?start=2345&amp;end=2440&amp;autoplay=1"/>
    <m/>
    <m/>
    <m/>
  </r>
  <r>
    <n v="94.04"/>
    <x v="0"/>
    <m/>
    <x v="0"/>
    <m/>
    <m/>
    <s v="Indian Decentralized Structures"/>
    <m/>
    <m/>
    <m/>
    <m/>
    <m/>
    <d v="1899-12-30T00:40:50"/>
    <d v="1899-12-30T00:47:50"/>
    <d v="1899-12-30T00:07:00"/>
    <x v="27"/>
    <s v="https://www.youtube.com/embed/fjD9BVlmPoA?start=2450&amp;end=2870&amp;autoplay=1"/>
    <m/>
    <m/>
    <m/>
  </r>
  <r>
    <n v="94.05"/>
    <x v="0"/>
    <m/>
    <x v="0"/>
    <m/>
    <m/>
    <s v="How can Indian beat the western model of development?"/>
    <m/>
    <m/>
    <m/>
    <m/>
    <m/>
    <d v="1899-12-30T00:58:54"/>
    <d v="1899-12-30T01:06:19"/>
    <d v="1899-12-30T00:07:25"/>
    <x v="27"/>
    <s v="https://www.youtube.com/embed/fjD9BVlmPoA?start=3534&amp;end=3979&amp;autoplay=1"/>
    <m/>
    <m/>
    <m/>
  </r>
  <r>
    <n v="94.06"/>
    <x v="0"/>
    <m/>
    <x v="0"/>
    <m/>
    <m/>
    <s v="How to get our work scientifically validated?"/>
    <s v="U turner's work is very helpful in this"/>
    <m/>
    <m/>
    <m/>
    <m/>
    <d v="1899-12-30T01:08:00"/>
    <d v="1899-12-30T01:11:10"/>
    <d v="1899-12-30T00:03:10"/>
    <x v="27"/>
    <s v="https://www.youtube.com/embed/fjD9BVlmPoA?start=4080&amp;end=4270&amp;autoplay=1"/>
    <m/>
    <m/>
    <m/>
  </r>
  <r>
    <n v="94.07"/>
    <x v="0"/>
    <m/>
    <x v="0"/>
    <m/>
    <m/>
    <s v="How to counter the Weber's critique about India"/>
    <m/>
    <m/>
    <m/>
    <m/>
    <m/>
    <d v="1899-12-30T01:15:10"/>
    <d v="1899-12-30T01:17:20"/>
    <d v="1899-12-30T00:02:10"/>
    <x v="27"/>
    <s v="https://www.youtube.com/embed/fjD9BVlmPoA?start=4510&amp;end=4640&amp;autoplay=1"/>
    <m/>
    <m/>
    <m/>
  </r>
  <r>
    <n v="94.08"/>
    <x v="0"/>
    <m/>
    <x v="0"/>
    <m/>
    <m/>
    <s v="Indian Diasphora and U-turn theory"/>
    <s v="Indian Diasphora types: Spritual, Modern Professional, Language based"/>
    <m/>
    <m/>
    <m/>
    <m/>
    <d v="1899-12-30T01:17:25"/>
    <d v="1899-12-30T01:21:21"/>
    <d v="1899-12-30T00:03:56"/>
    <x v="27"/>
    <s v="https://www.youtube.com/embed/fjD9BVlmPoA?start=4645&amp;end=4881&amp;autoplay=1"/>
    <m/>
    <m/>
    <m/>
  </r>
  <r>
    <n v="94.09"/>
    <x v="0"/>
    <m/>
    <x v="0"/>
    <m/>
    <m/>
    <s v="Women not found in classical indian tradition with equal rights"/>
    <m/>
    <m/>
    <m/>
    <m/>
    <m/>
    <d v="1899-12-30T01:21:25"/>
    <d v="1899-12-30T01:22:10"/>
    <d v="1899-12-30T00:00:45"/>
    <x v="27"/>
    <s v="https://www.youtube.com/embed/fjD9BVlmPoA?start=4885&amp;end=4930&amp;autoplay=1"/>
    <m/>
    <m/>
    <m/>
  </r>
  <r>
    <n v="94.1"/>
    <x v="0"/>
    <m/>
    <x v="0"/>
    <m/>
    <m/>
    <s v="Using dharmic civilization as a base does not mean we want to go back to Vedic age"/>
    <m/>
    <m/>
    <m/>
    <m/>
    <m/>
    <d v="1899-12-30T01:22:20"/>
    <d v="1899-12-30T01:28:15"/>
    <d v="1899-12-30T00:05:55"/>
    <x v="27"/>
    <s v="https://www.youtube.com/embed/fjD9BVlmPoA?start=4940&amp;end=5295&amp;autoplay=1"/>
    <m/>
    <m/>
    <m/>
  </r>
  <r>
    <n v="95"/>
    <x v="1"/>
    <m/>
    <x v="2"/>
    <s v="https://www.youtube.com/watch?v=iGpYgqX-p8c"/>
    <s v="Rajiv Malhotra at Somaiya Institutes, Mumbai - Part 1: Introduction (in Sanskrit &amp; English)"/>
    <m/>
    <m/>
    <m/>
    <n v="1500"/>
    <d v="1899-12-30T00:08:30"/>
    <s v="5 years ago"/>
    <m/>
    <m/>
    <d v="1899-12-30T00:00:00"/>
    <x v="3"/>
    <s v=""/>
    <m/>
    <m/>
    <m/>
  </r>
  <r>
    <n v="96"/>
    <x v="1"/>
    <m/>
    <x v="2"/>
    <s v="https://www.youtube.com/watch?v=schP-IZS5Sw"/>
    <s v="Rajiv Malhotra at Somaiya Institute, Mumbai: #3 Hindi Q&amp;A"/>
    <m/>
    <m/>
    <m/>
    <n v="1200"/>
    <d v="1899-12-30T00:16:47"/>
    <s v="5 years ago"/>
    <m/>
    <m/>
    <d v="1899-12-30T00:00:00"/>
    <x v="3"/>
    <s v=""/>
    <m/>
    <m/>
    <m/>
  </r>
  <r>
    <n v="97"/>
    <x v="1"/>
    <m/>
    <x v="2"/>
    <s v="https://www.youtube.com/watch?v=gmu_fBglk-A"/>
    <s v="Rajiv Malhotra at Somaiya Institutes, Mumbai - Part 4: English Q&amp;A"/>
    <m/>
    <m/>
    <m/>
    <n v="1900"/>
    <d v="1899-12-30T00:30:22"/>
    <s v="5 years ago"/>
    <m/>
    <m/>
    <d v="1899-12-30T00:00:00"/>
    <x v="3"/>
    <s v=""/>
    <m/>
    <m/>
    <m/>
  </r>
  <r>
    <n v="98"/>
    <x v="1"/>
    <m/>
    <x v="2"/>
    <s v="https://www.youtube.com/watch?v=-WPYCv8jdJc"/>
    <s v="Rajiv Malhotra at Somaiya Institutes, Mumbai - Part 2: Lecture"/>
    <m/>
    <m/>
    <m/>
    <n v="2300"/>
    <d v="1899-12-30T00:49:38"/>
    <s v="5 years ago"/>
    <m/>
    <m/>
    <d v="1899-12-30T00:00:00"/>
    <x v="3"/>
    <s v=""/>
    <m/>
    <m/>
    <m/>
  </r>
  <r>
    <n v="99"/>
    <x v="1"/>
    <m/>
    <x v="2"/>
    <s v="https://www.youtube.com/watch?v=91dtNzk71IA"/>
    <s v="Rajiv Malhotra Lecture at Young Presidents' Organization, Kolkata"/>
    <m/>
    <m/>
    <m/>
    <n v="1400"/>
    <d v="1899-12-30T00:41:01"/>
    <s v="5 years ago"/>
    <m/>
    <m/>
    <d v="1899-12-30T00:00:00"/>
    <x v="3"/>
    <s v=""/>
    <m/>
    <m/>
    <m/>
  </r>
  <r>
    <n v="100"/>
    <x v="1"/>
    <m/>
    <x v="2"/>
    <s v="https://www.youtube.com/watch?v=SrCfhdoTLfg"/>
    <s v="Keynote at Spirituality &amp; Management Conference, IIM B"/>
    <m/>
    <m/>
    <m/>
    <n v="3700"/>
    <d v="1899-12-30T00:35:46"/>
    <s v="5 years ago"/>
    <m/>
    <m/>
    <d v="1899-12-30T00:00:00"/>
    <x v="3"/>
    <s v=""/>
    <m/>
    <m/>
    <m/>
  </r>
  <r>
    <n v="101"/>
    <x v="4"/>
    <m/>
    <x v="0"/>
    <s v="https://www.youtube.com/watch?v=nmbYnYYpa6g"/>
    <s v="Talk at Bhabha Atomic Research Center, Mumbai: Rajiv Malhotra"/>
    <m/>
    <m/>
    <m/>
    <n v="22000"/>
    <d v="1899-12-30T01:06:04"/>
    <s v="5 years ago"/>
    <m/>
    <m/>
    <d v="1899-12-30T00:00:00"/>
    <x v="19"/>
    <s v=""/>
    <m/>
    <m/>
    <m/>
  </r>
  <r>
    <n v="101.01"/>
    <x v="4"/>
    <m/>
    <x v="0"/>
    <m/>
    <m/>
    <s v="Are there alternatives to Western universalism"/>
    <s v="China's Confucian institutes and philosophy, multiple intelligences"/>
    <m/>
    <m/>
    <m/>
    <m/>
    <d v="1899-12-30T00:12:32"/>
    <d v="1899-12-30T00:20:40"/>
    <d v="1899-12-30T00:08:08"/>
    <x v="19"/>
    <s v="https://www.youtube.com/embed/nmbYnYYpa6g?start=752&amp;end=1240&amp;autoplay=1"/>
    <s v="Good"/>
    <s v="Good"/>
    <s v="Good"/>
  </r>
  <r>
    <n v="101.02"/>
    <x v="4"/>
    <m/>
    <x v="0"/>
    <m/>
    <m/>
    <s v="Examples of Indian knowldege picked up by west"/>
    <s v="Nikola Tesla, Hebert Benson, "/>
    <m/>
    <m/>
    <m/>
    <m/>
    <d v="1899-12-30T00:20:50"/>
    <d v="1899-12-30T00:26:22"/>
    <d v="1899-12-30T00:05:32"/>
    <x v="19"/>
    <s v="https://www.youtube.com/embed/nmbYnYYpa6g?start=1250&amp;end=1582&amp;autoplay=1"/>
    <s v="Good"/>
    <s v="Good"/>
    <s v="Good"/>
  </r>
  <r>
    <n v="101.03"/>
    <x v="4"/>
    <m/>
    <x v="0"/>
    <m/>
    <m/>
    <s v="Renaissance in Indian science, preserving Indian way of thinking"/>
    <s v="Schrodinger, Quantum physics, Sanskrit non translatables, beej mantra"/>
    <m/>
    <m/>
    <m/>
    <m/>
    <d v="1899-12-30T00:26:25"/>
    <d v="1899-12-30T00:33:15"/>
    <d v="1899-12-30T00:06:50"/>
    <x v="19"/>
    <s v="https://www.youtube.com/embed/nmbYnYYpa6g?start=1585&amp;end=1995&amp;autoplay=1"/>
    <s v="Good"/>
    <s v="Good"/>
    <s v="Good"/>
  </r>
  <r>
    <n v="101.04"/>
    <x v="4"/>
    <m/>
    <x v="0"/>
    <m/>
    <m/>
    <s v="Question: Should western universalism be replaced by indian universalism"/>
    <s v="Tolerance vs mutual respect, docolonize Indian methodologies"/>
    <m/>
    <m/>
    <m/>
    <m/>
    <d v="1899-12-30T00:37:30"/>
    <d v="1899-12-30T00:48:38"/>
    <d v="1899-12-30T00:11:08"/>
    <x v="19"/>
    <s v="https://www.youtube.com/embed/nmbYnYYpa6g?start=2250&amp;end=2918&amp;autoplay=1"/>
    <s v="Good"/>
    <s v="Good"/>
    <s v="Good"/>
  </r>
  <r>
    <n v="101.05"/>
    <x v="4"/>
    <m/>
    <x v="0"/>
    <m/>
    <m/>
    <s v="Question: What is the origin of colonization of Indian education"/>
    <s v="Nalanda, Macaulay"/>
    <m/>
    <m/>
    <m/>
    <m/>
    <d v="1899-12-30T00:48:38"/>
    <d v="1899-12-30T00:53:22"/>
    <d v="1899-12-30T00:04:44"/>
    <x v="19"/>
    <s v="https://www.youtube.com/embed/nmbYnYYpa6g?start=2918&amp;end=3202&amp;autoplay=1"/>
    <s v="Good"/>
    <s v="Good"/>
    <s v="Good"/>
  </r>
  <r>
    <n v="101.06"/>
    <x v="4"/>
    <m/>
    <x v="0"/>
    <m/>
    <m/>
    <s v="Question: Is there truth in extra sensory phenomenon"/>
    <s v="Only if the outcomes can be measured"/>
    <m/>
    <m/>
    <m/>
    <m/>
    <d v="1899-12-30T00:54:00"/>
    <d v="1899-12-30T00:57:30"/>
    <d v="1899-12-30T00:03:30"/>
    <x v="19"/>
    <s v="https://www.youtube.com/embed/nmbYnYYpa6g?start=3240&amp;end=3450&amp;autoplay=1"/>
    <s v="Good"/>
    <s v="Good"/>
    <s v="Good"/>
  </r>
  <r>
    <n v="101.07"/>
    <x v="4"/>
    <m/>
    <x v="0"/>
    <m/>
    <m/>
    <s v="Question: Are you suggesting insulating Indian thought"/>
    <m/>
    <m/>
    <m/>
    <m/>
    <m/>
    <d v="1899-12-30T00:58:40"/>
    <d v="1899-12-30T01:00:17"/>
    <d v="1899-12-30T00:01:37"/>
    <x v="19"/>
    <s v="https://www.youtube.com/embed/nmbYnYYpa6g?start=3520&amp;end=3617&amp;autoplay=1"/>
    <s v="Good"/>
    <s v="Good"/>
    <s v="Good"/>
  </r>
  <r>
    <n v="101.08"/>
    <x v="4"/>
    <m/>
    <x v="0"/>
    <m/>
    <m/>
    <s v="Question: how to protect original Indian thinking from the colonized Indian"/>
    <m/>
    <m/>
    <m/>
    <m/>
    <m/>
    <d v="1899-12-30T01:00:17"/>
    <d v="1899-12-30T01:06:03"/>
    <d v="1899-12-30T00:05:46"/>
    <x v="19"/>
    <s v="https://www.youtube.com/embed/nmbYnYYpa6g?start=3617&amp;end=3963&amp;autoplay=1"/>
    <s v="Good"/>
    <s v="Good"/>
    <s v="Good"/>
  </r>
  <r>
    <n v="102"/>
    <x v="0"/>
    <m/>
    <x v="0"/>
    <s v="https://www.youtube.com/watch?v=NPNImjeRrF8"/>
    <s v="Rajiv Malhotra talk at Arsha Vidya"/>
    <s v="Why Hindu Identify?"/>
    <s v="Why we need Hindu Identify _x000a_   Will it not create conflict?_x000a_                No Because we have concept of mutual respect. Other has concept of tolerance. We do not claim exclusivity._x000a_   We all are American, why does it matter that we are Hindu, Chinese or Japanese?_x000a_                America is fine with hyphenated Identify - African American, Native American, British American etc._x000a_                hyphenated is fine with Religious Identify - Catholic American, Jews American, American Muslim etc._x000a_   As per Advaita Vedanta everything is Maya. So identify is useless. Identify only belongs to Dualistic. So why need Idenity?_x000a_                In Leela you have identity and you play your role as per Identify."/>
    <m/>
    <n v="1300"/>
    <d v="1899-12-30T00:17:16"/>
    <s v="5 years ago"/>
    <m/>
    <m/>
    <d v="1899-12-30T00:00:00"/>
    <x v="28"/>
    <s v=""/>
    <s v="Good"/>
    <s v="Good"/>
    <s v="Good"/>
  </r>
  <r>
    <n v="103"/>
    <x v="0"/>
    <m/>
    <x v="0"/>
    <s v="https://www.youtube.com/watch?v=8RSu4ymCgp4"/>
    <s v="Rajiv Malhotra's Lecture on U-Turn Theory, Lady Sri Ram College, Delhi"/>
    <m/>
    <m/>
    <m/>
    <n v="7900"/>
    <d v="1899-12-30T02:19:41"/>
    <s v="5 years ago"/>
    <m/>
    <m/>
    <d v="1899-12-30T00:00:00"/>
    <x v="28"/>
    <s v=""/>
    <s v="Good"/>
    <s v="Good"/>
    <s v="Good"/>
  </r>
  <r>
    <n v="103.01"/>
    <x v="0"/>
    <m/>
    <x v="0"/>
    <m/>
    <m/>
    <s v="Five stage of U-Turn Theory"/>
    <s v="1- Understanding the Indian thought with great respect_x000a_2- Erase the Indian origin and consider it generic, because of various reasons_x000a_3- Behave like it is part of their own culture. Like christian, jews or scientific idea. _x000a_4- Hate the India source_x000a_5- Final knowledge is imported into India as a new Idea"/>
    <m/>
    <m/>
    <m/>
    <m/>
    <d v="1899-12-30T00:00:25"/>
    <d v="1899-12-30T00:04:26"/>
    <d v="1899-12-30T00:04:01"/>
    <x v="28"/>
    <s v="https://www.youtube.com/embed/8RSu4ymCgp4?start=25&amp;end=266&amp;autoplay=1"/>
    <s v="Good"/>
    <s v="Good"/>
    <s v="Good"/>
  </r>
  <r>
    <n v="103.02"/>
    <x v="0"/>
    <m/>
    <x v="0"/>
    <m/>
    <m/>
    <s v="U-Turn of Dr. Herb Benson"/>
    <s v="Harvard Medical School- Discoveries in the science of Meditation"/>
    <m/>
    <m/>
    <m/>
    <m/>
    <d v="1899-12-30T00:22:23"/>
    <d v="1899-12-30T00:32:15"/>
    <d v="1899-12-30T00:09:52"/>
    <x v="28"/>
    <s v="https://www.youtube.com/embed/8RSu4ymCgp4?start=1343&amp;end=1935&amp;autoplay=1"/>
    <s v="Good"/>
    <s v="Good"/>
    <s v="Good"/>
  </r>
  <r>
    <n v="103.03"/>
    <x v="0"/>
    <m/>
    <x v="0"/>
    <m/>
    <m/>
    <s v="U-Turn of Daniel Goleman"/>
    <s v="Famous as the originator of Stress Management in the West. Author of Best Seller book Emotional Intelligence"/>
    <m/>
    <m/>
    <m/>
    <m/>
    <d v="1899-12-30T00:32:20"/>
    <d v="1899-12-30T00:33:25"/>
    <d v="1899-12-30T00:01:05"/>
    <x v="28"/>
    <s v="https://www.youtube.com/embed/8RSu4ymCgp4?start=1940&amp;end=2005&amp;autoplay=1"/>
    <s v="Good"/>
    <s v="Good"/>
    <s v="Good"/>
  </r>
  <r>
    <n v="103.04"/>
    <x v="0"/>
    <m/>
    <x v="0"/>
    <m/>
    <m/>
    <s v="U-Turn of Dean Ornish"/>
    <s v="Reverse Heart Disease Cardiac Treatment Experimenter_x000a_"/>
    <m/>
    <m/>
    <m/>
    <m/>
    <d v="1899-12-30T00:33:30"/>
    <d v="1899-12-30T00:34:30"/>
    <d v="1899-12-30T00:01:00"/>
    <x v="28"/>
    <s v="https://www.youtube.com/embed/8RSu4ymCgp4?start=2010&amp;end=2070&amp;autoplay=1"/>
    <s v="Good"/>
    <s v="Good"/>
    <s v="Good"/>
  </r>
  <r>
    <n v="103.05"/>
    <x v="0"/>
    <m/>
    <x v="0"/>
    <m/>
    <m/>
    <s v="U-Turn of John Kabat Zinn"/>
    <s v="Founder of Mindful Mediation. Which is originally Vipassana_x000a_"/>
    <m/>
    <m/>
    <m/>
    <m/>
    <d v="1899-12-30T00:34:34"/>
    <d v="1899-12-30T00:36:32"/>
    <d v="1899-12-30T00:01:58"/>
    <x v="28"/>
    <s v="https://www.youtube.com/embed/8RSu4ymCgp4?start=2074&amp;end=2192&amp;autoplay=1"/>
    <s v="Good"/>
    <s v="Good"/>
    <s v="Good"/>
  </r>
  <r>
    <n v="103.06"/>
    <x v="0"/>
    <m/>
    <x v="0"/>
    <m/>
    <m/>
    <s v="U-Turn of Stephen LaBerge"/>
    <s v="Prominent Professor of Cognitive Sciences At Stanford University. Yoga Nidra, Lucid Dreaming experiment."/>
    <m/>
    <m/>
    <m/>
    <m/>
    <d v="1899-12-30T00:36:44"/>
    <d v="1899-12-30T00:38:50"/>
    <d v="1899-12-30T00:02:06"/>
    <x v="28"/>
    <s v="https://www.youtube.com/embed/8RSu4ymCgp4?start=2204&amp;end=2330&amp;autoplay=1"/>
    <s v="Good"/>
    <s v="Good"/>
    <s v="Good"/>
  </r>
  <r>
    <n v="103.07"/>
    <x v="0"/>
    <m/>
    <x v="0"/>
    <m/>
    <m/>
    <s v="U-Turn of Francisco Varela"/>
    <s v="Late Professor, Cognitive Nerosciences and brain Imaging Laboratory, Paris"/>
    <m/>
    <m/>
    <m/>
    <m/>
    <d v="1899-12-30T00:38:55"/>
    <d v="1899-12-30T00:42:05"/>
    <d v="1899-12-30T00:03:10"/>
    <x v="28"/>
    <s v="https://www.youtube.com/embed/8RSu4ymCgp4?start=2335&amp;end=2525&amp;autoplay=1"/>
    <s v="Good"/>
    <s v="Good"/>
    <s v="Good"/>
  </r>
  <r>
    <n v="103.08"/>
    <x v="0"/>
    <m/>
    <x v="0"/>
    <m/>
    <m/>
    <s v="U-Trun of Evan Thompson"/>
    <s v="Student of Francisco Varela"/>
    <m/>
    <m/>
    <m/>
    <m/>
    <d v="1899-12-30T00:42:08"/>
    <d v="1899-12-30T00:43:09"/>
    <d v="1899-12-30T00:01:01"/>
    <x v="28"/>
    <s v="https://www.youtube.com/embed/8RSu4ymCgp4?start=2528&amp;end=2589&amp;autoplay=1"/>
    <s v="Good"/>
    <s v="Good"/>
    <s v="Good"/>
  </r>
  <r>
    <n v="103.09"/>
    <x v="0"/>
    <m/>
    <x v="0"/>
    <m/>
    <m/>
    <s v="U-Trun of Roberto Assagioli "/>
    <s v="Roberto Assagioli - Contemporary of Freud and the founder of psycho-synthesis. Transpersonal Psychology"/>
    <m/>
    <m/>
    <m/>
    <m/>
    <d v="1899-12-30T00:44:10"/>
    <d v="1899-12-30T00:46:10"/>
    <d v="1899-12-30T00:02:00"/>
    <x v="28"/>
    <s v="https://www.youtube.com/embed/8RSu4ymCgp4?start=2650&amp;end=2770&amp;autoplay=1"/>
    <s v="Good"/>
    <s v="Good"/>
    <s v="Good"/>
  </r>
  <r>
    <n v="103"/>
    <x v="3"/>
    <m/>
    <x v="0"/>
    <s v="https://www.youtube.com/watch?v=8RSu4ymCgp4"/>
    <s v="Rajiv Malhotra's Lecture on U-Turn Theory, Lady Sri Ram College, Delhi"/>
    <m/>
    <m/>
    <m/>
    <n v="7900"/>
    <d v="1899-12-30T02:19:41"/>
    <s v="5 years ago"/>
    <m/>
    <m/>
    <d v="1899-12-30T00:00:00"/>
    <x v="29"/>
    <s v=""/>
    <m/>
    <m/>
    <m/>
  </r>
  <r>
    <n v="103.01"/>
    <x v="3"/>
    <m/>
    <x v="0"/>
    <m/>
    <m/>
    <s v="Satges 1-5 of West appropriating Indian culture"/>
    <m/>
    <m/>
    <m/>
    <m/>
    <m/>
    <d v="1899-12-30T00:00:16"/>
    <d v="1899-12-30T00:04:25"/>
    <d v="1899-12-30T00:04:09"/>
    <x v="29"/>
    <m/>
    <s v="Good"/>
    <s v="Bad"/>
    <s v="Good"/>
  </r>
  <r>
    <n v="103.02"/>
    <x v="3"/>
    <m/>
    <x v="0"/>
    <m/>
    <m/>
    <s v="Assymetry of power = Abusive appropriation"/>
    <m/>
    <m/>
    <m/>
    <m/>
    <m/>
    <d v="1899-12-30T00:04:32"/>
    <d v="1899-12-30T00:07:58"/>
    <d v="1899-12-30T00:03:26"/>
    <x v="29"/>
    <m/>
    <s v="Good"/>
    <s v="Bad"/>
    <s v="Good"/>
  </r>
  <r>
    <n v="103.03"/>
    <x v="3"/>
    <m/>
    <x v="0"/>
    <m/>
    <m/>
    <s v="Neuroscientists study meditation - &quot;buddism/Indians&quot; as their specimen"/>
    <m/>
    <m/>
    <m/>
    <m/>
    <m/>
    <d v="1899-12-30T00:14:20"/>
    <d v="1899-12-30T00:20:47"/>
    <d v="1899-12-30T00:06:27"/>
    <x v="29"/>
    <m/>
    <s v="Good"/>
    <s v="Bad"/>
    <s v="Good"/>
  </r>
  <r>
    <n v="103.04"/>
    <x v="3"/>
    <m/>
    <x v="0"/>
    <m/>
    <m/>
    <s v="Appropriation of Meditation, denegrading/ not acknowledging Indian/ buddist sources"/>
    <m/>
    <m/>
    <m/>
    <m/>
    <m/>
    <d v="1899-12-30T00:20:48"/>
    <d v="1899-12-30T00:24:16"/>
    <d v="1899-12-30T00:03:28"/>
    <x v="29"/>
    <m/>
    <s v="Good"/>
    <s v="Bad"/>
    <s v="Good"/>
  </r>
  <r>
    <n v="103.05"/>
    <x v="3"/>
    <m/>
    <x v="0"/>
    <m/>
    <m/>
    <s v="The key model used for appropriation of Indian culture"/>
    <m/>
    <m/>
    <m/>
    <m/>
    <m/>
    <d v="1899-12-30T00:24:18"/>
    <d v="1899-12-30T00:26:47"/>
    <d v="1899-12-30T00:02:29"/>
    <x v="29"/>
    <m/>
    <s v="Good"/>
    <s v="Bad"/>
    <s v="Good"/>
  </r>
  <r>
    <n v="103.06"/>
    <x v="3"/>
    <m/>
    <x v="0"/>
    <m/>
    <m/>
    <s v="Herb Benson's model of Appropriation"/>
    <m/>
    <m/>
    <m/>
    <m/>
    <m/>
    <d v="1899-12-30T00:26:48"/>
    <d v="1899-12-30T00:32:15"/>
    <d v="1899-12-30T00:05:27"/>
    <x v="29"/>
    <m/>
    <s v="Good"/>
    <s v="Bad"/>
    <s v="Good"/>
  </r>
  <r>
    <n v="103.07"/>
    <x v="3"/>
    <m/>
    <x v="0"/>
    <m/>
    <m/>
    <s v="Daniel Goleman's - Stress Management - later distanced from Indian roots"/>
    <m/>
    <m/>
    <m/>
    <m/>
    <m/>
    <d v="1899-12-30T00:32:17"/>
    <d v="1899-12-30T00:33:24"/>
    <d v="1899-12-30T00:01:07"/>
    <x v="29"/>
    <m/>
    <s v="Good"/>
    <s v="Bad"/>
    <s v="Good"/>
  </r>
  <r>
    <n v="103.08"/>
    <x v="3"/>
    <m/>
    <x v="0"/>
    <m/>
    <m/>
    <s v="Dean Ornish guru Swami Satchitananda - now books called &quot;Western Science&quot;"/>
    <m/>
    <m/>
    <m/>
    <m/>
    <m/>
    <d v="1899-12-30T00:33:25"/>
    <d v="1899-12-30T00:34:33"/>
    <d v="1899-12-30T00:01:08"/>
    <x v="29"/>
    <m/>
    <s v="Good"/>
    <s v="Bad"/>
    <s v="Good"/>
  </r>
  <r>
    <n v="103.09"/>
    <x v="3"/>
    <m/>
    <x v="0"/>
    <m/>
    <m/>
    <s v="Jon Kabt Zinn - Appropriated Vipasana as &quot;Mindfulness&quot; "/>
    <m/>
    <m/>
    <m/>
    <m/>
    <m/>
    <d v="1899-12-30T00:34:35"/>
    <d v="1899-12-30T00:36:36"/>
    <d v="1899-12-30T00:02:01"/>
    <x v="29"/>
    <m/>
    <s v="Good"/>
    <s v="Bad"/>
    <s v="Good"/>
  </r>
  <r>
    <n v="103.1"/>
    <x v="3"/>
    <m/>
    <x v="0"/>
    <m/>
    <m/>
    <s v="Stephen LaBerge appropriated Yoga Nidra = Lucid Dreaming"/>
    <m/>
    <m/>
    <m/>
    <m/>
    <m/>
    <d v="1899-12-30T00:36:37"/>
    <d v="1899-12-30T00:38:54"/>
    <d v="1899-12-30T00:02:17"/>
    <x v="29"/>
    <m/>
    <s v="Good"/>
    <s v="Bad"/>
    <s v="Good"/>
  </r>
  <r>
    <n v="103.11"/>
    <x v="3"/>
    <m/>
    <x v="0"/>
    <m/>
    <m/>
    <s v="Key inst in cognitive sciences in appropriation &amp; New Translation"/>
    <m/>
    <m/>
    <m/>
    <m/>
    <m/>
    <d v="1899-12-30T00:38:55"/>
    <d v="1899-12-30T00:43:58"/>
    <d v="1899-12-30T00:05:03"/>
    <x v="29"/>
    <m/>
    <s v="Good"/>
    <s v="Bad"/>
    <s v="Good"/>
  </r>
  <r>
    <n v="103.12"/>
    <x v="3"/>
    <m/>
    <x v="0"/>
    <m/>
    <m/>
    <s v="Transpersonal psychology - E.g. Wilber early and later stages of appropriation"/>
    <m/>
    <m/>
    <m/>
    <m/>
    <m/>
    <d v="1899-12-30T00:44:00"/>
    <d v="1899-12-30T00:53:33"/>
    <d v="1899-12-30T00:09:33"/>
    <x v="29"/>
    <m/>
    <s v="Good"/>
    <s v="Bad"/>
    <s v="Good"/>
  </r>
  <r>
    <n v="103.13"/>
    <x v="3"/>
    <m/>
    <x v="0"/>
    <m/>
    <m/>
    <s v="E.g of Western Inst set up to support appropriation"/>
    <m/>
    <m/>
    <m/>
    <m/>
    <m/>
    <d v="1899-12-30T00:53:35"/>
    <d v="1899-12-30T01:02:00"/>
    <d v="1899-12-30T00:08:25"/>
    <x v="29"/>
    <m/>
    <s v="Good"/>
    <s v="Bad"/>
    <s v="Good"/>
  </r>
  <r>
    <n v="103.14"/>
    <x v="3"/>
    <m/>
    <x v="0"/>
    <m/>
    <m/>
    <s v="Carl Jung's U-turn from Indian thought - I"/>
    <m/>
    <m/>
    <m/>
    <m/>
    <m/>
    <d v="1899-12-30T01:02:28"/>
    <d v="1899-12-30T01:08:43"/>
    <d v="1899-12-30T00:06:15"/>
    <x v="19"/>
    <m/>
    <s v="Good"/>
    <s v="Bad"/>
    <s v="Good"/>
  </r>
  <r>
    <n v="103.15"/>
    <x v="3"/>
    <m/>
    <x v="0"/>
    <m/>
    <m/>
    <s v="Carl Jung's U-turn from Indian thought - II"/>
    <m/>
    <m/>
    <m/>
    <m/>
    <m/>
    <d v="1899-12-30T01:08:44"/>
    <d v="1899-12-30T01:16:35"/>
    <d v="1899-12-30T00:07:51"/>
    <x v="19"/>
    <m/>
    <s v="Good"/>
    <s v="Bad"/>
    <s v="Good"/>
  </r>
  <r>
    <n v="103.16"/>
    <x v="3"/>
    <m/>
    <x v="0"/>
    <m/>
    <m/>
    <s v="Hindu legacies in American religious thought"/>
    <m/>
    <m/>
    <m/>
    <m/>
    <m/>
    <d v="1899-12-30T01:16:03"/>
    <d v="1899-12-30T01:18:07"/>
    <d v="1899-12-30T00:02:04"/>
    <x v="19"/>
    <m/>
    <s v="Good"/>
    <s v="Bad"/>
    <s v="Good"/>
  </r>
  <r>
    <n v="103.17"/>
    <x v="3"/>
    <m/>
    <x v="0"/>
    <m/>
    <m/>
    <s v="Eugene Taylor's physical, psychological effects of Meditation"/>
    <m/>
    <m/>
    <m/>
    <m/>
    <m/>
    <d v="1899-12-30T01:18:08"/>
    <d v="1899-12-30T01:19:50"/>
    <d v="1899-12-30T00:01:42"/>
    <x v="19"/>
    <m/>
    <s v="Good"/>
    <s v="Bad"/>
    <s v="Good"/>
  </r>
  <r>
    <n v="103.18"/>
    <x v="3"/>
    <m/>
    <x v="0"/>
    <m/>
    <m/>
    <s v="U-turn by Western philosophers - explained"/>
    <m/>
    <m/>
    <m/>
    <m/>
    <m/>
    <d v="1899-12-30T01:20:00"/>
    <d v="1899-12-30T01:25:35"/>
    <d v="1899-12-30T00:05:35"/>
    <x v="19"/>
    <m/>
    <s v="Good"/>
    <s v="Bad"/>
    <s v="Good"/>
  </r>
  <r>
    <n v="103.19"/>
    <x v="3"/>
    <m/>
    <x v="0"/>
    <m/>
    <m/>
    <s v="U-turn by Western philosophers - stages"/>
    <m/>
    <m/>
    <m/>
    <m/>
    <m/>
    <d v="1899-12-30T01:25:36"/>
    <d v="1899-12-30T01:32:29"/>
    <d v="1899-12-30T00:06:53"/>
    <x v="19"/>
    <m/>
    <s v="Good"/>
    <s v="Bad"/>
    <s v="Good"/>
  </r>
  <r>
    <n v="103.2"/>
    <x v="3"/>
    <m/>
    <x v="0"/>
    <m/>
    <m/>
    <s v="Western U-turn influence on Indians - Desi shame"/>
    <m/>
    <m/>
    <m/>
    <m/>
    <m/>
    <d v="1899-12-30T01:32:30"/>
    <d v="1899-12-30T01:38:05"/>
    <d v="1899-12-30T00:05:35"/>
    <x v="19"/>
    <m/>
    <s v="Good"/>
    <s v="Bad"/>
    <s v="Good"/>
  </r>
  <r>
    <n v="103.21"/>
    <x v="3"/>
    <m/>
    <x v="0"/>
    <m/>
    <m/>
    <s v="Return of Desi Pride "/>
    <m/>
    <m/>
    <m/>
    <m/>
    <m/>
    <d v="1899-12-30T01:38:06"/>
    <d v="1899-12-30T01:39:19"/>
    <d v="1899-12-30T00:01:13"/>
    <x v="19"/>
    <m/>
    <s v="Good"/>
    <s v="Bad"/>
    <s v="Good"/>
  </r>
  <r>
    <n v="103.22"/>
    <x v="3"/>
    <m/>
    <x v="0"/>
    <m/>
    <m/>
    <s v="Civilizational Darwinism and its consequences"/>
    <m/>
    <m/>
    <m/>
    <m/>
    <m/>
    <d v="1899-12-30T01:39:20"/>
    <d v="1899-12-30T01:41:16"/>
    <d v="1899-12-30T00:01:56"/>
    <x v="19"/>
    <m/>
    <s v="Good"/>
    <s v="Bad"/>
    <s v="Good"/>
  </r>
  <r>
    <n v="103.23"/>
    <x v="3"/>
    <m/>
    <x v="0"/>
    <m/>
    <m/>
    <s v="Cultural appropriation - E.g Ayurveda, consequences"/>
    <m/>
    <m/>
    <m/>
    <m/>
    <m/>
    <d v="1899-12-30T01:41:18"/>
    <d v="1899-12-30T01:47:00"/>
    <d v="1899-12-30T00:05:42"/>
    <x v="19"/>
    <m/>
    <s v="Good"/>
    <s v="Bad"/>
    <s v="Good"/>
  </r>
  <r>
    <n v="103.24"/>
    <x v="3"/>
    <m/>
    <x v="0"/>
    <m/>
    <m/>
    <s v="Varna, Jathi and Caste explained"/>
    <m/>
    <m/>
    <m/>
    <m/>
    <m/>
    <d v="1899-12-30T01:47:35"/>
    <d v="1899-12-30T01:54:52"/>
    <d v="1899-12-30T00:07:17"/>
    <x v="19"/>
    <m/>
    <s v="Good"/>
    <s v="Bad"/>
    <s v="Good"/>
  </r>
  <r>
    <n v="103.25"/>
    <x v="3"/>
    <m/>
    <x v="0"/>
    <m/>
    <m/>
    <s v="Respecting our tradition - key to creating growth opportunities - eg Indian Cuisine"/>
    <m/>
    <m/>
    <m/>
    <m/>
    <m/>
    <d v="1899-12-30T01:55:11"/>
    <d v="1899-12-30T02:05:03"/>
    <d v="1899-12-30T00:09:52"/>
    <x v="19"/>
    <m/>
    <s v="Good"/>
    <s v="Bad"/>
    <s v="Good"/>
  </r>
  <r>
    <n v="104"/>
    <x v="2"/>
    <m/>
    <x v="0"/>
    <s v="https://www.youtube.com/watch?v=MOkWSa69NKA"/>
    <s v="Tsunami: The Untold Story by Rajiv Malhotra, 2005"/>
    <m/>
    <m/>
    <m/>
    <n v="4000"/>
    <d v="1899-12-30T00:33:53"/>
    <s v="5 years ago"/>
    <m/>
    <m/>
    <m/>
    <x v="30"/>
    <s v=""/>
    <m/>
    <m/>
    <m/>
  </r>
  <r>
    <n v="104.01"/>
    <x v="2"/>
    <m/>
    <x v="0"/>
    <m/>
    <m/>
    <s v="AIM for Seva and its work in Tamilnadu"/>
    <s v="RM's trip to India to visit the AIM for Seva organization in TN and understand its work better. AIM for Seva has helped restore livelihoods in the Tsunami hit villages of Tamil Nadu  "/>
    <m/>
    <m/>
    <m/>
    <m/>
    <d v="1899-12-30T00:01:45"/>
    <d v="1899-12-30T00:15:22"/>
    <d v="1899-12-30T00:13:37"/>
    <x v="30"/>
    <s v="https://www.youtube.com/embed/MOkWSa69NKA?start=105&amp;end=922&amp;autoplay=1"/>
    <s v="Good"/>
    <s v="Average"/>
    <s v="Good"/>
  </r>
  <r>
    <n v="104.02"/>
    <x v="2"/>
    <m/>
    <x v="0"/>
    <m/>
    <m/>
    <s v="The Christian evangelisation agenda"/>
    <s v="Christian institutions used the post-Tsunami period to spread their agenda under the guise of restoration. However, the help they rendered was not significant and in some cases not relevant too."/>
    <m/>
    <m/>
    <m/>
    <m/>
    <d v="1899-12-30T00:15:23"/>
    <d v="1899-12-30T00:16:42"/>
    <d v="1899-12-30T00:01:19"/>
    <x v="30"/>
    <s v="https://www.youtube.com/embed/MOkWSa69NKA?start=923&amp;end=1002&amp;autoplay=1"/>
    <s v="Good"/>
    <s v="Average"/>
    <s v="Good"/>
  </r>
  <r>
    <n v="104.03"/>
    <x v="2"/>
    <m/>
    <x v="0"/>
    <m/>
    <m/>
    <s v="Conversion of temples into monuments by ASI"/>
    <s v="The Tsunami exposed several deities which were under the sea in Mahabalipuram. Now ASI is declaring these to be monuments, in essence declaring these religious assets to be dead."/>
    <m/>
    <m/>
    <m/>
    <m/>
    <d v="1899-12-30T00:16:43"/>
    <d v="1899-12-30T00:21:16"/>
    <d v="1899-12-30T00:04:33"/>
    <x v="30"/>
    <s v="https://www.youtube.com/embed/MOkWSa69NKA?start=1003&amp;end=1276&amp;autoplay=1"/>
    <s v="Good"/>
    <s v="Average"/>
    <s v="Good"/>
  </r>
  <r>
    <n v="104.04"/>
    <x v="2"/>
    <m/>
    <x v="0"/>
    <m/>
    <m/>
    <s v="Busting some caste based myths"/>
    <s v="An example is shown - A priest from Vanniyar community (classified as most backward caste) performs the puja in an old temple in TN and has been doing it for 50 years. He has taken this over from his father. This dismisses the theory of only Brahmin priests being allowed to function in temples. ANother example is shown from a Veda patashala"/>
    <m/>
    <m/>
    <m/>
    <m/>
    <d v="1899-12-30T00:21:17"/>
    <d v="1899-12-30T00:28:23"/>
    <d v="1899-12-30T00:07:06"/>
    <x v="30"/>
    <s v="https://www.youtube.com/embed/MOkWSa69NKA?start=1277&amp;end=1703&amp;autoplay=1"/>
    <s v="Good"/>
    <s v="Average"/>
    <s v="Good"/>
  </r>
  <r>
    <n v="105"/>
    <x v="2"/>
    <m/>
    <x v="0"/>
    <s v="https://www.youtube.com/watch?v=k_PhmmAyLFg"/>
    <s v="Rajiv Malhotra: Globalization &amp; World Peace, Asian Indian Chamber of Commerce, Nov 16 2008"/>
    <m/>
    <m/>
    <m/>
    <n v="3600"/>
    <d v="1899-12-30T02:09:00"/>
    <s v="5 years ago"/>
    <m/>
    <m/>
    <m/>
    <x v="18"/>
    <s v=""/>
    <m/>
    <m/>
    <m/>
  </r>
  <r>
    <n v="105.05"/>
    <x v="2"/>
    <m/>
    <x v="0"/>
    <m/>
    <m/>
    <s v="Alternatives to Western Universalism"/>
    <s v="RM explains how China has come up with a Confucian model as an alternative to Western Universalism. They did not want to accept the Western view of globalization. Similarly, Islam has come up with its own model. However, Indians are embarrassed to establish their own identity similarly. "/>
    <m/>
    <m/>
    <m/>
    <m/>
    <d v="1899-12-30T00:50:39"/>
    <d v="1899-12-30T00:59:33"/>
    <d v="1899-12-30T00:08:54"/>
    <x v="31"/>
    <s v="https://www.youtube.com/embed/k_PhmmAyLFg?start=3039&amp;end=3573&amp;autoplay=1"/>
    <s v="Good"/>
    <s v="Average"/>
    <s v="Good"/>
  </r>
  <r>
    <n v="105.06"/>
    <x v="2"/>
    <m/>
    <x v="0"/>
    <m/>
    <m/>
    <s v="Rajiv Malhotra on what liberalism means today"/>
    <s v="Liberalism started out as economic egalitarianism in America. Today racial parity is also being sought. However, religious equality is still far away."/>
    <m/>
    <m/>
    <m/>
    <m/>
    <d v="1899-12-30T00:59:33"/>
    <d v="1899-12-30T01:01:47"/>
    <d v="1899-12-30T00:02:14"/>
    <x v="31"/>
    <s v="https://www.youtube.com/embed/k_PhmmAyLFg?start=3573&amp;end=3707&amp;autoplay=1"/>
    <s v="Good"/>
    <s v="Average"/>
    <s v="Good"/>
  </r>
  <r>
    <n v="105.07"/>
    <x v="2"/>
    <m/>
    <x v="0"/>
    <m/>
    <m/>
    <s v="Enforcing an international code of ethics "/>
    <s v="Dr. Swamy and RM's views on dealing with violations of trade agreements when dealing with countries such as China."/>
    <m/>
    <m/>
    <m/>
    <m/>
    <d v="1899-12-30T01:02:02"/>
    <d v="1899-12-30T01:06:10"/>
    <d v="1899-12-30T00:04:08"/>
    <x v="31"/>
    <s v="https://www.youtube.com/embed/k_PhmmAyLFg?start=3722&amp;end=3970&amp;autoplay=1"/>
    <s v="Good"/>
    <s v="Average"/>
    <s v="Good"/>
  </r>
  <r>
    <n v="105.08"/>
    <x v="2"/>
    <m/>
    <x v="0"/>
    <m/>
    <m/>
    <s v="The expected benefits and flipside of globalization"/>
    <s v="Globalization should happen in such a way that it ensures economic harmony, is socially tolerable and morally adequate. The flip side of globalization which will intensify conflicts is when competing forces fight for resources. Example is  Christian evangelisation and this is a new perspective."/>
    <m/>
    <m/>
    <m/>
    <m/>
    <d v="1899-12-30T01:06:11"/>
    <d v="1899-12-30T01:14:16"/>
    <d v="1899-12-30T00:08:05"/>
    <x v="31"/>
    <s v="https://www.youtube.com/embed/k_PhmmAyLFg?start=3971&amp;end=4456&amp;autoplay=1"/>
    <s v="Good"/>
    <s v="Average"/>
    <s v="Good"/>
  </r>
  <r>
    <n v="105.09"/>
    <x v="2"/>
    <m/>
    <x v="0"/>
    <m/>
    <m/>
    <s v="Is the minority card being used correctly?"/>
    <s v="RM gives the example of President Obama who ran as an American and not as someone representing a minority. We need similar thinking mirrored in India among the politicians who tend to carry a chip over their shoulder as a minority."/>
    <m/>
    <m/>
    <m/>
    <m/>
    <d v="1899-12-30T01:14:20"/>
    <d v="1899-12-30T01:16:50"/>
    <d v="1899-12-30T00:02:30"/>
    <x v="32"/>
    <s v="https://www.youtube.com/embed/k_PhmmAyLFg?start=4460&amp;end=4610&amp;autoplay=1"/>
    <s v="Good"/>
    <s v="Average"/>
    <s v="Good"/>
  </r>
  <r>
    <n v="105.1"/>
    <x v="2"/>
    <m/>
    <x v="0"/>
    <m/>
    <m/>
    <s v="Should commonalities between various religions be focused on over differences?"/>
    <s v="Differences should not be treated as problem, rather they should be celebrated. Looking for sameness can lead to pressures and conflict."/>
    <m/>
    <m/>
    <m/>
    <m/>
    <d v="1899-12-30T01:16:53"/>
    <d v="1899-12-30T01:22:23"/>
    <d v="1899-12-30T00:05:30"/>
    <x v="32"/>
    <s v="https://www.youtube.com/embed/k_PhmmAyLFg?start=4613&amp;end=4943&amp;autoplay=1"/>
    <s v="Good"/>
    <s v="Average"/>
    <s v="Good"/>
  </r>
  <r>
    <n v="105.11"/>
    <x v="2"/>
    <m/>
    <x v="0"/>
    <m/>
    <m/>
    <s v="Conflict between Christianity and Islam"/>
    <s v="Both religions are trying to establish a supremacy and as a result target people belonging to non-proselytizing religions. In fact, Christianity has a systematic plan with targets by zip codes in countries such as India to achieve this."/>
    <m/>
    <m/>
    <m/>
    <m/>
    <d v="1899-12-30T01:22:36"/>
    <d v="1899-12-30T01:29:28"/>
    <d v="1899-12-30T00:06:52"/>
    <x v="32"/>
    <s v="https://www.youtube.com/embed/k_PhmmAyLFg?start=4956&amp;end=5368&amp;autoplay=1"/>
    <s v="Good"/>
    <s v="Average"/>
    <s v="Good"/>
  </r>
  <r>
    <n v="105.12"/>
    <x v="2"/>
    <m/>
    <x v="0"/>
    <m/>
    <m/>
    <s v="The Varna system in today's context"/>
    <s v="The four Varnas are based on skills and not by birth and not to be confused with caste."/>
    <m/>
    <m/>
    <m/>
    <m/>
    <d v="1899-12-30T01:29:28"/>
    <d v="1899-12-30T01:33:39"/>
    <d v="1899-12-30T00:04:11"/>
    <x v="32"/>
    <s v="https://www.youtube.com/embed/k_PhmmAyLFg?start=5368&amp;end=5619&amp;autoplay=1"/>
    <s v="Good"/>
    <s v="Average"/>
    <s v="Good"/>
  </r>
  <r>
    <n v="105.13"/>
    <x v="2"/>
    <m/>
    <x v="0"/>
    <m/>
    <m/>
    <s v="Religious freedom involves being responsible and ethical and not exploiting poor people."/>
    <s v="Religious organizations like churches should be responsible about their messages they promote especially in countries like India. It is immoral to state that a person will go to hell for following another religion.Churches use their financial muscle to convert people in India which is not morally correct."/>
    <m/>
    <m/>
    <m/>
    <m/>
    <d v="1899-12-30T01:33:44"/>
    <d v="1899-12-30T01:42:46"/>
    <d v="1899-12-30T00:09:02"/>
    <x v="32"/>
    <s v="https://www.youtube.com/embed/k_PhmmAyLFg?start=5624&amp;end=6166&amp;autoplay=1"/>
    <s v="Good"/>
    <s v="Average"/>
    <s v="Good"/>
  </r>
  <r>
    <n v="105.14"/>
    <x v="2"/>
    <m/>
    <x v="0"/>
    <m/>
    <m/>
    <s v="Conversion to Christianity does not solve caste problems"/>
    <s v="Christianity in India has a thriving caste system built into it. This is the same in places like the Philippines and even in America there is a hierarchy. It is a myth that Christianity has overcome the caste problem."/>
    <m/>
    <m/>
    <m/>
    <m/>
    <d v="1899-12-30T01:42:48"/>
    <d v="1899-12-30T01:45:44"/>
    <d v="1899-12-30T00:02:56"/>
    <x v="32"/>
    <s v="https://www.youtube.com/embed/k_PhmmAyLFg?start=6168&amp;end=6344&amp;autoplay=1"/>
    <s v="Good"/>
    <s v="Average"/>
    <s v="Good"/>
  </r>
  <r>
    <n v="105.15"/>
    <x v="2"/>
    <m/>
    <x v="0"/>
    <m/>
    <m/>
    <s v="History of Indian education - the British impact"/>
    <s v="The British rule in India did away with the traditional methods of learning and instead brought about a system that did not encourage thinking. Today we look upon our culture and heritage with an inferiority complex and view it favourably only when a foreign scholar lectures on it. "/>
    <m/>
    <m/>
    <m/>
    <m/>
    <d v="1899-12-30T01:50:21"/>
    <d v="1899-12-30T01:58:55"/>
    <d v="1899-12-30T00:08:34"/>
    <x v="32"/>
    <s v="https://www.youtube.com/embed/k_PhmmAyLFg?start=6621&amp;end=7135&amp;autoplay=1"/>
    <s v="Good"/>
    <s v="Average"/>
    <s v="Good"/>
  </r>
  <r>
    <n v="105.16"/>
    <x v="2"/>
    <m/>
    <x v="0"/>
    <m/>
    <m/>
    <s v="Dr. Subramanian Swamy on why India should be concerned about conversion to Christianity?"/>
    <s v="Conversions are funded by limitless foreign resources and it is not a level playing field."/>
    <m/>
    <m/>
    <m/>
    <m/>
    <d v="1899-12-30T01:58:55"/>
    <d v="1899-12-30T02:01:20"/>
    <d v="1899-12-30T00:02:25"/>
    <x v="32"/>
    <s v="https://www.youtube.com/embed/k_PhmmAyLFg?start=7135&amp;end=7280&amp;autoplay=1"/>
    <s v="Good"/>
    <s v="Average"/>
    <s v="Good"/>
  </r>
  <r>
    <n v="106"/>
    <x v="5"/>
    <m/>
    <x v="0"/>
    <s v="https://www.youtube.com/watch?v=tUBrwCmKx8s"/>
    <s v="Rajiv Malhotra's Where is India in the Eagle's Eye?"/>
    <m/>
    <m/>
    <m/>
    <n v="11000"/>
    <d v="1899-12-30T01:19:02"/>
    <s v="5 years ago"/>
    <m/>
    <m/>
    <d v="1899-12-30T00:00:00"/>
    <x v="33"/>
    <s v=""/>
    <m/>
    <m/>
    <m/>
  </r>
  <r>
    <n v="106.01"/>
    <x v="5"/>
    <m/>
    <x v="0"/>
    <m/>
    <m/>
    <s v="Introduction: Where is India in the Eagle's Eyes?"/>
    <s v="Overview of what America stands for vis-a-vis India by Rajiv Malhotra. Briefly touches the salient points before explaining in greater details in the subsequent slides such as America's gift to India's youth as well as the deeper truth. also discusses three layers of American civilization."/>
    <m/>
    <m/>
    <m/>
    <m/>
    <d v="1899-12-30T00:00:02"/>
    <d v="1899-12-30T00:14:26"/>
    <d v="1899-12-30T00:14:24"/>
    <x v="34"/>
    <m/>
    <s v="Good"/>
    <s v="Good"/>
    <s v="Good"/>
  </r>
  <r>
    <n v="106.02"/>
    <x v="5"/>
    <m/>
    <x v="0"/>
    <m/>
    <m/>
    <s v="History of America's Manifest Destiny"/>
    <s v="Rajiv Malhotra takes us through the journey  of how &quot;Manifest Destiny&quot; became America's powerful mantra. "/>
    <m/>
    <m/>
    <m/>
    <m/>
    <d v="1899-12-30T00:14:27"/>
    <d v="1899-12-30T00:17:15"/>
    <d v="1899-12-30T00:02:48"/>
    <x v="26"/>
    <m/>
    <s v="Good"/>
    <s v="Good"/>
    <s v="Good"/>
  </r>
  <r>
    <n v="106.03"/>
    <x v="5"/>
    <m/>
    <x v="0"/>
    <m/>
    <m/>
    <s v="Example of Corporate Support: Pew Trust"/>
    <s v="Explicit Mission Statement by Pew Trust: To support institution that upholds historic Chrisitian principles rooted in Biblical standards."/>
    <m/>
    <m/>
    <m/>
    <m/>
    <d v="1899-12-30T00:17:15"/>
    <d v="1899-12-30T00:18:08"/>
    <d v="1899-12-30T00:00:53"/>
    <x v="15"/>
    <m/>
    <s v="Good"/>
    <s v="Good"/>
    <s v="Good"/>
  </r>
  <r>
    <n v="106.04"/>
    <x v="5"/>
    <m/>
    <x v="0"/>
    <m/>
    <m/>
    <s v="Bible and Secular Media in America"/>
    <s v="Rajiv Malhotra shows that Time, Newsweek. US News and World Report carried over a dozen special issues on Bible, Christianity, Jesus etc. in the past few years with great respect. Serious analysis of Biblical history and its positive role in todays' time was done by them."/>
    <m/>
    <m/>
    <m/>
    <m/>
    <d v="1899-12-30T00:18:09"/>
    <d v="1899-12-30T00:19:08"/>
    <d v="1899-12-30T00:00:59"/>
    <x v="15"/>
    <m/>
    <s v="Good"/>
    <s v="Good"/>
    <s v="Good"/>
  </r>
  <r>
    <n v="106.05"/>
    <x v="5"/>
    <m/>
    <x v="0"/>
    <m/>
    <m/>
    <s v="American Civilization's Three Layers"/>
    <s v="America has three layers of its' civilization viz. Pop culture Layer, Business Layer and Deep Culture Layer. "/>
    <m/>
    <m/>
    <m/>
    <m/>
    <d v="1899-12-30T00:19:09"/>
    <d v="1899-12-30T00:26:40"/>
    <d v="1899-12-30T00:07:31"/>
    <x v="15"/>
    <m/>
    <s v="Good"/>
    <s v="Good"/>
    <s v="Good"/>
  </r>
  <r>
    <n v="106.06"/>
    <x v="5"/>
    <m/>
    <x v="0"/>
    <m/>
    <m/>
    <s v="America is Larger Than Life for Americans"/>
    <s v="America  has hundreds of Historical Societies across the nation, its History books showing greatness of Western Civilization. It has hugelu popular Presidential libraries, historical monuments, theme parks etc. The National Flag is like a very sacred Deiti, and is found everywhere. All levels of Governments are based on patriotism and all political parties are always pro-American."/>
    <m/>
    <m/>
    <m/>
    <m/>
    <d v="1899-12-30T00:26:42"/>
    <d v="1899-12-30T00:28:10"/>
    <d v="1899-12-30T00:01:28"/>
    <x v="16"/>
    <m/>
    <s v="Good"/>
    <s v="Good"/>
    <s v="Good"/>
  </r>
  <r>
    <n v="106.07"/>
    <x v="5"/>
    <m/>
    <x v="0"/>
    <m/>
    <m/>
    <s v="Contesting America's Post-Modernity"/>
    <s v="Robert Young, a literary theorist had written, &quot;We are witnessing the dissolution of the West.&quot; Other authors too expressed the view that the Europeans no longer seem acceptable in a world where others are reasoning their own notion of the past and the future. However, rajiv malhotra thinks that the USA is following a trajectory that is diametrically opposite to the Young's analysis."/>
    <m/>
    <m/>
    <m/>
    <m/>
    <d v="1899-12-30T00:28:12"/>
    <d v="1899-12-30T00:30:35"/>
    <d v="1899-12-30T00:02:23"/>
    <x v="16"/>
    <m/>
    <s v="Good"/>
    <s v="Good"/>
    <s v="Good"/>
  </r>
  <r>
    <n v="106.08"/>
    <x v="5"/>
    <m/>
    <x v="0"/>
    <m/>
    <m/>
    <s v="For America, Is Postmodernism for Export Only?"/>
    <s v="Deconstruction ideology failed in the American mainstream as Rajiv Malhotra observes. Postmodernism denies the unity of anything that includes the &quot;lived experience&quot; by any civilization. Wall Street Journal wrote, &quot; Evangelicals give US foreign policy an activist tinge.&quot;"/>
    <m/>
    <m/>
    <m/>
    <m/>
    <d v="1899-12-30T00:30:37"/>
    <d v="1899-12-30T00:32:46"/>
    <d v="1899-12-30T00:02:09"/>
    <x v="16"/>
    <m/>
    <s v="Good"/>
    <s v="Good"/>
    <s v="Good"/>
  </r>
  <r>
    <n v="106.09"/>
    <x v="5"/>
    <m/>
    <x v="0"/>
    <m/>
    <m/>
    <s v="Foreign Interventions via Human Rights NGOs"/>
    <s v="Unabashadly US Secretary of State Colin Powel had said, &quot; NGOs are force multiplier for us&quot;.  USAID administrator once proclaimed, &quot; NGOs are an arm of the US government&quot;."/>
    <m/>
    <m/>
    <m/>
    <m/>
    <d v="1899-12-30T00:32:48"/>
    <d v="1899-12-30T00:33:27"/>
    <d v="1899-12-30T00:00:39"/>
    <x v="16"/>
    <m/>
    <s v="Good"/>
    <s v="Good"/>
    <s v="Good"/>
  </r>
  <r>
    <n v="106.1"/>
    <x v="5"/>
    <m/>
    <x v="0"/>
    <m/>
    <m/>
    <s v="External Civilizational Challenges for America"/>
    <s v="America's dilemma is in dealing with these two challenges; one with China for the clash of modernities and with Islam for the clash of fundamentalism. America also has dilemma for dealing with India; with one school wanting to build India and another to fragment India."/>
    <m/>
    <m/>
    <m/>
    <m/>
    <d v="1899-12-30T00:33:28"/>
    <d v="1899-12-30T00:39:55"/>
    <d v="1899-12-30T00:06:27"/>
    <x v="16"/>
    <m/>
    <s v="Good"/>
    <s v="Good"/>
    <s v="Good"/>
  </r>
  <r>
    <n v="106.11"/>
    <x v="5"/>
    <m/>
    <x v="0"/>
    <m/>
    <m/>
    <s v="Fragmentation Example: The Afro-Dalit Project"/>
    <s v="Rajiv Malhotra discusses the Afro-Dalit project that involves branding the dalits of India as the &quot;Blacks of India&quot; and non-dalits as the &quot;Whites of India&quot;.This project has full Institutional support from the Church,, Academy and Human Rights groups."/>
    <m/>
    <m/>
    <m/>
    <m/>
    <d v="1899-12-30T00:39:56"/>
    <d v="1899-12-30T00:44:47"/>
    <d v="1899-12-30T00:04:51"/>
    <x v="16"/>
    <m/>
    <s v="Good"/>
    <s v="Good"/>
    <s v="Good"/>
  </r>
  <r>
    <n v="106.12"/>
    <x v="5"/>
    <m/>
    <x v="0"/>
    <m/>
    <m/>
    <s v="Are Indians managed by America?"/>
    <s v="There are two links that operate simulataneously having focus on India. The business wants to deal with India positively and the other link comprising the Government, Church, Funding agencies, academy, Journalists, NGOs wants to fragment India."/>
    <m/>
    <m/>
    <m/>
    <m/>
    <d v="1899-12-30T00:44:50"/>
    <d v="1899-12-30T00:46:29"/>
    <d v="1899-12-30T00:01:39"/>
    <x v="16"/>
    <m/>
    <s v="Good"/>
    <s v="Good"/>
    <s v="Good"/>
  </r>
  <r>
    <n v="106.13"/>
    <x v="5"/>
    <m/>
    <x v="0"/>
    <m/>
    <m/>
    <s v="India's indifference to US Intervention in it's Affairs"/>
    <s v="Indian Government is missing in action even though US Government is involved in the activities which hurt India. "/>
    <m/>
    <m/>
    <m/>
    <m/>
    <d v="1899-12-30T00:46:38"/>
    <d v="1899-12-30T00:47:49"/>
    <d v="1899-12-30T00:01:11"/>
    <x v="16"/>
    <m/>
    <s v="Good"/>
    <s v="Good"/>
    <s v="Good"/>
  </r>
  <r>
    <n v="106.14"/>
    <x v="5"/>
    <m/>
    <x v="0"/>
    <m/>
    <m/>
    <s v="America's Complex Interest on India"/>
    <s v="Rajiv Malhotra explains the complexities that determine America's interest on India. The vested interest groups are Businesses, Church, Government, Academy etc."/>
    <m/>
    <m/>
    <m/>
    <m/>
    <d v="1899-12-30T00:47:51"/>
    <d v="1899-12-30T00:53:25"/>
    <d v="1899-12-30T00:05:34"/>
    <x v="16"/>
    <m/>
    <s v="Good"/>
    <s v="Good"/>
    <s v="Good"/>
  </r>
  <r>
    <n v="106.15"/>
    <x v="5"/>
    <m/>
    <x v="0"/>
    <m/>
    <m/>
    <s v="Summary of Lecture-1"/>
    <s v="Rajiv Malhotra summarises his talk by pointing out the commonly held perception and his counter position on several issues."/>
    <m/>
    <m/>
    <m/>
    <m/>
    <d v="1899-12-30T00:53:26"/>
    <d v="1899-12-30T00:58:08"/>
    <d v="1899-12-30T00:04:42"/>
    <x v="16"/>
    <m/>
    <s v="Good"/>
    <s v="Good"/>
    <s v="Good"/>
  </r>
  <r>
    <n v="106.16"/>
    <x v="5"/>
    <m/>
    <x v="0"/>
    <m/>
    <m/>
    <s v="Q&amp;A: Persecution of Dalits in India"/>
    <s v="Rajiv Malhotra gives seven-points explanation to this question."/>
    <m/>
    <m/>
    <m/>
    <m/>
    <d v="1899-12-30T01:01:45"/>
    <d v="1899-12-30T01:04:38"/>
    <d v="1899-12-30T00:02:53"/>
    <x v="16"/>
    <m/>
    <s v="Good"/>
    <s v="Good"/>
    <s v="Good"/>
  </r>
  <r>
    <n v="106.17"/>
    <x v="5"/>
    <m/>
    <x v="0"/>
    <m/>
    <m/>
    <s v="South Asia Study: How to Deconstruct India?"/>
    <s v="Rajiv Malhotra exposes the engagement of various forces in the USA who have systematically undertaken the task to deconstruct India and to build sub-nationalism in India."/>
    <m/>
    <m/>
    <m/>
    <m/>
    <d v="1899-12-30T01:15:26"/>
    <d v="1899-12-30T01:18:21"/>
    <d v="1899-12-30T00:02:55"/>
    <x v="16"/>
    <m/>
    <s v="Good"/>
    <s v="Good"/>
    <s v="Good"/>
  </r>
  <r>
    <n v="107"/>
    <x v="0"/>
    <m/>
    <x v="0"/>
    <s v="https://www.youtube.com/watch?v=Vf5BOYF0S3Y"/>
    <s v="American Theory-Making on India: &quot;Saving Indians from India&quot; by Rajiv Malhotra 2005 at IIC Delhi"/>
    <m/>
    <m/>
    <m/>
    <n v="11000"/>
    <d v="1899-12-30T02:01:38"/>
    <s v="5 years ago"/>
    <m/>
    <m/>
    <d v="1899-12-30T00:00:00"/>
    <x v="4"/>
    <s v=""/>
    <m/>
    <m/>
    <m/>
  </r>
  <r>
    <n v="107.01"/>
    <x v="0"/>
    <m/>
    <x v="0"/>
    <m/>
    <m/>
    <s v="Human Right Policing in India by USA"/>
    <m/>
    <m/>
    <m/>
    <m/>
    <m/>
    <d v="1899-12-30T00:29:00"/>
    <d v="1899-12-30T00:33:20"/>
    <d v="1899-12-30T00:04:20"/>
    <x v="4"/>
    <s v="https://www.youtube.com/embed/Vf5BOYF0S3Y?start=1740&amp;end=2000&amp;autoplay=1"/>
    <m/>
    <m/>
    <m/>
  </r>
  <r>
    <n v="107.02"/>
    <x v="0"/>
    <m/>
    <x v="0"/>
    <m/>
    <m/>
    <s v="Does the west of superior human right records?"/>
    <m/>
    <m/>
    <m/>
    <m/>
    <m/>
    <d v="1899-12-30T00:30:00"/>
    <d v="1899-12-30T00:32:05"/>
    <d v="1899-12-30T00:02:05"/>
    <x v="4"/>
    <s v="https://www.youtube.com/embed/Vf5BOYF0S3Y?start=1800&amp;end=1925&amp;autoplay=1"/>
    <m/>
    <m/>
    <m/>
  </r>
  <r>
    <n v="107.03"/>
    <x v="0"/>
    <m/>
    <x v="0"/>
    <m/>
    <m/>
    <s v="Dowry murders Delhi and Insurance Killing in New York a comparison"/>
    <m/>
    <m/>
    <m/>
    <m/>
    <m/>
    <d v="1899-12-30T00:30:55"/>
    <d v="1899-12-30T00:32:05"/>
    <d v="1899-12-30T00:01:10"/>
    <x v="4"/>
    <s v="https://www.youtube.com/embed/Vf5BOYF0S3Y?start=1855&amp;end=1925&amp;autoplay=1"/>
    <m/>
    <m/>
    <m/>
  </r>
  <r>
    <n v="107.04"/>
    <x v="0"/>
    <m/>
    <x v="0"/>
    <m/>
    <m/>
    <s v="India's Pluralism is Under-appreciated!"/>
    <m/>
    <m/>
    <m/>
    <m/>
    <m/>
    <d v="1899-12-30T00:30:10"/>
    <d v="1899-12-30T00:40:30"/>
    <d v="1899-12-30T00:10:20"/>
    <x v="4"/>
    <s v="https://www.youtube.com/embed/Vf5BOYF0S3Y?start=1810&amp;end=2430&amp;autoplay=1"/>
    <m/>
    <m/>
    <m/>
  </r>
  <r>
    <n v="107.05"/>
    <x v="0"/>
    <m/>
    <x v="0"/>
    <m/>
    <m/>
    <s v="Academic studies about India are prejudice"/>
    <m/>
    <m/>
    <m/>
    <m/>
    <m/>
    <d v="1899-12-30T00:40:35"/>
    <d v="1899-12-30T00:42:05"/>
    <d v="1899-12-30T00:01:30"/>
    <x v="4"/>
    <s v="https://www.youtube.com/embed/Vf5BOYF0S3Y?start=2435&amp;end=2525&amp;autoplay=1"/>
    <m/>
    <m/>
    <m/>
  </r>
  <r>
    <n v="107.06"/>
    <x v="0"/>
    <m/>
    <x v="0"/>
    <m/>
    <m/>
    <s v="Biased linking between the social problem and Hinduism"/>
    <m/>
    <m/>
    <m/>
    <m/>
    <m/>
    <d v="1899-12-30T00:42:10"/>
    <d v="1899-12-30T00:44:30"/>
    <d v="1899-12-30T00:02:20"/>
    <x v="4"/>
    <s v="https://www.youtube.com/embed/Vf5BOYF0S3Y?start=2530&amp;end=2670&amp;autoplay=1"/>
    <m/>
    <m/>
    <m/>
  </r>
  <r>
    <n v="107.07"/>
    <x v="0"/>
    <m/>
    <x v="0"/>
    <m/>
    <m/>
    <s v="American encouraged topics vs discouraged topic in India study"/>
    <m/>
    <m/>
    <m/>
    <m/>
    <m/>
    <d v="1899-12-30T00:44:35"/>
    <d v="1899-12-30T00:47:50"/>
    <d v="1899-12-30T00:03:15"/>
    <x v="4"/>
    <s v="https://www.youtube.com/embed/Vf5BOYF0S3Y?start=2675&amp;end=2870&amp;autoplay=1"/>
    <m/>
    <m/>
    <m/>
  </r>
  <r>
    <n v="107.08"/>
    <x v="0"/>
    <m/>
    <x v="0"/>
    <m/>
    <m/>
    <s v="A comparison of sharp criticism of India vs USA."/>
    <m/>
    <m/>
    <m/>
    <m/>
    <m/>
    <d v="1899-12-30T00:53:30"/>
    <d v="1899-12-30T00:57:30"/>
    <d v="1899-12-30T00:04:00"/>
    <x v="4"/>
    <s v="https://www.youtube.com/embed/Vf5BOYF0S3Y?start=3210&amp;end=3450&amp;autoplay=1"/>
    <m/>
    <m/>
    <m/>
  </r>
  <r>
    <n v="107.09"/>
    <x v="0"/>
    <m/>
    <x v="0"/>
    <m/>
    <m/>
    <s v="How anthropologists, publishers, religion academician &amp; historians make a bad gang"/>
    <m/>
    <m/>
    <m/>
    <m/>
    <m/>
    <d v="1899-12-30T01:00:00"/>
    <d v="1899-12-30T01:03:30"/>
    <d v="1899-12-30T00:03:30"/>
    <x v="4"/>
    <s v="https://www.youtube.com/embed/Vf5BOYF0S3Y?start=3600&amp;end=3810&amp;autoplay=1"/>
    <m/>
    <m/>
    <m/>
  </r>
  <r>
    <n v="107.1"/>
    <x v="0"/>
    <m/>
    <x v="0"/>
    <m/>
    <m/>
    <s v="How this whole theater of Breaking India forces works?"/>
    <m/>
    <m/>
    <m/>
    <m/>
    <m/>
    <d v="1899-12-30T01:05:31"/>
    <d v="1899-12-30T01:08:30"/>
    <d v="1899-12-30T00:02:59"/>
    <x v="4"/>
    <s v="https://www.youtube.com/embed/Vf5BOYF0S3Y?start=3931&amp;end=4110&amp;autoplay=1"/>
    <m/>
    <m/>
    <m/>
  </r>
  <r>
    <n v="107.11"/>
    <x v="0"/>
    <m/>
    <x v="0"/>
    <m/>
    <m/>
    <s v="How the rich of the world are re-writing history."/>
    <s v="Sansar Chanra Advisor from People First on Hidden Mystry Book Series in America has 13 books. It is about how the history is re-written by rich people?"/>
    <m/>
    <m/>
    <m/>
    <m/>
    <d v="1899-12-30T01:18:07"/>
    <d v="1899-12-30T01:19:25"/>
    <d v="1899-12-30T00:01:18"/>
    <x v="23"/>
    <s v="https://www.youtube.com/embed/Vf5BOYF0S3Y?start=4687&amp;end=4765&amp;autoplay=1"/>
    <m/>
    <m/>
    <m/>
  </r>
  <r>
    <n v="107.12"/>
    <x v="0"/>
    <m/>
    <x v="0"/>
    <m/>
    <m/>
    <s v="Relationship between Economic performance of a country and its Cultural capital"/>
    <m/>
    <m/>
    <m/>
    <m/>
    <m/>
    <d v="1899-12-30T01:26:57"/>
    <d v="1899-12-30T01:29:05"/>
    <d v="1899-12-30T00:02:08"/>
    <x v="23"/>
    <s v="https://www.youtube.com/embed/Vf5BOYF0S3Y?start=5217&amp;end=5345&amp;autoplay=1"/>
    <m/>
    <m/>
    <m/>
  </r>
  <r>
    <n v="107.13"/>
    <x v="0"/>
    <m/>
    <x v="0"/>
    <m/>
    <m/>
    <s v="The whole system of economic growth is unsustainable."/>
    <m/>
    <m/>
    <m/>
    <m/>
    <m/>
    <d v="1899-12-30T01:30:18"/>
    <d v="1899-12-30T01:33:20"/>
    <d v="1899-12-30T00:03:02"/>
    <x v="23"/>
    <s v="https://www.youtube.com/embed/Vf5BOYF0S3Y?start=5418&amp;end=5600&amp;autoplay=1"/>
    <m/>
    <m/>
    <m/>
  </r>
  <r>
    <n v="107.14"/>
    <x v="0"/>
    <m/>
    <x v="0"/>
    <m/>
    <m/>
    <s v="What is Indian Grand Narrative?"/>
    <m/>
    <m/>
    <m/>
    <m/>
    <m/>
    <d v="1899-12-30T01:44:10"/>
    <d v="1899-12-30T01:46:21"/>
    <d v="1899-12-30T00:02:11"/>
    <x v="23"/>
    <s v="https://www.youtube.com/embed/Vf5BOYF0S3Y?start=6250&amp;end=6381&amp;autoplay=1"/>
    <m/>
    <m/>
    <m/>
  </r>
  <r>
    <n v="108"/>
    <x v="1"/>
    <m/>
    <x v="2"/>
    <s v="https://www.youtube.com/watch?v=WMf0Mau2TzE"/>
    <s v="Where is India in the Encounter of Civilizations? by Rajiv Malhotra, 2009"/>
    <m/>
    <m/>
    <m/>
    <n v="2600"/>
    <d v="1899-12-30T01:16:10"/>
    <s v="5 years ago"/>
    <m/>
    <m/>
    <d v="1899-12-30T00:00:00"/>
    <x v="3"/>
    <s v=""/>
    <m/>
    <m/>
    <m/>
  </r>
  <r>
    <n v="109"/>
    <x v="2"/>
    <m/>
    <x v="0"/>
    <s v="https://www.youtube.com/watch?v=apOba1F4MT4"/>
    <s v="Rajiv Malhotra's Lecture on Academic Colonization Delivered at Uberoi Foundation 2010"/>
    <m/>
    <m/>
    <m/>
    <n v="1400"/>
    <d v="1899-12-30T00:45:49"/>
    <s v="5 years ago"/>
    <m/>
    <m/>
    <d v="1899-12-30T00:00:00"/>
    <x v="35"/>
    <s v=""/>
    <m/>
    <m/>
    <m/>
  </r>
  <r>
    <n v="109.01"/>
    <x v="2"/>
    <m/>
    <x v="0"/>
    <m/>
    <m/>
    <s v="What is Colonization?"/>
    <s v="What is colonization? Who is a Colonizer, who gets colonized? What does decolonization and recolonization mean?"/>
    <m/>
    <m/>
    <m/>
    <m/>
    <d v="1899-12-30T00:06:06"/>
    <d v="1899-12-30T00:09:37"/>
    <d v="1899-12-30T00:03:31"/>
    <x v="35"/>
    <s v="https://www.youtube.com/embed/apOba1F4MT4?start=366&amp;end=577&amp;autoplay=1"/>
    <s v="Good"/>
    <s v="Average"/>
    <s v="Good"/>
  </r>
  <r>
    <n v="109.02"/>
    <x v="2"/>
    <m/>
    <x v="0"/>
    <m/>
    <m/>
    <s v="Losing the identity of your tradition"/>
    <s v="We sacrifice our traditions to the influence of stronger forces. Gandhi is a striking example of someone who stuck to dharmic traditions always."/>
    <m/>
    <m/>
    <m/>
    <m/>
    <d v="1899-12-30T00:09:37"/>
    <d v="1899-12-30T00:11:53"/>
    <d v="1899-12-30T00:02:16"/>
    <x v="35"/>
    <s v="https://www.youtube.com/embed/apOba1F4MT4?start=577&amp;end=713&amp;autoplay=1"/>
    <s v="Good"/>
    <s v="Average"/>
    <s v="Good"/>
  </r>
  <r>
    <n v="109.03"/>
    <x v="2"/>
    <m/>
    <x v="0"/>
    <m/>
    <m/>
    <s v="What does de-colonization entail?"/>
    <s v="This involves taking on living mechanisms including scholars and being clear in the message delivery instead of issuing vague statements. Some taboos in academic circles will also need  to be overcome. "/>
    <m/>
    <m/>
    <m/>
    <m/>
    <d v="1899-12-30T00:11:53"/>
    <d v="1899-12-30T00:16:43"/>
    <d v="1899-12-30T00:04:50"/>
    <x v="35"/>
    <s v="https://www.youtube.com/embed/apOba1F4MT4?start=713&amp;end=1003&amp;autoplay=1"/>
    <s v="Good"/>
    <s v="Average"/>
    <s v="Good"/>
  </r>
  <r>
    <n v="109.04"/>
    <x v="2"/>
    <m/>
    <x v="0"/>
    <m/>
    <m/>
    <s v="How academic institutions compare India &amp; China"/>
    <s v="When it comes to China, these institutions stay away from forbidden topics such as Tibet whereas they focus exclusively on such topics for India. The Chinese govt. carefully controls the visas of Western scholars whereas India is open. India does not evaluate the agenda of such scholars who come to our country. The Ford Foundation is an example of such an institution which has a biased agenda in India and is not open or transparent about it."/>
    <m/>
    <m/>
    <m/>
    <m/>
    <d v="1899-12-30T00:16:43"/>
    <d v="1899-12-30T00:21:33"/>
    <d v="1899-12-30T00:04:50"/>
    <x v="35"/>
    <s v="https://www.youtube.com/embed/apOba1F4MT4?start=1003&amp;end=1293&amp;autoplay=1"/>
    <s v="Good"/>
    <s v="Average"/>
    <s v="Good"/>
  </r>
  <r>
    <n v="109.05"/>
    <x v="2"/>
    <m/>
    <x v="0"/>
    <m/>
    <m/>
    <s v="Colonization - a definition"/>
    <s v="Islamic colonization has also spread its wings - usage of purdah is an example of how Hindu tradition has adopted this custom from Islam to make ourselves more like them. This is because of the anxiety to reduce differences between cultures instead of celebrating them."/>
    <m/>
    <m/>
    <m/>
    <m/>
    <d v="1899-12-30T00:21:33"/>
    <d v="1899-12-30T00:30:33"/>
    <d v="1899-12-30T00:09:00"/>
    <x v="35"/>
    <s v="https://www.youtube.com/embed/apOba1F4MT4?start=1293&amp;end=1833&amp;autoplay=1"/>
    <s v="Good"/>
    <s v="Average"/>
    <s v="Good"/>
  </r>
  <r>
    <n v="109.06"/>
    <x v="2"/>
    <m/>
    <x v="0"/>
    <m/>
    <m/>
    <s v="Decolonization mindset among Indian academia"/>
    <s v="Most Indian academic scholars find it difficult to voice their opinions on decolonization. Hindu scholars are unable to overcome their mindset and refuse to be a gamechanger and court controversy. There are a few exceptions only."/>
    <m/>
    <m/>
    <m/>
    <m/>
    <d v="1899-12-30T00:30:34"/>
    <d v="1899-12-30T00:39:48"/>
    <d v="1899-12-30T00:09:14"/>
    <x v="35"/>
    <s v="https://www.youtube.com/embed/apOba1F4MT4?start=1834&amp;end=2388&amp;autoplay=1"/>
    <s v="Good"/>
    <s v="Average"/>
    <s v="Good"/>
  </r>
  <r>
    <n v="109.07"/>
    <x v="2"/>
    <m/>
    <x v="0"/>
    <m/>
    <m/>
    <s v="Who has adhikar to speak on Dharma?"/>
    <s v="In the Hindu tradition, the guru who has had embodied experience, has the adhikar. This is very different from the Western intellectual approach. Accepting the western way of evaluating gurus implies a colonized mind."/>
    <m/>
    <m/>
    <m/>
    <m/>
    <d v="1899-12-30T00:39:48"/>
    <d v="1899-12-30T00:44:07"/>
    <d v="1899-12-30T00:04:19"/>
    <x v="35"/>
    <s v="https://www.youtube.com/embed/apOba1F4MT4?start=2388&amp;end=2647&amp;autoplay=1"/>
    <s v="Good"/>
    <s v="Average"/>
    <s v="Good"/>
  </r>
  <r>
    <n v="110"/>
    <x v="1"/>
    <m/>
    <x v="2"/>
    <s v="https://www.youtube.com/watch?v=CtiARMXwI0Q"/>
    <s v="Rajiv Malhotra Invading the Sacred Book Launch Best of Mumbai &amp; Delhi July 1st &amp; 2nd, 2007"/>
    <m/>
    <m/>
    <m/>
    <n v="15000"/>
    <d v="1899-12-30T02:33:46"/>
    <s v="5 years ago"/>
    <m/>
    <m/>
    <d v="1899-12-30T00:00:00"/>
    <x v="3"/>
    <s v=""/>
    <m/>
    <m/>
    <m/>
  </r>
  <r>
    <n v="111"/>
    <x v="1"/>
    <m/>
    <x v="2"/>
    <s v="https://www.youtube.com/watch?v=61LvuBJ6Ojs"/>
    <s v="Seminar on BEING DIFFERENT at Banaras Hindu University: Vid 1 - Introductions"/>
    <m/>
    <m/>
    <m/>
    <n v="888"/>
    <d v="1899-12-30T00:06:12"/>
    <s v="5 years ago"/>
    <m/>
    <m/>
    <d v="1899-12-30T00:00:00"/>
    <x v="3"/>
    <s v=""/>
    <m/>
    <m/>
    <m/>
  </r>
  <r>
    <n v="112"/>
    <x v="1"/>
    <m/>
    <x v="2"/>
    <s v="https://www.youtube.com/watch?v=nQhpJFt2KG8"/>
    <s v="Seminar on BEING DIFFERENT at BHU: Vid 3 - Indranath Chaudhuri, Ex-Director, Sahitya Academy"/>
    <m/>
    <m/>
    <m/>
    <n v="466"/>
    <d v="1899-12-30T00:37:32"/>
    <s v="5 years ago"/>
    <m/>
    <m/>
    <d v="1899-12-30T00:00:00"/>
    <x v="3"/>
    <s v=""/>
    <m/>
    <m/>
    <m/>
  </r>
  <r>
    <n v="113"/>
    <x v="1"/>
    <m/>
    <x v="2"/>
    <s v="https://www.youtube.com/watch?v=myZqody8PTw"/>
    <s v="Seminar on BEING DIFFERENT at Banaras Hindu University #2"/>
    <m/>
    <m/>
    <m/>
    <n v="1000"/>
    <d v="1899-12-30T00:33:51"/>
    <s v="5 years ago"/>
    <m/>
    <m/>
    <d v="1899-12-30T00:00:00"/>
    <x v="3"/>
    <s v=""/>
    <m/>
    <m/>
    <m/>
  </r>
  <r>
    <n v="114"/>
    <x v="1"/>
    <m/>
    <x v="2"/>
    <s v="https://www.youtube.com/watch?v=iFLc0n8RSAA"/>
    <s v="Seminar on BEING DIFFERENT at Banaras Hindu University: Vid 5 - Bettina Baumer, Indologist, Varanasi"/>
    <m/>
    <m/>
    <m/>
    <n v="1400"/>
    <d v="1899-12-30T00:16:43"/>
    <s v="5 years ago"/>
    <m/>
    <m/>
    <d v="1899-12-30T00:00:00"/>
    <x v="3"/>
    <s v=""/>
    <m/>
    <m/>
    <m/>
  </r>
  <r>
    <n v="115"/>
    <x v="1"/>
    <m/>
    <x v="2"/>
    <s v="https://www.youtube.com/watch?v=eKtCOiQbVX0"/>
    <s v="Seminar on BEING DIFFERENT at BHU: Vid 4 - Oscar Pujol, Director Institute Cervates, Delhi"/>
    <m/>
    <m/>
    <m/>
    <n v="602"/>
    <d v="1899-12-30T00:31:24"/>
    <s v="5 years ago"/>
    <m/>
    <m/>
    <d v="1899-12-30T00:00:00"/>
    <x v="3"/>
    <s v=""/>
    <m/>
    <m/>
    <m/>
  </r>
  <r>
    <n v="116"/>
    <x v="1"/>
    <m/>
    <x v="2"/>
    <s v="https://www.youtube.com/watch?v=vnw9dW2QgYk"/>
    <s v="Seminar on BEING DIFFERENT at Banaras Hindu University: Vid 6 - Kamal Datt Tripathi, IGNCA, Varanasi"/>
    <m/>
    <m/>
    <m/>
    <n v="317"/>
    <d v="1899-12-30T00:41:55"/>
    <s v="5 years ago"/>
    <m/>
    <m/>
    <d v="1899-12-30T00:00:00"/>
    <x v="3"/>
    <s v=""/>
    <m/>
    <m/>
    <m/>
  </r>
  <r>
    <n v="117"/>
    <x v="1"/>
    <m/>
    <x v="2"/>
    <s v="https://www.youtube.com/watch?v=TxC_8Xllf-M"/>
    <s v="Seminar on BEING DIFFERENT at Banaras Hindu University: 7 - Rajiv Malhotra"/>
    <m/>
    <m/>
    <m/>
    <n v="756"/>
    <d v="1899-12-30T00:19:12"/>
    <s v="5 years ago"/>
    <m/>
    <m/>
    <d v="1899-12-30T00:00:00"/>
    <x v="3"/>
    <s v=""/>
    <m/>
    <m/>
    <m/>
  </r>
  <r>
    <n v="118"/>
    <x v="1"/>
    <m/>
    <x v="2"/>
    <s v="https://www.youtube.com/watch?v=nbZhVwfCRMU"/>
    <s v="Seminar on BEING DIFFERENT at Banaras Hindu University: Vid 8 - Audience Q&amp;A, Comments"/>
    <m/>
    <m/>
    <m/>
    <n v="493"/>
    <d v="1899-12-30T00:18:07"/>
    <s v="5 years ago"/>
    <m/>
    <m/>
    <d v="1899-12-30T00:00:00"/>
    <x v="3"/>
    <s v=""/>
    <m/>
    <m/>
    <m/>
  </r>
  <r>
    <n v="119"/>
    <x v="1"/>
    <m/>
    <x v="2"/>
    <s v="https://www.youtube.com/watch?v=rdyZwjy8Wko"/>
    <s v="Manindra Thakur Event Jan 2012 Vid 3 - Debating Western Universalism, Digestion, &amp; U-Turns"/>
    <m/>
    <m/>
    <m/>
    <n v="1000"/>
    <d v="1899-12-30T00:52:32"/>
    <s v="5 years ago"/>
    <m/>
    <m/>
    <d v="1899-12-30T00:00:00"/>
    <x v="3"/>
    <s v=""/>
    <m/>
    <m/>
    <m/>
  </r>
  <r>
    <n v="120"/>
    <x v="1"/>
    <m/>
    <x v="2"/>
    <s v="https://www.youtube.com/watch?v=v6It_CJ27bg"/>
    <s v="Manindra Thakur Event Jan 2012 Vid 4 - Book Project: Indian Approach to Social Sciences"/>
    <m/>
    <m/>
    <m/>
    <n v="619"/>
    <d v="1899-12-30T00:51:46"/>
    <s v="5 years ago"/>
    <m/>
    <m/>
    <d v="1899-12-30T00:00:00"/>
    <x v="3"/>
    <s v=""/>
    <m/>
    <m/>
    <m/>
  </r>
  <r>
    <n v="121"/>
    <x v="1"/>
    <m/>
    <x v="2"/>
    <s v="https://www.youtube.com/watch?v=vSLKEwGRgbY"/>
    <s v="Manindra Thakur Event Jan 2012 Vid 2 - Participants remarks on Decolonizing the Social Sciences"/>
    <m/>
    <m/>
    <m/>
    <n v="658"/>
    <d v="1899-12-30T00:54:08"/>
    <s v="5 years ago"/>
    <m/>
    <m/>
    <d v="1899-12-30T00:00:00"/>
    <x v="3"/>
    <s v=""/>
    <m/>
    <m/>
    <m/>
  </r>
  <r>
    <n v="122"/>
    <x v="1"/>
    <m/>
    <x v="2"/>
    <s v="https://www.youtube.com/watch?v=67Y76FPHZ-g"/>
    <s v="Rajiv Malhotra Lecture on Gandhi &quot;US-India Relations at the Crossroads&quot; UMASS Dartmouth Oct 8, 2009"/>
    <m/>
    <m/>
    <m/>
    <n v="1500"/>
    <d v="1899-12-30T01:08:15"/>
    <s v="5 years ago"/>
    <m/>
    <m/>
    <d v="1899-12-30T00:00:00"/>
    <x v="3"/>
    <s v=""/>
    <m/>
    <m/>
    <m/>
  </r>
  <r>
    <n v="123"/>
    <x v="1"/>
    <m/>
    <x v="2"/>
    <s v="https://www.youtube.com/watch?v=qDcBHNXLxdc"/>
    <s v="Rajiv Malhotra Lecture on Gandhi &quot;Using Gandhi's Lens Today&quot; UMASS Dartmouth Oct 9, 2009"/>
    <m/>
    <m/>
    <m/>
    <n v="2100"/>
    <d v="1899-12-30T01:08:25"/>
    <s v="5 years ago"/>
    <m/>
    <m/>
    <d v="1899-12-30T00:00:00"/>
    <x v="3"/>
    <s v=""/>
    <m/>
    <m/>
    <m/>
  </r>
  <r>
    <n v="124"/>
    <x v="1"/>
    <m/>
    <x v="2"/>
    <s v="https://www.youtube.com/watch?v=BF7tCmPOjs4"/>
    <s v="Manindra Thakur Event Jan 2012 Vid 1 - Introduction by Prof. Thakur (JNU) &amp; Rajiv Malhotra"/>
    <m/>
    <m/>
    <m/>
    <n v="1100"/>
    <d v="1899-12-30T00:22:33"/>
    <s v="5 years ago"/>
    <m/>
    <m/>
    <d v="1899-12-30T00:00:00"/>
    <x v="3"/>
    <s v=""/>
    <m/>
    <m/>
    <m/>
  </r>
  <r>
    <n v="125"/>
    <x v="1"/>
    <m/>
    <x v="2"/>
    <s v="https://www.youtube.com/watch?v=UrWQfScMALY"/>
    <s v="Rajiv Malhotra Talk at Auroville Video 1 - Differences in Philosophy"/>
    <m/>
    <m/>
    <m/>
    <n v="2300"/>
    <d v="1899-12-30T01:18:11"/>
    <s v="5 years ago"/>
    <m/>
    <m/>
    <d v="1899-12-30T00:00:00"/>
    <x v="3"/>
    <s v=""/>
    <m/>
    <m/>
    <m/>
  </r>
  <r>
    <n v="126"/>
    <x v="2"/>
    <m/>
    <x v="0"/>
    <s v="https://www.youtube.com/watch?v=6LOxjxiZ3NQ"/>
    <s v="Rajiv Malhotra at Auroville Video 2 - Q&amp;A with Audience"/>
    <m/>
    <m/>
    <m/>
    <n v="2100"/>
    <d v="1899-12-30T00:37:48"/>
    <s v="5 years ago"/>
    <m/>
    <m/>
    <d v="1899-12-30T00:00:00"/>
    <x v="36"/>
    <s v=""/>
    <m/>
    <m/>
    <m/>
  </r>
  <r>
    <n v="126.01"/>
    <x v="2"/>
    <m/>
    <x v="0"/>
    <m/>
    <m/>
    <s v="The rise of formal spiritual institutions in India"/>
    <s v="In the last 100 years, India has seen the rise of organized institutions like the Ramakrishna Mission, Sri Aurobindo Society etc. "/>
    <m/>
    <m/>
    <m/>
    <m/>
    <d v="1899-12-30T00:00:04"/>
    <d v="1899-12-30T00:05:21"/>
    <d v="1899-12-30T00:05:17"/>
    <x v="36"/>
    <s v="https://www.youtube.com/embed/6LOxjxiZ3NQ?start=4&amp;end=321&amp;autoplay=1"/>
    <s v="Good"/>
    <s v="Good"/>
    <s v="Good"/>
  </r>
  <r>
    <n v="126.02"/>
    <x v="2"/>
    <m/>
    <x v="0"/>
    <m/>
    <m/>
    <s v="A Westerner's view of Indian traditions and her Catholic upbringing"/>
    <s v="RM brings up his discussion with Mark Tully and explaining the importance of recognizing the differences between religions. For example, Hinduism beleives in murtis, karma, avatars, shakti and so on and this is difficult for Westerners to accept it, however open-minded they are. He also talks about B. Griffith's work who while appearing to be open minded in his books and discussions privately says that Christ is the only route."/>
    <m/>
    <m/>
    <m/>
    <m/>
    <d v="1899-12-30T00:05:22"/>
    <d v="1899-12-30T00:16:21"/>
    <d v="1899-12-30T00:10:59"/>
    <x v="36"/>
    <s v="https://www.youtube.com/embed/6LOxjxiZ3NQ?start=322&amp;end=981&amp;autoplay=1"/>
    <s v="Good"/>
    <s v="Good"/>
    <s v="Good"/>
  </r>
  <r>
    <n v="126.03"/>
    <x v="2"/>
    <m/>
    <x v="0"/>
    <m/>
    <m/>
    <s v="Is the Jewish concept Shekinah same as unity in Hinduism?"/>
    <s v="While Judaism and Christianity have similar ideas, however, there is a tension in these systems owing to their dependence on history-centrism."/>
    <m/>
    <m/>
    <m/>
    <m/>
    <d v="1899-12-30T00:16:21"/>
    <d v="1899-12-30T00:19:36"/>
    <d v="1899-12-30T00:03:15"/>
    <x v="36"/>
    <s v="https://www.youtube.com/embed/6LOxjxiZ3NQ?start=981&amp;end=1176&amp;autoplay=1"/>
    <s v="Good"/>
    <s v="Good"/>
    <s v="Good"/>
  </r>
  <r>
    <n v="126.04"/>
    <x v="2"/>
    <m/>
    <x v="0"/>
    <m/>
    <m/>
    <s v="Esoteric Christiantiy - does it exist?"/>
    <s v="Emperor Constantine had practiced mysticsm in the early days. Esoteric Christianity did exist but this was not encouraged by the Church unlike in Hinduism. "/>
    <m/>
    <m/>
    <m/>
    <m/>
    <d v="1899-12-30T00:19:36"/>
    <d v="1899-12-30T00:23:45"/>
    <d v="1899-12-30T00:04:09"/>
    <x v="36"/>
    <s v="https://www.youtube.com/embed/6LOxjxiZ3NQ?start=1176&amp;end=1425&amp;autoplay=1"/>
    <s v="Good"/>
    <s v="Good"/>
    <s v="Good"/>
  </r>
  <r>
    <n v="126.05"/>
    <x v="2"/>
    <m/>
    <x v="0"/>
    <m/>
    <m/>
    <s v="Explaining Difference Anxiety"/>
    <s v="Differences bring about discomfort and this has resulted in troubling consequences: war, superiority-inferiority complexes leading to colonization. To counter this we need to have difference with mutual respect. This is not to be confused with tolerance."/>
    <m/>
    <m/>
    <m/>
    <m/>
    <d v="1899-12-30T00:23:45"/>
    <d v="1899-12-30T00:34:01"/>
    <d v="1899-12-30T00:10:16"/>
    <x v="36"/>
    <s v="https://www.youtube.com/embed/6LOxjxiZ3NQ?start=1425&amp;end=2041&amp;autoplay=1"/>
    <s v="Good"/>
    <s v="Good"/>
    <s v="Good"/>
  </r>
  <r>
    <n v="126.06"/>
    <x v="2"/>
    <m/>
    <x v="0"/>
    <m/>
    <m/>
    <s v="Nehruism vs. Gandhism"/>
    <s v="Gandhi believed in a Dharmic way of living which was a decentralized village way of living and not a copy of the Western civilization. Nehru on the other hand believed in an European way of living and hence villages, rural education etc. were ignored during his rule. This was not the best method to follow for India."/>
    <m/>
    <m/>
    <m/>
    <m/>
    <d v="1899-12-30T00:34:02"/>
    <d v="1899-12-30T00:37:47"/>
    <d v="1899-12-30T00:03:45"/>
    <x v="36"/>
    <s v="https://www.youtube.com/embed/6LOxjxiZ3NQ?start=2042&amp;end=2267&amp;autoplay=1"/>
    <s v="Good"/>
    <s v="Good"/>
    <s v="Good"/>
  </r>
  <r>
    <n v="127"/>
    <x v="2"/>
    <m/>
    <x v="0"/>
    <s v="https://www.youtube.com/watch?v=08Xwx9vsy6w"/>
    <s v="Rajiv Malhotra Keynote Address at JNU on: Science &amp; Indian Traditions"/>
    <m/>
    <m/>
    <m/>
    <n v="2400"/>
    <d v="1899-12-30T00:41:15"/>
    <s v="5 years ago"/>
    <m/>
    <m/>
    <d v="1899-12-30T00:00:00"/>
    <x v="35"/>
    <s v=""/>
    <m/>
    <m/>
    <m/>
  </r>
  <r>
    <n v="127.01"/>
    <x v="2"/>
    <m/>
    <x v="0"/>
    <m/>
    <m/>
    <s v="Is model-centric Science the only kind of science?"/>
    <s v="Western science relies on empirical evidence.  On the other hand, Acupuncture is a science that has been empirically verifiable. However, it has not been accepted by Western practitioners because the model it does not fit in what they are used to. Even among the western models, each science, biology, physics, psychology and sociology, is independent and not integrated."/>
    <m/>
    <m/>
    <m/>
    <m/>
    <d v="1899-12-30T00:06:31"/>
    <d v="1899-12-30T00:13:04"/>
    <d v="1899-12-30T00:06:33"/>
    <x v="35"/>
    <s v="https://www.youtube.com/embed/08Xwx9vsy6w?start=391&amp;end=784&amp;autoplay=1"/>
    <s v="Good"/>
    <s v="Average"/>
    <s v="Good"/>
  </r>
  <r>
    <n v="127.02"/>
    <x v="2"/>
    <m/>
    <x v="0"/>
    <m/>
    <m/>
    <s v="Indian science is heuristic and algorithm based"/>
    <s v="Heuristic approach involves trying something and see how it works. Improvement comes from actual experience. Algorithmic based approach is a practical one. These alternative approaches to science also work proving that model based ones are the not the only way as believed by the West."/>
    <m/>
    <m/>
    <m/>
    <m/>
    <d v="1899-12-30T00:13:04"/>
    <d v="1899-12-30T00:17:31"/>
    <d v="1899-12-30T00:04:27"/>
    <x v="35"/>
    <s v="https://www.youtube.com/embed/08Xwx9vsy6w?start=784&amp;end=1051&amp;autoplay=1"/>
    <s v="Good"/>
    <s v="Average"/>
    <s v="Good"/>
  </r>
  <r>
    <n v="127.03"/>
    <x v="2"/>
    <m/>
    <x v="0"/>
    <m/>
    <m/>
    <s v="Evidence of scientific activity in ancient India"/>
    <s v="RM's Infinity Foundation is carrying out research that looks at physical and empirical verifiable evidence of early scientific activity in India. There are cases where there is physical evidence - example: evidence that zinc was distilled first in India for Ayurveda usage.  In some cases, there is text available (eg. Pushpak Vimana) but no physical evidence exists. "/>
    <m/>
    <m/>
    <m/>
    <m/>
    <d v="1899-12-30T00:17:32"/>
    <d v="1899-12-30T00:26:54"/>
    <d v="1899-12-30T00:09:22"/>
    <x v="35"/>
    <s v="https://www.youtube.com/embed/08Xwx9vsy6w?start=1052&amp;end=1614&amp;autoplay=1"/>
    <s v="Good"/>
    <s v="Average"/>
    <s v="Good"/>
  </r>
  <r>
    <n v="127.04"/>
    <x v="2"/>
    <m/>
    <x v="0"/>
    <m/>
    <m/>
    <s v="Some Indian traditional sciences are probabilistic in nature"/>
    <s v="Science cannot be deterministic every time - economics and medicine are examples. Indian traditional sciences fall into this category - astrology, vastu etc. They should be subjected to clinical trials like in the case of acupuncture to show their validity."/>
    <m/>
    <m/>
    <m/>
    <m/>
    <d v="1899-12-30T00:26:55"/>
    <d v="1899-12-30T00:31:11"/>
    <d v="1899-12-30T00:04:16"/>
    <x v="35"/>
    <s v="https://www.youtube.com/embed/08Xwx9vsy6w?start=1615&amp;end=1871&amp;autoplay=1"/>
    <s v="Good"/>
    <s v="Average"/>
    <s v="Good"/>
  </r>
  <r>
    <n v="127.05"/>
    <x v="2"/>
    <m/>
    <x v="0"/>
    <m/>
    <m/>
    <s v="Traditional Indian Sciences - how to show that it works"/>
    <s v="Claims from traditional Indian Sciences have to be tested and proved. Controversial topics such as breath control/stopping, Kumbh mela have to be studied. Western scientists are also very interested in neurosciences practiced by Buddhist monks and yogis. Similarly botany text from ancient India(Ayurveda) is a great source of information. We need to show that a model is not required for an approach to be validated."/>
    <m/>
    <m/>
    <m/>
    <m/>
    <d v="1899-12-30T00:31:12"/>
    <d v="1899-12-30T00:41:12"/>
    <d v="1899-12-30T00:10:00"/>
    <x v="35"/>
    <s v="https://www.youtube.com/embed/08Xwx9vsy6w?start=1872&amp;end=2472&amp;autoplay=1"/>
    <s v="Good"/>
    <s v="Average"/>
    <s v="Good"/>
  </r>
  <r>
    <n v="128"/>
    <x v="2"/>
    <m/>
    <x v="0"/>
    <s v="https://www.youtube.com/watch?v=JErwMUETzvU"/>
    <s v="Pondy Event Vid 4 - Comments by five prominent scholars of Sri Aurobindo"/>
    <m/>
    <m/>
    <m/>
    <n v="1400"/>
    <d v="1899-12-30T00:47:47"/>
    <s v="5 years ago"/>
    <m/>
    <m/>
    <d v="1899-12-30T00:00:00"/>
    <x v="37"/>
    <s v=""/>
    <m/>
    <m/>
    <m/>
  </r>
  <r>
    <n v="128.01"/>
    <x v="2"/>
    <m/>
    <x v="0"/>
    <m/>
    <m/>
    <s v="Sumeet Verma on history-centrism"/>
    <s v="Comments by Sumeet Verma, Prof. of Psychology, Univ.of Delhi on history centrism after listening to RM's talk on his book Being Different. He links spiritual pyschology, integral unity and Sri Aurobindo's teachings."/>
    <m/>
    <m/>
    <m/>
    <m/>
    <d v="1899-12-30T00:00:03"/>
    <d v="1899-12-30T00:06:48"/>
    <d v="1899-12-30T00:06:45"/>
    <x v="37"/>
    <s v="https://www.youtube.com/embed/JErwMUETzvU?start=3&amp;end=408&amp;autoplay=1"/>
    <s v="Good"/>
    <s v="Good"/>
    <s v="Good"/>
  </r>
  <r>
    <n v="128.02000000000001"/>
    <x v="2"/>
    <m/>
    <x v="0"/>
    <m/>
    <m/>
    <s v="Vladmir Yatsenko on the book Being DIfferent"/>
    <s v="Comments by Vladmir Yatsenko, Scholar of Sanskrit and Sri Aurobindo on RM's book Being Different. He talks about being digested, embodied knowledge, history-centrism."/>
    <m/>
    <m/>
    <m/>
    <m/>
    <d v="1899-12-30T00:06:50"/>
    <d v="1899-12-30T00:17:30"/>
    <d v="1899-12-30T00:10:40"/>
    <x v="37"/>
    <s v="https://www.youtube.com/embed/JErwMUETzvU?start=410&amp;end=1050&amp;autoplay=1"/>
    <s v="Good"/>
    <s v="Good"/>
    <s v="Good"/>
  </r>
  <r>
    <n v="128.03"/>
    <x v="2"/>
    <m/>
    <x v="0"/>
    <m/>
    <m/>
    <s v="Alok Pandey on RM's talk on the book Being DIfferent"/>
    <s v="Comments by Alok Pandey, Scholar of Sri Aurobindo on being digested, fundamentalism, culture sensitivity, U-turn theory, non-transability of certain Sanskrit words."/>
    <m/>
    <m/>
    <m/>
    <m/>
    <d v="1899-12-30T00:17:32"/>
    <d v="1899-12-30T00:28:25"/>
    <d v="1899-12-30T00:10:53"/>
    <x v="37"/>
    <s v="https://www.youtube.com/embed/JErwMUETzvU?start=1052&amp;end=1705&amp;autoplay=1"/>
    <s v="Good"/>
    <s v="Good"/>
    <s v="Good"/>
  </r>
  <r>
    <n v="128.04"/>
    <x v="2"/>
    <m/>
    <x v="0"/>
    <m/>
    <m/>
    <s v="Larry Seidlitz gives a Western perspective on the book Being DIfferent"/>
    <s v="Comments by Larry Seidlitz, Scholar of Sri Aurobindo gives his Western perspective on the book Being Different. He feels that not all Westerners feel the same way as is depicted in the book. Indians should feel more confident about their own culture and practices and this would disallow unwanted Western influences."/>
    <m/>
    <m/>
    <m/>
    <m/>
    <d v="1899-12-30T00:28:32"/>
    <d v="1899-12-30T00:43:14"/>
    <d v="1899-12-30T00:14:42"/>
    <x v="37"/>
    <s v="https://www.youtube.com/embed/JErwMUETzvU?start=1712&amp;end=2594&amp;autoplay=1"/>
    <s v="Good"/>
    <s v="Good"/>
    <s v="Good"/>
  </r>
  <r>
    <n v="128.05000000000001"/>
    <x v="2"/>
    <m/>
    <x v="0"/>
    <m/>
    <m/>
    <s v="Sampadananda Mishra on translating Sanskrit to any European language"/>
    <s v="Comments by Sampadananda Mishra, Director Sri Aurobindo Foundation for Indian Culture on translating Sanskrit text. His view is that this cannot be done and provides few examples. This was also not approved by Sri Aurobindo."/>
    <m/>
    <m/>
    <m/>
    <m/>
    <d v="1899-12-30T00:43:15"/>
    <d v="1899-12-30T00:47:43"/>
    <d v="1899-12-30T00:04:28"/>
    <x v="37"/>
    <s v="https://www.youtube.com/embed/JErwMUETzvU?start=2595&amp;end=2863&amp;autoplay=1"/>
    <s v="Good"/>
    <s v="Good"/>
    <s v="Good"/>
  </r>
  <r>
    <n v="129"/>
    <x v="2"/>
    <m/>
    <x v="0"/>
    <s v="https://www.youtube.com/watch?v=SS0UQNsxhus"/>
    <s v="Rajiv Malhotra Debates a German U-Turner who returned to Christ from Sri Aurobindo"/>
    <m/>
    <m/>
    <m/>
    <n v="19000"/>
    <d v="1899-12-30T00:16:44"/>
    <s v="5 years ago"/>
    <m/>
    <m/>
    <d v="1899-12-30T00:00:00"/>
    <x v="38"/>
    <s v=""/>
    <m/>
    <m/>
    <m/>
  </r>
  <r>
    <n v="129.01"/>
    <x v="2"/>
    <m/>
    <x v="0"/>
    <m/>
    <m/>
    <s v="A U-turn: From Sri Aurobindo back to Christ"/>
    <s v="After exposure to the teachings of Sri Aurobindo, the German lady decided to take a U-turn back to Christianity. RM questions her on how she could integrate the concept of karma with the Christian view of being born as a sinner (the Adam-Eve connection), redeeming sins is only possible through Jesus etc. The German has taken concepts from Sri Aurobindo's philosophy and conveniently portrays it in a Christian context."/>
    <m/>
    <m/>
    <m/>
    <m/>
    <d v="1899-12-30T00:00:25"/>
    <d v="1899-12-30T00:12:04"/>
    <d v="1899-12-30T00:11:39"/>
    <x v="38"/>
    <s v="https://www.youtube.com/embed/SS0UQNsxhus?start=25&amp;end=724&amp;autoplay=1"/>
    <s v="Good"/>
    <s v="Average"/>
    <s v="Good"/>
  </r>
  <r>
    <n v="129.02000000000001"/>
    <x v="2"/>
    <m/>
    <x v="0"/>
    <m/>
    <m/>
    <s v="Dharmic tradition is not history-centric"/>
    <s v="Dr. Anand Reddy, SACAR adds his comments on why Dharmic tradition is not dependent on history and that is why it is alive after thousands of years."/>
    <m/>
    <m/>
    <m/>
    <m/>
    <d v="1899-12-30T00:12:04"/>
    <d v="1899-12-30T00:16:14"/>
    <d v="1899-12-30T00:04:10"/>
    <x v="38"/>
    <s v="https://www.youtube.com/embed/SS0UQNsxhus?start=724&amp;end=974&amp;autoplay=1"/>
    <s v="Good"/>
    <s v="Average"/>
    <s v="Good"/>
  </r>
  <r>
    <n v="130"/>
    <x v="2"/>
    <m/>
    <x v="0"/>
    <s v="https://www.youtube.com/watch?v=g-xyM5pVESg"/>
    <s v="Pondy Event Vid 1 - Introduction by Anand Reddy, SACAR"/>
    <m/>
    <m/>
    <m/>
    <n v="651"/>
    <d v="1899-12-30T00:05:44"/>
    <s v="5 years ago"/>
    <m/>
    <m/>
    <d v="1899-12-30T00:00:00"/>
    <x v="39"/>
    <s v=""/>
    <m/>
    <m/>
    <m/>
  </r>
  <r>
    <n v="130.01"/>
    <x v="2"/>
    <m/>
    <x v="0"/>
    <m/>
    <m/>
    <s v="Dr. Anand Reddy introduces RM."/>
    <s v="Dr. Anand Reddy introduces RM. He describes his views of Being DIfferent - how RM has stuck to his Indian roots and presented a great perspective."/>
    <m/>
    <m/>
    <m/>
    <m/>
    <d v="1899-12-30T00:00:00"/>
    <d v="1899-12-30T00:05:44"/>
    <d v="1899-12-30T00:05:44"/>
    <x v="39"/>
    <s v="https://www.youtube.com/embed/g-xyM5pVESg?start=0&amp;end=344&amp;autoplay=1"/>
    <s v="Good"/>
    <s v="Good"/>
    <s v="Good"/>
  </r>
  <r>
    <n v="131"/>
    <x v="2"/>
    <m/>
    <x v="0"/>
    <s v="https://www.youtube.com/watch?v=vHGejHQUoio"/>
    <s v="Pondy Event Vid 7 - Q&amp;A - New Western religions that are not history centric"/>
    <m/>
    <m/>
    <m/>
    <n v="667"/>
    <d v="1899-12-30T00:04:20"/>
    <s v="5 years ago"/>
    <m/>
    <m/>
    <d v="1899-12-30T00:00:00"/>
    <x v="36"/>
    <s v=""/>
    <m/>
    <m/>
    <m/>
  </r>
  <r>
    <n v="131.01"/>
    <x v="2"/>
    <m/>
    <x v="0"/>
    <m/>
    <m/>
    <s v="New Western religions that are not history centric"/>
    <s v="RM's view is that while these kind of movements keep arising in the West, however, they don't seem to sustain. They end up reverting to the history-centric state."/>
    <m/>
    <m/>
    <m/>
    <m/>
    <d v="1899-12-30T00:00:00"/>
    <d v="1899-12-30T00:04:20"/>
    <d v="1899-12-30T00:04:20"/>
    <x v="36"/>
    <s v="https://www.youtube.com/embed/vHGejHQUoio?start=0&amp;end=260&amp;autoplay=1"/>
    <s v="Good"/>
    <s v="Good"/>
    <s v="Good"/>
  </r>
  <r>
    <n v="132"/>
    <x v="2"/>
    <m/>
    <x v="0"/>
    <s v="https://www.youtube.com/watch?v=3f7b_ZE5B1Y"/>
    <s v="Pondy Event Vid 8 - Q&amp;A - Relevance to Modern Youth"/>
    <m/>
    <m/>
    <m/>
    <n v="446"/>
    <d v="1899-12-30T00:02:19"/>
    <s v="5 years ago"/>
    <m/>
    <m/>
    <d v="1899-12-30T00:00:00"/>
    <x v="36"/>
    <s v=""/>
    <m/>
    <m/>
    <m/>
  </r>
  <r>
    <n v="132.01"/>
    <x v="2"/>
    <m/>
    <x v="0"/>
    <m/>
    <m/>
    <s v="Relevance to modern youth"/>
    <s v="Awareness of Indian sources will help bring about a U-turn movement for Indian youth and reconnect them to the Indian root."/>
    <m/>
    <m/>
    <m/>
    <m/>
    <d v="1899-12-30T00:00:00"/>
    <d v="1899-12-30T00:02:18"/>
    <d v="1899-12-30T00:02:18"/>
    <x v="36"/>
    <s v="https://www.youtube.com/embed/3f7b_ZE5B1Y?start=0&amp;end=138&amp;autoplay=1"/>
    <s v="Good"/>
    <s v="Good"/>
    <s v="Good"/>
  </r>
  <r>
    <n v="133"/>
    <x v="2"/>
    <m/>
    <x v="0"/>
    <s v="https://www.youtube.com/watch?v=kQP4pUPNjqs"/>
    <s v="Pondicherry Event Vid 2_Rajiv Malhotra's Talk Part 1 - U Turn Theory"/>
    <m/>
    <m/>
    <m/>
    <n v="1500"/>
    <d v="1899-12-30T00:30:14"/>
    <s v="5 years ago"/>
    <m/>
    <m/>
    <d v="1899-12-30T00:00:00"/>
    <x v="39"/>
    <s v=""/>
    <m/>
    <m/>
    <m/>
  </r>
  <r>
    <n v="133.01"/>
    <x v="2"/>
    <m/>
    <x v="0"/>
    <m/>
    <m/>
    <s v="What is the U-turn theory? "/>
    <s v="RM explains how Westerners move through five stages in their search and study of Indian traditions. It starts with studying the tradition and then presenting concepts learned here as their own without giving credit to the source. This develops later into a criticism of the Indian source and claiming the concept to be Western. There are many examples - mindfulness meditation, neuromedicine, multiple intelligence etc.  Some of TS Eliot's poems are literal translation of the Upanishads."/>
    <m/>
    <m/>
    <m/>
    <m/>
    <d v="1899-12-30T00:00:07"/>
    <d v="1899-12-30T00:30:13"/>
    <d v="1899-12-30T00:30:06"/>
    <x v="39"/>
    <s v="https://www.youtube.com/embed/kQP4pUPNjqs?start=7&amp;end=1813&amp;autoplay=1"/>
    <s v="Good"/>
    <s v="Average"/>
    <s v="Good"/>
  </r>
  <r>
    <n v="134"/>
    <x v="2"/>
    <m/>
    <x v="0"/>
    <s v="https://www.youtube.com/watch?v=hWBzG7eVqVg"/>
    <s v="Pondy Event Vid 3 - Rajiv Malhotra Talk Part 2: BEING DIFFERENT book"/>
    <m/>
    <m/>
    <m/>
    <n v="919"/>
    <d v="1899-12-30T00:56:51"/>
    <s v="5 years ago"/>
    <m/>
    <m/>
    <d v="1899-12-30T00:00:00"/>
    <x v="40"/>
    <s v=""/>
    <m/>
    <m/>
    <m/>
  </r>
  <r>
    <n v="134.01"/>
    <x v="2"/>
    <m/>
    <x v="0"/>
    <m/>
    <m/>
    <s v="Major differences between Dharmic and Western traditions: History-centrism vs. Inner Sciences"/>
    <s v="A  major difference is that dharmic traditions are not history-centric. In western traditions, if the history is wiped out, then they would be completely lost. In Dharmic traditions, the ultimate truth is based on self-knowledge - adhyatma vidya."/>
    <m/>
    <m/>
    <m/>
    <m/>
    <d v="1899-12-30T00:00:00"/>
    <d v="1899-12-30T00:21:23"/>
    <d v="1899-12-30T00:21:23"/>
    <x v="40"/>
    <s v="https://www.youtube.com/embed/hWBzG7eVqVg?start=0&amp;end=1283&amp;autoplay=1"/>
    <s v="Good"/>
    <s v="Average"/>
    <s v="Good"/>
  </r>
  <r>
    <n v="134.02000000000001"/>
    <x v="2"/>
    <m/>
    <x v="0"/>
    <m/>
    <m/>
    <s v="Major differences between Dharmic and Western traditions: Synthetic unity vs. Integral unity"/>
    <s v="Integral unity is Brahman based. This forms the basis of Satchitanand and our union with the divine. In contrast, in synthetic unity the parts exist separately from the whole and are put together. The Judeo-Christian worldview is based on separate essences for God, the world and/ human souls. "/>
    <m/>
    <m/>
    <m/>
    <m/>
    <d v="1899-12-30T00:21:23"/>
    <d v="1899-12-30T00:32:00"/>
    <d v="1899-12-30T00:10:37"/>
    <x v="40"/>
    <s v="https://www.youtube.com/embed/hWBzG7eVqVg?start=1283&amp;end=1920&amp;autoplay=1"/>
    <s v="Good"/>
    <s v="Average"/>
    <s v="Good"/>
  </r>
  <r>
    <n v="134.03"/>
    <x v="2"/>
    <m/>
    <x v="0"/>
    <m/>
    <m/>
    <s v="Major differences between Dharmic and Western traditions: Order vs. Chaos"/>
    <s v="Westerners are able to handle issues linearly and cannot handle uncertainty/contradictions/chaos. Whereas Indians can easily handle multiple threads simultaneously. RM believes that this is an outcome of synthetic vs. integral unity. Those who believe in integral unity do not fear things falling apart."/>
    <m/>
    <m/>
    <m/>
    <m/>
    <d v="1899-12-30T00:32:00"/>
    <d v="1899-12-30T00:47:20"/>
    <d v="1899-12-30T00:15:20"/>
    <x v="40"/>
    <s v="https://www.youtube.com/embed/hWBzG7eVqVg?start=1920&amp;end=2840&amp;autoplay=1"/>
    <s v="Good"/>
    <s v="Average"/>
    <s v="Good"/>
  </r>
  <r>
    <n v="134.04"/>
    <x v="2"/>
    <m/>
    <x v="0"/>
    <m/>
    <m/>
    <s v="Major differences between Dharmic and Western traditions: Sanskrit non-translatables"/>
    <s v="Dharmic traditions is preserved in Sanskrit words and which cannot be translated. Translating it to English is not possible as the word will not have the same backing in another language. RM has compiled a list of such words in Sanskrit that cannot be translated. He proposes this list being included in the English language without any translation to preserve our distinctiveness."/>
    <m/>
    <m/>
    <m/>
    <m/>
    <d v="1899-12-30T00:47:20"/>
    <d v="1899-12-30T00:50:28"/>
    <d v="1899-12-30T00:03:08"/>
    <x v="40"/>
    <s v="https://www.youtube.com/embed/hWBzG7eVqVg?start=2840&amp;end=3028&amp;autoplay=1"/>
    <s v="Good"/>
    <s v="Average"/>
    <s v="Good"/>
  </r>
  <r>
    <n v="134.05000000000001"/>
    <x v="2"/>
    <m/>
    <x v="0"/>
    <m/>
    <m/>
    <s v="Being digested in the context of civilization"/>
    <s v="This is the process of taking thought and concepts from Indian tradition and absorbing it into Western thought selectively and finally passing it off as Western origin. An intergal world is being digested into a non-integral world. To avoid being digested, we need to be different and be indigestible."/>
    <m/>
    <m/>
    <m/>
    <m/>
    <d v="1899-12-30T00:50:35"/>
    <d v="1899-12-30T00:56:28"/>
    <d v="1899-12-30T00:05:53"/>
    <x v="40"/>
    <s v="https://www.youtube.com/embed/hWBzG7eVqVg?start=3035&amp;end=3388&amp;autoplay=1"/>
    <s v="Good"/>
    <s v="Average"/>
    <s v="Good"/>
  </r>
  <r>
    <n v="135"/>
    <x v="2"/>
    <m/>
    <x v="0"/>
    <s v="https://www.youtube.com/watch?v=7jIfpSOnmK8"/>
    <s v="Pondy Event Vid 5 - Rajiv Malhotra's Response to the Expert Comments"/>
    <m/>
    <m/>
    <m/>
    <n v="1000"/>
    <d v="1899-12-30T00:18:00"/>
    <s v="5 years ago"/>
    <m/>
    <m/>
    <d v="1899-12-30T00:00:00"/>
    <x v="40"/>
    <s v=""/>
    <m/>
    <m/>
    <m/>
  </r>
  <r>
    <n v="135.01"/>
    <x v="2"/>
    <m/>
    <x v="0"/>
    <m/>
    <m/>
    <s v="Rajiv Malhotra's Response to the Expert Comments"/>
    <s v="Rajiv Malhotra's Response to the Expert Comments at Sri Center for Advanced Research (SACAR) for a seminar on his book BEING DIFFERENT. He gives his counter argument on history-centrism, being digested, and sanskrit translation."/>
    <m/>
    <m/>
    <m/>
    <m/>
    <d v="1899-12-30T00:00:16"/>
    <d v="1899-12-30T00:17:59"/>
    <d v="1899-12-30T00:17:43"/>
    <x v="40"/>
    <s v="https://www.youtube.com/embed/7jIfpSOnmK8?start=16&amp;end=1079&amp;autoplay=1"/>
    <s v="Good"/>
    <s v="Good"/>
    <s v="Good"/>
  </r>
  <r>
    <n v="136"/>
    <x v="2"/>
    <m/>
    <x v="0"/>
    <s v="https://www.youtube.com/watch?v=qd7yTtTb_Fc"/>
    <s v="Pondy Event Vid 9 - Director's Concluding Remarks"/>
    <m/>
    <m/>
    <m/>
    <n v="246"/>
    <d v="1899-12-30T00:02:36"/>
    <s v="5 years ago"/>
    <m/>
    <m/>
    <d v="1899-12-30T00:00:00"/>
    <x v="36"/>
    <s v=""/>
    <m/>
    <m/>
    <m/>
  </r>
  <r>
    <n v="136.01"/>
    <x v="2"/>
    <m/>
    <x v="0"/>
    <m/>
    <m/>
    <s v="Mother's quote on Christianity"/>
    <s v="When someone asked the Mother, why Christianity made her angry, Mother made a powerful statement on the state of Christianity."/>
    <m/>
    <m/>
    <m/>
    <m/>
    <d v="1899-12-30T00:00:00"/>
    <d v="1899-12-30T00:01:37"/>
    <d v="1899-12-30T00:01:37"/>
    <x v="36"/>
    <s v="https://www.youtube.com/embed/qd7yTtTb_Fc?start=0&amp;end=97&amp;autoplay=1"/>
    <s v="Good"/>
    <s v="Good"/>
    <s v="Good"/>
  </r>
  <r>
    <n v="137"/>
    <x v="1"/>
    <m/>
    <x v="2"/>
    <s v="https://www.youtube.com/watch?v=2WYZtS_LLog"/>
    <s v="Indian Knowledge Systems: IIT Alumni Event, Washington DC #1"/>
    <m/>
    <m/>
    <m/>
    <n v="10000"/>
    <d v="1899-12-30T00:45:44"/>
    <s v="5 years ago"/>
    <m/>
    <m/>
    <d v="1899-12-30T00:00:00"/>
    <x v="3"/>
    <s v=""/>
    <m/>
    <m/>
    <m/>
  </r>
  <r>
    <n v="138"/>
    <x v="1"/>
    <m/>
    <x v="2"/>
    <s v="https://www.youtube.com/watch?v=agP31XI_FxA"/>
    <s v="Chinmaya Mission Washington, DC Vid 1 - Introduction"/>
    <m/>
    <m/>
    <m/>
    <n v="955"/>
    <d v="1899-12-30T00:07:57"/>
    <s v="5 years ago"/>
    <m/>
    <m/>
    <d v="1899-12-30T00:00:00"/>
    <x v="3"/>
    <s v=""/>
    <m/>
    <m/>
    <m/>
  </r>
  <r>
    <n v="139"/>
    <x v="1"/>
    <m/>
    <x v="2"/>
    <s v="https://www.youtube.com/watch?v=7ZD3D4mAoaE"/>
    <s v="Indian Knowledge Systems Vid 2 - Rajiv Malhotra Q &amp; A"/>
    <m/>
    <m/>
    <m/>
    <n v="5600"/>
    <d v="1899-12-30T00:53:24"/>
    <s v="5 years ago"/>
    <m/>
    <m/>
    <d v="1899-12-30T00:00:00"/>
    <x v="3"/>
    <s v=""/>
    <m/>
    <m/>
    <m/>
  </r>
  <r>
    <n v="140"/>
    <x v="1"/>
    <m/>
    <x v="2"/>
    <s v="https://www.youtube.com/watch?v=ANSSQQ6ZauM"/>
    <s v="Chinmaya Mission Washington, DC Vid 2 - Difference &amp; Related Issues"/>
    <m/>
    <m/>
    <m/>
    <n v="1000"/>
    <d v="1899-12-30T00:48:25"/>
    <s v="5 years ago"/>
    <m/>
    <m/>
    <d v="1899-12-30T00:00:00"/>
    <x v="3"/>
    <s v=""/>
    <m/>
    <m/>
    <m/>
  </r>
  <r>
    <n v="141"/>
    <x v="1"/>
    <m/>
    <x v="2"/>
    <s v="https://www.youtube.com/watch?v=OBViSvvLu-s"/>
    <s v="Chinmaya Mission Washington, DC Vid 3 - Digestion: What, Why, How"/>
    <m/>
    <m/>
    <m/>
    <n v="758"/>
    <d v="1899-12-30T00:41:50"/>
    <s v="5 years ago"/>
    <m/>
    <m/>
    <d v="1899-12-30T00:00:00"/>
    <x v="3"/>
    <s v=""/>
    <m/>
    <m/>
    <m/>
  </r>
  <r>
    <n v="142"/>
    <x v="1"/>
    <m/>
    <x v="2"/>
    <s v="https://www.youtube.com/watch?v=k54XQ5I1Nzo"/>
    <s v="Chinmaya Mission Washington, DC Vid 4 - History Centrism &amp; Identity Issues"/>
    <m/>
    <m/>
    <m/>
    <n v="483"/>
    <d v="1899-12-30T00:30:49"/>
    <s v="5 years ago"/>
    <m/>
    <m/>
    <d v="1899-12-30T00:00:00"/>
    <x v="3"/>
    <s v=""/>
    <m/>
    <m/>
    <m/>
  </r>
  <r>
    <n v="143"/>
    <x v="1"/>
    <m/>
    <x v="2"/>
    <s v="https://www.youtube.com/watch?v=vdwHHPZwNEo"/>
    <s v="Chinmaya Mission Washington, DC Vid 5 - Integral Unity, Chaos, Self-Organization"/>
    <m/>
    <m/>
    <m/>
    <n v="435"/>
    <d v="1899-12-30T00:20:52"/>
    <s v="5 years ago"/>
    <m/>
    <m/>
    <d v="1899-12-30T00:00:00"/>
    <x v="3"/>
    <s v=""/>
    <m/>
    <m/>
    <m/>
  </r>
  <r>
    <n v="144"/>
    <x v="1"/>
    <m/>
    <x v="2"/>
    <s v="https://www.youtube.com/watch?v=q1K9wPDzMjU"/>
    <s v="Chinmaya Mission Washington, DC Vid 6 - Indian Contributions Define our Difference"/>
    <m/>
    <m/>
    <m/>
    <n v="409"/>
    <d v="1899-12-30T00:15:55"/>
    <s v="5 years ago"/>
    <m/>
    <m/>
    <d v="1899-12-30T00:00:00"/>
    <x v="3"/>
    <s v=""/>
    <m/>
    <m/>
    <m/>
  </r>
  <r>
    <n v="145"/>
    <x v="1"/>
    <m/>
    <x v="2"/>
    <s v="https://www.youtube.com/watch?v=75OFJ9IX4tI"/>
    <s v="Chinmaya Mission Washington, DC Vid 7 - Other Q &amp; A"/>
    <m/>
    <m/>
    <m/>
    <n v="925"/>
    <d v="1899-12-30T00:29:03"/>
    <s v="5 years ago"/>
    <m/>
    <m/>
    <d v="1899-12-30T00:00:00"/>
    <x v="3"/>
    <s v=""/>
    <m/>
    <m/>
    <m/>
  </r>
  <r>
    <n v="146"/>
    <x v="1"/>
    <m/>
    <x v="2"/>
    <s v="https://www.youtube.com/watch?v=p6HgGSKj2m8"/>
    <s v="Chinmaya Mission Washington, DC Vid 8 -Book Signing"/>
    <m/>
    <m/>
    <m/>
    <n v="427"/>
    <d v="1899-12-30T00:04:30"/>
    <s v="5 years ago"/>
    <m/>
    <m/>
    <d v="1899-12-30T00:00:00"/>
    <x v="3"/>
    <s v=""/>
    <m/>
    <m/>
    <m/>
  </r>
  <r>
    <n v="147"/>
    <x v="1"/>
    <m/>
    <x v="2"/>
    <s v="https://www.youtube.com/watch?v=cKIAV15AZcI"/>
    <s v="University of Toronto - Q&amp;A with Rajiv Malhotra"/>
    <m/>
    <m/>
    <m/>
    <n v="3500"/>
    <d v="1899-12-30T00:36:18"/>
    <s v="5 years ago"/>
    <m/>
    <m/>
    <d v="1899-12-30T00:00:00"/>
    <x v="3"/>
    <s v=""/>
    <m/>
    <m/>
    <m/>
  </r>
  <r>
    <n v="148"/>
    <x v="1"/>
    <m/>
    <x v="2"/>
    <s v="https://www.youtube.com/watch?v=sdhISUDYvX4"/>
    <s v="Toronto Civic Center, March 17, 2012 - Q&amp;A"/>
    <m/>
    <m/>
    <m/>
    <n v="1100"/>
    <d v="1899-12-30T00:52:42"/>
    <s v="5 years ago"/>
    <m/>
    <m/>
    <d v="1899-12-30T00:00:00"/>
    <x v="3"/>
    <s v=""/>
    <m/>
    <m/>
    <m/>
  </r>
  <r>
    <n v="149"/>
    <x v="3"/>
    <m/>
    <x v="0"/>
    <s v="https://www.youtube.com/watch?v=T0iutxik1Eg"/>
    <s v="Vedic Culture Center, March 18, 2012"/>
    <m/>
    <m/>
    <m/>
    <n v="1200"/>
    <d v="1899-12-30T01:00:55"/>
    <s v="5 years ago"/>
    <m/>
    <m/>
    <d v="1899-12-30T00:00:00"/>
    <x v="33"/>
    <s v=""/>
    <m/>
    <m/>
    <m/>
  </r>
  <r>
    <n v="149.01"/>
    <x v="3"/>
    <m/>
    <x v="0"/>
    <m/>
    <m/>
    <s v="Breaking India - Appropriation and Distortions by Germans"/>
    <m/>
    <m/>
    <m/>
    <m/>
    <m/>
    <d v="1899-12-30T00:00:01"/>
    <d v="1899-12-30T00:06:10"/>
    <d v="1899-12-30T00:06:09"/>
    <x v="33"/>
    <m/>
    <s v="Good"/>
    <s v="Good"/>
    <s v="Good"/>
  </r>
  <r>
    <n v="149.02000000000001"/>
    <x v="3"/>
    <m/>
    <x v="0"/>
    <m/>
    <m/>
    <s v="Jewism &amp; Dharma breaking myths about swastika and &quot;Aryan&quot;"/>
    <m/>
    <m/>
    <m/>
    <m/>
    <m/>
    <d v="1899-12-30T00:06:11"/>
    <d v="1899-12-30T00:14:33"/>
    <d v="1899-12-30T00:08:22"/>
    <x v="33"/>
    <m/>
    <s v="Good"/>
    <s v="Good"/>
    <s v="Good"/>
  </r>
  <r>
    <n v="149.03"/>
    <x v="3"/>
    <m/>
    <x v="0"/>
    <m/>
    <m/>
    <s v="Reclaiming our symbols - teaching in schools"/>
    <m/>
    <m/>
    <m/>
    <m/>
    <m/>
    <d v="1899-12-30T00:14:59"/>
    <d v="1899-12-30T00:18:58"/>
    <d v="1899-12-30T00:03:59"/>
    <x v="33"/>
    <m/>
    <s v="Good"/>
    <s v="Good"/>
    <s v="Good"/>
  </r>
  <r>
    <n v="149.04"/>
    <x v="3"/>
    <m/>
    <x v="0"/>
    <m/>
    <m/>
    <s v="North/South-Aryan/Dravidian divide - political opportunism"/>
    <m/>
    <m/>
    <m/>
    <m/>
    <m/>
    <d v="1899-12-30T00:19:13"/>
    <d v="1899-12-30T00:23:40"/>
    <d v="1899-12-30T00:04:27"/>
    <x v="33"/>
    <m/>
    <s v="Good"/>
    <s v="Good"/>
    <s v="Good"/>
  </r>
  <r>
    <n v="149.05000000000001"/>
    <x v="3"/>
    <m/>
    <x v="0"/>
    <m/>
    <m/>
    <s v="Dalit and breaking India"/>
    <m/>
    <m/>
    <m/>
    <m/>
    <m/>
    <d v="1899-12-30T00:23:45"/>
    <d v="1899-12-30T00:28:09"/>
    <d v="1899-12-30T00:04:24"/>
    <x v="33"/>
    <m/>
    <s v="Good"/>
    <s v="Good"/>
    <s v="Good"/>
  </r>
  <r>
    <n v="149.06"/>
    <x v="3"/>
    <m/>
    <x v="0"/>
    <m/>
    <m/>
    <s v="Being different: Sanskrit Non-translatables"/>
    <m/>
    <m/>
    <m/>
    <m/>
    <m/>
    <d v="1899-12-30T00:28:22"/>
    <d v="1899-12-30T00:31:10"/>
    <d v="1899-12-30T00:02:48"/>
    <x v="33"/>
    <m/>
    <s v="Good"/>
    <s v="Good"/>
    <s v="Good"/>
  </r>
  <r>
    <n v="149.07"/>
    <x v="3"/>
    <m/>
    <x v="0"/>
    <m/>
    <m/>
    <s v="We want mutual respect not tolerance"/>
    <m/>
    <m/>
    <m/>
    <m/>
    <m/>
    <d v="1899-12-30T00:31:12"/>
    <d v="1899-12-30T00:34:28"/>
    <d v="1899-12-30T00:03:16"/>
    <x v="33"/>
    <m/>
    <s v="Good"/>
    <s v="Good"/>
    <s v="Good"/>
  </r>
  <r>
    <n v="149.08000000000001"/>
    <x v="3"/>
    <m/>
    <x v="0"/>
    <m/>
    <m/>
    <s v="Dharma brings pleuralism"/>
    <m/>
    <m/>
    <m/>
    <m/>
    <m/>
    <d v="1899-12-30T00:34:30"/>
    <d v="1899-12-30T00:35:30"/>
    <d v="1899-12-30T00:01:00"/>
    <x v="33"/>
    <m/>
    <s v="Good"/>
    <s v="Good"/>
    <s v="Good"/>
  </r>
  <r>
    <n v="149.09"/>
    <x v="3"/>
    <m/>
    <x v="0"/>
    <m/>
    <m/>
    <s v="How to inspire young gen on dharmic principles"/>
    <m/>
    <m/>
    <m/>
    <m/>
    <m/>
    <d v="1899-12-30T00:35:32"/>
    <d v="1899-12-30T00:39:50"/>
    <d v="1899-12-30T00:04:18"/>
    <x v="33"/>
    <m/>
    <s v="Good"/>
    <s v="Good"/>
    <s v="Good"/>
  </r>
  <r>
    <n v="149.1"/>
    <x v="3"/>
    <m/>
    <x v="0"/>
    <m/>
    <m/>
    <s v="Retaining the sanctity of dhama "/>
    <m/>
    <m/>
    <m/>
    <m/>
    <m/>
    <d v="1899-12-30T00:45:10"/>
    <d v="1899-12-30T00:50:50"/>
    <d v="1899-12-30T00:05:40"/>
    <x v="33"/>
    <m/>
    <s v="Good"/>
    <s v="Good"/>
    <s v="Good"/>
  </r>
  <r>
    <n v="150"/>
    <x v="1"/>
    <m/>
    <x v="2"/>
    <s v="https://www.youtube.com/watch?v=PjvzuUMMZs4"/>
    <s v="U of Toronto - Talks"/>
    <m/>
    <m/>
    <m/>
    <n v="1300"/>
    <d v="1899-12-30T01:00:40"/>
    <s v="5 years ago"/>
    <m/>
    <m/>
    <d v="1899-12-30T00:00:00"/>
    <x v="3"/>
    <s v=""/>
    <m/>
    <m/>
    <m/>
  </r>
  <r>
    <n v="151"/>
    <x v="1"/>
    <m/>
    <x v="2"/>
    <s v="https://www.youtube.com/watch?v=HdBCunbR_jE"/>
    <s v="Toronto Civic Center, March 17, 2012 - Lecture"/>
    <m/>
    <m/>
    <m/>
    <n v="1000"/>
    <d v="1899-12-30T00:47:33"/>
    <s v="5 years ago"/>
    <m/>
    <m/>
    <d v="1899-12-30T00:00:00"/>
    <x v="3"/>
    <s v=""/>
    <m/>
    <m/>
    <m/>
  </r>
  <r>
    <n v="152"/>
    <x v="1"/>
    <m/>
    <x v="2"/>
    <s v="https://www.youtube.com/watch?v=vKGL9b0x_K8"/>
    <s v="U Ontario - Lecture March 19, 2012"/>
    <m/>
    <m/>
    <m/>
    <n v="503"/>
    <d v="1899-12-30T01:52:44"/>
    <s v="5 years ago"/>
    <m/>
    <m/>
    <d v="1899-12-30T00:00:00"/>
    <x v="3"/>
    <s v=""/>
    <m/>
    <m/>
    <m/>
  </r>
  <r>
    <n v="153"/>
    <x v="1"/>
    <m/>
    <x v="2"/>
    <s v="https://www.youtube.com/watch?v=5K-nmVDwXW0"/>
    <s v="U Ontario - Q and A, March 19, 2012"/>
    <m/>
    <m/>
    <m/>
    <n v="545"/>
    <d v="1899-12-30T00:32:45"/>
    <s v="5 years ago"/>
    <m/>
    <m/>
    <d v="1899-12-30T00:00:00"/>
    <x v="3"/>
    <s v=""/>
    <m/>
    <m/>
    <m/>
  </r>
  <r>
    <n v="154"/>
    <x v="1"/>
    <m/>
    <x v="2"/>
    <s v="https://www.youtube.com/watch?v=R7mzbp-9vbk"/>
    <s v="Hindi Mahaotsav May 12, 2012"/>
    <m/>
    <m/>
    <m/>
    <n v="1000"/>
    <d v="1899-12-30T01:06:37"/>
    <s v="5 years ago"/>
    <m/>
    <m/>
    <d v="1899-12-30T00:00:00"/>
    <x v="3"/>
    <s v=""/>
    <m/>
    <m/>
    <m/>
  </r>
  <r>
    <n v="155"/>
    <x v="3"/>
    <m/>
    <x v="0"/>
    <s v="https://www.youtube.com/watch?v=ucgD3lqwZX0"/>
    <s v="Rajiv Malhotra on the Need of Academic Study of Hinduism at WAVES 2008 - Vid 1"/>
    <m/>
    <m/>
    <m/>
    <n v="453"/>
    <d v="1899-12-30T00:07:05"/>
    <s v="5 years ago"/>
    <m/>
    <m/>
    <d v="1899-12-30T00:00:00"/>
    <x v="16"/>
    <s v=""/>
    <m/>
    <m/>
    <m/>
  </r>
  <r>
    <n v="155.01"/>
    <x v="3"/>
    <m/>
    <x v="0"/>
    <m/>
    <m/>
    <s v="Need to bring back Purva-paksha - learning the &quot;other view&quot; "/>
    <m/>
    <m/>
    <m/>
    <m/>
    <m/>
    <d v="1899-12-30T00:00:00"/>
    <d v="1899-12-30T00:07:04"/>
    <d v="1899-12-30T00:07:04"/>
    <x v="16"/>
    <m/>
    <s v="Good"/>
    <s v="Good"/>
    <s v="Good"/>
  </r>
  <r>
    <n v="156"/>
    <x v="3"/>
    <m/>
    <x v="0"/>
    <s v="https://www.youtube.com/watch?v=5bAuJCTjg8s"/>
    <s v="Rajiv Malhotra on Challenges facing Hinduism in USA at WAVES 2008 - Vid 2"/>
    <m/>
    <m/>
    <m/>
    <n v="446"/>
    <d v="1899-12-30T00:03:18"/>
    <s v="5 years ago"/>
    <m/>
    <m/>
    <d v="1899-12-30T00:00:00"/>
    <x v="16"/>
    <s v=""/>
    <m/>
    <m/>
    <m/>
  </r>
  <r>
    <n v="156.01"/>
    <x v="3"/>
    <m/>
    <x v="0"/>
    <m/>
    <m/>
    <s v="Dharma challenges in the US"/>
    <m/>
    <m/>
    <m/>
    <m/>
    <m/>
    <d v="1899-12-30T00:00:00"/>
    <d v="1899-12-30T00:03:18"/>
    <d v="1899-12-30T00:03:18"/>
    <x v="16"/>
    <m/>
    <s v="Good"/>
    <s v="Good"/>
    <s v="Good"/>
  </r>
  <r>
    <n v="157"/>
    <x v="3"/>
    <m/>
    <x v="0"/>
    <s v="https://www.youtube.com/watch?v=d9KgrM48iGg"/>
    <s v="Rajiv Malhotra on Challenges for Hindus in Academics at Waves 2008 - Vid 3"/>
    <m/>
    <m/>
    <m/>
    <n v="576"/>
    <d v="1899-12-30T00:02:30"/>
    <s v="5 years ago"/>
    <m/>
    <m/>
    <d v="1899-12-30T00:00:00"/>
    <x v="16"/>
    <s v=""/>
    <m/>
    <m/>
    <m/>
  </r>
  <r>
    <n v="157.01"/>
    <x v="3"/>
    <m/>
    <x v="0"/>
    <m/>
    <m/>
    <s v="Challenges from maxist Indians"/>
    <m/>
    <m/>
    <m/>
    <m/>
    <m/>
    <d v="1899-12-30T00:00:00"/>
    <d v="1899-12-30T00:02:30"/>
    <d v="1899-12-30T00:02:30"/>
    <x v="16"/>
    <m/>
    <s v="Good"/>
    <s v="Good"/>
    <s v="Good"/>
  </r>
  <r>
    <n v="158"/>
    <x v="3"/>
    <m/>
    <x v="0"/>
    <s v="https://www.youtube.com/watch?v=4h6drLmYTr8"/>
    <s v="Rajiv Malhotra on European race theory and conversion of Jatis into Castes at Waves 2008 - Vid 4"/>
    <m/>
    <m/>
    <m/>
    <n v="435"/>
    <d v="1899-12-30T00:03:26"/>
    <s v="5 years ago"/>
    <m/>
    <m/>
    <m/>
    <x v="17"/>
    <s v=""/>
    <m/>
    <m/>
    <m/>
  </r>
  <r>
    <n v="158.01"/>
    <x v="3"/>
    <m/>
    <x v="0"/>
    <m/>
    <m/>
    <s v="Risley's race theory - different evolutions Europe &amp; India"/>
    <m/>
    <m/>
    <m/>
    <m/>
    <m/>
    <d v="1899-12-30T00:00:00"/>
    <d v="1899-12-30T00:03:26"/>
    <d v="1899-12-30T00:03:18"/>
    <x v="17"/>
    <m/>
    <s v="Average"/>
    <s v="Poor"/>
    <s v="Good"/>
  </r>
  <r>
    <n v="159"/>
    <x v="3"/>
    <m/>
    <x v="0"/>
    <s v="https://www.youtube.com/watch?v=2uOiM67vK6A"/>
    <s v="Rajiv Malhotra on Creation of Dravidian Identity among Indians at Waves 2008 - Vid 5"/>
    <m/>
    <m/>
    <m/>
    <n v="1100"/>
    <d v="1899-12-30T00:01:41"/>
    <s v="5 years ago"/>
    <m/>
    <m/>
    <m/>
    <x v="17"/>
    <s v=""/>
    <m/>
    <m/>
    <m/>
  </r>
  <r>
    <n v="159.01"/>
    <x v="3"/>
    <m/>
    <x v="0"/>
    <m/>
    <m/>
    <s v="How Indologists created Dravidianism"/>
    <m/>
    <m/>
    <m/>
    <m/>
    <m/>
    <d v="1899-12-30T00:00:00"/>
    <d v="1899-12-30T00:01:41"/>
    <d v="1899-12-30T00:03:18"/>
    <x v="17"/>
    <m/>
    <s v="Average"/>
    <s v="Poor"/>
    <s v="Good"/>
  </r>
  <r>
    <n v="160"/>
    <x v="3"/>
    <m/>
    <x v="0"/>
    <s v="https://www.youtube.com/watch?v=Y1SUVA0PU1o"/>
    <s v="Rajiv Malhotra on Mapping of India onto European framework at Waves 2008 - Vid 6"/>
    <m/>
    <m/>
    <m/>
    <n v="202"/>
    <d v="1899-12-30T00:03:03"/>
    <s v="5 years ago"/>
    <m/>
    <m/>
    <m/>
    <x v="17"/>
    <s v=""/>
    <m/>
    <m/>
    <m/>
  </r>
  <r>
    <n v="160.1"/>
    <x v="3"/>
    <m/>
    <x v="0"/>
    <m/>
    <m/>
    <s v="British Indology: Orientalists, Aglicists and Imperialists - Shifting attitudes "/>
    <m/>
    <m/>
    <m/>
    <m/>
    <m/>
    <d v="1899-12-30T00:00:00"/>
    <d v="1899-12-30T00:03:03"/>
    <d v="1899-12-30T00:03:18"/>
    <x v="17"/>
    <m/>
    <s v="Average"/>
    <s v="Poor"/>
    <s v="Good"/>
  </r>
  <r>
    <n v="161"/>
    <x v="3"/>
    <m/>
    <x v="0"/>
    <s v="https://www.youtube.com/watch?v=yaOVnZ7W-Qc"/>
    <s v="Rajiv Malhotra on Colonial Institutional infrastructure in India at Waves 2008 - Vid 7"/>
    <m/>
    <m/>
    <m/>
    <n v="234"/>
    <d v="1899-12-30T00:02:06"/>
    <s v="5 years ago"/>
    <d v="1899-12-30T00:00:00"/>
    <d v="1899-12-30T00:02:06"/>
    <d v="1899-12-30T00:02:06"/>
    <x v="17"/>
    <s v=""/>
    <s v="Poor"/>
    <m/>
    <m/>
  </r>
  <r>
    <n v="162"/>
    <x v="3"/>
    <m/>
    <x v="0"/>
    <s v="https://www.youtube.com/watch?v=hgdVPIrlSPU"/>
    <s v="Rajiv Malhotra on British justification for colonizing India at Waves 2008 - Vid 8"/>
    <m/>
    <m/>
    <m/>
    <n v="497"/>
    <d v="1899-12-30T00:02:07"/>
    <s v="5 years ago"/>
    <d v="1899-12-30T00:00:00"/>
    <d v="1899-12-30T00:02:07"/>
    <d v="1899-12-30T00:02:07"/>
    <x v="17"/>
    <s v=""/>
    <s v="Poor"/>
    <m/>
    <m/>
  </r>
  <r>
    <n v="163"/>
    <x v="3"/>
    <m/>
    <x v="0"/>
    <s v="https://www.youtube.com/watch?v=8iuVX1AkV_0"/>
    <s v="Rajiv Malhotra on 'Good Cop Bad Cop' method and expansion of West in India at Waves 2008 - Vid 9"/>
    <m/>
    <m/>
    <m/>
    <n v="315"/>
    <d v="1899-12-30T00:08:12"/>
    <s v="5 years ago"/>
    <m/>
    <m/>
    <d v="1899-12-30T00:00:00"/>
    <x v="17"/>
    <s v=""/>
    <m/>
    <m/>
    <m/>
  </r>
  <r>
    <n v="163.1"/>
    <x v="3"/>
    <m/>
    <x v="0"/>
    <m/>
    <m/>
    <s v="Breaking India - Good Cop/ Bad Cop method"/>
    <m/>
    <m/>
    <m/>
    <m/>
    <m/>
    <d v="1899-12-30T00:00:00"/>
    <d v="1899-12-30T00:08:12"/>
    <d v="1899-12-30T00:08:12"/>
    <x v="17"/>
    <m/>
    <s v="Average"/>
    <s v="Poor"/>
    <s v="Good"/>
  </r>
  <r>
    <n v="164"/>
    <x v="3"/>
    <m/>
    <x v="0"/>
    <s v="https://www.youtube.com/watch?v=wH8I0vSB-Os"/>
    <s v="Rajiv Malhotra on Origin of Liberalism in India at Waves 2008 - Vid 10"/>
    <m/>
    <m/>
    <m/>
    <n v="535"/>
    <d v="1899-12-30T00:03:06"/>
    <s v="5 years ago"/>
    <m/>
    <m/>
    <d v="1899-12-30T00:00:00"/>
    <x v="17"/>
    <s v=""/>
    <m/>
    <m/>
    <m/>
  </r>
  <r>
    <n v="164.1"/>
    <x v="3"/>
    <m/>
    <x v="0"/>
    <m/>
    <m/>
    <s v="Breaking India - British Indologists and Liberalism "/>
    <m/>
    <m/>
    <m/>
    <m/>
    <m/>
    <d v="1899-12-30T00:00:00"/>
    <d v="1899-12-30T00:03:06"/>
    <d v="1899-12-30T00:03:06"/>
    <x v="17"/>
    <m/>
    <s v="Average"/>
    <s v="Poor"/>
    <s v="Good"/>
  </r>
  <r>
    <n v="165"/>
    <x v="1"/>
    <m/>
    <x v="2"/>
    <s v="https://www.youtube.com/watch?v=Um1LJAfSPoo"/>
    <s v="Why Tibet is Important to People Everywhere: Rajiv Malhotra"/>
    <m/>
    <m/>
    <m/>
    <n v="2700"/>
    <d v="1899-12-30T00:14:34"/>
    <s v="5 years ago"/>
    <m/>
    <m/>
    <d v="1899-12-30T00:00:00"/>
    <x v="3"/>
    <s v=""/>
    <m/>
    <m/>
    <m/>
  </r>
  <r>
    <n v="166"/>
    <x v="1"/>
    <m/>
    <x v="2"/>
    <s v="https://www.youtube.com/watch?v=itgdRwuvtN0"/>
    <s v="Chicago June 2nd 2012"/>
    <m/>
    <m/>
    <m/>
    <n v="4700"/>
    <d v="1899-12-30T01:48:52"/>
    <s v="5 years ago"/>
    <m/>
    <m/>
    <d v="1899-12-30T00:00:00"/>
    <x v="3"/>
    <s v=""/>
    <m/>
    <m/>
    <m/>
  </r>
  <r>
    <n v="167"/>
    <x v="1"/>
    <m/>
    <x v="2"/>
    <s v="https://www.youtube.com/watch?v=Z7B5IZZhoAI"/>
    <s v="Q&amp;A at two Chicago temples, June 3, 2012"/>
    <m/>
    <m/>
    <m/>
    <n v="7500"/>
    <d v="1899-12-30T02:14:27"/>
    <s v="5 years ago"/>
    <m/>
    <m/>
    <d v="1899-12-30T00:00:00"/>
    <x v="3"/>
    <s v=""/>
    <m/>
    <m/>
    <m/>
  </r>
  <r>
    <n v="168"/>
    <x v="1"/>
    <m/>
    <x v="2"/>
    <s v="https://www.youtube.com/watch?v=UuJzHq-Ont4"/>
    <s v="Lecture on BEING DIFFERENT, June 3, 2012"/>
    <m/>
    <m/>
    <m/>
    <n v="1800"/>
    <d v="1899-12-30T01:16:16"/>
    <s v="5 years ago"/>
    <m/>
    <m/>
    <d v="1899-12-30T00:00:00"/>
    <x v="3"/>
    <s v=""/>
    <m/>
    <m/>
    <m/>
  </r>
  <r>
    <n v="169"/>
    <x v="1"/>
    <m/>
    <x v="2"/>
    <s v="https://www.youtube.com/watch?v=fQxUVyFqzpA"/>
    <s v="Introduction by head of Chinmaya Mission, Toronto May 2012"/>
    <m/>
    <m/>
    <m/>
    <n v="343"/>
    <d v="1899-12-30T00:04:04"/>
    <s v="5 years ago"/>
    <m/>
    <m/>
    <d v="1899-12-30T00:00:00"/>
    <x v="3"/>
    <s v=""/>
    <m/>
    <m/>
    <m/>
  </r>
  <r>
    <n v="170"/>
    <x v="1"/>
    <m/>
    <x v="2"/>
    <s v="https://www.youtube.com/watch?v=wgud4Fi47XA"/>
    <s v="Q&amp;A at Chinmaya Mission, Toronto, May 2012"/>
    <m/>
    <m/>
    <m/>
    <n v="1500"/>
    <d v="1899-12-30T01:25:49"/>
    <s v="5 years ago"/>
    <m/>
    <m/>
    <d v="1899-12-30T00:00:00"/>
    <x v="3"/>
    <s v=""/>
    <m/>
    <m/>
    <m/>
  </r>
  <r>
    <n v="171"/>
    <x v="1"/>
    <m/>
    <x v="2"/>
    <s v="https://www.youtube.com/watch?v=2Ew9deAuPwU"/>
    <s v="Talk at Chinmaya Mission, Toronto, May 2012"/>
    <m/>
    <m/>
    <m/>
    <n v="463"/>
    <d v="1899-12-30T00:35:57"/>
    <s v="5 years ago"/>
    <m/>
    <m/>
    <d v="1899-12-30T00:00:00"/>
    <x v="3"/>
    <s v=""/>
    <m/>
    <m/>
    <m/>
  </r>
  <r>
    <n v="172"/>
    <x v="1"/>
    <m/>
    <x v="2"/>
    <s v="https://www.youtube.com/watch?v=Au_HvuB2IQc"/>
    <s v="Christianity Explained by Rajiv Malhotra"/>
    <m/>
    <m/>
    <m/>
    <n v="5200"/>
    <d v="1899-12-30T01:20:19"/>
    <s v="5 years ago"/>
    <m/>
    <m/>
    <d v="1899-12-30T00:00:00"/>
    <x v="3"/>
    <s v=""/>
    <m/>
    <m/>
    <m/>
  </r>
  <r>
    <n v="173"/>
    <x v="1"/>
    <m/>
    <x v="2"/>
    <s v="https://www.youtube.com/watch?v=t_J24YUQNK4"/>
    <s v="Talk at Lakshmi Narayan Mandir, Toronto, May 25, 2012"/>
    <m/>
    <m/>
    <m/>
    <n v="624"/>
    <d v="1899-12-30T00:37:15"/>
    <s v="5 years ago"/>
    <m/>
    <m/>
    <d v="1899-12-30T00:00:00"/>
    <x v="3"/>
    <s v=""/>
    <m/>
    <m/>
    <m/>
  </r>
  <r>
    <n v="174"/>
    <x v="1"/>
    <m/>
    <x v="2"/>
    <s v="https://www.youtube.com/watch?v=MfzPrOKKZVo"/>
    <s v="Keynote address at 14th annual Indian heritage day, toronto, May 26, 2012"/>
    <m/>
    <m/>
    <m/>
    <n v="1400"/>
    <d v="1899-12-30T00:25:34"/>
    <s v="5 years ago"/>
    <m/>
    <m/>
    <d v="1899-12-30T00:00:00"/>
    <x v="3"/>
    <s v=""/>
    <m/>
    <m/>
    <m/>
  </r>
  <r>
    <n v="175"/>
    <x v="1"/>
    <m/>
    <x v="2"/>
    <s v="https://www.youtube.com/watch?v=57-MHC42i7g"/>
    <s v="Toronto Public Discussions on Dharma Civilization, May 26 - 29, 2012"/>
    <m/>
    <m/>
    <m/>
    <n v="3100"/>
    <d v="1899-12-30T02:00:12"/>
    <s v="5 years ago"/>
    <m/>
    <m/>
    <d v="1899-12-30T00:00:00"/>
    <x v="3"/>
    <s v=""/>
    <m/>
    <m/>
    <m/>
  </r>
  <r>
    <n v="176"/>
    <x v="1"/>
    <m/>
    <x v="2"/>
    <s v="https://www.youtube.com/watch?v=pO9qCeA640E"/>
    <s v="Lecture-Duscussion at Vidya Bharati Foundation of Canada, May 27, 2012"/>
    <m/>
    <m/>
    <m/>
    <n v="2000"/>
    <d v="1899-12-30T01:28:05"/>
    <s v="5 years ago"/>
    <m/>
    <m/>
    <d v="1899-12-30T00:00:00"/>
    <x v="3"/>
    <s v=""/>
    <m/>
    <m/>
    <m/>
  </r>
  <r>
    <n v="177"/>
    <x v="1"/>
    <m/>
    <x v="2"/>
    <s v="https://www.youtube.com/watch?v=17Jnr2hr0ro"/>
    <s v="Swami Dayanand Saraswati introduces Rajiv Malhotra at The Hindu Dharma Acharya Sabha, 07 Nov 2012"/>
    <m/>
    <m/>
    <m/>
    <n v="7300"/>
    <d v="1899-12-30T00:44:42"/>
    <s v="4 years ago"/>
    <m/>
    <m/>
    <d v="1899-12-30T00:00:00"/>
    <x v="3"/>
    <s v=""/>
    <m/>
    <m/>
    <m/>
  </r>
  <r>
    <n v="179"/>
    <x v="1"/>
    <m/>
    <x v="2"/>
    <s v="https://www.youtube.com/watch?v=MBzty84VgRo"/>
    <s v="Interview on Sudarshan TV, April 2013"/>
    <m/>
    <m/>
    <m/>
    <n v="1200"/>
    <d v="1899-12-30T00:23:36"/>
    <s v="4 years ago"/>
    <m/>
    <m/>
    <d v="1899-12-30T00:00:00"/>
    <x v="3"/>
    <s v=""/>
    <m/>
    <m/>
    <m/>
  </r>
  <r>
    <n v="178"/>
    <x v="0"/>
    <m/>
    <x v="0"/>
    <s v="https://www.youtube.com/watch?v=cpZPvFvzNlc"/>
    <s v="Rajiv Malhotra: Debating Identity with NRI Youths"/>
    <m/>
    <m/>
    <m/>
    <n v="2500"/>
    <d v="1899-12-30T01:07:58"/>
    <s v="4 years ago"/>
    <m/>
    <m/>
    <d v="1899-12-30T00:00:00"/>
    <x v="11"/>
    <s v=""/>
    <m/>
    <m/>
    <m/>
  </r>
  <r>
    <n v="178.01"/>
    <x v="0"/>
    <m/>
    <x v="0"/>
    <m/>
    <m/>
    <s v="Strategy: Handling multiple questions on Hindu Identify."/>
    <m/>
    <m/>
    <m/>
    <m/>
    <m/>
    <m/>
    <m/>
    <d v="1899-12-30T00:00:00"/>
    <x v="11"/>
    <s v="https://www.youtube.com/embed/cpZPvFvzNlc?start=0&amp;end=0&amp;autoplay=1"/>
    <m/>
    <m/>
    <m/>
  </r>
  <r>
    <n v="178.02"/>
    <x v="0"/>
    <m/>
    <x v="0"/>
    <m/>
    <m/>
    <s v="If you are identity-less then you are disempowering yourself"/>
    <s v="American Identify shifted from English to Christian to White_x000a_- Italian chatholic -&gt; protestant -&gt; christian (journey of catholic assimilation in white)_x000a_- Book: How Irish become white. How Jews became white._x000a_- America's journey of assimilation. Black were never assimilative._x000a_- Identity war with gays, muslim, chienese, italian, spanish. Choice in America in not identify less society. _x000a_- Whether I define or I reject my identity, I will be given identity. If I reject they will define my identity. So It is important for me to define my positive identity._x000a_- Spanish people created their identity based on spanish language_x000a_- Historical societies of America is very important topic to be searched for understanding identity business."/>
    <m/>
    <m/>
    <m/>
    <m/>
    <d v="1899-12-30T00:10:18"/>
    <d v="1899-12-30T00:17:13"/>
    <d v="1899-12-30T00:06:55"/>
    <x v="11"/>
    <s v="https://www.youtube.com/embed/cpZPvFvzNlc?start=618&amp;end=1033&amp;autoplay=1"/>
    <s v="Good"/>
    <s v="Good"/>
    <s v="Good"/>
  </r>
  <r>
    <n v="178.03"/>
    <x v="0"/>
    <m/>
    <x v="0"/>
    <m/>
    <m/>
    <s v="Difference between identity struggle in America and Canada"/>
    <s v="US is called melting point. In Canada they want everyone to remain distinctive. In American it is either fight or melt is down."/>
    <m/>
    <m/>
    <m/>
    <m/>
    <d v="1899-12-30T00:17:22"/>
    <d v="1899-12-30T00:18:10"/>
    <d v="1899-12-30T00:00:48"/>
    <x v="11"/>
    <s v="https://www.youtube.com/embed/cpZPvFvzNlc?start=1042&amp;end=1090&amp;autoplay=1"/>
    <s v="Good"/>
    <s v="Good"/>
    <s v="Good"/>
  </r>
  <r>
    <n v="178.04"/>
    <x v="0"/>
    <m/>
    <x v="0"/>
    <m/>
    <m/>
    <s v="All are one and children of God then why Hindu seeks differnet identify?"/>
    <m/>
    <m/>
    <m/>
    <m/>
    <m/>
    <d v="1899-12-30T00:24:12"/>
    <d v="1899-12-30T00:25:46"/>
    <d v="1899-12-30T00:01:34"/>
    <x v="11"/>
    <s v="https://www.youtube.com/embed/cpZPvFvzNlc?start=1452&amp;end=1546&amp;autoplay=1"/>
    <s v="Good"/>
    <s v="Good"/>
    <s v="Good"/>
  </r>
  <r>
    <n v="178.05"/>
    <x v="0"/>
    <m/>
    <x v="0"/>
    <m/>
    <m/>
    <s v="Identity is forced upon us and in reality we have to deal with enforced identity issue"/>
    <m/>
    <m/>
    <m/>
    <m/>
    <m/>
    <d v="1899-12-30T00:27:43"/>
    <d v="1899-12-30T00:32:36"/>
    <d v="1899-12-30T00:04:53"/>
    <x v="11"/>
    <s v="https://www.youtube.com/embed/cpZPvFvzNlc?start=1663&amp;end=1956&amp;autoplay=1"/>
    <s v="Good"/>
    <s v="Good"/>
    <s v="Good"/>
  </r>
  <r>
    <n v="178.06"/>
    <x v="0"/>
    <m/>
    <x v="0"/>
    <m/>
    <m/>
    <s v="For transendance of the idenitfy/ego knowing identity is important."/>
    <m/>
    <m/>
    <m/>
    <m/>
    <m/>
    <d v="1899-12-30T00:32:56"/>
    <d v="1899-12-30T00:34:21"/>
    <d v="1899-12-30T00:01:25"/>
    <x v="11"/>
    <s v="https://www.youtube.com/embed/cpZPvFvzNlc?start=1976&amp;end=2061&amp;autoplay=1"/>
    <s v="Good"/>
    <s v="Good"/>
    <s v="Good"/>
  </r>
  <r>
    <n v="178.07"/>
    <x v="0"/>
    <m/>
    <x v="0"/>
    <m/>
    <m/>
    <s v="Why civilization identify is required?"/>
    <m/>
    <m/>
    <m/>
    <m/>
    <m/>
    <d v="1899-12-30T00:34:40"/>
    <d v="1899-12-30T00:37:02"/>
    <d v="1899-12-30T00:02:22"/>
    <x v="11"/>
    <s v="https://www.youtube.com/embed/cpZPvFvzNlc?start=2080&amp;end=2222&amp;autoplay=1"/>
    <s v="Good"/>
    <s v="Good"/>
    <s v="Good"/>
  </r>
  <r>
    <n v="178.08"/>
    <x v="0"/>
    <m/>
    <x v="0"/>
    <m/>
    <m/>
    <s v="How Carabian Hindu feels in US?"/>
    <m/>
    <m/>
    <m/>
    <m/>
    <m/>
    <d v="1899-12-30T01:00:02"/>
    <d v="1899-12-30T01:01:40"/>
    <d v="1899-12-30T00:01:38"/>
    <x v="11"/>
    <s v="https://www.youtube.com/embed/cpZPvFvzNlc?start=3602&amp;end=3700&amp;autoplay=1"/>
    <s v="Good"/>
    <s v="Good"/>
    <s v="Good"/>
  </r>
  <r>
    <n v="178.09"/>
    <x v="0"/>
    <m/>
    <x v="0"/>
    <m/>
    <m/>
    <s v="Who should define identity for Hindu?"/>
    <m/>
    <m/>
    <m/>
    <m/>
    <m/>
    <d v="1899-12-30T01:01:42"/>
    <d v="1899-12-30T01:04:36"/>
    <d v="1899-12-30T00:02:54"/>
    <x v="11"/>
    <s v="https://www.youtube.com/embed/cpZPvFvzNlc?start=3702&amp;end=3876&amp;autoplay=1"/>
    <s v="Good"/>
    <s v="Good"/>
    <s v="Good"/>
  </r>
  <r>
    <n v="180"/>
    <x v="1"/>
    <m/>
    <x v="2"/>
    <s v="https://www.youtube.com/watch?v=nCmJgIvSqfU"/>
    <s v="Brand India &amp; Narayan Murthy: Rajiv Malhotra #1"/>
    <m/>
    <m/>
    <m/>
    <n v="8400"/>
    <d v="1899-12-30T00:04:40"/>
    <s v="4 years ago"/>
    <m/>
    <m/>
    <d v="1899-12-30T00:00:00"/>
    <x v="3"/>
    <s v=""/>
    <m/>
    <m/>
    <m/>
  </r>
  <r>
    <n v="181"/>
    <x v="1"/>
    <m/>
    <x v="2"/>
    <s v="https://www.youtube.com/watch?v=qsCWK-TQVsk"/>
    <s v="Are Indians Buying Back Their Knowledge From the West #5"/>
    <m/>
    <m/>
    <m/>
    <n v="12000"/>
    <d v="1899-12-30T00:58:48"/>
    <s v="4 years ago"/>
    <m/>
    <m/>
    <d v="1899-12-30T00:00:00"/>
    <x v="3"/>
    <s v=""/>
    <m/>
    <m/>
    <m/>
  </r>
  <r>
    <n v="182"/>
    <x v="1"/>
    <m/>
    <x v="2"/>
    <s v="https://www.youtube.com/watch?v=r5r1yU9O2ag"/>
    <s v="Is Written Evidence Needed to Authenticate a Source #2"/>
    <m/>
    <m/>
    <m/>
    <n v="7600"/>
    <d v="1899-12-30T00:09:34"/>
    <s v="4 years ago"/>
    <m/>
    <m/>
    <d v="1899-12-30T00:00:00"/>
    <x v="3"/>
    <s v=""/>
    <m/>
    <m/>
    <m/>
  </r>
  <r>
    <n v="183"/>
    <x v="1"/>
    <m/>
    <x v="2"/>
    <s v="https://www.youtube.com/watch?v=MFVzVjuj90E"/>
    <s v="Argument with a Social Scientist at IIT Bombay: Rajiv Malhotra #3"/>
    <m/>
    <m/>
    <m/>
    <n v="55000"/>
    <d v="1899-12-30T00:22:58"/>
    <s v="4 years ago"/>
    <m/>
    <m/>
    <d v="1899-12-30T00:00:00"/>
    <x v="3"/>
    <s v=""/>
    <m/>
    <m/>
    <m/>
  </r>
  <r>
    <n v="184"/>
    <x v="1"/>
    <m/>
    <x v="2"/>
    <s v="https://www.youtube.com/watch?v=Wu9WbgwxgjI"/>
    <s v="How &amp; Why Rajiv Malhotra Got Involved In These Activities #4"/>
    <m/>
    <m/>
    <m/>
    <n v="6800"/>
    <d v="1899-12-30T00:17:27"/>
    <s v="4 years ago"/>
    <m/>
    <m/>
    <d v="1899-12-30T00:00:00"/>
    <x v="3"/>
    <s v=""/>
    <m/>
    <m/>
    <m/>
  </r>
  <r>
    <n v="185"/>
    <x v="1"/>
    <m/>
    <x v="2"/>
    <s v="https://www.youtube.com/watch?v=zqnotAbf-Cc"/>
    <s v="Chaos, Decentralization, Self Organization - Pros &amp; Cons #10"/>
    <m/>
    <m/>
    <m/>
    <n v="4000"/>
    <d v="1899-12-30T00:12:06"/>
    <s v="4 years ago"/>
    <m/>
    <m/>
    <d v="1899-12-30T00:00:00"/>
    <x v="3"/>
    <s v=""/>
    <m/>
    <m/>
    <m/>
  </r>
  <r>
    <n v="186"/>
    <x v="1"/>
    <m/>
    <x v="2"/>
    <s v="https://www.youtube.com/watch?v=oeFU8Lk35BI"/>
    <s v="U-Turns Caused By Our Neglect #6"/>
    <m/>
    <m/>
    <m/>
    <n v="3900"/>
    <d v="1899-12-30T00:07:27"/>
    <s v="4 years ago"/>
    <m/>
    <m/>
    <d v="1899-12-30T00:00:00"/>
    <x v="3"/>
    <s v=""/>
    <m/>
    <m/>
    <m/>
  </r>
  <r>
    <n v="187"/>
    <x v="1"/>
    <m/>
    <x v="2"/>
    <s v="https://www.youtube.com/watch?v=NfO_yqDrGWs"/>
    <s v="Loss of Purva-paksha Tradition and Consequences #7"/>
    <m/>
    <m/>
    <m/>
    <n v="3800"/>
    <d v="1899-12-30T00:08:17"/>
    <s v="4 years ago"/>
    <m/>
    <m/>
    <d v="1899-12-30T00:00:00"/>
    <x v="3"/>
    <s v=""/>
    <m/>
    <m/>
    <m/>
  </r>
  <r>
    <n v="188"/>
    <x v="1"/>
    <m/>
    <x v="2"/>
    <s v="https://www.youtube.com/watch?v=uNPifASaoFM"/>
    <s v="Social Sciences In Indian Colleges is Modelled On Western Social Constructs #9"/>
    <m/>
    <m/>
    <m/>
    <n v="3200"/>
    <d v="1899-12-30T00:02:12"/>
    <s v="4 years ago"/>
    <m/>
    <m/>
    <d v="1899-12-30T00:00:00"/>
    <x v="3"/>
    <s v=""/>
    <m/>
    <m/>
    <m/>
  </r>
  <r>
    <n v="189"/>
    <x v="1"/>
    <m/>
    <x v="2"/>
    <s v="https://www.youtube.com/watch?v=0-LZkVdXTnc"/>
    <s v="Decolonization, Purvapaksha, Secularism, Indian Identity #8"/>
    <m/>
    <m/>
    <m/>
    <n v="4600"/>
    <d v="1899-12-30T00:21:37"/>
    <s v="4 years ago"/>
    <m/>
    <m/>
    <d v="1899-12-30T00:00:00"/>
    <x v="3"/>
    <s v=""/>
    <m/>
    <m/>
    <m/>
  </r>
  <r>
    <n v="190"/>
    <x v="1"/>
    <m/>
    <x v="2"/>
    <s v="https://www.youtube.com/watch?v=yIUwgFjMrg8"/>
    <s v="Relevance of Indian Knowledge Systems: Rajiv Malhotra"/>
    <m/>
    <m/>
    <m/>
    <n v="3700"/>
    <d v="1899-12-30T00:45:33"/>
    <s v="4 years ago"/>
    <m/>
    <m/>
    <d v="1899-12-30T00:00:00"/>
    <x v="3"/>
    <s v=""/>
    <m/>
    <m/>
    <m/>
  </r>
  <r>
    <n v="191"/>
    <x v="1"/>
    <m/>
    <x v="2"/>
    <s v="https://www.youtube.com/watch?v=pAHRrR6eeDU"/>
    <s v="History of Indian Science Technology, SIES Mgt School, Mumbai: Rajiv Malhotra"/>
    <m/>
    <m/>
    <m/>
    <n v="9400"/>
    <d v="1899-12-30T00:58:49"/>
    <s v="4 years ago"/>
    <m/>
    <m/>
    <d v="1899-12-30T00:00:00"/>
    <x v="3"/>
    <s v=""/>
    <m/>
    <m/>
    <m/>
  </r>
  <r>
    <n v="192"/>
    <x v="1"/>
    <m/>
    <x v="2"/>
    <s v="https://www.youtube.com/watch?v=EWnc9FdyP7s"/>
    <s v="Commerce College 2013 1. Introduction"/>
    <m/>
    <m/>
    <m/>
    <n v="938"/>
    <d v="1899-12-30T00:01:57"/>
    <s v="4 years ago"/>
    <m/>
    <m/>
    <d v="1899-12-30T00:00:00"/>
    <x v="3"/>
    <s v=""/>
    <m/>
    <m/>
    <m/>
  </r>
  <r>
    <n v="193"/>
    <x v="1"/>
    <m/>
    <x v="2"/>
    <s v="https://www.youtube.com/watch?v=LI3VwCn-0WI"/>
    <s v="Commerce College . 13 3.Discussion: We Understand the Americans better than we Understand Ourselves"/>
    <m/>
    <m/>
    <m/>
    <n v="1800"/>
    <d v="1899-12-30T00:14:17"/>
    <s v="4 years ago"/>
    <m/>
    <m/>
    <d v="1899-12-30T00:00:00"/>
    <x v="3"/>
    <s v=""/>
    <m/>
    <m/>
    <m/>
  </r>
  <r>
    <n v="194"/>
    <x v="1"/>
    <m/>
    <x v="2"/>
    <s v="https://www.youtube.com/watch?v=yVdcSMOWtxM"/>
    <s v="Commerce College 2013 2. - Lecture: My journey; the Indian crisis; Sensex economy and modern shudras"/>
    <m/>
    <m/>
    <m/>
    <n v="4400"/>
    <d v="1899-12-30T00:36:36"/>
    <s v="4 years ago"/>
    <m/>
    <m/>
    <d v="1899-12-30T00:00:00"/>
    <x v="3"/>
    <s v=""/>
    <m/>
    <m/>
    <m/>
  </r>
  <r>
    <n v="195"/>
    <x v="1"/>
    <m/>
    <x v="2"/>
    <s v="https://www.youtube.com/watch?v=Yf6-fJ-LcU8"/>
    <s v="Commerce College 2013 4. Discussion: Assimilation and retaining Civilizational Distinctiveness"/>
    <m/>
    <m/>
    <m/>
    <n v="1000"/>
    <d v="1899-12-30T00:06:50"/>
    <s v="4 years ago"/>
    <m/>
    <m/>
    <d v="1899-12-30T00:00:00"/>
    <x v="3"/>
    <s v=""/>
    <m/>
    <m/>
    <m/>
  </r>
  <r>
    <n v="196"/>
    <x v="1"/>
    <m/>
    <x v="2"/>
    <s v="https://www.youtube.com/watch?v=L2rJctVLi3M"/>
    <s v="Commerce College 2013 5. Discussion: What inspired me and the role of my sadhana"/>
    <m/>
    <m/>
    <m/>
    <n v="1000"/>
    <d v="1899-12-30T00:04:25"/>
    <s v="4 years ago"/>
    <m/>
    <m/>
    <d v="1899-12-30T00:00:00"/>
    <x v="3"/>
    <s v=""/>
    <m/>
    <m/>
    <m/>
  </r>
  <r>
    <n v="197"/>
    <x v="1"/>
    <m/>
    <x v="2"/>
    <s v="https://www.youtube.com/watch?v=wm8QHjKcDf8"/>
    <s v="Commerce College 2013 6. Discussion: What should be goal of students - career or serve the culture"/>
    <m/>
    <m/>
    <m/>
    <n v="1800"/>
    <d v="1899-12-30T00:02:42"/>
    <s v="4 years ago"/>
    <m/>
    <m/>
    <d v="1899-12-30T00:00:00"/>
    <x v="3"/>
    <s v=""/>
    <m/>
    <m/>
    <m/>
  </r>
  <r>
    <n v="198"/>
    <x v="1"/>
    <m/>
    <x v="2"/>
    <s v="https://www.youtube.com/watch?v=U37L8EPVc5s"/>
    <s v="Commerce College 2013 7. Role of Indian languages, control of global standards discourse, &amp; power"/>
    <m/>
    <m/>
    <m/>
    <n v="2000"/>
    <d v="1899-12-30T00:12:42"/>
    <s v="4 years ago"/>
    <m/>
    <m/>
    <d v="1899-12-30T00:00:00"/>
    <x v="3"/>
    <s v=""/>
    <m/>
    <m/>
    <m/>
  </r>
  <r>
    <n v="199"/>
    <x v="1"/>
    <m/>
    <x v="2"/>
    <s v="https://www.youtube.com/watch?v=ja-cxuo3ugc"/>
    <s v="Commerce College 2013 8. Discussion: Causes of youth disconnect from deep knowledge of roots"/>
    <m/>
    <m/>
    <m/>
    <n v="3100"/>
    <d v="1899-12-30T00:12:57"/>
    <s v="4 years ago"/>
    <m/>
    <m/>
    <d v="1899-12-30T00:00:00"/>
    <x v="3"/>
    <s v=""/>
    <m/>
    <m/>
    <m/>
  </r>
  <r>
    <n v="200"/>
    <x v="1"/>
    <m/>
    <x v="2"/>
    <s v="https://www.youtube.com/watch?v=F95dqGlnggo"/>
    <s v="Indian Qualities that are Special &amp; Exportable_Commerce College 2013 #9"/>
    <m/>
    <m/>
    <m/>
    <n v="2400"/>
    <d v="1899-12-30T00:13:20"/>
    <s v="4 years ago"/>
    <m/>
    <m/>
    <d v="1899-12-30T00:00:00"/>
    <x v="3"/>
    <s v=""/>
    <m/>
    <m/>
    <m/>
  </r>
  <r>
    <n v="201"/>
    <x v="1"/>
    <m/>
    <x v="2"/>
    <s v="https://www.youtube.com/watch?v=9IzjjqFO5c8"/>
    <s v="Baba Ramdev's Ashram: A Welcome Hug &amp; Discussion on Reversing the Gaze #1"/>
    <m/>
    <m/>
    <m/>
    <n v="8100"/>
    <d v="1899-12-30T00:03:48"/>
    <s v="3 years ago"/>
    <m/>
    <m/>
    <d v="1899-12-30T00:00:00"/>
    <x v="3"/>
    <s v=""/>
    <m/>
    <m/>
    <m/>
  </r>
  <r>
    <n v="202"/>
    <x v="1"/>
    <m/>
    <x v="2"/>
    <s v="https://www.youtube.com/watch?v=5YuNKvTZtdM"/>
    <s v="Baba Ramdev's Ashram Vid 11: How to Name &amp; Position Hindi Edition of Breaking India"/>
    <m/>
    <m/>
    <m/>
    <n v="2700"/>
    <d v="1899-12-30T00:03:55"/>
    <s v="3 years ago"/>
    <m/>
    <m/>
    <d v="1899-12-30T00:00:00"/>
    <x v="3"/>
    <s v=""/>
    <m/>
    <m/>
    <m/>
  </r>
  <r>
    <n v="203"/>
    <x v="1"/>
    <m/>
    <x v="2"/>
    <s v="https://www.youtube.com/watch?v=XeCuvEX-tow"/>
    <s v="Baba Ramdev's Ashram: Rajiv &amp; Baba Brainstorm #14"/>
    <m/>
    <m/>
    <m/>
    <n v="2900"/>
    <d v="1899-12-30T00:03:17"/>
    <s v="3 years ago"/>
    <m/>
    <m/>
    <d v="1899-12-30T00:00:00"/>
    <x v="3"/>
    <s v=""/>
    <m/>
    <m/>
    <m/>
  </r>
  <r>
    <n v="204"/>
    <x v="1"/>
    <m/>
    <x v="2"/>
    <s v="https://www.youtube.com/watch?v=182HueOxCaU"/>
    <s v="Baba Ramdev Introduces Rajiv Malhotra to his Ashram Audience #2"/>
    <m/>
    <m/>
    <m/>
    <n v="3900"/>
    <d v="1899-12-30T00:06:16"/>
    <s v="3 years ago"/>
    <m/>
    <m/>
    <d v="1899-12-30T00:00:00"/>
    <x v="3"/>
    <s v=""/>
    <m/>
    <m/>
    <m/>
  </r>
  <r>
    <n v="205"/>
    <x v="1"/>
    <m/>
    <x v="2"/>
    <s v="https://www.youtube.com/watch?v=t63m6GCrKbw"/>
    <s v="How Ayurveda Got Plagiarized by the Aveda Brand #5"/>
    <m/>
    <m/>
    <m/>
    <n v="3900"/>
    <d v="1899-12-30T00:09:21"/>
    <s v="3 years ago"/>
    <m/>
    <m/>
    <d v="1899-12-30T00:00:00"/>
    <x v="3"/>
    <s v=""/>
    <m/>
    <m/>
    <m/>
  </r>
  <r>
    <n v="206"/>
    <x v="1"/>
    <m/>
    <x v="2"/>
    <s v="https://www.youtube.com/watch?v=Dymxd9hAemA"/>
    <s v="Rajiv Malhotra Exposes How Foreign Nexuses Operate in India #4"/>
    <m/>
    <m/>
    <m/>
    <n v="4400"/>
    <d v="1899-12-30T00:13:16"/>
    <s v="3 years ago"/>
    <m/>
    <m/>
    <d v="1899-12-30T00:00:00"/>
    <x v="3"/>
    <s v=""/>
    <m/>
    <m/>
    <m/>
  </r>
  <r>
    <n v="207"/>
    <x v="1"/>
    <m/>
    <x v="2"/>
    <s v="https://www.youtube.com/watch?v=RKYffxIB9EM"/>
    <s v="Baba Ramdev's Ashram Vid 3: Rajiv &amp; Baba Ramdev Discuss Long Range Forces Breaking India"/>
    <m/>
    <m/>
    <m/>
    <n v="4200"/>
    <d v="1899-12-30T00:10:25"/>
    <s v="3 years ago"/>
    <m/>
    <m/>
    <d v="1899-12-30T00:00:00"/>
    <x v="3"/>
    <s v=""/>
    <m/>
    <m/>
    <m/>
  </r>
  <r>
    <n v="208"/>
    <x v="1"/>
    <m/>
    <x v="2"/>
    <s v="https://www.youtube.com/watch?v=gU4jkSa9phY"/>
    <s v="Overview of Rajiv's Mission to Decolonize India Studies #6"/>
    <m/>
    <m/>
    <m/>
    <n v="1900"/>
    <d v="1899-12-30T00:06:20"/>
    <s v="3 years ago"/>
    <m/>
    <m/>
    <d v="1899-12-30T00:00:00"/>
    <x v="3"/>
    <s v=""/>
    <m/>
    <m/>
    <m/>
  </r>
  <r>
    <n v="209"/>
    <x v="1"/>
    <m/>
    <x v="2"/>
    <s v="https://www.youtube.com/watch?v=y-v-Ijc7W3Y"/>
    <s v="Baba Ramdev's Ashram Vid 10: What inspired Rajiv to Research &amp; Write"/>
    <m/>
    <m/>
    <m/>
    <n v="2800"/>
    <d v="1899-12-30T00:09:25"/>
    <s v="3 years ago"/>
    <m/>
    <m/>
    <d v="1899-12-30T00:00:00"/>
    <x v="3"/>
    <s v=""/>
    <m/>
    <m/>
    <m/>
  </r>
  <r>
    <n v="210"/>
    <x v="1"/>
    <m/>
    <x v="2"/>
    <s v="https://www.youtube.com/watch?v=zVH1ZOi2_yk"/>
    <s v="Baba Ramdev's Ashram Vid 12: Baba Ramdev's Comments on Rajiv's Talk &amp; Work"/>
    <m/>
    <m/>
    <m/>
    <n v="1300"/>
    <d v="1899-12-30T00:04:38"/>
    <s v="3 years ago"/>
    <m/>
    <m/>
    <d v="1899-12-30T00:00:00"/>
    <x v="3"/>
    <s v=""/>
    <m/>
    <m/>
    <m/>
  </r>
  <r>
    <n v="211"/>
    <x v="1"/>
    <m/>
    <x v="2"/>
    <s v="https://www.youtube.com/watch?v=F-ZzB9uBQNs"/>
    <s v="Why People of India did not get Genocided like Native Americans: Rajiv Malhotra #9"/>
    <m/>
    <m/>
    <m/>
    <n v="8700"/>
    <d v="1899-12-30T00:18:50"/>
    <s v="3 years ago"/>
    <m/>
    <m/>
    <d v="1899-12-30T00:00:00"/>
    <x v="3"/>
    <s v=""/>
    <m/>
    <m/>
    <m/>
  </r>
  <r>
    <n v="212"/>
    <x v="1"/>
    <m/>
    <x v="2"/>
    <s v="https://www.youtube.com/watch?v=AOQPqjRx-0c"/>
    <s v="Baba Ramdev's Ashram Vid 8: Indian Civilization Spread by Different Means than Others"/>
    <m/>
    <m/>
    <m/>
    <n v="2400"/>
    <d v="1899-12-30T00:11:32"/>
    <s v="3 years ago"/>
    <m/>
    <m/>
    <d v="1899-12-30T00:00:00"/>
    <x v="3"/>
    <s v=""/>
    <m/>
    <m/>
    <m/>
  </r>
  <r>
    <n v="213"/>
    <x v="1"/>
    <m/>
    <x v="2"/>
    <s v="https://www.youtube.com/watch?v=8ZJ9Ubv74Fc"/>
    <s v="Why Rajiv Malhotra Endorses Baba Ramdev as President of India #7"/>
    <m/>
    <m/>
    <m/>
    <n v="2800"/>
    <d v="1899-12-30T00:03:40"/>
    <s v="3 years ago"/>
    <m/>
    <m/>
    <d v="1899-12-30T00:00:00"/>
    <x v="3"/>
    <s v=""/>
    <m/>
    <m/>
    <m/>
  </r>
  <r>
    <n v="214"/>
    <x v="1"/>
    <m/>
    <x v="2"/>
    <s v="https://www.youtube.com/watch?v=9ScY3DQ8lnM"/>
    <s v="Rajiv Malhotra's Google Hangout for a Better India"/>
    <m/>
    <m/>
    <m/>
    <n v="8100"/>
    <d v="1899-12-30T00:42:56"/>
    <s v="3 years ago"/>
    <m/>
    <m/>
    <d v="1899-12-30T00:00:00"/>
    <x v="3"/>
    <s v=""/>
    <m/>
    <m/>
    <m/>
  </r>
  <r>
    <n v="215"/>
    <x v="1"/>
    <m/>
    <x v="2"/>
    <s v="https://www.youtube.com/watch?v=gKt4SG-pAmw"/>
    <s v="Introduction by the Director of Vivekananda Int'l Foundation"/>
    <m/>
    <m/>
    <m/>
    <n v="1700"/>
    <d v="1899-12-30T00:09:47"/>
    <s v="3 years ago"/>
    <m/>
    <m/>
    <d v="1899-12-30T00:00:00"/>
    <x v="3"/>
    <s v=""/>
    <m/>
    <m/>
    <m/>
  </r>
  <r>
    <n v="216"/>
    <x v="1"/>
    <m/>
    <x v="2"/>
    <s v="https://www.youtube.com/watch?v=2p91-Fy5A6Q"/>
    <s v="Arun Shourie quotes Indra's Net to clarify 'vasudhaiva kutumbakam'"/>
    <m/>
    <m/>
    <m/>
    <n v="3900"/>
    <d v="1899-12-30T00:04:27"/>
    <s v="3 years ago"/>
    <m/>
    <m/>
    <d v="1899-12-30T00:00:00"/>
    <x v="3"/>
    <s v=""/>
    <m/>
    <m/>
    <m/>
  </r>
  <r>
    <n v="217"/>
    <x v="1"/>
    <m/>
    <x v="2"/>
    <s v="https://www.youtube.com/watch?v=30958J1ez4k"/>
    <s v="Conclusion and Book Signing"/>
    <m/>
    <m/>
    <m/>
    <n v="254"/>
    <d v="1899-12-30T00:03:56"/>
    <s v="3 years ago"/>
    <m/>
    <m/>
    <d v="1899-12-30T00:00:00"/>
    <x v="3"/>
    <s v=""/>
    <m/>
    <m/>
    <m/>
  </r>
  <r>
    <n v="218"/>
    <x v="1"/>
    <m/>
    <x v="2"/>
    <s v="https://www.youtube.com/watch?v=nEEhdprZ-EE"/>
    <s v="Arun Shourie's Lecture on Rajiv Malhotra's Book &quot;Indra's Net&quot;"/>
    <m/>
    <m/>
    <m/>
    <n v="10000"/>
    <d v="1899-12-30T00:27:10"/>
    <s v="3 years ago"/>
    <m/>
    <m/>
    <d v="1899-12-30T00:00:00"/>
    <x v="3"/>
    <s v=""/>
    <m/>
    <m/>
    <m/>
  </r>
  <r>
    <n v="219"/>
    <x v="1"/>
    <m/>
    <x v="2"/>
    <s v="https://www.youtube.com/watch?v=dXkhbNnOMy0"/>
    <s v="Rajiv Malhotra's Lecture on Indra's Net"/>
    <m/>
    <m/>
    <m/>
    <n v="7800"/>
    <d v="1899-12-30T00:36:49"/>
    <s v="3 years ago"/>
    <m/>
    <m/>
    <d v="1899-12-30T00:00:00"/>
    <x v="3"/>
    <s v=""/>
    <m/>
    <m/>
    <m/>
  </r>
  <r>
    <n v="220"/>
    <x v="1"/>
    <m/>
    <x v="2"/>
    <s v="https://www.youtube.com/watch?v=YD-IKZbbHeU"/>
    <s v="Public Meeting &amp; Talk on 'Indra's Net' in Bangalore, 19 Jan 2014: Opening Ceremonies"/>
    <m/>
    <m/>
    <m/>
    <n v="499"/>
    <d v="1899-12-30T00:17:42"/>
    <s v="3 years ago"/>
    <m/>
    <m/>
    <d v="1899-12-30T00:00:00"/>
    <x v="3"/>
    <s v=""/>
    <m/>
    <m/>
    <m/>
  </r>
  <r>
    <n v="221"/>
    <x v="1"/>
    <m/>
    <x v="2"/>
    <s v="https://www.youtube.com/watch?v=mLEhBqCBBYE"/>
    <s v="Public Meeting &amp; Talk on 'Indra's Net' Bangalore, 1/19/2014: Is Hinduism defined as a way of life?"/>
    <m/>
    <m/>
    <m/>
    <n v="2600"/>
    <d v="1899-12-30T00:03:18"/>
    <s v="3 years ago"/>
    <m/>
    <m/>
    <d v="1899-12-30T00:00:00"/>
    <x v="3"/>
    <s v=""/>
    <m/>
    <m/>
    <m/>
  </r>
  <r>
    <n v="222"/>
    <x v="1"/>
    <m/>
    <x v="2"/>
    <s v="https://www.youtube.com/watch?v=cshbkDak_p0"/>
    <s v="Public Meeting &amp; Talk on 'Indra's Net' Bangalore, 1/19/2014: Why is the book titled 'Indra's Net'?"/>
    <m/>
    <m/>
    <m/>
    <n v="1100"/>
    <d v="1899-12-30T00:05:59"/>
    <s v="3 years ago"/>
    <m/>
    <m/>
    <d v="1899-12-30T00:00:00"/>
    <x v="3"/>
    <s v=""/>
    <m/>
    <m/>
    <m/>
  </r>
  <r>
    <n v="223"/>
    <x v="1"/>
    <m/>
    <x v="2"/>
    <s v="https://www.youtube.com/watch?v=kmJLZRzZhUA"/>
    <s v="Rajiv Malhotra Talk on new Book 'Indra's Net' Bengaluru: What should we do about media biases"/>
    <m/>
    <m/>
    <m/>
    <n v="1400"/>
    <d v="1899-12-30T00:02:08"/>
    <s v="3 years ago"/>
    <m/>
    <m/>
    <d v="1899-12-30T00:00:00"/>
    <x v="3"/>
    <s v=""/>
    <m/>
    <m/>
    <m/>
  </r>
  <r>
    <n v="224"/>
    <x v="1"/>
    <m/>
    <x v="2"/>
    <s v="https://www.youtube.com/watch?v=myyrtrylWQs"/>
    <s v="Public Meeting &amp; Talk on &quot;Indra's Net&quot; Bangalore 1/19/14: Where do you see India in the year 2020?"/>
    <m/>
    <m/>
    <m/>
    <n v="1400"/>
    <d v="1899-12-30T00:02:16"/>
    <s v="3 years ago"/>
    <m/>
    <m/>
    <d v="1899-12-30T00:00:00"/>
    <x v="3"/>
    <s v=""/>
    <m/>
    <m/>
    <m/>
  </r>
  <r>
    <n v="225"/>
    <x v="1"/>
    <m/>
    <x v="2"/>
    <s v="https://www.youtube.com/watch?v=v6x52noLJOo"/>
    <s v="Talk on 'Indra's Net': Clarification on Mutual Respect"/>
    <m/>
    <m/>
    <m/>
    <n v="3600"/>
    <d v="1899-12-30T00:10:35"/>
    <s v="3 years ago"/>
    <m/>
    <m/>
    <d v="1899-12-30T00:00:00"/>
    <x v="3"/>
    <s v=""/>
    <m/>
    <m/>
    <m/>
  </r>
  <r>
    <n v="226"/>
    <x v="1"/>
    <m/>
    <x v="2"/>
    <s v="https://www.youtube.com/watch?v=7zvf9bnLgs8"/>
    <s v="What is wrong with Ford Foundation: Rajiv Malhotra"/>
    <m/>
    <m/>
    <m/>
    <n v="7800"/>
    <d v="1899-12-30T00:03:44"/>
    <s v="3 years ago"/>
    <m/>
    <m/>
    <d v="1899-12-30T00:00:00"/>
    <x v="3"/>
    <s v=""/>
    <m/>
    <m/>
    <m/>
  </r>
  <r>
    <n v="227"/>
    <x v="1"/>
    <m/>
    <x v="2"/>
    <s v="https://www.youtube.com/watch?v=7RTlRYpr7o8"/>
    <s v="Public Meeting &amp; Talk on 'Indra's Net' in Bangalore 1/19/14: Description of Rajiv's Bangalore trip"/>
    <m/>
    <m/>
    <m/>
    <n v="489"/>
    <d v="1899-12-30T00:06:23"/>
    <s v="3 years ago"/>
    <m/>
    <m/>
    <d v="1899-12-30T00:00:00"/>
    <x v="3"/>
    <s v=""/>
    <m/>
    <m/>
    <m/>
  </r>
  <r>
    <n v="228"/>
    <x v="1"/>
    <m/>
    <x v="2"/>
    <s v="https://www.youtube.com/watch?v=Th1s8XrKhnk"/>
    <s v="Public Meeting/Talk on 'Indra's Net' Bangalore 1/19/14: Release Kannada edition of Being Different"/>
    <m/>
    <m/>
    <m/>
    <n v="413"/>
    <d v="1899-12-30T00:03:48"/>
    <s v="3 years ago"/>
    <m/>
    <m/>
    <d v="1899-12-30T00:00:00"/>
    <x v="3"/>
    <s v=""/>
    <m/>
    <m/>
    <m/>
  </r>
  <r>
    <n v="229"/>
    <x v="1"/>
    <m/>
    <x v="2"/>
    <s v="https://www.youtube.com/watch?v=oYXPvuD_ejM"/>
    <s v="Talk on his The Book 'Indra's Net' by Rajiv Malhotra in Bangalore"/>
    <m/>
    <m/>
    <m/>
    <n v="11000"/>
    <d v="1899-12-30T00:49:33"/>
    <s v="3 years ago"/>
    <m/>
    <m/>
    <d v="1899-12-30T00:00:00"/>
    <x v="3"/>
    <s v=""/>
    <m/>
    <m/>
    <m/>
  </r>
  <r>
    <n v="230"/>
    <x v="1"/>
    <m/>
    <x v="2"/>
    <s v="https://www.youtube.com/watch?v=Cs9JbmZ0poM"/>
    <s v="'Indra's Net': Sri Sri Sri Nirmalanandanath Swamy's Address"/>
    <m/>
    <m/>
    <m/>
    <n v="3900"/>
    <d v="1899-12-30T00:14:49"/>
    <s v="3 years ago"/>
    <m/>
    <m/>
    <d v="1899-12-30T00:00:00"/>
    <x v="3"/>
    <s v=""/>
    <m/>
    <m/>
    <m/>
  </r>
  <r>
    <n v="231"/>
    <x v="1"/>
    <m/>
    <x v="2"/>
    <s v="https://www.youtube.com/watch?v=xGvABG6vfLg"/>
    <s v="Public Meeting/Talk Indra's Net, Bangalore 1/19/14: N Kumar-Justice of Karnataka High Court Address"/>
    <m/>
    <m/>
    <m/>
    <n v="2000"/>
    <d v="1899-12-30T00:16:22"/>
    <s v="3 years ago"/>
    <m/>
    <m/>
    <d v="1899-12-30T00:00:00"/>
    <x v="3"/>
    <s v=""/>
    <m/>
    <m/>
    <m/>
  </r>
  <r>
    <n v="232"/>
    <x v="1"/>
    <m/>
    <x v="2"/>
    <s v="https://www.youtube.com/watch?v=QfYz6BBYpWg"/>
    <s v="Public Meeting &amp; Talk on 'Indra's Net' Bangalore 1/19/14: Conclusion of the event"/>
    <m/>
    <m/>
    <m/>
    <n v="769"/>
    <d v="1899-12-30T00:12:05"/>
    <s v="3 years ago"/>
    <m/>
    <m/>
    <d v="1899-12-30T00:00:00"/>
    <x v="3"/>
    <s v=""/>
    <m/>
    <m/>
    <m/>
  </r>
  <r>
    <n v="233"/>
    <x v="1"/>
    <m/>
    <x v="2"/>
    <s v="https://www.youtube.com/watch?v=-rJtFWVJpjA"/>
    <s v="Ramakrishna Mission's Institute of Culture, Kolkata: Relationship between spirituality &amp; science?"/>
    <m/>
    <m/>
    <m/>
    <n v="651"/>
    <d v="1899-12-30T00:06:06"/>
    <s v="3 years ago"/>
    <m/>
    <m/>
    <d v="1899-12-30T00:00:00"/>
    <x v="3"/>
    <s v=""/>
    <m/>
    <m/>
    <m/>
  </r>
  <r>
    <n v="234"/>
    <x v="1"/>
    <m/>
    <x v="2"/>
    <s v="https://www.youtube.com/watch?v=iY88UCitwGY"/>
    <s v="Ramakrishna Mission's Institute of Culture, Kolkata: Q&amp;A - Concerning the use of the word &quot;Hindu&quot;"/>
    <m/>
    <m/>
    <m/>
    <n v="957"/>
    <d v="1899-12-30T00:03:49"/>
    <s v="3 years ago"/>
    <m/>
    <m/>
    <d v="1899-12-30T00:00:00"/>
    <x v="3"/>
    <s v=""/>
    <m/>
    <m/>
    <m/>
  </r>
  <r>
    <n v="235"/>
    <x v="1"/>
    <m/>
    <x v="2"/>
    <s v="https://www.youtube.com/watch?v=KBA7GLExw3o"/>
    <s v="Ramakrishna Mission's Institute of Culture, Kolkata: Q&amp;A - Who composes a Grand Narrative?"/>
    <m/>
    <m/>
    <m/>
    <n v="1200"/>
    <d v="1899-12-30T00:03:16"/>
    <s v="3 years ago"/>
    <m/>
    <m/>
    <d v="1899-12-30T00:00:00"/>
    <x v="3"/>
    <s v=""/>
    <m/>
    <m/>
    <m/>
  </r>
  <r>
    <n v="236"/>
    <x v="1"/>
    <m/>
    <x v="2"/>
    <s v="https://www.youtube.com/watch?v=DoYL7K2djDY"/>
    <s v="Is The Grand Narrative Divisive? How To Protect Our Openness?"/>
    <m/>
    <m/>
    <m/>
    <n v="895"/>
    <d v="1899-12-30T00:05:07"/>
    <s v="3 years ago"/>
    <m/>
    <m/>
    <d v="1899-12-30T00:00:00"/>
    <x v="3"/>
    <s v=""/>
    <m/>
    <m/>
    <m/>
  </r>
  <r>
    <n v="237"/>
    <x v="1"/>
    <m/>
    <x v="2"/>
    <s v="https://www.youtube.com/watch?v=GajqTVRZzfE"/>
    <s v="Ramakrishna Mission's Institute of Culture, Kolkata: Rajiv Malhotra's Lecture"/>
    <m/>
    <m/>
    <m/>
    <n v="4500"/>
    <d v="1899-12-30T00:45:59"/>
    <s v="3 years ago"/>
    <m/>
    <m/>
    <d v="1899-12-30T00:00:00"/>
    <x v="3"/>
    <s v=""/>
    <m/>
    <m/>
    <m/>
  </r>
  <r>
    <n v="238"/>
    <x v="1"/>
    <m/>
    <x v="2"/>
    <s v="https://www.youtube.com/watch?v=QPVDHJcsv5U"/>
    <s v="Let's Protect Our Adhyatmic (Inner) Sciences From Quackery: Rajiv Malhotra"/>
    <m/>
    <m/>
    <m/>
    <n v="1600"/>
    <d v="1899-12-30T00:03:47"/>
    <s v="3 years ago"/>
    <m/>
    <m/>
    <d v="1899-12-30T00:00:00"/>
    <x v="3"/>
    <s v=""/>
    <m/>
    <m/>
    <m/>
  </r>
  <r>
    <n v="239"/>
    <x v="1"/>
    <m/>
    <x v="2"/>
    <s v="https://www.youtube.com/watch?v=pfw-rEK12IA"/>
    <s v="IITK Indian Mind Sciences &amp; Their Importance Today:Loss of Liberal Arts &amp; Creativity in Indian Univ"/>
    <m/>
    <m/>
    <m/>
    <n v="825"/>
    <d v="1899-12-30T00:03:12"/>
    <s v="3 years ago"/>
    <m/>
    <m/>
    <d v="1899-12-30T00:00:00"/>
    <x v="3"/>
    <s v=""/>
    <m/>
    <m/>
    <m/>
  </r>
  <r>
    <n v="240"/>
    <x v="1"/>
    <m/>
    <x v="2"/>
    <s v="https://www.youtube.com/watch?v=4H5piNrmsCU"/>
    <s v="IIT Kharagpur Indian Mind Sciences &amp; Their Importance Today: Rajiv's Guest Lecture"/>
    <m/>
    <m/>
    <m/>
    <n v="9900"/>
    <d v="1899-12-30T00:31:14"/>
    <s v="3 years ago"/>
    <m/>
    <m/>
    <d v="1899-12-30T00:00:00"/>
    <x v="3"/>
    <s v=""/>
    <m/>
    <m/>
    <m/>
  </r>
  <r>
    <n v="241"/>
    <x v="1"/>
    <m/>
    <x v="2"/>
    <s v="https://www.youtube.com/watch?v=bEc29vVNLOc"/>
    <s v="IITK Indian Mind Sciences &amp; Their Importance Today: correct histories to pursue inner sciences"/>
    <m/>
    <m/>
    <m/>
    <n v="906"/>
    <d v="1899-12-30T00:01:55"/>
    <s v="3 years ago"/>
    <m/>
    <m/>
    <d v="1899-12-30T00:00:00"/>
    <x v="3"/>
    <s v=""/>
    <m/>
    <m/>
    <m/>
  </r>
  <r>
    <n v="242"/>
    <x v="1"/>
    <m/>
    <x v="2"/>
    <s v="https://www.youtube.com/watch?v=7WA-8QBd5Tk"/>
    <s v="IIT Kharagpur Indian Mind Sciences &amp; Their Importance Today: Inner Sciences &amp; Simple Living"/>
    <m/>
    <m/>
    <m/>
    <n v="861"/>
    <d v="1899-12-30T00:02:07"/>
    <s v="3 years ago"/>
    <m/>
    <m/>
    <d v="1899-12-30T00:00:00"/>
    <x v="3"/>
    <s v=""/>
    <m/>
    <m/>
    <m/>
  </r>
  <r>
    <n v="243"/>
    <x v="1"/>
    <m/>
    <x v="2"/>
    <s v="https://www.youtube.com/watch?v=3asYCknfoMo"/>
    <s v="IITK Indian Mind Sciences &amp; Their Importance Today: Advance Indian Ed Beyond Supplying Tech Coolies"/>
    <m/>
    <m/>
    <m/>
    <n v="1200"/>
    <d v="1899-12-30T00:04:02"/>
    <s v="3 years ago"/>
    <m/>
    <m/>
    <d v="1899-12-30T00:00:00"/>
    <x v="3"/>
    <s v=""/>
    <m/>
    <m/>
    <m/>
  </r>
  <r>
    <n v="244"/>
    <x v="1"/>
    <m/>
    <x v="2"/>
    <s v="https://www.youtube.com/watch?v=4gAHt9ki2xY"/>
    <s v="Dr. Deepika Kothari introduces her film at launch of 'History of Yoga' film, Mumbai 1/26/2014"/>
    <m/>
    <m/>
    <m/>
    <n v="4000"/>
    <d v="1899-12-30T00:10:21"/>
    <s v="3 years ago"/>
    <m/>
    <m/>
    <d v="1899-12-30T00:00:00"/>
    <x v="3"/>
    <s v=""/>
    <m/>
    <m/>
    <m/>
  </r>
  <r>
    <n v="245"/>
    <x v="1"/>
    <m/>
    <x v="2"/>
    <s v="https://www.youtube.com/watch?v=TbQkh6axHEM"/>
    <s v="Rajiv Malhotra Lecture as Chief Guest at launch of 'History of Yoga' film, Mumbai 1/26/2014"/>
    <m/>
    <m/>
    <m/>
    <n v="11000"/>
    <d v="1899-12-30T00:47:59"/>
    <s v="3 years ago"/>
    <m/>
    <m/>
    <d v="1899-12-30T00:00:00"/>
    <x v="3"/>
    <s v=""/>
    <m/>
    <m/>
    <m/>
  </r>
  <r>
    <n v="246"/>
    <x v="1"/>
    <m/>
    <x v="2"/>
    <s v="https://www.youtube.com/watch?v=1_8y5fSSOlE"/>
    <s v="Rajiv Malhotra's Endorsement of the Film, &quot;History of Yoga&quot;"/>
    <m/>
    <m/>
    <m/>
    <n v="2400"/>
    <d v="1899-12-30T00:05:13"/>
    <s v="3 years ago"/>
    <m/>
    <m/>
    <d v="1899-12-30T00:00:00"/>
    <x v="3"/>
    <s v=""/>
    <m/>
    <m/>
    <m/>
  </r>
  <r>
    <n v="247"/>
    <x v="1"/>
    <m/>
    <x v="2"/>
    <s v="https://www.youtube.com/watch?v=jaw4U_s24zo"/>
    <s v="Event Introduction - Indus University Release of Indra's Net Jan 29 2014"/>
    <m/>
    <m/>
    <m/>
    <n v="329"/>
    <d v="1899-12-30T00:02:32"/>
    <s v="3 years ago"/>
    <m/>
    <m/>
    <d v="1899-12-30T00:00:00"/>
    <x v="3"/>
    <s v=""/>
    <m/>
    <m/>
    <m/>
  </r>
  <r>
    <n v="248"/>
    <x v="1"/>
    <m/>
    <x v="2"/>
    <s v="https://www.youtube.com/watch?v=R2XPp4eJXLk"/>
    <s v="Indus University Release of The Book Indra's Net_Q&amp;A"/>
    <m/>
    <m/>
    <m/>
    <n v="6200"/>
    <d v="1899-12-30T00:34:35"/>
    <s v="3 years ago"/>
    <m/>
    <m/>
    <d v="1899-12-30T00:00:00"/>
    <x v="3"/>
    <s v=""/>
    <m/>
    <m/>
    <m/>
  </r>
  <r>
    <n v="249"/>
    <x v="1"/>
    <m/>
    <x v="2"/>
    <s v="https://www.youtube.com/watch?v=d9iObjKR5yI"/>
    <s v="India's Grand Narrative &amp; Talk on The Book 'Indra's Net' at Indus Uniersity"/>
    <m/>
    <m/>
    <m/>
    <n v="8700"/>
    <d v="1899-12-30T00:34:17"/>
    <s v="3 years ago"/>
    <m/>
    <m/>
    <d v="1899-12-30T00:00:00"/>
    <x v="3"/>
    <s v=""/>
    <m/>
    <m/>
    <m/>
  </r>
  <r>
    <n v="250"/>
    <x v="1"/>
    <m/>
    <x v="2"/>
    <s v="https://www.youtube.com/watch?v=Ow3nJA8fhhQ"/>
    <s v="Rajiv Malhotra in Conversation with Mohandas Pai - Bangalore Literary Festival"/>
    <m/>
    <m/>
    <m/>
    <n v="31000"/>
    <d v="1899-12-30T00:57:15"/>
    <s v="2 years ago"/>
    <m/>
    <m/>
    <d v="1899-12-30T00:00:00"/>
    <x v="3"/>
    <s v=""/>
    <m/>
    <m/>
    <m/>
  </r>
  <r>
    <n v="251"/>
    <x v="1"/>
    <m/>
    <x v="2"/>
    <s v="https://www.youtube.com/watch?v=yr_-UHm07rM"/>
    <s v="Rajiv Malhotra Panel Bangalore Literature Festival Sept, 2014"/>
    <m/>
    <m/>
    <m/>
    <n v="20000"/>
    <d v="1899-12-30T01:45:29"/>
    <s v="2 years ago"/>
    <m/>
    <m/>
    <d v="1899-12-30T00:00:00"/>
    <x v="3"/>
    <s v=""/>
    <m/>
    <m/>
    <m/>
  </r>
  <r>
    <n v="252"/>
    <x v="1"/>
    <m/>
    <x v="2"/>
    <s v="https://www.youtube.com/watch?v=JNg9hu1QURw"/>
    <s v="Rajiv in conversation w/ Rajendra Pawar Chairman &amp; Harpal Singh Trustee, NIIT"/>
    <m/>
    <m/>
    <m/>
    <n v="7900"/>
    <d v="1899-12-30T00:32:49"/>
    <s v="2 years ago"/>
    <m/>
    <m/>
    <d v="1899-12-30T00:00:00"/>
    <x v="3"/>
    <s v=""/>
    <m/>
    <m/>
    <m/>
  </r>
  <r>
    <n v="253"/>
    <x v="1"/>
    <m/>
    <x v="2"/>
    <s v="https://www.youtube.com/watch?v=11Ben3IvDQ0"/>
    <s v="Rajiv Malhotra's inaugural message at the launch of the ASIAN LENS initiative by NIIT University"/>
    <m/>
    <m/>
    <m/>
    <n v="2000"/>
    <d v="1899-12-30T00:10:11"/>
    <s v="2 years ago"/>
    <m/>
    <m/>
    <d v="1899-12-30T00:00:00"/>
    <x v="3"/>
    <s v=""/>
    <m/>
    <m/>
    <m/>
  </r>
  <r>
    <n v="254"/>
    <x v="1"/>
    <m/>
    <x v="2"/>
    <s v="https://www.youtube.com/watch?v=xjZO-uNelDI"/>
    <s v="1. Introduction to Q&amp;A session in Washington DC"/>
    <m/>
    <m/>
    <m/>
    <n v="1500"/>
    <d v="1899-12-30T00:07:17"/>
    <s v="2 years ago"/>
    <m/>
    <m/>
    <d v="1899-12-30T00:00:00"/>
    <x v="3"/>
    <s v=""/>
    <m/>
    <m/>
    <m/>
  </r>
  <r>
    <n v="255"/>
    <x v="1"/>
    <m/>
    <x v="2"/>
    <s v="https://www.youtube.com/watch?v=6oKx_bFPSSA"/>
    <s v="2. Rajiv describes the stages of his own journey over the past 20 years"/>
    <m/>
    <m/>
    <m/>
    <n v="2300"/>
    <d v="1899-12-30T00:28:48"/>
    <s v="2 years ago"/>
    <m/>
    <m/>
    <d v="1899-12-30T00:00:00"/>
    <x v="3"/>
    <s v=""/>
    <m/>
    <m/>
    <m/>
  </r>
  <r>
    <n v="256"/>
    <x v="1"/>
    <m/>
    <x v="2"/>
    <s v="https://www.youtube.com/watch?v=_Anq0CTYGt8"/>
    <s v="3. Who is Rajiv's guru"/>
    <m/>
    <m/>
    <m/>
    <n v="3800"/>
    <d v="1899-12-30T00:03:13"/>
    <s v="2 years ago"/>
    <m/>
    <m/>
    <d v="1899-12-30T00:00:00"/>
    <x v="3"/>
    <s v=""/>
    <m/>
    <m/>
    <m/>
  </r>
  <r>
    <n v="257"/>
    <x v="1"/>
    <m/>
    <x v="2"/>
    <s v="https://www.youtube.com/watch?v=_xIbCmTtK8s"/>
    <s v="4. What are the four books Rajiv has published thus far"/>
    <m/>
    <m/>
    <m/>
    <n v="1400"/>
    <d v="1899-12-30T00:28:01"/>
    <s v="2 years ago"/>
    <m/>
    <m/>
    <d v="1899-12-30T00:00:00"/>
    <x v="3"/>
    <s v=""/>
    <m/>
    <m/>
    <m/>
  </r>
  <r>
    <n v="258"/>
    <x v="1"/>
    <m/>
    <x v="2"/>
    <s v="https://www.youtube.com/watch?v=qGie_-i1j6o"/>
    <s v="What is Neo Hinduism &amp; Why Our Opponents Want to Propagate it #5"/>
    <m/>
    <m/>
    <m/>
    <n v="6900"/>
    <d v="1899-12-30T00:13:20"/>
    <s v="2 years ago"/>
    <m/>
    <m/>
    <d v="1899-12-30T00:00:00"/>
    <x v="3"/>
    <s v=""/>
    <m/>
    <m/>
    <m/>
  </r>
  <r>
    <n v="259"/>
    <x v="1"/>
    <m/>
    <x v="2"/>
    <s v="https://www.youtube.com/watch?v=VwTbkm1NN4Y"/>
    <s v="Why is Namaz Practice in Islam Not 'Embodied' in the Dharma Sense #6"/>
    <m/>
    <m/>
    <m/>
    <n v="29000"/>
    <d v="1899-12-30T00:12:45"/>
    <s v="2 years ago"/>
    <m/>
    <m/>
    <d v="1899-12-30T00:00:00"/>
    <x v="3"/>
    <s v=""/>
    <m/>
    <m/>
    <m/>
  </r>
  <r>
    <n v="260"/>
    <x v="1"/>
    <m/>
    <x v="2"/>
    <s v="https://www.youtube.com/watch?v=WQObFfIG62Q"/>
    <s v="7. Explain your goal of being non ignorable"/>
    <m/>
    <m/>
    <m/>
    <n v="2600"/>
    <d v="1899-12-30T00:05:39"/>
    <s v="2 years ago"/>
    <m/>
    <m/>
    <d v="1899-12-30T00:00:00"/>
    <x v="3"/>
    <s v=""/>
    <m/>
    <m/>
    <m/>
  </r>
  <r>
    <n v="261"/>
    <x v="1"/>
    <m/>
    <x v="2"/>
    <s v="https://www.youtube.com/watch?v=CouNRYMLDmY"/>
    <s v="8. What are your issues with funding India related chairs in the West"/>
    <m/>
    <m/>
    <m/>
    <n v="1000"/>
    <d v="1899-12-30T00:04:30"/>
    <s v="2 years ago"/>
    <m/>
    <m/>
    <d v="1899-12-30T00:00:00"/>
    <x v="3"/>
    <s v=""/>
    <m/>
    <m/>
    <m/>
  </r>
  <r>
    <n v="262"/>
    <x v="1"/>
    <m/>
    <x v="2"/>
    <s v="https://www.youtube.com/watch?v=ZWkU2WQv4mM"/>
    <s v="9. How should we infiltrate the Western academy"/>
    <m/>
    <m/>
    <m/>
    <n v="5000"/>
    <d v="1899-12-30T00:25:10"/>
    <s v="2 years ago"/>
    <m/>
    <m/>
    <d v="1899-12-30T00:00:00"/>
    <x v="3"/>
    <s v=""/>
    <m/>
    <m/>
    <m/>
  </r>
  <r>
    <n v="263"/>
    <x v="1"/>
    <m/>
    <x v="2"/>
    <s v="https://www.youtube.com/watch?v=ziCW-l-SXRM"/>
    <s v="What Should Hindus do to Compete Against Church Seminaries Producing Research #10"/>
    <m/>
    <m/>
    <m/>
    <n v="4500"/>
    <d v="1899-12-30T00:02:49"/>
    <s v="2 years ago"/>
    <m/>
    <m/>
    <d v="1899-12-30T00:00:00"/>
    <x v="3"/>
    <s v=""/>
    <m/>
    <m/>
    <m/>
  </r>
  <r>
    <n v="264"/>
    <x v="1"/>
    <m/>
    <x v="2"/>
    <s v="https://www.youtube.com/watch?v=mNRX-8C-RmY"/>
    <s v="11. How to scale up Rajiv's work to become like a research seminary"/>
    <m/>
    <m/>
    <m/>
    <n v="1400"/>
    <d v="1899-12-30T00:05:57"/>
    <s v="2 years ago"/>
    <m/>
    <m/>
    <d v="1899-12-30T00:00:00"/>
    <x v="3"/>
    <s v=""/>
    <m/>
    <m/>
    <m/>
  </r>
  <r>
    <n v="265"/>
    <x v="1"/>
    <m/>
    <x v="2"/>
    <s v="https://www.youtube.com/watch?v=hH3jbt-s4aY"/>
    <s v="Rajiv Malhotra in conversation with Aam Admi Party leaders just before election"/>
    <m/>
    <m/>
    <m/>
    <n v="6800"/>
    <d v="1899-12-30T00:52:01"/>
    <s v="2 years ago"/>
    <m/>
    <m/>
    <d v="1899-12-30T00:00:00"/>
    <x v="3"/>
    <s v=""/>
    <m/>
    <m/>
    <m/>
  </r>
  <r>
    <n v="266"/>
    <x v="1"/>
    <m/>
    <x v="2"/>
    <s v="https://www.youtube.com/watch?v=zyTsxv3NJzA"/>
    <s v="Rajiv Malhotra: Chief Guest Manipal Univ_Intl Conf on Language &amp; Literature"/>
    <m/>
    <m/>
    <m/>
    <n v="3200"/>
    <d v="1899-12-30T00:40:30"/>
    <s v="2 years ago"/>
    <m/>
    <m/>
    <d v="1899-12-30T00:00:00"/>
    <x v="3"/>
    <s v=""/>
    <m/>
    <m/>
    <m/>
  </r>
  <r>
    <n v="267"/>
    <x v="1"/>
    <m/>
    <x v="2"/>
    <s v="https://www.youtube.com/watch?v=yYhGJH2NjBA"/>
    <s v="Western Dichotomies towards Dharma - Rajiv Malhotra Lecture at India House, Houston Dec 13 2014"/>
    <m/>
    <m/>
    <m/>
    <n v="4400"/>
    <d v="1899-12-30T00:47:40"/>
    <s v="2 years ago"/>
    <m/>
    <m/>
    <d v="1899-12-30T00:00:00"/>
    <x v="3"/>
    <s v=""/>
    <m/>
    <m/>
    <m/>
  </r>
  <r>
    <n v="268"/>
    <x v="1"/>
    <m/>
    <x v="2"/>
    <s v="https://www.youtube.com/watch?v=R_G2Gd70LiY"/>
    <s v="Hindu-Christian Debate Between Rajiv Malhotra &amp; Christian Eberhart"/>
    <m/>
    <m/>
    <m/>
    <n v="64000"/>
    <d v="1899-12-30T01:25:24"/>
    <s v="2 years ago"/>
    <m/>
    <m/>
    <d v="1899-12-30T00:00:00"/>
    <x v="3"/>
    <s v=""/>
    <m/>
    <m/>
    <m/>
  </r>
  <r>
    <n v="269"/>
    <x v="1"/>
    <m/>
    <x v="2"/>
    <s v="https://www.youtube.com/watch?v=k6dsew1B6SE"/>
    <s v="Indian Americans &amp; Indian Grand Narrative - Rajiv Malhotra Lecture/Q&amp;A Woodlands Temple Dec 14 2014"/>
    <m/>
    <m/>
    <m/>
    <n v="6000"/>
    <d v="1899-12-30T01:28:33"/>
    <s v="2 years ago"/>
    <m/>
    <m/>
    <d v="1899-12-30T00:00:00"/>
    <x v="3"/>
    <s v=""/>
    <m/>
    <m/>
    <m/>
  </r>
  <r>
    <n v="270"/>
    <x v="1"/>
    <m/>
    <x v="2"/>
    <s v="https://www.youtube.com/watch?v=X4TDNzwe3s4"/>
    <s v="John Dayal - Debating foreign funded NGOs with John Dayal and others"/>
    <m/>
    <m/>
    <m/>
    <n v="8800"/>
    <d v="1899-12-30T00:27:12"/>
    <s v="2 years ago"/>
    <m/>
    <m/>
    <d v="1899-12-30T00:00:00"/>
    <x v="3"/>
    <s v=""/>
    <m/>
    <m/>
    <m/>
  </r>
  <r>
    <n v="271"/>
    <x v="6"/>
    <m/>
    <x v="0"/>
    <s v="https://www.youtube.com/watch?v=_OWY_haNDNI"/>
    <s v="Rajiv Malhotra: Debating Foreign Funded NGOs with John Dayal &amp; others"/>
    <m/>
    <m/>
    <m/>
    <n v="46000"/>
    <d v="1899-12-30T00:48:24"/>
    <s v="2 years ago"/>
    <m/>
    <m/>
    <d v="1899-12-30T00:00:00"/>
    <x v="25"/>
    <s v=""/>
    <s v="Good"/>
    <s v="Ok"/>
    <s v="Good"/>
  </r>
  <r>
    <n v="271.01"/>
    <x v="6"/>
    <m/>
    <x v="0"/>
    <m/>
    <m/>
    <s v="Infinity Foundation's Unique Gaze on USA from USA"/>
    <s v="Rajiv Malhotra explains his unique background in USA. Infinity Foundation is a unique watchdog in USA which looks at the US institutions like the US Government, Think Tanks, School Curriculum on India, Universities, Academic Conferences, Churches etc which are involved in the study of India. This is a unique Indian gaze on USA from within USA."/>
    <m/>
    <m/>
    <m/>
    <m/>
    <d v="1899-12-30T00:00:07"/>
    <d v="1899-12-30T00:02:49"/>
    <d v="1899-12-30T00:02:42"/>
    <x v="25"/>
    <s v="https://www.youtube.com/embed/_OWY_haNDNI?start=7&amp;end=169&amp;autoplay=1"/>
    <s v="Good"/>
    <s v="Ok"/>
    <s v="Good"/>
  </r>
  <r>
    <n v="271.02"/>
    <x v="6"/>
    <m/>
    <x v="0"/>
    <m/>
    <m/>
    <s v="Afro-Dalit Project - Christian Nexus"/>
    <s v="Very superficial understanding of the US by Indians - Pop Culture. Study the deep US. Afro-Dalit Project teaches that dalits are blacks of India and Brahmins are whites of India. The deep nexus between Afro-Dalit Project, Dalit Freedom Network, Joshua Project and various denominations of white christain churches are infusing racism calling it Youth Empowerment and Education. Cover Picture of the book Breaking India is from Afro-Dalit Project's Office."/>
    <m/>
    <m/>
    <m/>
    <m/>
    <d v="1899-12-30T00:02:55"/>
    <d v="1899-12-30T00:06:59"/>
    <d v="1899-12-30T00:04:04"/>
    <x v="24"/>
    <s v="https://www.youtube.com/embed/_OWY_haNDNI?start=175&amp;end=419&amp;autoplay=1"/>
    <s v="Good"/>
    <s v="Ok"/>
    <s v="Good"/>
  </r>
  <r>
    <n v="271.02999999999997"/>
    <x v="6"/>
    <m/>
    <x v="0"/>
    <m/>
    <m/>
    <s v="How to convert Hindus in USA"/>
    <s v="Win trust. Don't talk about religion. Inculturation by adopting Hindu activities. Seminaries specialise in this. Hindu Priests aren't trained to tackle these situations."/>
    <m/>
    <m/>
    <m/>
    <m/>
    <d v="1899-12-30T00:07:09"/>
    <d v="1899-12-30T00:08:52"/>
    <d v="1899-12-30T00:01:43"/>
    <x v="24"/>
    <s v="https://www.youtube.com/embed/_OWY_haNDNI?start=429&amp;end=532&amp;autoplay=1"/>
    <s v="Good"/>
    <s v="Ok"/>
    <s v="Good"/>
  </r>
  <r>
    <n v="271.04000000000002"/>
    <x v="6"/>
    <m/>
    <x v="0"/>
    <m/>
    <m/>
    <s v="Foreign Funding to promote dangerous ideologies"/>
    <s v="Ideologies like seperate identity, alternate history, dalit liberation and secession not just by church but also funding Kashmir secession, Khalistan seperatism, evangelism, human rights etc. Conferences happen on these across the world where a huge nexus of organisations exist whose target is India, discussing how to intervene in India. The social, religious and demographic database created by them is more sophisticated than what the Government of India has on its own population."/>
    <m/>
    <m/>
    <m/>
    <m/>
    <d v="1899-12-30T00:08:53"/>
    <d v="1899-12-30T00:10:50"/>
    <d v="1899-12-30T00:01:57"/>
    <x v="20"/>
    <s v="https://www.youtube.com/embed/_OWY_haNDNI?start=533&amp;end=650&amp;autoplay=1"/>
    <s v="Good"/>
    <s v="Ok"/>
    <s v="Good"/>
  </r>
  <r>
    <n v="271.05"/>
    <x v="6"/>
    <m/>
    <x v="0"/>
    <m/>
    <m/>
    <s v="Foreign Funding nexus as an INDUSTRY"/>
    <s v="The foreign funding nexus consists of 1) Money 2) Ideology 3) Forums and Channels 4) Training Indians. This is the INDIA STUDIES INDUSTRY which includes for eg: universities, church groups, human rights organisations. INDUSTRY ANALYSIS of India Studies Industry was done. India Studies Industry in US employs several thousand people to study India. India's External affairs ministry or Journalists didn't try to analyse what this India Studies Industry is doing. Many Indians who work in this Industry are naive and unaware of their role in the giant scheme of things. People higher-up might be compromised."/>
    <m/>
    <m/>
    <m/>
    <m/>
    <d v="1899-12-30T00:10:50"/>
    <d v="1899-12-30T00:13:56"/>
    <d v="1899-12-30T00:03:06"/>
    <x v="20"/>
    <s v="https://www.youtube.com/embed/_OWY_haNDNI?start=650&amp;end=836&amp;autoplay=1"/>
    <s v="Good"/>
    <s v="Ok"/>
    <s v="Good"/>
  </r>
  <r>
    <n v="271.06"/>
    <x v="6"/>
    <m/>
    <x v="0"/>
    <m/>
    <m/>
    <s v="Atrocity Literature of American NGOs"/>
    <s v="Americans are the Englishmen who came from Europe, who have the mindset that the natives are uncivilised. Atrocity Literature on a wide range of countries and civilisations is maintained as part of their missions. Many Indians in this business are Sepoys who report back to the Foreign NGOs."/>
    <m/>
    <m/>
    <m/>
    <m/>
    <d v="1899-12-30T00:13:57"/>
    <d v="1899-12-30T00:17:53"/>
    <d v="1899-12-30T00:03:56"/>
    <x v="33"/>
    <s v="https://www.youtube.com/embed/_OWY_haNDNI?start=837&amp;end=1073&amp;autoplay=1"/>
    <s v="Good"/>
    <s v="Ok"/>
    <s v="Good"/>
  </r>
  <r>
    <n v="271.07"/>
    <x v="6"/>
    <m/>
    <x v="0"/>
    <m/>
    <m/>
    <s v="Definition of Human Rights"/>
    <s v="Who defines human rights? Genocide definition was changed by westerners. Cultural Genocide was removed from UN Human Rights Charter as a result of the people who get to define human rights."/>
    <m/>
    <m/>
    <m/>
    <m/>
    <d v="1899-12-30T00:17:54"/>
    <d v="1899-12-30T00:19:24"/>
    <d v="1899-12-30T00:01:30"/>
    <x v="33"/>
    <s v="https://www.youtube.com/embed/_OWY_haNDNI?start=1074&amp;end=1164&amp;autoplay=1"/>
    <s v="Good"/>
    <s v="Ok"/>
    <s v="Good"/>
  </r>
  <r>
    <n v="271.08"/>
    <x v="6"/>
    <m/>
    <x v="0"/>
    <m/>
    <m/>
    <s v="Set up NGOs in USA"/>
    <s v="Rajiv-ji advises to set up NGOs like his in USA and study USA. USCIRF works with Church groups with no members from the Dharmic Traditions. USCIRF has a say in what the US Presidents talk on Religious rights in foreign countries. The definitions are from Abrahamic Religions only."/>
    <m/>
    <m/>
    <m/>
    <m/>
    <d v="1899-12-30T00:19:24"/>
    <d v="1899-12-30T00:21:29"/>
    <d v="1899-12-30T00:02:05"/>
    <x v="33"/>
    <s v="https://www.youtube.com/embed/_OWY_haNDNI?start=1164&amp;end=1289&amp;autoplay=1"/>
    <s v="Good"/>
    <s v="Ok"/>
    <s v="Good"/>
  </r>
  <r>
    <n v="271.08999999999997"/>
    <x v="6"/>
    <m/>
    <x v="0"/>
    <m/>
    <m/>
    <s v="Segregation in US Churches"/>
    <s v="Church is the most racially segregated institute in USA. Segregation in Churches is not only between Blacks and Whites but also Indians from different states have different Churches. Have the details to talk back as they have far worse problems than what they claim to treat about our tradition in India."/>
    <m/>
    <m/>
    <m/>
    <m/>
    <d v="1899-12-30T00:21:29"/>
    <d v="1899-12-30T00:22:51"/>
    <d v="1899-12-30T00:01:22"/>
    <x v="33"/>
    <s v="https://www.youtube.com/embed/_OWY_haNDNI?start=1289&amp;end=1371&amp;autoplay=1"/>
    <s v="Good"/>
    <s v="Ok"/>
    <s v="Good"/>
  </r>
  <r>
    <n v="271.10000000000002"/>
    <x v="6"/>
    <m/>
    <x v="0"/>
    <m/>
    <m/>
    <s v="Evangelism didn't save the Evangelised lands"/>
    <s v="Comparative statistics on crime, human rights across the various christian countries prove that christianity didn't work in the evangelised countries. NGOs should first go to the already evangelised countries and solve their problems instead of trying to convert Indians into Christianity."/>
    <m/>
    <m/>
    <m/>
    <m/>
    <d v="1899-12-30T00:22:52"/>
    <d v="1899-12-30T00:25:02"/>
    <d v="1899-12-30T00:02:10"/>
    <x v="33"/>
    <s v="https://www.youtube.com/embed/_OWY_haNDNI?start=1372&amp;end=1502&amp;autoplay=1"/>
    <s v="Good"/>
    <s v="Ok"/>
    <s v="Good"/>
  </r>
  <r>
    <n v="271.11"/>
    <x v="6"/>
    <m/>
    <x v="0"/>
    <m/>
    <m/>
    <s v="Invasion Theory of India"/>
    <s v="Due to the inferiority complex of Indians, India is being taught as a land of invasions which got better with each invasion and Rajiv-ji humorously suggests to bring US now to give us human rights. NGOs take advantage of this inferiority complex."/>
    <m/>
    <m/>
    <m/>
    <m/>
    <d v="1899-12-30T00:25:02"/>
    <d v="1899-12-30T00:27:21"/>
    <d v="1899-12-30T00:02:19"/>
    <x v="33"/>
    <s v="https://www.youtube.com/embed/_OWY_haNDNI?start=1502&amp;end=1641&amp;autoplay=1"/>
    <s v="Good"/>
    <s v="Ok"/>
    <s v="Good"/>
  </r>
  <r>
    <n v="271.12"/>
    <x v="6"/>
    <m/>
    <x v="0"/>
    <m/>
    <m/>
    <s v="Decontrol Temples - Compete with NGOs"/>
    <s v="Hindu temples need to be given back to the Hindu community. Dharma is about various aspects of life. We have to be ashamed to beg others to come to our country if we want to consider ourselves a super-power."/>
    <m/>
    <m/>
    <m/>
    <m/>
    <d v="1899-12-30T00:27:30"/>
    <d v="1899-12-30T00:29:06"/>
    <d v="1899-12-30T00:01:36"/>
    <x v="33"/>
    <s v="https://www.youtube.com/embed/_OWY_haNDNI?start=1650&amp;end=1746&amp;autoplay=1"/>
    <s v="Good"/>
    <s v="Ok"/>
    <s v="Good"/>
  </r>
  <r>
    <n v="271.13"/>
    <x v="6"/>
    <m/>
    <x v="0"/>
    <m/>
    <m/>
    <s v="Example of an NGO identified by Infinity Foundation"/>
    <s v="Dalit Freedom Network is one organisation based in Denver and produces Atrocity Literature against Hindus to the point of coming close to getting the US Government to impose sanctions on India. Rajiv-ji shuts down the liberal journalist when she raises anti-Muslim and anti-Christian rhetoric. This is a very specific work which looks at anti-Hindu and anti-India work of US based churches, government, think tanks etc. We are told very superficially at pop-culture leverl that to talk like is bad, dirty, we should not talk like this, you are being a trouble maker, all religions are same etc. But deep down this is down dirty anti-Hindu work that they are doing in USA."/>
    <m/>
    <m/>
    <m/>
    <m/>
    <d v="1899-12-30T00:29:16"/>
    <d v="1899-12-30T00:34:35"/>
    <d v="1899-12-30T00:05:19"/>
    <x v="33"/>
    <s v="https://www.youtube.com/embed/_OWY_haNDNI?start=1756&amp;end=2075&amp;autoplay=1"/>
    <s v="Good"/>
    <s v="Ok"/>
    <s v="Good"/>
  </r>
  <r>
    <n v="271.14"/>
    <x v="6"/>
    <m/>
    <x v="0"/>
    <m/>
    <m/>
    <s v="Indians deposing against India in foreign countries and UN"/>
    <s v="Indian Citizens who are well respected in India go in front of foregin governments and present Atrocity Literature against India. Example: John Dayal. John Dayal himself says such people need to be put on trial and sentenced to death for being Traitors. :-)"/>
    <m/>
    <m/>
    <m/>
    <m/>
    <d v="1899-12-30T00:34:42"/>
    <d v="1899-12-30T00:35:49"/>
    <d v="1899-12-30T00:01:07"/>
    <x v="33"/>
    <s v="https://www.youtube.com/embed/_OWY_haNDNI?start=2082&amp;end=2149&amp;autoplay=1"/>
    <s v="Good"/>
    <s v="Ok"/>
    <s v="Good"/>
  </r>
  <r>
    <n v="271.14999999999998"/>
    <x v="6"/>
    <m/>
    <x v="0"/>
    <m/>
    <m/>
    <s v="Example of a Colonised Mind"/>
    <s v="Rajiv-ji describes the origin of left and right in French Parliament after the French Revolution. Colonised Indians don't know what is right and left in US vis-a-vis the same terms in India. For Example: The Church is the most problematic right wing in USA but becomes left wing in India. Colonised Indians don't know how to understand these institutions when they say there is this west which is left wing and then there is this Indian right wing. Gandhi gets labelled as right wing under this classification. Realise that once they are in power these labels will vanish. Understanding of what they represent has to be deeper instead of depending on superficial labelling."/>
    <m/>
    <m/>
    <m/>
    <m/>
    <d v="1899-12-30T00:38:24"/>
    <d v="1899-12-30T00:41:24"/>
    <d v="1899-12-30T00:03:00"/>
    <x v="33"/>
    <s v="https://www.youtube.com/embed/_OWY_haNDNI?start=2304&amp;end=2484&amp;autoplay=1"/>
    <s v="Good"/>
    <s v="Ok"/>
    <s v="Good"/>
  </r>
  <r>
    <n v="271.16000000000003"/>
    <x v="6"/>
    <m/>
    <x v="0"/>
    <m/>
    <m/>
    <s v="Christians Creating a Civil War Situation"/>
    <s v="The discourse generated somewhere in the foreign lands indeed is having its effect in India when the Chief Ministers are themselves using that framework. Mahishasura Martyrdom Day organised at JNU, backed by Churches and media house (Forward Press) is a clear case ethnography and generating alternate identity which is creating a Civil War kind of situation. Mahishasura is the new icon of Yadavas and not Bhagvan Srikrishna? (emphasis mine)"/>
    <m/>
    <m/>
    <m/>
    <m/>
    <d v="1899-12-30T00:41:44"/>
    <d v="1899-12-30T00:44:09"/>
    <d v="1899-12-30T00:02:25"/>
    <x v="33"/>
    <s v="https://www.youtube.com/embed/_OWY_haNDNI?start=2504&amp;end=2649&amp;autoplay=1"/>
    <s v="Good"/>
    <s v="Ok"/>
    <s v="Good"/>
  </r>
  <r>
    <n v="272"/>
    <x v="1"/>
    <m/>
    <x v="2"/>
    <s v="https://www.youtube.com/watch?v=s1VIjn0qPQg"/>
    <s v="NDTV 'We the People' debate on Foreign NGOs moderated by Barkha Dutt"/>
    <m/>
    <m/>
    <m/>
    <n v="7600"/>
    <d v="1899-12-30T00:47:57"/>
    <s v="2 years ago"/>
    <m/>
    <m/>
    <d v="1899-12-30T00:00:00"/>
    <x v="3"/>
    <s v=""/>
    <m/>
    <m/>
    <m/>
  </r>
  <r>
    <n v="273"/>
    <x v="6"/>
    <m/>
    <x v="0"/>
    <s v="https://www.youtube.com/watch?v=NpqJHyWjh7A"/>
    <s v="Rajiv Opening Remarks - JNU Roundtable on Decolonizing the Academy &amp; Debating breaking India forces"/>
    <m/>
    <m/>
    <m/>
    <n v="12000"/>
    <d v="1899-12-30T00:43:17"/>
    <s v="2 years ago"/>
    <m/>
    <m/>
    <d v="1899-12-30T00:00:00"/>
    <x v="15"/>
    <s v=""/>
    <m/>
    <m/>
    <m/>
  </r>
  <r>
    <n v="273.01"/>
    <x v="6"/>
    <m/>
    <x v="0"/>
    <m/>
    <m/>
    <s v="Ideological Colonisation and Decolonisation"/>
    <s v="Requires understanding colonisation to be able to decolonise. Colonisation is not just geographical but also ideological colonisation - paradigms, vocabulary, language etc. Next is, developing ideologically colonised human resource department. And finally pass this on to generations through institutes. The current ideological colonisation has shifted from British based to US based. This ideological colonisation is now worse than before."/>
    <m/>
    <m/>
    <m/>
    <m/>
    <d v="1899-12-30T00:02:04"/>
    <d v="1899-12-30T00:03:56"/>
    <d v="1899-12-30T00:01:52"/>
    <x v="15"/>
    <s v="https://www.youtube.com/embed/NpqJHyWjh7A?start=124&amp;end=236&amp;autoplay=1"/>
    <s v="Good"/>
    <s v="Ok"/>
    <s v="Good"/>
  </r>
  <r>
    <n v="273.02"/>
    <x v="6"/>
    <m/>
    <x v="0"/>
    <m/>
    <m/>
    <s v="Ideological Colonisation: NDTV Talk Show"/>
    <s v="The fact that the panel is discussing whether Indians can go to depose in and get saved by the British Parliament is a sign of serious ideological colonisation. Megnadh Desai is one such example of an ideologically colonised person. NGOs as part of Globalisation is false because you do not get to see some African or Indian NGOs in this process. It's mainly the western model that gets infiltrated into the young minds in non-western countries. For example: India and her youth."/>
    <m/>
    <m/>
    <m/>
    <m/>
    <d v="1899-12-30T00:04:04"/>
    <d v="1899-12-30T00:06:36"/>
    <d v="1899-12-30T00:02:32"/>
    <x v="15"/>
    <s v="https://www.youtube.com/embed/NpqJHyWjh7A?start=244&amp;end=396&amp;autoplay=1"/>
    <s v="Good"/>
    <s v="Ok"/>
    <s v="Good"/>
  </r>
  <r>
    <n v="273.02999999999997"/>
    <x v="6"/>
    <m/>
    <x v="0"/>
    <m/>
    <m/>
    <s v="Romila Thapar's Invasion Theory of India"/>
    <s v="Indira Gandhi replaced RC Majumdar's history with Romila Thapar's history. This is the Indira Gandhi-Romila Thapar nexus. It was very important for Indira Gandhi's votebank politics to pander to various communities that they were wronged by others, give them a separate identity and project herself as the savior. Historians like Romila Thapar and Irfan Habib lent their intellectual voice through distorted history. They came up with the history that India as a land of invasions starting with the colonial myth that India was invaded by Aryans who brought in Sanskrit, Vedas and Hinduism, Greeks gave us philosophy and logic, then came the muslims who gave us art and architecture, britishers gave us cricket and railways. Probably we should now look for an invasion by America to bring us Human Rights :). This Invasion Theory of India is having long lasting consequences on the minds and politics of Indians to this date and it is actually getting worse."/>
    <m/>
    <m/>
    <m/>
    <m/>
    <d v="1899-12-30T00:06:37"/>
    <d v="1899-12-30T00:08:56"/>
    <d v="1899-12-30T00:02:19"/>
    <x v="41"/>
    <s v="https://www.youtube.com/embed/NpqJHyWjh7A?start=397&amp;end=536&amp;autoplay=1"/>
    <s v="Good"/>
    <s v="Good"/>
    <s v="Good"/>
  </r>
  <r>
    <n v="273.04000000000002"/>
    <x v="6"/>
    <m/>
    <x v="0"/>
    <m/>
    <m/>
    <s v="Reverse the Gaze to Decolonise"/>
    <s v="As part of my decolonising process, several books like Invading the Sacred, Breaking India etc, in which Rajiv-ji reversed the gaze and studied the west. The findings show that the problems are really deep and shocking. Even the public has bought into the concept that it is good for them to get westernised!"/>
    <m/>
    <m/>
    <m/>
    <m/>
    <d v="1899-12-30T00:08:57"/>
    <d v="1899-12-30T00:11:51"/>
    <d v="1899-12-30T00:02:54"/>
    <x v="41"/>
    <s v="https://www.youtube.com/embed/NpqJHyWjh7A?start=537&amp;end=711&amp;autoplay=1"/>
    <s v="Good"/>
    <s v="Good"/>
    <s v="Good"/>
  </r>
  <r>
    <n v="273.05"/>
    <x v="6"/>
    <m/>
    <x v="0"/>
    <m/>
    <m/>
    <s v="English as a sought after Language"/>
    <s v="Your market value goes up if you do the same thing by communicating in English rather than using your own language. It ranges from normal communication to profession. A sign of deep inferiority complex and mental colonisation."/>
    <m/>
    <m/>
    <m/>
    <m/>
    <d v="1899-12-30T00:11:52"/>
    <d v="1899-12-30T00:13:25"/>
    <d v="1899-12-30T00:01:33"/>
    <x v="41"/>
    <s v="https://www.youtube.com/embed/NpqJHyWjh7A?start=712&amp;end=805&amp;autoplay=1"/>
    <s v="Good"/>
    <s v="Good"/>
    <s v="Good"/>
  </r>
  <r>
    <n v="273.06"/>
    <x v="6"/>
    <m/>
    <x v="0"/>
    <m/>
    <m/>
    <s v="Indian Grand Narrative - Columbus 'Discovers' America"/>
    <s v="Positive sense of who we are. History of our science, our manufacturing economy and trade. Pertinent question is: What was Columbus trying to discover and why? The answer is India. Why he was doing it is because India was a global giant in economy. Europeans had to find a sea-route to India as the land route from India to Europe was blocked by the Muslim Ottoman Empire. None of it is taught in USA History and neither do Indian Citizens thought about these historical facts."/>
    <m/>
    <m/>
    <m/>
    <m/>
    <d v="1899-12-30T00:13:25"/>
    <d v="1899-12-30T00:16:15"/>
    <d v="1899-12-30T00:02:50"/>
    <x v="41"/>
    <s v="https://www.youtube.com/embed/NpqJHyWjh7A?start=805&amp;end=975&amp;autoplay=1"/>
    <s v="Good"/>
    <s v="Good"/>
    <s v="Good"/>
  </r>
  <r>
    <n v="273.07"/>
    <x v="6"/>
    <m/>
    <x v="0"/>
    <m/>
    <m/>
    <s v="Globalisation - Is this new?"/>
    <s v="European Colonial Era closed the existing Global Economy from Eastern Africa to stretching as far as South-East Asia and into China as the colonisers wanted to control trade. So, there is lot of history that needs to be rewritten."/>
    <m/>
    <m/>
    <m/>
    <m/>
    <d v="1899-12-30T00:16:18"/>
    <d v="1899-12-30T00:17:30"/>
    <d v="1899-12-30T00:01:12"/>
    <x v="41"/>
    <s v="https://www.youtube.com/embed/NpqJHyWjh7A?start=978&amp;end=1050&amp;autoplay=1"/>
    <s v="Good"/>
    <s v="Good"/>
    <s v="Good"/>
  </r>
  <r>
    <n v="273.08"/>
    <x v="6"/>
    <m/>
    <x v="0"/>
    <m/>
    <m/>
    <s v="Evidence based History"/>
    <s v="Exaggeration is patently wrong. Embark on rewriting our history based on emperically verifiable evidences. For example: Pushpak Vimaan or Nuclear Weapons in Mahabharat cannot be supported as there are no evidences. No nuclear activity can be found in those craters now. There is plenty of evidence in the fields of metallurgy, textiles, astronomy etc to put our case forward in a scholarly manner."/>
    <m/>
    <m/>
    <m/>
    <m/>
    <d v="1899-12-30T00:17:31"/>
    <d v="1899-12-30T00:19:18"/>
    <d v="1899-12-30T00:01:47"/>
    <x v="41"/>
    <s v="https://www.youtube.com/embed/NpqJHyWjh7A?start=1051&amp;end=1158&amp;autoplay=1"/>
    <s v="Good"/>
    <s v="Good"/>
    <s v="Good"/>
  </r>
  <r>
    <n v="273.08999999999997"/>
    <x v="6"/>
    <m/>
    <x v="0"/>
    <m/>
    <m/>
    <s v="Decolonising doesn't mean going back in time"/>
    <s v="This is not feasible due to population considerations, deforestation, resources, different lifestyle. Decolonisation is to move forward with our values and samskrithi on our own terms."/>
    <m/>
    <m/>
    <m/>
    <m/>
    <d v="1899-12-30T00:19:18"/>
    <d v="1899-12-30T00:21:00"/>
    <d v="1899-12-30T00:01:42"/>
    <x v="41"/>
    <s v="https://www.youtube.com/embed/NpqJHyWjh7A?start=1158&amp;end=1260&amp;autoplay=1"/>
    <s v="Good"/>
    <s v="Good"/>
    <s v="Good"/>
  </r>
  <r>
    <n v="273.10000000000002"/>
    <x v="6"/>
    <m/>
    <x v="0"/>
    <m/>
    <m/>
    <s v="Hierarchical Rigid Caste from British Racist Risley"/>
    <s v="Race Science was in vogue in Europe at the time of Darwin's Theory of Evolution which would study at various humans to group them into superior and inferior races. People who resemble Europeans were classified as superior. This is purely a racist field and Lord Risley was one such race scientist commissioned by the British to be the First Census Commissioner of India. He brought his lens of Race Science to India and used that framework to prepare the census of India. During this process, he took all the jatis of India and put them into a hierachial framework based on who closely resembled Europeans. In his personal notes after the first census, he makes a note that some jatis were not able to identify themselves with this hierarchial framework and that he had to tell them where they belonged. So, as can be seen this is a completely alien framework imposed on Indians by the British racists. Slowly the Indian people were forced to comply with this framework as government benefits, jobs, programs, activities etc were based on this framework. Indians had no choice but to fit in this framework inorderto be considered for a lot of governance issues."/>
    <m/>
    <m/>
    <m/>
    <m/>
    <d v="1899-12-30T00:21:00"/>
    <d v="1899-12-30T00:24:08"/>
    <d v="1899-12-30T00:03:08"/>
    <x v="41"/>
    <s v="https://www.youtube.com/embed/NpqJHyWjh7A?start=1260&amp;end=1448&amp;autoplay=1"/>
    <s v="Good"/>
    <s v="Good"/>
    <s v="Good"/>
  </r>
  <r>
    <n v="273.11"/>
    <x v="6"/>
    <m/>
    <x v="0"/>
    <m/>
    <m/>
    <s v="Criminal Tribes Act - Genesis of Tribes"/>
    <s v="Those jatis who couldn't be included in this hierarchial system based on European Race Science were branded by the British as Tribes. So, Tribes are nothing but one of our own jatis who remained outside the hierarchial framework designed by Racist Lord Risley. These were also the people who refused to be 'civilised' by the British and refused to be brought under the British Racist Framework of Caste Hierarchy. Criminal Tribes Act was then formulated declaring all such 'Tribes' as Criminal by birth and they were systematically persecuted by the British. As per this Act, any human born to these parents are criminal by birth. The word THUG which now made into the English Lexicon is actually one of our own jatis against whom British produced immense Atrocity Literature before persecuting them. Thugs were normal Hindu jatis who fought valiantly against the British colonisation, deforestation etc. This in a nutshell is the genesis of Scheduled Tribes. Scheduled Tribes are none other than our own jatis who were persecuted by British into abject poverty. After rigidly castising India and Hindus, the British now blames on Hindus that caste has always been there in your civilisation. We always had jati and never had hierarchial caste system."/>
    <m/>
    <m/>
    <m/>
    <m/>
    <d v="1899-12-30T00:24:08"/>
    <d v="1899-12-30T00:26:21"/>
    <d v="1899-12-30T00:02:13"/>
    <x v="41"/>
    <s v="https://www.youtube.com/embed/NpqJHyWjh7A?start=1448&amp;end=1581&amp;autoplay=1"/>
    <s v="Good"/>
    <s v="Good"/>
    <s v="Good"/>
  </r>
  <r>
    <n v="273.12"/>
    <x v="6"/>
    <m/>
    <x v="0"/>
    <m/>
    <m/>
    <s v="Solution to break this rigid caste system"/>
    <s v="Shift privileges based on collective identity like caste to individual centrice like say individual need, merit, poverty, physically disabled etc. This also breaks the back of caste vote banks. This needs courage on the part of the leaders."/>
    <m/>
    <m/>
    <m/>
    <m/>
    <d v="1899-12-30T00:26:21"/>
    <d v="1899-12-30T00:27:32"/>
    <d v="1899-12-30T00:01:11"/>
    <x v="41"/>
    <s v="https://www.youtube.com/embed/NpqJHyWjh7A?start=1581&amp;end=1652&amp;autoplay=1"/>
    <s v="Good"/>
    <s v="Good"/>
    <s v="Good"/>
  </r>
  <r>
    <n v="273.13"/>
    <x v="6"/>
    <m/>
    <x v="0"/>
    <m/>
    <m/>
    <s v="Colonisation of Sanskrit by Sheldon Pollock"/>
    <s v="Why is Pollock important? Because he is a Padma Shri awardee by Government of India. His own history of Sanskrit, reject the vast oral traditional history of Sanskrit, treat it similar to the western languages which didn't have oral tradition. Western languages are not sophisticated enough to have oral traditions and hence Pollock wants to reject our oral Sanskrit tradition. Once again, it is the western framework to which Sanskrit is being subjected to. Sanskrit revival, as they try to portray their project as, is thus being carried out through western lens. Some aspects are - oral tradition will be delegitimised, use political philology to study our itihaas and Ramayan, look at our books as sources for social oppression, use western theories, philosophy, frameworks to comment on our books - this makes the insiders to our tradition as outsiders as our insiders can't understand what is being said about ourselves. We need to get western certification once this ecosystem gets mobilised. One project - Narayana Murthy's Classical Library is being translated by Pollock using such western lenses. Another example: How Sanskrit spread peacefully? Well, it is because of a nexus between Raja and the Brahmin. Raja is made to look divine. Brahmin will be well-fed. These Brahmins keep going far and wide and spread Sanskrit by praising the Kings as divine. Thus Sanskrit is actually a political medium and has no spiritual or moral significance for the people of India. This is Pollock's thesis in a nutshell."/>
    <m/>
    <m/>
    <m/>
    <m/>
    <d v="1899-12-30T00:27:39"/>
    <d v="1899-12-30T00:34:33"/>
    <d v="1899-12-30T00:06:54"/>
    <x v="41"/>
    <s v="https://www.youtube.com/embed/NpqJHyWjh7A?start=1659&amp;end=2073&amp;autoplay=1"/>
    <s v="Good"/>
    <s v="Good"/>
    <s v="Good"/>
  </r>
  <r>
    <n v="273.14"/>
    <x v="6"/>
    <m/>
    <x v="0"/>
    <m/>
    <m/>
    <s v="Role of Missionaries in Colonisation of India - Atrocity Literature"/>
    <s v="These are right wing intervention organisatioins involved in Breaking India. Left wing interventions are by the leftists like the maoists, human rights groups etc. Example: Obama gets briefed by an official US Congress body called USCIRF. It consists of Judeo-Christian people only. No Hindu, Buddhist, Jain, Sikh representation in USCIRF. Monitor religious rights in all countries except USA through their Judeo-Christian lens. Indians like John Dayal went and deposed in front of this Congress body and asked for sanctions to be imposed on India. India is alongside Pakistan for religious intolerance as a result of these depositions by Indians. John Dayal said such Indians should be called traitors who depose in front of foreign governments when he didn't realise that the topic was about him :). None of the depositions are secretive. US Government officially flies these people into their country, five star hotels, conferences, praise them as human rights champions etc. It has all these on record and is compiled in their published reports. This is called Atrocity Literature. Atrocity Literature is a term from American History and it has been well defined and recognised by USA. USA Government has such Atrocity Literature against many countries and which will be used for leverage in the future or to carry out an invasion as the need arises. Example: Before invading Iraq, lots of documentaries on Iraq came out within 24 hours. It's not as though they produced all those in 1 day. Obviously the database has been built over several decades. Government of India hasn't studied their reports even once since 2001. Rajiv-ji did this since 2001. USCIRF is dominated by World Vision, Luthern Church, Mormon Church and Dalit Freedom Network. Our NGOs in India need to understand this bigger picture. Some of them are doing it knowingly. Some don't want to know and pretend that they are not doing it willingly. Some are really junior and are doing this just as some support and are ignorant of the bigger picture."/>
    <m/>
    <m/>
    <m/>
    <m/>
    <d v="1899-12-30T00:34:51"/>
    <d v="1899-12-30T00:42:03"/>
    <d v="1899-12-30T00:07:12"/>
    <x v="41"/>
    <s v="https://www.youtube.com/embed/NpqJHyWjh7A?start=2091&amp;end=2523&amp;autoplay=1"/>
    <s v="Good"/>
    <s v="Good"/>
    <s v="Good"/>
  </r>
  <r>
    <n v="274"/>
    <x v="6"/>
    <m/>
    <x v="0"/>
    <s v="https://www.youtube.com/watch?v=m9xF54UZFuY"/>
    <s v="Dr. Tribhuvan Singh - JNU Roundtable on Decolonizing the Academy &amp; Debating breaking India forces"/>
    <m/>
    <m/>
    <m/>
    <n v="4400"/>
    <d v="1899-12-30T00:30:06"/>
    <s v="2 years ago"/>
    <m/>
    <m/>
    <m/>
    <x v="42"/>
    <s v=""/>
    <m/>
    <m/>
    <m/>
  </r>
  <r>
    <n v="274.01"/>
    <x v="6"/>
    <m/>
    <x v="0"/>
    <m/>
    <m/>
    <s v="Caste is an obstacle for Christian Missionaries"/>
    <s v="Christian Missionaries want to uproot Caste as it is proving to be a very huge obstacle for conversions. Max Mueller, MA Sherring's book Caste and Tribes of India which was quoted extensively by Dr. BR. Ambedkar also made this observation."/>
    <m/>
    <m/>
    <m/>
    <m/>
    <d v="1899-12-30T00:01:09"/>
    <d v="1899-12-30T00:01:56"/>
    <d v="1899-12-30T00:00:47"/>
    <x v="42"/>
    <s v="https://www.youtube.com/embed/m9xF54UZFuY?start=69&amp;end=116&amp;autoplay=1"/>
    <s v="Good"/>
    <s v="Ok"/>
    <s v="Good"/>
  </r>
  <r>
    <n v="274.02"/>
    <x v="6"/>
    <m/>
    <x v="0"/>
    <m/>
    <m/>
    <s v="Untold Economic History of India"/>
    <s v="Economic History cannot be disconnected from a country's history and sociology. But in India, economy was presented separately. Simple question is: Why would you want to go to USA or Britain - because they are rich. Why were the British and Europe trying to come to India - because we were rich. But it has been constantly drilled into our heads that we were always poor and west was always rich."/>
    <m/>
    <m/>
    <m/>
    <m/>
    <d v="1899-12-30T00:01:57"/>
    <d v="1899-12-30T00:03:18"/>
    <d v="1899-12-30T00:01:21"/>
    <x v="42"/>
    <s v="https://www.youtube.com/embed/m9xF54UZFuY?start=117&amp;end=198&amp;autoplay=1"/>
    <s v="Good"/>
    <s v="Good"/>
    <s v="Good"/>
  </r>
  <r>
    <n v="274.02999999999997"/>
    <x v="6"/>
    <m/>
    <x v="0"/>
    <m/>
    <m/>
    <s v="Indian Economy before Colonisation"/>
    <s v="Paul Bairoch a Beligian Economist said South-East Asia was rich and we were poor. And then Angus Madison, in his book History of World Economy - In the Millennial Perspective, says that India alone contributed 25% of world's GDP upto 1700s, China 25%, Entire Europe was just 7%."/>
    <m/>
    <m/>
    <m/>
    <m/>
    <d v="1899-12-30T00:03:42"/>
    <d v="1899-12-30T00:05:28"/>
    <d v="1899-12-30T00:01:46"/>
    <x v="42"/>
    <s v="https://www.youtube.com/embed/m9xF54UZFuY?start=222&amp;end=328&amp;autoplay=1"/>
    <s v="Good"/>
    <s v="Good"/>
    <s v="Good"/>
  </r>
  <r>
    <n v="274.04000000000002"/>
    <x v="6"/>
    <m/>
    <x v="0"/>
    <m/>
    <m/>
    <s v="Indian Economy during Colonisation"/>
    <s v="By 1900 India's GDP was 2% and Britain plus USA was 43%. Capitalism was supposedly born at this time and Marxism was born as its opponent. But what did India have before this? Francis Buchanan's book gives insights into the Indian industry model. Equitable share holding from the clerk to the owner of the industry."/>
    <m/>
    <m/>
    <m/>
    <m/>
    <d v="1899-12-30T00:05:28"/>
    <d v="1899-12-30T00:07:12"/>
    <d v="1899-12-30T00:01:44"/>
    <x v="42"/>
    <s v="https://www.youtube.com/embed/m9xF54UZFuY?start=328&amp;end=432&amp;autoplay=1"/>
    <s v="Good"/>
    <s v="Good"/>
    <s v="Good"/>
  </r>
  <r>
    <n v="274.05"/>
    <x v="6"/>
    <m/>
    <x v="0"/>
    <m/>
    <m/>
    <s v="Fate of Indians who were de-industrialised"/>
    <s v="In India, between 1750 to 1900 massive de-industrialisation was 700% - Paul Bairoch presented that data in the book Rise and Fall of Great Powers by Paul Kennedy. In Puriya and Bhagalpur between 1809 -1813 de-industrialisation was 50% - mentioned by Amiya Kumar Bagchi and Jagdish Banerjee. This is just the displacement and destruction of people in just two districts in 4 years. This systematic destruction went from 1700s to 1947."/>
    <m/>
    <m/>
    <m/>
    <m/>
    <d v="1899-12-30T00:07:12"/>
    <d v="1899-12-30T00:10:02"/>
    <d v="1899-12-30T00:02:50"/>
    <x v="42"/>
    <s v="https://www.youtube.com/embed/m9xF54UZFuY?start=432&amp;end=602&amp;autoplay=1"/>
    <s v="Good"/>
    <s v="Good"/>
    <s v="Good"/>
  </r>
  <r>
    <n v="274.06"/>
    <x v="6"/>
    <m/>
    <x v="0"/>
    <m/>
    <m/>
    <s v="Asiatic Model of Production by Karl Marx"/>
    <s v="Karl Marx describes that from 1815-1835 1.5 lakh artisans in dhaka were reduced to 20,000. What happened to 1.3 lakh people. We just ignore them in sociology and go on with some economy book?"/>
    <m/>
    <m/>
    <m/>
    <m/>
    <d v="1899-12-30T00:10:17"/>
    <d v="1899-12-30T00:11:22"/>
    <d v="1899-12-30T00:01:05"/>
    <x v="42"/>
    <s v="https://www.youtube.com/embed/m9xF54UZFuY?start=617&amp;end=682&amp;autoplay=1"/>
    <s v="Good"/>
    <s v="Good"/>
    <s v="Good"/>
  </r>
  <r>
    <n v="274.07"/>
    <x v="6"/>
    <m/>
    <x v="0"/>
    <m/>
    <m/>
    <s v="Biggest lie of Breaking India Forces on Shudras"/>
    <s v="One of the main weapons of Breaking India Forces is to spread the lie that Shudras were discriminated in education. Taluq wise data taken from the British Archives before 1830's Macaulay Education shows that Shudras were 4 to 5 times more in numbers in education than Brahmins. Gandhian Dharampal brought this out in his book Beautiful Tree. In 1931 Round Table Conference Gandhi-ji declared that the literacy rate in India was way better 50-100 years ago. When Pastor Phillips Arthur said Gandhi-ji is lying, then Gandhi-ji said he will campain for British education system if he is proven wrong. Dharampal's book proves that Gandhi-ji was correct. These facts are not told to us even to this day."/>
    <m/>
    <m/>
    <m/>
    <m/>
    <d v="1899-12-30T00:11:29"/>
    <d v="1899-12-30T00:14:54"/>
    <d v="1899-12-30T00:03:25"/>
    <x v="42"/>
    <s v="https://www.youtube.com/embed/m9xF54UZFuY?start=689&amp;end=894&amp;autoplay=1"/>
    <s v="Good"/>
    <s v="Good"/>
    <s v="Good"/>
  </r>
  <r>
    <n v="274.08"/>
    <x v="6"/>
    <m/>
    <x v="0"/>
    <m/>
    <m/>
    <s v="Agenda Driven usage of words"/>
    <s v="Breaking India Forces ignore the fact that de-industrialisation took place at an alarming rate - 700% as per data available which resulted in alarming unemployment of Shudras. In the place of these facts, they made a concoction of words like shudra, mool nivasi, dalit, adinivasi. This concoction gets used with an agenda to make them dissatisfied. When unemployment reaches such alarming proportions, then survival takes precedence over education. Annie Besant maded a timely comparison in 1917. She says 1/10th of the British is still living in abject poverty doing menial jobs even at the height of their richness and compared it with the abject poverty India is going through at the time."/>
    <m/>
    <m/>
    <m/>
    <m/>
    <d v="1899-12-30T00:15:00"/>
    <d v="1899-12-30T00:19:10"/>
    <d v="1899-12-30T00:04:10"/>
    <x v="42"/>
    <s v="https://www.youtube.com/embed/m9xF54UZFuY?start=900&amp;end=1150&amp;autoplay=1"/>
    <s v="Good"/>
    <s v="Good"/>
    <s v="Good"/>
  </r>
  <r>
    <n v="274.08999999999997"/>
    <x v="6"/>
    <m/>
    <x v="0"/>
    <m/>
    <m/>
    <s v="Census of India through Caste by British"/>
    <s v="1891 Census - By Profession, 1901 Census - First census based on Caste. Lord Risley introduced Race Science Anthropometry for Census and describes it as Unfailing Law of Caste. Nasal Index/Broadness of the nose is used. The Broader the nose, the lower the caste - His own racist formula. Never known to Hindus or practiced by Hindus living in India. Caste Hierarchy Lists were made based on this racist theory. 1901 to 1931 there were many cases of protest/litigation with the government. By 1941 it was ended. Mandal Commission used 1931 census for caste purposes. Caste is not from India. It is from Castas. In foreign countries you can see half-caste, quarter caste even to this day, which is not our culture."/>
    <m/>
    <m/>
    <m/>
    <m/>
    <d v="1899-12-30T00:19:59"/>
    <d v="1899-12-30T00:23:26"/>
    <d v="1899-12-30T00:03:27"/>
    <x v="42"/>
    <s v="https://www.youtube.com/embed/m9xF54UZFuY?start=1199&amp;end=1406&amp;autoplay=1"/>
    <s v="Good"/>
    <s v="Good"/>
    <s v="Good"/>
  </r>
  <r>
    <n v="274.10000000000002"/>
    <x v="6"/>
    <m/>
    <x v="0"/>
    <m/>
    <m/>
    <s v="Caste doesnt' mean Jaathi. What is Varna then?"/>
    <s v="Word Jaathi is not seen in Sanskrit. Sanskrit dictionary says Jaathi means Saamaanya Jan). Jaathi doesn't mean any kind of divisions. Jaath is the sanskrit word which means Uthpatthi. Jaath can mean trade (Francis Buchanan prepared 122 categories as Caste/Trade in 1807) or profession with family linkage (Matthew Atmore Sherring's book of 1872 Caste and Tribes of India described families involved in Salt Manufacture who were driven out of salt manufacturing by British) or simply family gorthr (Tulsidas reference, Sati-Daksh example - as a family linkage), regional affiliation etc.Distortions of Varna, Savarna, Avarna range from color, black, light, fair, discolored or colorless skin - all christian theology's framework which was already used in Africa as per bible to divide Africans was imposed on Indians. Nicholas Dirks in Castes of Mind clearly says Caste is a modern day phenomenon due to British interaction with India."/>
    <m/>
    <m/>
    <m/>
    <m/>
    <d v="1899-12-30T00:23:26"/>
    <d v="1899-12-30T00:29:46"/>
    <d v="1899-12-30T00:06:20"/>
    <x v="42"/>
    <s v="https://www.youtube.com/embed/m9xF54UZFuY?start=1406&amp;end=1786&amp;autoplay=1"/>
    <s v="Good"/>
    <s v="Good"/>
    <s v="Good"/>
  </r>
  <r>
    <n v="275"/>
    <x v="1"/>
    <m/>
    <x v="2"/>
    <s v="https://www.youtube.com/watch?v=srr9jTynwdo"/>
    <s v="Dr. Udit Raj Talk - JNU Roundtable on Decolonizing the Academy &amp; Debating Breaking India Forces"/>
    <m/>
    <m/>
    <m/>
    <n v="4500"/>
    <d v="1899-12-30T00:31:48"/>
    <s v="2 years ago"/>
    <m/>
    <m/>
    <d v="1899-12-30T00:00:00"/>
    <x v="3"/>
    <s v=""/>
    <m/>
    <m/>
    <m/>
  </r>
  <r>
    <n v="276"/>
    <x v="6"/>
    <m/>
    <x v="0"/>
    <s v="https://www.youtube.com/watch?v=w5KPpzfrQQY"/>
    <s v="Prof Girish Nath Jha - JNU Roundtable on Decolonizing the Academy &amp; Debating Breaking India Forces"/>
    <m/>
    <m/>
    <m/>
    <n v="4300"/>
    <d v="1899-12-30T00:07:33"/>
    <s v="2 years ago"/>
    <m/>
    <m/>
    <n v="0"/>
    <x v="42"/>
    <s v=""/>
    <m/>
    <m/>
    <m/>
  </r>
  <r>
    <n v="276.01"/>
    <x v="6"/>
    <m/>
    <x v="0"/>
    <m/>
    <m/>
    <s v="Summary of JNU Talks -1"/>
    <s v="Faultlines are real. NGOs are like organised mafia exploiting this. Original Thinking is absent now. We have borrowed and teaching western theories. Original Thinking and Original Ideas are in Sanskrit Texts, Rig Veda etc. For example - A Upanishadic story - man wanting to go to West from India. Many such original accounts. Translate into Hindi or local languages to prevent distortions. Aryan Invasion Theory is false. Aryan-Dravidian divide is a huge controversy. Many references to Arya, Dravida, Kerala,  Choda in Aadi Parva of Mahabharatha. These are the same people living in different parts of this land showing regional connotations."/>
    <m/>
    <m/>
    <m/>
    <m/>
    <d v="1899-12-30T00:01:01"/>
    <d v="1899-12-30T00:04:39"/>
    <d v="1899-12-30T00:03:38"/>
    <x v="42"/>
    <s v="https://www.youtube.com/embed/w5KPpzfrQQY?start=61&amp;end=279&amp;autoplay=1"/>
    <s v="Good"/>
    <s v="Good"/>
    <s v="Good"/>
  </r>
  <r>
    <n v="276.02"/>
    <x v="6"/>
    <m/>
    <x v="0"/>
    <m/>
    <m/>
    <s v="Summary of JNU Talks - 2"/>
    <s v="Genetic Constitution of all Indians can now be proved as same (Professor Bhavinje). For example: DNA of Kashmiri Brahmin is the same as Paswans of Bihar. Caste is quite recent and atrocities have to be admitted. Vedic vs Proto-Indo-European Languages can be gleaned from the book &quot;Perspectives on the Origin of Indian Civilization&quot;. Indic language family is located in India which led to language families in India and there may be a proto-Indic. We may or may not have a connection with the European language family. Professor Khazanas says: Vedic is the earliest source and this idea is much more logical and symmetrical. Proto-Indo European is imaginary. New data from Himachal Bangani village - Bangani Language has 'Kenjun' properties which falsifies Indo-Europeanists and Proto-Indo-Europeanists. Awareness of bigger picture allows you to prioritise."/>
    <m/>
    <m/>
    <m/>
    <m/>
    <d v="1899-12-30T00:04:40"/>
    <d v="1899-12-30T00:07:28"/>
    <d v="1899-12-30T00:02:48"/>
    <x v="35"/>
    <s v="https://www.youtube.com/embed/w5KPpzfrQQY?start=280&amp;end=448&amp;autoplay=1"/>
    <s v="Good"/>
    <s v="Good"/>
    <s v="Good"/>
  </r>
  <r>
    <n v="277"/>
    <x v="1"/>
    <m/>
    <x v="2"/>
    <s v="https://www.youtube.com/watch?v=AuVaei10Du0"/>
    <s v="Concluding discussion turns into shouting match between students &amp; Udit Raj - JNU Roundtable"/>
    <m/>
    <m/>
    <m/>
    <n v="34000"/>
    <d v="1899-12-30T00:34:24"/>
    <s v="2 years ago"/>
    <m/>
    <m/>
    <d v="1899-12-30T00:00:00"/>
    <x v="3"/>
    <s v=""/>
    <m/>
    <m/>
    <m/>
  </r>
  <r>
    <n v="278"/>
    <x v="1"/>
    <m/>
    <x v="2"/>
    <s v="https://www.youtube.com/watch?v=1GLaXQ6Rgcg"/>
    <s v="Rajiv Malhotra's Talk at Art of Living: Where is Dharma in the 21st Century"/>
    <m/>
    <m/>
    <m/>
    <n v="27000"/>
    <d v="1899-12-30T01:17:44"/>
    <s v="2 years ago"/>
    <m/>
    <m/>
    <d v="1899-12-30T00:00:00"/>
    <x v="3"/>
    <s v=""/>
    <m/>
    <m/>
    <m/>
  </r>
  <r>
    <n v="279"/>
    <x v="1"/>
    <m/>
    <x v="2"/>
    <s v="https://www.youtube.com/watch?v=FKg_FjS3qZw"/>
    <s v="The Evolution of Yajna: Rajiv Malhotra at Maharishi University"/>
    <m/>
    <m/>
    <m/>
    <n v="6600"/>
    <d v="1899-12-30T00:48:14"/>
    <s v="2 years ago"/>
    <m/>
    <m/>
    <d v="1899-12-30T00:00:00"/>
    <x v="3"/>
    <s v=""/>
    <m/>
    <m/>
    <m/>
  </r>
  <r>
    <n v="280"/>
    <x v="1"/>
    <m/>
    <x v="2"/>
    <s v="https://www.youtube.com/watch?v=EHQ6eLHDs78"/>
    <s v="Are Indians ignoring our civilization while the West appropriates it"/>
    <m/>
    <m/>
    <m/>
    <n v="7200"/>
    <d v="1899-12-30T01:42:58"/>
    <s v="2 years ago"/>
    <m/>
    <m/>
    <d v="1899-12-30T00:00:00"/>
    <x v="3"/>
    <s v=""/>
    <m/>
    <m/>
    <m/>
  </r>
  <r>
    <n v="281"/>
    <x v="1"/>
    <m/>
    <x v="2"/>
    <s v="https://www.youtube.com/watch?v=-cC-ErXYdnI"/>
    <s v="Debate on 'Hinduism &amp; Indian Grand Narrative', Delhi Univ Psychology Dept"/>
    <m/>
    <m/>
    <m/>
    <n v="20000"/>
    <d v="1899-12-30T02:19:10"/>
    <s v="2 years ago"/>
    <m/>
    <m/>
    <d v="1899-12-30T00:00:00"/>
    <x v="3"/>
    <s v=""/>
    <m/>
    <m/>
    <m/>
  </r>
  <r>
    <n v="282"/>
    <x v="1"/>
    <m/>
    <x v="2"/>
    <s v="https://www.youtube.com/watch?v=dZCZp5udJeI"/>
    <s v="Are Sanskrit Studies in the West becoming the New Orientalism?"/>
    <m/>
    <m/>
    <m/>
    <n v="11000"/>
    <d v="1899-12-30T01:41:51"/>
    <s v="2 years ago"/>
    <m/>
    <m/>
    <d v="1899-12-30T00:00:00"/>
    <x v="3"/>
    <s v=""/>
    <m/>
    <m/>
    <m/>
  </r>
  <r>
    <n v="283"/>
    <x v="1"/>
    <m/>
    <x v="2"/>
    <s v="https://www.youtube.com/watch?v=O5i1SD7KFkI"/>
    <s v="Lecture on Dharma, Sanskrit &amp; Science, Goa, Feb 26, 2015"/>
    <m/>
    <m/>
    <m/>
    <n v="10000"/>
    <d v="1899-12-30T02:00:29"/>
    <s v="2 years ago"/>
    <m/>
    <m/>
    <d v="1899-12-30T00:00:00"/>
    <x v="3"/>
    <s v=""/>
    <m/>
    <m/>
    <m/>
  </r>
  <r>
    <n v="284"/>
    <x v="1"/>
    <m/>
    <x v="2"/>
    <s v="https://www.youtube.com/watch?v=Q3ZGmGasWfc"/>
    <s v="Lecture 'Is our Sanskriti being distorted by the Americanization of Sanskrit Studies' at Sastra Univ"/>
    <m/>
    <m/>
    <m/>
    <n v="4700"/>
    <d v="1899-12-30T01:48:54"/>
    <s v="2 years ago"/>
    <m/>
    <m/>
    <d v="1899-12-30T00:00:00"/>
    <x v="3"/>
    <s v=""/>
    <m/>
    <m/>
    <m/>
  </r>
  <r>
    <n v="285"/>
    <x v="1"/>
    <m/>
    <x v="2"/>
    <s v="https://www.youtube.com/watch?v=JbxzX8kwig4"/>
    <s v="World Sanskrit Congress 2015: Is Sanskrit Dead or Alive, Political or Sacred"/>
    <m/>
    <m/>
    <m/>
    <n v="6700"/>
    <d v="1899-12-30T00:26:36"/>
    <s v="2 years ago"/>
    <m/>
    <m/>
    <d v="1899-12-30T00:00:00"/>
    <x v="3"/>
    <s v=""/>
    <m/>
    <m/>
    <m/>
  </r>
  <r>
    <n v="286"/>
    <x v="1"/>
    <m/>
    <x v="2"/>
    <s v="https://www.youtube.com/watch?v=Uxcvh2BQu1g"/>
    <s v="Rajiv Malhotra's The Battle of Sanskrit Launch, Samskrita Bharati, Bengaluru"/>
    <m/>
    <m/>
    <m/>
    <n v="11000"/>
    <d v="1899-12-30T02:17:48"/>
    <s v="1 year ago"/>
    <m/>
    <m/>
    <d v="1899-12-30T00:00:00"/>
    <x v="3"/>
    <s v=""/>
    <m/>
    <m/>
    <m/>
  </r>
  <r>
    <n v="287"/>
    <x v="1"/>
    <m/>
    <x v="2"/>
    <s v="https://www.youtube.com/watch?v=0-Ishanuvj8"/>
    <s v="The Importance of Swadeshi Indology: Rajiv Malhotra"/>
    <m/>
    <m/>
    <m/>
    <n v="14000"/>
    <d v="1899-12-30T02:02:55"/>
    <s v="1 year ago"/>
    <m/>
    <m/>
    <d v="1899-12-30T00:00:00"/>
    <x v="3"/>
    <s v=""/>
    <m/>
    <m/>
    <m/>
  </r>
  <r>
    <n v="288"/>
    <x v="1"/>
    <m/>
    <x v="2"/>
    <s v="https://www.youtube.com/watch?v=j84sUcOTBRM"/>
    <s v="Reversing the Gaze (Purva-Paksha) on Western Indology, Karnataka Sanskrit University"/>
    <m/>
    <m/>
    <m/>
    <n v="6900"/>
    <d v="1899-12-30T01:21:51"/>
    <s v="1 year ago"/>
    <m/>
    <m/>
    <d v="1899-12-30T00:00:00"/>
    <x v="3"/>
    <s v=""/>
    <m/>
    <m/>
    <m/>
  </r>
  <r>
    <n v="289"/>
    <x v="1"/>
    <m/>
    <x v="2"/>
    <s v="https://www.youtube.com/watch?v=NQUbNykwFG4"/>
    <s v="&quot;Taking back our heritage: My message to India's youth&quot; at IIT Madras"/>
    <m/>
    <m/>
    <m/>
    <n v="22000"/>
    <d v="1899-12-30T01:47:49"/>
    <s v="1 year ago"/>
    <m/>
    <m/>
    <d v="1899-12-30T00:00:00"/>
    <x v="3"/>
    <s v=""/>
    <m/>
    <m/>
    <m/>
  </r>
  <r>
    <n v="290"/>
    <x v="1"/>
    <m/>
    <x v="2"/>
    <s v="https://www.youtube.com/watch?v=zILqg37PouM"/>
    <s v="Roddam Narasimha &amp; Mohandas Pai discuss &quot;The Battle For Sanskrit&quot; with Rajiv Malhotra"/>
    <m/>
    <m/>
    <m/>
    <n v="13000"/>
    <d v="1899-12-30T01:57:06"/>
    <s v="1 year ago"/>
    <m/>
    <m/>
    <d v="1899-12-30T00:00:00"/>
    <x v="3"/>
    <s v=""/>
    <m/>
    <m/>
    <m/>
  </r>
  <r>
    <n v="291"/>
    <x v="1"/>
    <m/>
    <x v="2"/>
    <s v="https://www.youtube.com/watch?v=fzzIeVO7-qk"/>
    <s v="Rajiv Malhotra's Encounter With The Indian Left at Tata Institute of Social Sciences"/>
    <m/>
    <m/>
    <m/>
    <n v="51000"/>
    <d v="1899-12-30T01:33:23"/>
    <s v="1 year ago"/>
    <m/>
    <m/>
    <d v="1899-12-30T00:00:00"/>
    <x v="3"/>
    <s v=""/>
    <m/>
    <m/>
    <m/>
  </r>
  <r>
    <n v="292"/>
    <x v="1"/>
    <m/>
    <x v="2"/>
    <s v="https://www.youtube.com/watch?v=-fhrU0xoCgk"/>
    <s v="In conversation with Madhu Kishwar: The Battle For Sanskrit"/>
    <m/>
    <m/>
    <m/>
    <n v="11000"/>
    <d v="1899-12-30T01:11:33"/>
    <s v="1 year ago"/>
    <m/>
    <m/>
    <d v="1899-12-30T00:00:00"/>
    <x v="3"/>
    <s v=""/>
    <m/>
    <m/>
    <m/>
  </r>
  <r>
    <n v="293"/>
    <x v="1"/>
    <m/>
    <x v="2"/>
    <s v="https://www.youtube.com/watch?v=OXYcMlprdL4"/>
    <s v="&quot;Geopolitics &amp; the study of Indian Civilization&quot;: A very large event at IIT Bombay"/>
    <m/>
    <m/>
    <m/>
    <n v="19000"/>
    <d v="1899-12-30T01:35:38"/>
    <s v="1 year ago"/>
    <m/>
    <m/>
    <d v="1899-12-30T00:00:00"/>
    <x v="3"/>
    <s v=""/>
    <m/>
    <m/>
    <m/>
  </r>
  <r>
    <n v="294"/>
    <x v="1"/>
    <m/>
    <x v="2"/>
    <s v="https://www.youtube.com/watch?v=yZ08CJsgurU"/>
    <s v="Zee News_Rohit Sardana Interviews Rajiv Malhotra_Feb 2016"/>
    <m/>
    <m/>
    <m/>
    <n v="19000"/>
    <d v="1899-12-30T00:17:17"/>
    <s v="1 year ago"/>
    <m/>
    <m/>
    <d v="1899-12-30T00:00:00"/>
    <x v="3"/>
    <s v=""/>
    <m/>
    <m/>
    <m/>
  </r>
  <r>
    <n v="295"/>
    <x v="1"/>
    <m/>
    <x v="2"/>
    <s v="https://www.youtube.com/watch?v=c13ZN5rYckE"/>
    <s v="Sri Sri Ravi Shankar Launches &quot;The Battle For Sanskrit&quot; in Art of Living Campus, Bangalore"/>
    <m/>
    <m/>
    <m/>
    <n v="3500"/>
    <d v="1899-12-30T00:10:51"/>
    <s v="1 year ago"/>
    <m/>
    <m/>
    <d v="1899-12-30T00:00:00"/>
    <x v="3"/>
    <s v=""/>
    <m/>
    <m/>
    <m/>
  </r>
  <r>
    <n v="296"/>
    <x v="1"/>
    <m/>
    <x v="2"/>
    <s v="https://www.youtube.com/watch?v=p3i_mI87a3E"/>
    <s v="Chinmaya Mission, Amish Tripathi &amp; Rajiv Malhotra discuss &quot;The Battle For Sanskrit&quot;"/>
    <m/>
    <m/>
    <m/>
    <n v="10000"/>
    <d v="1899-12-30T01:46:21"/>
    <s v="1 year ago"/>
    <m/>
    <m/>
    <d v="1899-12-30T00:00:00"/>
    <x v="3"/>
    <s v=""/>
    <m/>
    <m/>
    <m/>
  </r>
  <r>
    <n v="297"/>
    <x v="1"/>
    <m/>
    <x v="2"/>
    <s v="https://www.youtube.com/watch?v=FrXBeS9Vj40"/>
    <s v="Art of Living: &quot;The Battle For Sanskrit&quot; talk in Bangalore ashram"/>
    <m/>
    <m/>
    <m/>
    <n v="10000"/>
    <d v="1899-12-30T01:39:00"/>
    <s v="1 year ago"/>
    <m/>
    <m/>
    <d v="1899-12-30T00:00:00"/>
    <x v="3"/>
    <s v=""/>
    <m/>
    <m/>
    <m/>
  </r>
  <r>
    <n v="298"/>
    <x v="1"/>
    <m/>
    <x v="2"/>
    <s v="https://www.youtube.com/watch?v=kaJQx-nXg6M"/>
    <s v="Rajiv Malhotra responds to questions at a Vedic Gurukulam, Bidadi"/>
    <m/>
    <m/>
    <m/>
    <n v="15000"/>
    <d v="1899-12-30T00:31:05"/>
    <s v="1 year ago"/>
    <m/>
    <m/>
    <d v="1899-12-30T00:00:00"/>
    <x v="3"/>
    <s v=""/>
    <m/>
    <m/>
    <m/>
  </r>
  <r>
    <n v="299"/>
    <x v="1"/>
    <m/>
    <x v="2"/>
    <s v="https://www.youtube.com/watch?v=fyMRRD_YeRI"/>
    <s v="Ramakrishna Mission (Chennai) presents Rajiv Malhotra's talk/Q&amp;A on: Sacredness and Sanskrit"/>
    <m/>
    <m/>
    <m/>
    <n v="3100"/>
    <d v="1899-12-30T01:37:26"/>
    <s v="1 year ago"/>
    <m/>
    <m/>
    <d v="1899-12-30T00:00:00"/>
    <x v="3"/>
    <s v=""/>
    <m/>
    <m/>
    <m/>
  </r>
  <r>
    <n v="300"/>
    <x v="1"/>
    <m/>
    <x v="2"/>
    <s v="https://www.youtube.com/watch?v=OHn7cvWw5gE"/>
    <s v="JNU: Rajiv Malhotra's New Book THE BATTLE FOR SANSKRIT_full video"/>
    <m/>
    <m/>
    <m/>
    <n v="27000"/>
    <d v="1899-12-30T02:44:51"/>
    <s v="1 year ago"/>
    <m/>
    <m/>
    <d v="1899-12-30T00:00:00"/>
    <x v="3"/>
    <s v=""/>
    <m/>
    <m/>
    <m/>
  </r>
  <r>
    <n v="301"/>
    <x v="1"/>
    <m/>
    <x v="2"/>
    <s v="https://www.youtube.com/watch?v=tBf6vZKjL9w"/>
    <s v="Battle For Sanskrit: How Samskrita Bharati &amp; Rajiv Malhotra can collaborate"/>
    <m/>
    <m/>
    <m/>
    <n v="4600"/>
    <d v="1899-12-30T02:17:38"/>
    <s v="1 year ago"/>
    <m/>
    <m/>
    <d v="1899-12-30T00:00:00"/>
    <x v="3"/>
    <s v=""/>
    <m/>
    <m/>
    <m/>
  </r>
  <r>
    <n v="302"/>
    <x v="1"/>
    <m/>
    <x v="2"/>
    <s v="https://www.youtube.com/watch?v=tNKCTknE59M"/>
    <s v="Rajiv Malhotra Darshan with Kanchi Shankaracharyas to Discuss Common Interests"/>
    <m/>
    <m/>
    <m/>
    <n v="27000"/>
    <d v="1899-12-30T00:58:17"/>
    <s v="1 year ago"/>
    <m/>
    <m/>
    <d v="1899-12-30T00:00:00"/>
    <x v="3"/>
    <s v=""/>
    <m/>
    <m/>
    <m/>
  </r>
  <r>
    <n v="303"/>
    <x v="1"/>
    <m/>
    <x v="2"/>
    <s v="https://www.youtube.com/watch?v=0DzUUFbFZHs"/>
    <s v="&quot;Removing the burqa from our minds&quot;: Rajiv Malhotra's lecture &amp; interaction in Bangalore"/>
    <m/>
    <m/>
    <m/>
    <n v="7500"/>
    <d v="1899-12-30T02:23:59"/>
    <s v="1 year ago"/>
    <m/>
    <m/>
    <d v="1899-12-30T00:00:00"/>
    <x v="3"/>
    <s v=""/>
    <m/>
    <m/>
    <m/>
  </r>
  <r>
    <n v="304"/>
    <x v="1"/>
    <m/>
    <x v="2"/>
    <s v="https://www.youtube.com/watch?v=59-D2X_vmlA"/>
    <s v="Delhi University's distinguished panel discusses THE BATTLE FOR SANSKRIT"/>
    <m/>
    <m/>
    <m/>
    <n v="5700"/>
    <d v="1899-12-30T02:05:04"/>
    <s v="1 year ago"/>
    <m/>
    <m/>
    <d v="1899-12-30T00:00:00"/>
    <x v="3"/>
    <s v=""/>
    <m/>
    <m/>
    <m/>
  </r>
  <r>
    <n v="305"/>
    <x v="1"/>
    <m/>
    <x v="2"/>
    <s v="https://www.youtube.com/watch?v=NhDs3OPqMQ4"/>
    <s v="Rajiv Malhotra interviewed by young California enterpreneur, Balaji Srinivasan"/>
    <m/>
    <m/>
    <m/>
    <n v="20000"/>
    <d v="1899-12-30T02:32:17"/>
    <s v="1 year ago"/>
    <m/>
    <m/>
    <d v="1899-12-30T00:00:00"/>
    <x v="3"/>
    <s v=""/>
    <m/>
    <m/>
    <m/>
  </r>
  <r>
    <n v="306"/>
    <x v="1"/>
    <m/>
    <x v="2"/>
    <s v="https://www.youtube.com/watch?v=7JNUG5Lyals"/>
    <s v="Are Indian Intellectuals Free Thinkers or Colonized: Indus University, TBFS Launch"/>
    <m/>
    <m/>
    <m/>
    <n v="6300"/>
    <d v="1899-12-30T01:18:00"/>
    <s v="1 year ago"/>
    <m/>
    <m/>
    <d v="1899-12-30T00:00:00"/>
    <x v="3"/>
    <s v=""/>
    <m/>
    <m/>
    <m/>
  </r>
  <r>
    <n v="307"/>
    <x v="1"/>
    <m/>
    <x v="2"/>
    <s v="https://www.youtube.com/watch?v=T-iBVjoTxpY"/>
    <s v="Kanchi Shankaracharya's devotees in USA discuss &quot;The Battle For Sanskrit&quot;"/>
    <m/>
    <m/>
    <m/>
    <n v="6800"/>
    <d v="1899-12-30T01:49:14"/>
    <s v="1 year ago"/>
    <m/>
    <m/>
    <d v="1899-12-30T00:00:00"/>
    <x v="3"/>
    <s v=""/>
    <m/>
    <m/>
    <m/>
  </r>
  <r>
    <n v="308"/>
    <x v="1"/>
    <m/>
    <x v="2"/>
    <s v="https://www.youtube.com/watch?v=2RlQdQoP4mE"/>
    <s v="Will Indian Corporate Leaders Support Swadeshi Indology?"/>
    <m/>
    <m/>
    <m/>
    <n v="9900"/>
    <d v="1899-12-30T01:29:42"/>
    <s v="1 year ago"/>
    <m/>
    <m/>
    <d v="1899-12-30T00:00:00"/>
    <x v="3"/>
    <s v=""/>
    <m/>
    <m/>
    <m/>
  </r>
  <r>
    <n v="309"/>
    <x v="1"/>
    <m/>
    <x v="2"/>
    <s v="https://www.youtube.com/watch?v=9eSzra79z-I"/>
    <s v="&quot;The Battle For Sanskrit&quot; discussed by Ramesh Pandey, VC of L.B.S. Rashtriya Sanskrit Vidyapeeth"/>
    <m/>
    <m/>
    <m/>
    <n v="849"/>
    <d v="1899-12-30T00:05:37"/>
    <s v="1 year ago"/>
    <m/>
    <m/>
    <d v="1899-12-30T00:00:00"/>
    <x v="3"/>
    <s v=""/>
    <m/>
    <m/>
    <m/>
  </r>
  <r>
    <n v="310"/>
    <x v="1"/>
    <m/>
    <x v="2"/>
    <s v="https://www.youtube.com/watch?v=t5AEphve0P8"/>
    <s v="Samskrita Bharati panel discussion in Delhi: &quot;The Battle For Sanskrit&quot;"/>
    <m/>
    <m/>
    <m/>
    <n v="799"/>
    <d v="1899-12-30T00:05:33"/>
    <s v="1 year ago"/>
    <m/>
    <m/>
    <d v="1899-12-30T00:00:00"/>
    <x v="3"/>
    <s v=""/>
    <m/>
    <m/>
    <m/>
  </r>
  <r>
    <n v="311"/>
    <x v="1"/>
    <m/>
    <x v="2"/>
    <s v="https://www.youtube.com/watch?v=zm-fPGwlflY"/>
    <s v="Prof P.N. Shastry, VC, Rashtriya Sanskrit Sansthan, discusses &quot;The Battle For Sanskrit&quot;"/>
    <m/>
    <m/>
    <m/>
    <n v="1400"/>
    <d v="1899-12-30T00:07:01"/>
    <s v="1 year ago"/>
    <m/>
    <m/>
    <d v="1899-12-30T00:00:00"/>
    <x v="3"/>
    <s v=""/>
    <m/>
    <m/>
    <m/>
  </r>
  <r>
    <n v="312"/>
    <x v="1"/>
    <m/>
    <x v="2"/>
    <s v="https://www.youtube.com/watch?v=Iimv8qJijTE"/>
    <s v="Dr Kutumba Sastry, President, International Association of Sanskrit Studies"/>
    <m/>
    <m/>
    <m/>
    <n v="1400"/>
    <d v="1899-12-30T00:12:36"/>
    <s v="1 year ago"/>
    <m/>
    <m/>
    <d v="1899-12-30T00:00:00"/>
    <x v="3"/>
    <s v=""/>
    <m/>
    <m/>
    <m/>
  </r>
  <r>
    <n v="313"/>
    <x v="1"/>
    <m/>
    <x v="2"/>
    <s v="https://www.youtube.com/watch?v=kpktr2ml8m8"/>
    <s v="Bibek Debroy on &quot;The Battle for Sanskrit&quot;"/>
    <m/>
    <m/>
    <m/>
    <n v="3500"/>
    <d v="1899-12-30T00:16:06"/>
    <s v="1 year ago"/>
    <m/>
    <m/>
    <d v="1899-12-30T00:00:00"/>
    <x v="3"/>
    <s v=""/>
    <m/>
    <m/>
    <m/>
  </r>
  <r>
    <n v="314"/>
    <x v="1"/>
    <m/>
    <x v="2"/>
    <s v="https://www.youtube.com/watch?v=jB9efRnouaI"/>
    <s v="Rajiv Malhotra talk in Delhi Samskrita Bharati"/>
    <m/>
    <m/>
    <m/>
    <n v="2600"/>
    <d v="1899-12-30T00:35:31"/>
    <s v="1 year ago"/>
    <m/>
    <m/>
    <d v="1899-12-30T00:00:00"/>
    <x v="3"/>
    <s v=""/>
    <m/>
    <m/>
    <m/>
  </r>
  <r>
    <n v="315"/>
    <x v="1"/>
    <m/>
    <x v="2"/>
    <s v="https://www.youtube.com/watch?v=r2uhf3x6oH8"/>
    <s v="Q&amp;A on The Battle For Sanskrit. Samskrita Bharati event in Delhi"/>
    <m/>
    <m/>
    <m/>
    <n v="2900"/>
    <d v="1899-12-30T00:32:53"/>
    <s v="1 year ago"/>
    <m/>
    <m/>
    <d v="1899-12-30T00:00:00"/>
    <x v="3"/>
    <s v=""/>
    <m/>
    <m/>
    <m/>
  </r>
  <r>
    <n v="316"/>
    <x v="1"/>
    <m/>
    <x v="2"/>
    <s v="https://www.youtube.com/watch?v=G-AjF_4Jc1I"/>
    <s v="How to be an intellectual kshatriya, by Rajiv Malhotra"/>
    <m/>
    <m/>
    <m/>
    <n v="6000"/>
    <d v="1899-12-30T00:30:10"/>
    <s v="1 year ago"/>
    <m/>
    <m/>
    <d v="1899-12-30T00:00:00"/>
    <x v="3"/>
    <s v=""/>
    <m/>
    <m/>
    <m/>
  </r>
  <r>
    <n v="317"/>
    <x v="1"/>
    <m/>
    <x v="2"/>
    <s v="https://www.youtube.com/watch?v=hbcWYVaowqI"/>
    <s v="Swami Harshananda (senior monk of RK Mission) blessings at Intellectual Kshatriya workshop"/>
    <m/>
    <m/>
    <m/>
    <n v="3000"/>
    <d v="1899-12-30T00:16:42"/>
    <s v="1 year ago"/>
    <m/>
    <m/>
    <d v="1899-12-30T00:00:00"/>
    <x v="3"/>
    <s v=""/>
    <m/>
    <m/>
    <m/>
  </r>
  <r>
    <n v="318"/>
    <x v="1"/>
    <m/>
    <x v="2"/>
    <s v="https://www.youtube.com/watch?v=olQlPZuEWLY"/>
    <s v="Columbia University Talk &quot;Hinduphobia in Academia&quot;: Rajiv Malhotra"/>
    <m/>
    <m/>
    <m/>
    <n v="70000"/>
    <d v="1899-12-30T01:35:03"/>
    <s v="1 year ago"/>
    <m/>
    <m/>
    <d v="1899-12-30T00:00:00"/>
    <x v="3"/>
    <s v=""/>
    <m/>
    <m/>
    <m/>
  </r>
  <r>
    <n v="319"/>
    <x v="1"/>
    <m/>
    <x v="2"/>
    <s v="https://www.youtube.com/watch?v=fwbLw9W9GC8"/>
    <s v="Rajiv Malhotra at MIT: The Force Awakens"/>
    <m/>
    <m/>
    <m/>
    <n v="28000"/>
    <d v="1899-12-30T02:13:19"/>
    <s v="1 year ago"/>
    <m/>
    <m/>
    <d v="1899-12-30T00:00:00"/>
    <x v="3"/>
    <s v=""/>
    <m/>
    <m/>
    <m/>
  </r>
  <r>
    <n v="320"/>
    <x v="1"/>
    <m/>
    <x v="2"/>
    <s v="https://www.youtube.com/watch?v=XcIm7eWfJ_M"/>
    <s v="NewsX: Dr Subramanian Swamy's Endorsement for Rajiv Malhotra"/>
    <m/>
    <m/>
    <m/>
    <n v="1900"/>
    <d v="1899-12-30T00:03:33"/>
    <s v="1 year ago"/>
    <m/>
    <m/>
    <d v="1899-12-30T00:00:00"/>
    <x v="3"/>
    <s v=""/>
    <m/>
    <m/>
    <m/>
  </r>
  <r>
    <n v="321"/>
    <x v="1"/>
    <m/>
    <x v="2"/>
    <s v="https://www.youtube.com/watch?v=tD7VxQAIPLM"/>
    <s v="Difference Between British Era Sepoys &amp; Today's Intellectual Sepoys"/>
    <m/>
    <m/>
    <m/>
    <n v="2100"/>
    <d v="1899-12-30T00:02:28"/>
    <s v="1 year ago"/>
    <m/>
    <m/>
    <d v="1899-12-30T00:00:00"/>
    <x v="3"/>
    <s v=""/>
    <m/>
    <m/>
    <m/>
  </r>
  <r>
    <n v="322"/>
    <x v="1"/>
    <m/>
    <x v="2"/>
    <s v="https://www.youtube.com/watch?v=RaNpNJVvWDI"/>
    <s v="People like Devdutt Pattanaik Subvert Hinduism While Seeming to Help it"/>
    <m/>
    <m/>
    <m/>
    <n v="7600"/>
    <d v="1899-12-30T00:04:58"/>
    <s v="1 year ago"/>
    <m/>
    <m/>
    <d v="1899-12-30T00:00:00"/>
    <x v="3"/>
    <s v=""/>
    <m/>
    <m/>
    <m/>
  </r>
  <r>
    <n v="323"/>
    <x v="1"/>
    <m/>
    <x v="2"/>
    <s v="https://www.youtube.com/watch?v=sdUuukDpj9s"/>
    <s v="History-Centrism &amp; Dharma vis a vis Religion: Rajiv Malhotra"/>
    <m/>
    <m/>
    <m/>
    <n v="944"/>
    <d v="1899-12-30T00:13:39"/>
    <s v="1 year ago"/>
    <m/>
    <m/>
    <d v="1899-12-30T00:00:00"/>
    <x v="3"/>
    <s v=""/>
    <m/>
    <m/>
    <m/>
  </r>
  <r>
    <n v="324"/>
    <x v="1"/>
    <m/>
    <x v="2"/>
    <s v="https://www.youtube.com/watch?v=jQ47l4DT1BY"/>
    <s v="Rajiv Malhotra explains the difference between Intellectual Kshatriya and Emotional Kshatriya"/>
    <m/>
    <m/>
    <m/>
    <n v="545"/>
    <d v="1899-12-30T00:02:18"/>
    <s v="1 year ago"/>
    <m/>
    <m/>
    <d v="1899-12-30T00:00:00"/>
    <x v="3"/>
    <s v=""/>
    <m/>
    <m/>
    <m/>
  </r>
  <r>
    <n v="325"/>
    <x v="1"/>
    <m/>
    <x v="2"/>
    <s v="https://www.youtube.com/watch?v=WkR5PD16sCg"/>
    <s v="Rajiv explains how Hindu values of tapas get distorted by naive Hindus selling out to US pop culture"/>
    <m/>
    <m/>
    <m/>
    <n v="626"/>
    <d v="1899-12-30T00:02:16"/>
    <s v="1 year ago"/>
    <m/>
    <m/>
    <d v="1899-12-30T00:00:00"/>
    <x v="3"/>
    <s v=""/>
    <m/>
    <m/>
    <m/>
  </r>
  <r>
    <n v="326"/>
    <x v="1"/>
    <m/>
    <x v="2"/>
    <s v="https://www.youtube.com/watch?v=wXSD2PQznXI"/>
    <s v="Rajiv Malhotra explains what it takes to become an Intellectual Kshatriya"/>
    <m/>
    <m/>
    <m/>
    <n v="1500"/>
    <d v="1899-12-30T00:07:54"/>
    <s v="1 year ago"/>
    <m/>
    <m/>
    <d v="1899-12-30T00:00:00"/>
    <x v="3"/>
    <s v=""/>
    <m/>
    <m/>
    <m/>
  </r>
  <r>
    <n v="327"/>
    <x v="1"/>
    <m/>
    <x v="2"/>
    <s v="https://www.youtube.com/watch?v=p4NkqPPh2fk"/>
    <s v="Rajiv Malhotra explains common misunderstanding of Maya among Hindus"/>
    <m/>
    <m/>
    <m/>
    <n v="1600"/>
    <d v="1899-12-30T00:07:18"/>
    <s v="1 year ago"/>
    <m/>
    <m/>
    <d v="1899-12-30T00:00:00"/>
    <x v="3"/>
    <s v=""/>
    <m/>
    <m/>
    <m/>
  </r>
  <r>
    <n v="328"/>
    <x v="1"/>
    <m/>
    <x v="2"/>
    <s v="https://www.youtube.com/watch?v=7bZemcM70W0"/>
    <s v="Rajiv Malhotra on 'Analysis of the Kurukshetra'. Interviewed by Vijaya Vishwanathan"/>
    <m/>
    <m/>
    <m/>
    <n v="16000"/>
    <d v="1899-12-30T01:27:28"/>
    <s v="1 year ago"/>
    <m/>
    <m/>
    <d v="1899-12-30T00:00:00"/>
    <x v="3"/>
    <s v=""/>
    <m/>
    <m/>
    <m/>
  </r>
  <r>
    <n v="329"/>
    <x v="1"/>
    <m/>
    <x v="2"/>
    <s v="https://www.youtube.com/watch?v=GpEk4HU0r2Y"/>
    <s v="Wendy Doniger's Erotic Psychoanalysis Theory Has Not Been Countered: Rajiv Malhotra #1"/>
    <m/>
    <m/>
    <m/>
    <n v="1500"/>
    <d v="1899-12-30T00:02:53"/>
    <s v="1 year ago"/>
    <m/>
    <m/>
    <d v="1899-12-30T00:00:00"/>
    <x v="3"/>
    <s v=""/>
    <m/>
    <m/>
    <m/>
  </r>
  <r>
    <n v="330"/>
    <x v="1"/>
    <m/>
    <x v="2"/>
    <s v="https://www.youtube.com/watch?v=322EiuTqg7w"/>
    <s v="When Devdutt Pattanaik Reduces Indian Itihas to Myth, it is Freud's Ideas he is propagating #2"/>
    <m/>
    <m/>
    <m/>
    <n v="1200"/>
    <d v="1899-12-30T00:01:08"/>
    <s v="1 year ago"/>
    <m/>
    <m/>
    <d v="1899-12-30T00:00:00"/>
    <x v="3"/>
    <s v=""/>
    <m/>
    <m/>
    <m/>
  </r>
  <r>
    <n v="331"/>
    <x v="1"/>
    <m/>
    <x v="2"/>
    <s v="https://www.youtube.com/watch?v=liKAbE7beNI"/>
    <s v="Rajiv Malhotra &amp; Dr Swamy talk on Christian Missionaries Religion Conversion Tactics"/>
    <m/>
    <m/>
    <m/>
    <n v="9300"/>
    <d v="1899-12-30T00:09:00"/>
    <s v="1 year ago"/>
    <m/>
    <m/>
    <d v="1899-12-30T00:00:00"/>
    <x v="3"/>
    <s v=""/>
    <m/>
    <m/>
    <m/>
  </r>
  <r>
    <n v="332"/>
    <x v="1"/>
    <m/>
    <x v="2"/>
    <s v="https://www.youtube.com/watch?v=3eTjsY7w5kM"/>
    <s v="4 Rajiv Malhotra: Dealing with Dharma transforms even the most rooted Abrahamic"/>
    <m/>
    <m/>
    <m/>
    <n v="265"/>
    <d v="1899-12-30T00:03:55"/>
    <s v="1 year ago"/>
    <m/>
    <m/>
    <d v="1899-12-30T00:00:00"/>
    <x v="3"/>
    <s v=""/>
    <m/>
    <m/>
    <m/>
  </r>
  <r>
    <n v="333"/>
    <x v="1"/>
    <m/>
    <x v="2"/>
    <s v="https://www.youtube.com/watch?v=afXofZLlzB4"/>
    <s v="5 Are today's Pandavas sitting in the VIP lounge watching the action on the battlefield with binocu"/>
    <m/>
    <m/>
    <m/>
    <n v="238"/>
    <d v="1899-12-30T00:03:45"/>
    <s v="1 year ago"/>
    <m/>
    <m/>
    <d v="1899-12-30T00:00:00"/>
    <x v="3"/>
    <s v=""/>
    <m/>
    <m/>
    <m/>
  </r>
  <r>
    <n v="334"/>
    <x v="1"/>
    <m/>
    <x v="2"/>
    <s v="https://www.youtube.com/watch?v=gtDa8NLyc74"/>
    <s v="3 Rajiv Malhotra explains the five types of people in the kurukshetra and analysis of each"/>
    <m/>
    <m/>
    <m/>
    <n v="585"/>
    <d v="1899-12-30T00:11:15"/>
    <s v="1 year ago"/>
    <m/>
    <m/>
    <d v="1899-12-30T00:00:00"/>
    <x v="3"/>
    <s v=""/>
    <m/>
    <m/>
    <m/>
  </r>
  <r>
    <n v="335"/>
    <x v="1"/>
    <m/>
    <x v="2"/>
    <s v="https://www.youtube.com/watch?v=zgOMSgegwGk"/>
    <s v="&quot;Where are the Pandavas?&quot; Rajiv Malhotra interviewed by Vijaya Vishwanathan"/>
    <m/>
    <m/>
    <m/>
    <n v="8800"/>
    <d v="1899-12-30T00:56:38"/>
    <s v="1 year ago"/>
    <m/>
    <m/>
    <d v="1899-12-30T00:00:00"/>
    <x v="3"/>
    <s v=""/>
    <m/>
    <m/>
    <m/>
  </r>
  <r>
    <n v="336"/>
    <x v="1"/>
    <m/>
    <x v="2"/>
    <s v="https://www.youtube.com/watch?v=Xk3tQcQ1QcQ"/>
    <s v="Rajiv Malhotra on NDTV's We the People_Debate on Foreign NGOs #1"/>
    <m/>
    <m/>
    <m/>
    <n v="2200"/>
    <d v="1899-12-30T00:03:48"/>
    <s v="1 year ago"/>
    <m/>
    <m/>
    <d v="1899-12-30T00:00:00"/>
    <x v="3"/>
    <s v=""/>
    <m/>
    <m/>
    <m/>
  </r>
  <r>
    <n v="337"/>
    <x v="1"/>
    <m/>
    <x v="2"/>
    <s v="https://www.youtube.com/watch?v=MP4mGKSR2-0"/>
    <s v="KUPPUSWAMI SASTRI RESEARCH INSTITUTE (KSRI), Chennai, hosts Distinguished Lecture by Rajiv Malhotra"/>
    <m/>
    <m/>
    <m/>
    <n v="3300"/>
    <d v="1899-12-30T01:48:06"/>
    <s v="1 year ago"/>
    <m/>
    <m/>
    <d v="1899-12-30T00:00:00"/>
    <x v="3"/>
    <s v=""/>
    <m/>
    <m/>
    <m/>
  </r>
  <r>
    <n v="338"/>
    <x v="1"/>
    <m/>
    <x v="2"/>
    <s v="https://www.youtube.com/watch?v=55sjF1l4Hu0"/>
    <s v="Role of Hindu Temples: Rajiv Malhotra"/>
    <m/>
    <m/>
    <m/>
    <n v="828"/>
    <d v="1899-12-30T00:03:36"/>
    <s v="1 year ago"/>
    <m/>
    <m/>
    <d v="1899-12-30T00:00:00"/>
    <x v="3"/>
    <s v=""/>
    <m/>
    <m/>
    <m/>
  </r>
  <r>
    <n v="339"/>
    <x v="1"/>
    <m/>
    <x v="2"/>
    <s v="https://www.youtube.com/watch?v=LkTTH9gGQwA"/>
    <s v="Rajiv Malhotra Motivates JNU Students to Speak Up Against Biased Professors #16"/>
    <m/>
    <m/>
    <m/>
    <n v="1200"/>
    <d v="1899-12-30T00:01:25"/>
    <s v="1 year ago"/>
    <m/>
    <m/>
    <d v="1899-12-30T00:00:00"/>
    <x v="3"/>
    <s v=""/>
    <m/>
    <m/>
    <m/>
  </r>
  <r>
    <n v="340"/>
    <x v="1"/>
    <m/>
    <x v="2"/>
    <s v="https://www.youtube.com/watch?v=cuauchPBFCY"/>
    <s v="N. Gopalaswami, former Chief Election Commissioner of India, and Rajiv Malhotra discuss TBFS"/>
    <m/>
    <m/>
    <m/>
    <n v="3700"/>
    <d v="1899-12-30T01:41:43"/>
    <s v="1 year ago"/>
    <m/>
    <m/>
    <d v="1899-12-30T00:00:00"/>
    <x v="3"/>
    <s v=""/>
    <m/>
    <m/>
    <m/>
  </r>
  <r>
    <n v="341"/>
    <x v="1"/>
    <m/>
    <x v="2"/>
    <s v="https://www.youtube.com/watch?v=oeJfmsvMRBs"/>
    <s v="The Attack on Kumbh Mela - Rajiv Malhotra Series on &quot;Facebook LIVE&quot; Part 1"/>
    <m/>
    <m/>
    <m/>
    <n v="6800"/>
    <d v="1899-12-30T00:17:56"/>
    <s v="1 year ago"/>
    <m/>
    <m/>
    <d v="1899-12-30T00:00:00"/>
    <x v="3"/>
    <s v=""/>
    <m/>
    <m/>
    <m/>
  </r>
  <r>
    <n v="342"/>
    <x v="1"/>
    <m/>
    <x v="2"/>
    <s v="https://www.youtube.com/watch?v=vEdOCEkdY9Q"/>
    <s v="Indian Comfort With What is Termed as Chaos: Rajiv Malhotra #1"/>
    <m/>
    <m/>
    <m/>
    <n v="1200"/>
    <d v="1899-12-30T00:03:58"/>
    <s v="1 year ago"/>
    <m/>
    <m/>
    <d v="1899-12-30T00:00:00"/>
    <x v="3"/>
    <s v=""/>
    <m/>
    <m/>
    <m/>
  </r>
  <r>
    <n v="343"/>
    <x v="1"/>
    <m/>
    <x v="2"/>
    <s v="https://www.youtube.com/watch?v=Cv8kec-TugY"/>
    <s v="Islamic destruction of temples can't be compared to local rivalries causing destruction #17"/>
    <m/>
    <m/>
    <m/>
    <n v="1200"/>
    <d v="1899-12-30T00:03:42"/>
    <s v="1 year ago"/>
    <m/>
    <m/>
    <d v="1899-12-30T00:00:00"/>
    <x v="3"/>
    <s v=""/>
    <m/>
    <m/>
    <m/>
  </r>
  <r>
    <n v="344"/>
    <x v="1"/>
    <m/>
    <x v="2"/>
    <s v="https://www.youtube.com/watch?v=Uk3mD3cAFXg"/>
    <s v="How YOU can help in the Kurukshetra &amp; Increase our Impact: Rajiv Malhotra"/>
    <m/>
    <m/>
    <m/>
    <n v="231"/>
    <d v="1899-12-30T00:02:33"/>
    <s v="1 year ago"/>
    <m/>
    <m/>
    <d v="1899-12-30T00:00:00"/>
    <x v="3"/>
    <s v=""/>
    <m/>
    <m/>
    <m/>
  </r>
  <r>
    <n v="345"/>
    <x v="1"/>
    <m/>
    <x v="2"/>
    <s v="https://www.youtube.com/watch?v=spEEA-o1zlE"/>
    <s v="Rajiv Malhotra Explains the History of Indian Science &amp; Technology Volumes"/>
    <m/>
    <m/>
    <m/>
    <n v="666"/>
    <d v="1899-12-30T00:01:54"/>
    <s v="1 year ago"/>
    <m/>
    <m/>
    <d v="1899-12-30T00:00:00"/>
    <x v="3"/>
    <s v=""/>
    <m/>
    <m/>
    <m/>
  </r>
  <r>
    <n v="346"/>
    <x v="1"/>
    <m/>
    <x v="2"/>
    <s v="https://www.youtube.com/watch?v=7cA62ZHlWx0"/>
    <s v="Rajiv Malhotra: When diversity is turned into vote bank, unity suffers #6"/>
    <m/>
    <m/>
    <m/>
    <n v="191"/>
    <d v="1899-12-30T00:01:22"/>
    <s v="1 year ago"/>
    <m/>
    <m/>
    <d v="1899-12-30T00:00:00"/>
    <x v="3"/>
    <s v=""/>
    <m/>
    <m/>
    <m/>
  </r>
  <r>
    <n v="347"/>
    <x v="1"/>
    <m/>
    <x v="2"/>
    <s v="https://www.youtube.com/watch?v=M8Xez56Bg9c"/>
    <s v="Smritis are not frozen, need to be changed according to time &amp; context: Rajiv Malhotra #7"/>
    <m/>
    <m/>
    <m/>
    <n v="870"/>
    <d v="1899-12-30T00:08:45"/>
    <s v="1 year ago"/>
    <m/>
    <m/>
    <d v="1899-12-30T00:00:00"/>
    <x v="3"/>
    <s v=""/>
    <m/>
    <m/>
    <m/>
  </r>
  <r>
    <n v="348"/>
    <x v="1"/>
    <m/>
    <x v="2"/>
    <s v="https://www.youtube.com/watch?v=5U64D5B9-O0"/>
    <s v="Rajiv Malhotra: #1 How Hindu Open Architecture is the Bedrock of Indian Identity"/>
    <m/>
    <m/>
    <m/>
    <n v="527"/>
    <d v="1899-12-30T00:05:16"/>
    <s v="1 year ago"/>
    <m/>
    <m/>
    <d v="1899-12-30T00:00:00"/>
    <x v="3"/>
    <s v=""/>
    <m/>
    <m/>
    <m/>
  </r>
  <r>
    <n v="349"/>
    <x v="1"/>
    <m/>
    <x v="2"/>
    <s v="https://www.youtube.com/watch?v=fKsfq4rFzbA"/>
    <s v="How Hindu Inferiority Complex Blocks Development of Indian Grand Narrative #2"/>
    <m/>
    <m/>
    <m/>
    <n v="1000"/>
    <d v="1899-12-30T00:07:35"/>
    <s v="1 year ago"/>
    <m/>
    <m/>
    <d v="1899-12-30T00:00:00"/>
    <x v="3"/>
    <s v=""/>
    <m/>
    <m/>
    <m/>
  </r>
  <r>
    <n v="350"/>
    <x v="1"/>
    <m/>
    <x v="2"/>
    <s v="https://www.youtube.com/watch?v=zKr-cYKprD8"/>
    <s v="Rajiv Malhotra: Apathy, Ignorance, Laziness of Indians regarding their Civilization"/>
    <m/>
    <m/>
    <m/>
    <n v="368"/>
    <d v="1899-12-30T00:01:42"/>
    <s v="1 year ago"/>
    <m/>
    <m/>
    <d v="1899-12-30T00:00:00"/>
    <x v="3"/>
    <s v=""/>
    <m/>
    <m/>
    <m/>
  </r>
  <r>
    <n v="351"/>
    <x v="1"/>
    <m/>
    <x v="2"/>
    <s v="https://www.youtube.com/watch?v=YHee5lF9yPc"/>
    <s v="When Muslims &amp; Christians are More Equal than Hindus: Rajiv Malhotra #3"/>
    <m/>
    <m/>
    <m/>
    <n v="1300"/>
    <d v="1899-12-30T00:04:14"/>
    <s v="1 year ago"/>
    <m/>
    <m/>
    <d v="1899-12-30T00:00:00"/>
    <x v="3"/>
    <s v=""/>
    <m/>
    <m/>
    <m/>
  </r>
  <r>
    <n v="352"/>
    <x v="1"/>
    <m/>
    <x v="2"/>
    <s v="https://www.youtube.com/watch?v=8xbYHg11ROo"/>
    <s v="Rajiv Malhotra: #4 Caste Based Reservations Act as Vote Bank"/>
    <m/>
    <m/>
    <m/>
    <n v="207"/>
    <d v="1899-12-30T00:04:56"/>
    <s v="1 year ago"/>
    <m/>
    <m/>
    <d v="1899-12-30T00:00:00"/>
    <x v="3"/>
    <s v=""/>
    <m/>
    <m/>
    <m/>
  </r>
  <r>
    <n v="353"/>
    <x v="1"/>
    <m/>
    <x v="2"/>
    <s v="https://www.youtube.com/watch?v=yp1ZVELrxIA"/>
    <s v="Rajiv Malhotra: #5 Funding Swadeshi Scholarship for Swadeshi Viewpoint"/>
    <m/>
    <m/>
    <m/>
    <n v="177"/>
    <d v="1899-12-30T00:00:24"/>
    <s v="1 year ago"/>
    <m/>
    <m/>
    <d v="1899-12-30T00:00:00"/>
    <x v="3"/>
    <s v=""/>
    <m/>
    <m/>
    <m/>
  </r>
  <r>
    <n v="354"/>
    <x v="1"/>
    <m/>
    <x v="2"/>
    <s v="https://www.youtube.com/watch?v=JkoZriLo3fA"/>
    <s v="If All Religions Are The Same Then Why Remain Hindu: Rajiv Malhotra"/>
    <m/>
    <m/>
    <m/>
    <n v="3000"/>
    <d v="1899-12-30T00:03:46"/>
    <s v="1 year ago"/>
    <m/>
    <m/>
    <d v="1899-12-30T00:00:00"/>
    <x v="3"/>
    <s v=""/>
    <m/>
    <m/>
    <m/>
  </r>
  <r>
    <n v="355"/>
    <x v="1"/>
    <m/>
    <x v="2"/>
    <s v="https://www.youtube.com/watch?v=hPD7CW4JiSA"/>
    <s v="Rajiv Malhotra: Caste Cow Curry Joke in India #7"/>
    <m/>
    <m/>
    <m/>
    <n v="1900"/>
    <d v="1899-12-30T00:04:16"/>
    <s v="1 year ago"/>
    <m/>
    <m/>
    <d v="1899-12-30T00:00:00"/>
    <x v="3"/>
    <s v=""/>
    <m/>
    <m/>
    <m/>
  </r>
  <r>
    <n v="356"/>
    <x v="1"/>
    <m/>
    <x v="2"/>
    <s v="https://www.youtube.com/watch?v=wKE7d6nLsDM"/>
    <s v="How Christianity Inc is the Largest MNC in the World: Rajiv Malhotra #1"/>
    <m/>
    <m/>
    <m/>
    <n v="549"/>
    <d v="1899-12-30T00:03:09"/>
    <s v="1 year ago"/>
    <m/>
    <m/>
    <d v="1899-12-30T00:00:00"/>
    <x v="3"/>
    <s v=""/>
    <m/>
    <m/>
    <m/>
  </r>
  <r>
    <n v="357"/>
    <x v="1"/>
    <m/>
    <x v="2"/>
    <s v="https://www.youtube.com/watch?v=dlQfycnk550"/>
    <s v="Christianity Needs Major Reform: Rajiv Malhotra #2"/>
    <m/>
    <m/>
    <m/>
    <n v="632"/>
    <d v="1899-12-30T00:06:18"/>
    <s v="1 year ago"/>
    <m/>
    <m/>
    <d v="1899-12-30T00:00:00"/>
    <x v="3"/>
    <s v=""/>
    <m/>
    <m/>
    <m/>
  </r>
  <r>
    <n v="358"/>
    <x v="1"/>
    <m/>
    <x v="2"/>
    <s v="https://www.youtube.com/watch?v=dgXtHzSngX0"/>
    <s v="The False &quot;Aryan Dravidian&quot; Divide is Part of Official Govt Discourse on India: Rajiv Malhotra"/>
    <m/>
    <m/>
    <m/>
    <n v="656"/>
    <d v="1899-12-30T00:00:27"/>
    <s v="1 year ago"/>
    <m/>
    <m/>
    <d v="1899-12-30T00:00:00"/>
    <x v="3"/>
    <s v=""/>
    <m/>
    <m/>
    <m/>
  </r>
  <r>
    <n v="359"/>
    <x v="1"/>
    <m/>
    <x v="2"/>
    <s v="https://www.youtube.com/watch?v=Xml5nVm8bg0"/>
    <s v="DIGESTION of Hindusim into Christianity: Rajiv Malhotra #7"/>
    <m/>
    <m/>
    <m/>
    <n v="1200"/>
    <d v="1899-12-30T00:07:05"/>
    <s v="11 months ago"/>
    <m/>
    <m/>
    <d v="1899-12-30T00:00:00"/>
    <x v="3"/>
    <s v=""/>
    <m/>
    <m/>
    <m/>
  </r>
  <r>
    <n v="360"/>
    <x v="1"/>
    <m/>
    <x v="2"/>
    <s v="https://www.youtube.com/watch?v=I6Nwopg3FIw"/>
    <s v="Rajiv Malhotra: Sanskrit Protects Dharma From Digestion"/>
    <m/>
    <m/>
    <m/>
    <n v="1300"/>
    <d v="1899-12-30T00:04:14"/>
    <s v="1 year ago"/>
    <m/>
    <m/>
    <d v="1899-12-30T00:00:00"/>
    <x v="3"/>
    <s v=""/>
    <m/>
    <m/>
    <m/>
  </r>
  <r>
    <n v="361"/>
    <x v="1"/>
    <m/>
    <x v="2"/>
    <s v="https://www.youtube.com/watch?v=QT3p6iGNrkU"/>
    <s v="The Attack on Kumbh Mela - Rajiv Malhotra Series on &quot;Facebook LIVE&quot; Part 2"/>
    <m/>
    <m/>
    <m/>
    <n v="3800"/>
    <d v="1899-12-30T00:20:02"/>
    <s v="1 year ago"/>
    <m/>
    <m/>
    <d v="1899-12-30T00:00:00"/>
    <x v="3"/>
    <s v=""/>
    <m/>
    <m/>
    <m/>
  </r>
  <r>
    <n v="362"/>
    <x v="1"/>
    <m/>
    <x v="2"/>
    <s v="https://www.youtube.com/watch?v=DYtc95s7Kpc"/>
    <s v="Response to Young Law Student &amp; Human Rights Activist #2"/>
    <m/>
    <m/>
    <m/>
    <n v="9200"/>
    <d v="1899-12-30T00:24:20"/>
    <s v="1 year ago"/>
    <m/>
    <m/>
    <d v="1899-12-30T00:00:00"/>
    <x v="3"/>
    <s v=""/>
    <m/>
    <m/>
    <m/>
  </r>
  <r>
    <n v="363"/>
    <x v="1"/>
    <m/>
    <x v="2"/>
    <s v="https://www.youtube.com/watch?v=Lg0JLlBHCgA"/>
    <s v="Rajiv Malhotra responds: Why do we need others legitimacy if we are 1/6th of the world"/>
    <m/>
    <m/>
    <m/>
    <n v="1600"/>
    <d v="1899-12-30T00:03:11"/>
    <s v="1 year ago"/>
    <m/>
    <m/>
    <d v="1899-12-30T00:00:00"/>
    <x v="3"/>
    <s v=""/>
    <m/>
    <m/>
    <m/>
  </r>
  <r>
    <n v="364"/>
    <x v="1"/>
    <m/>
    <x v="2"/>
    <s v="https://www.youtube.com/watch?v=ZpdQsUkjwMc"/>
    <s v="The Attack on Kumbh Mela - Rajiv Malhotra Series on &quot;Facebook LIVE&quot; Part 3"/>
    <m/>
    <m/>
    <m/>
    <n v="2700"/>
    <d v="1899-12-30T00:32:34"/>
    <s v="1 year ago"/>
    <m/>
    <m/>
    <d v="1899-12-30T00:00:00"/>
    <x v="3"/>
    <s v=""/>
    <m/>
    <m/>
    <m/>
  </r>
  <r>
    <n v="365"/>
    <x v="1"/>
    <m/>
    <x v="2"/>
    <s v="https://www.youtube.com/watch?v=xA9TKhOjY24"/>
    <s v="Rajiv Malhotra Discusses the Idea of India &amp; Indian Identity"/>
    <m/>
    <m/>
    <m/>
    <n v="768"/>
    <d v="1899-12-30T00:04:07"/>
    <s v="1 year ago"/>
    <m/>
    <m/>
    <d v="1899-12-30T00:00:00"/>
    <x v="3"/>
    <s v=""/>
    <m/>
    <m/>
    <m/>
  </r>
  <r>
    <n v="366"/>
    <x v="1"/>
    <m/>
    <x v="2"/>
    <s v="https://www.youtube.com/watch?v=w2e5eqI49cE"/>
    <s v="Rajiv Malhotra: Difference Between Tolerance and Mutual Respect #4"/>
    <m/>
    <m/>
    <m/>
    <n v="925"/>
    <d v="1899-12-30T00:01:44"/>
    <s v="1 year ago"/>
    <m/>
    <m/>
    <d v="1899-12-30T00:00:00"/>
    <x v="3"/>
    <s v=""/>
    <m/>
    <m/>
    <m/>
  </r>
  <r>
    <n v="367"/>
    <x v="1"/>
    <m/>
    <x v="2"/>
    <s v="https://www.youtube.com/watch?v=qY5oQOirve4"/>
    <s v="JNU student questions John Dayal and leaves him Dumbstruck!"/>
    <m/>
    <m/>
    <m/>
    <n v="12000"/>
    <d v="1899-12-30T00:02:41"/>
    <s v="1 year ago"/>
    <m/>
    <m/>
    <d v="1899-12-30T00:00:00"/>
    <x v="3"/>
    <s v=""/>
    <m/>
    <m/>
    <m/>
  </r>
  <r>
    <n v="368"/>
    <x v="1"/>
    <m/>
    <x v="2"/>
    <s v="https://www.youtube.com/watch?v=yMRw4TF7CAk"/>
    <s v="Rajiv Malhotra's Rejoinder to Kancha Ilaiah's Breaking India Activities"/>
    <m/>
    <m/>
    <m/>
    <n v="13000"/>
    <d v="1899-12-30T00:22:55"/>
    <s v="1 year ago"/>
    <m/>
    <m/>
    <d v="1899-12-30T00:00:00"/>
    <x v="3"/>
    <s v=""/>
    <m/>
    <m/>
    <m/>
  </r>
  <r>
    <n v="369"/>
    <x v="1"/>
    <m/>
    <x v="2"/>
    <s v="https://www.youtube.com/watch?v=XCXsh2mfb3M"/>
    <s v="Kumbh Mela 3.7: What should Indian Govt &amp; Leaders do to Save The Kumbh Mela"/>
    <m/>
    <m/>
    <m/>
    <n v="193"/>
    <d v="1899-12-30T00:05:35"/>
    <s v="1 year ago"/>
    <m/>
    <m/>
    <d v="1899-12-30T00:00:00"/>
    <x v="3"/>
    <s v=""/>
    <m/>
    <m/>
    <m/>
  </r>
  <r>
    <n v="370"/>
    <x v="1"/>
    <m/>
    <x v="2"/>
    <s v="https://www.youtube.com/watch?v=sTYcLqa56Z4"/>
    <s v="Kumbh Mela 3.1: Rajiv responds to Viewers Questions about Akhadas"/>
    <m/>
    <m/>
    <m/>
    <n v="219"/>
    <d v="1899-12-30T00:03:04"/>
    <s v="1 year ago"/>
    <m/>
    <m/>
    <d v="1899-12-30T00:00:00"/>
    <x v="3"/>
    <s v=""/>
    <m/>
    <m/>
    <m/>
  </r>
  <r>
    <n v="371"/>
    <x v="1"/>
    <m/>
    <x v="2"/>
    <s v="https://www.youtube.com/watch?v=VxI-y4zU4YE"/>
    <s v="Kumbh Mela 3.6: What can the Youth do to Save Kumbh Mela"/>
    <m/>
    <m/>
    <m/>
    <n v="413"/>
    <d v="1899-12-30T00:03:29"/>
    <s v="1 year ago"/>
    <m/>
    <m/>
    <d v="1899-12-30T00:00:00"/>
    <x v="3"/>
    <s v=""/>
    <m/>
    <m/>
    <m/>
  </r>
  <r>
    <n v="372"/>
    <x v="1"/>
    <m/>
    <x v="2"/>
    <s v="https://www.youtube.com/watch?v=kKbQvD24QPY"/>
    <s v="Kumbh Mela 3.5: HRD Ministry should give a report on state of Indology"/>
    <m/>
    <m/>
    <m/>
    <n v="126"/>
    <d v="1899-12-30T00:02:20"/>
    <s v="1 year ago"/>
    <m/>
    <m/>
    <d v="1899-12-30T00:00:00"/>
    <x v="3"/>
    <s v=""/>
    <m/>
    <m/>
    <m/>
  </r>
  <r>
    <n v="373"/>
    <x v="1"/>
    <m/>
    <x v="2"/>
    <s v="https://www.youtube.com/watch?v=A6j1KcojG0E"/>
    <s v="Attack on Kumbh Mela 3.4: Rajiv Malhotra explains Ideological fight with Seculars"/>
    <m/>
    <m/>
    <m/>
    <n v="154"/>
    <d v="1899-12-30T00:04:51"/>
    <s v="1 year ago"/>
    <m/>
    <m/>
    <d v="1899-12-30T00:00:00"/>
    <x v="3"/>
    <s v=""/>
    <m/>
    <m/>
    <m/>
  </r>
  <r>
    <n v="374"/>
    <x v="1"/>
    <m/>
    <x v="2"/>
    <s v="https://www.youtube.com/watch?v=wzPkggokfLg"/>
    <s v="Kumbh Mela 3.3: Is Any Legal Action Possible to Restrict Entry to the Kumbh Mela"/>
    <m/>
    <m/>
    <m/>
    <n v="119"/>
    <d v="1899-12-30T00:03:21"/>
    <s v="1 year ago"/>
    <m/>
    <m/>
    <d v="1899-12-30T00:00:00"/>
    <x v="3"/>
    <s v=""/>
    <m/>
    <m/>
    <m/>
  </r>
  <r>
    <n v="375"/>
    <x v="1"/>
    <m/>
    <x v="2"/>
    <s v="https://www.youtube.com/watch?v=dJ9wpyiJSSI"/>
    <s v="Kumbh Mela 3.2: Rajiv Malhotra responds — Do We Need Bad Cops"/>
    <m/>
    <m/>
    <m/>
    <n v="241"/>
    <d v="1899-12-30T00:01:16"/>
    <s v="1 year ago"/>
    <m/>
    <m/>
    <d v="1899-12-30T00:00:00"/>
    <x v="3"/>
    <s v=""/>
    <m/>
    <m/>
    <m/>
  </r>
  <r>
    <n v="376"/>
    <x v="1"/>
    <m/>
    <x v="2"/>
    <s v="https://www.youtube.com/watch?v=0DBc4TKwgDc"/>
    <s v="MSNBC: Rajiv Malhotra discusses &quot;Who is Bobby Jindal, really&quot; Feb 2013"/>
    <m/>
    <m/>
    <m/>
    <n v="13000"/>
    <d v="1899-12-30T00:11:57"/>
    <s v="1 year ago"/>
    <m/>
    <m/>
    <d v="1899-12-30T00:00:00"/>
    <x v="3"/>
    <s v=""/>
    <m/>
    <m/>
    <m/>
  </r>
  <r>
    <n v="377"/>
    <x v="1"/>
    <m/>
    <x v="2"/>
    <s v="https://www.youtube.com/watch?v=AjEKOFHh4yM"/>
    <s v="Rajiv Malhotra on MSNBC: A Different Kind of Black-Brown Coalition"/>
    <m/>
    <m/>
    <m/>
    <n v="20000"/>
    <d v="1899-12-30T00:09:44"/>
    <s v="1 year ago"/>
    <m/>
    <m/>
    <d v="1899-12-30T00:00:00"/>
    <x v="3"/>
    <s v=""/>
    <m/>
    <m/>
    <m/>
  </r>
  <r>
    <n v="378"/>
    <x v="1"/>
    <m/>
    <x v="2"/>
    <s v="https://www.youtube.com/watch?v=FQmwAFcJSpw"/>
    <s v="From William Jones to Pollock, Discourse on India Continues to be Dictated by the West_MIT 9"/>
    <m/>
    <m/>
    <m/>
    <n v="844"/>
    <d v="1899-12-30T00:03:39"/>
    <s v="1 year ago"/>
    <m/>
    <m/>
    <d v="1899-12-30T00:00:00"/>
    <x v="3"/>
    <s v=""/>
    <m/>
    <m/>
    <m/>
  </r>
  <r>
    <n v="379"/>
    <x v="1"/>
    <m/>
    <x v="2"/>
    <s v="https://www.youtube.com/watch?v=Kg7UNGe9lik"/>
    <s v="Theory of 'Aesthetization of Power' used by Sheldon Pollock_MIT 10"/>
    <m/>
    <m/>
    <m/>
    <n v="904"/>
    <d v="1899-12-30T00:07:44"/>
    <s v="1 year ago"/>
    <m/>
    <m/>
    <d v="1899-12-30T00:00:00"/>
    <x v="3"/>
    <s v=""/>
    <m/>
    <m/>
    <m/>
  </r>
  <r>
    <n v="380"/>
    <x v="1"/>
    <m/>
    <x v="2"/>
    <s v="https://www.youtube.com/watch?v=_OTzuNIDOOA"/>
    <s v="Currently, GOI funded Religion Studies might not be in Dharma's Interest_MIT 11"/>
    <m/>
    <m/>
    <m/>
    <n v="384"/>
    <d v="1899-12-30T00:02:32"/>
    <s v="1 year ago"/>
    <m/>
    <m/>
    <d v="1899-12-30T00:00:00"/>
    <x v="3"/>
    <s v=""/>
    <m/>
    <m/>
    <m/>
  </r>
  <r>
    <n v="381"/>
    <x v="1"/>
    <m/>
    <x v="2"/>
    <s v="https://www.youtube.com/watch?v=VJZ4LARPMJU&amp;t=79s"/>
    <s v="How Germans Distorted Hindu Ideas Which Led to Nazism: Rajiv Malhotra #12"/>
    <m/>
    <m/>
    <m/>
    <n v="43000"/>
    <d v="1899-12-30T00:07:09"/>
    <s v="1 year ago"/>
    <m/>
    <m/>
    <d v="1899-12-30T00:00:00"/>
    <x v="3"/>
    <s v=""/>
    <m/>
    <m/>
    <m/>
  </r>
  <r>
    <n v="382"/>
    <x v="1"/>
    <m/>
    <x v="2"/>
    <s v="https://www.youtube.com/watch?v=V-N1KdB7QTg"/>
    <s v="Fb LIVE 5: Kutumba Sastry, President Intl Asso Sanskrit Studies — Interviewed by Rajiv Malhotra"/>
    <m/>
    <m/>
    <m/>
    <n v="1300"/>
    <d v="1899-12-30T00:16:50"/>
    <s v="1 year ago"/>
    <m/>
    <m/>
    <d v="1899-12-30T00:00:00"/>
    <x v="3"/>
    <s v=""/>
    <m/>
    <m/>
    <m/>
  </r>
  <r>
    <n v="383"/>
    <x v="1"/>
    <m/>
    <x v="2"/>
    <s v="https://www.youtube.com/watch?v=4fTC0cZiBus"/>
    <s v="Rajiv Malhotra talks about The Indus Saraswati Civilization"/>
    <m/>
    <m/>
    <m/>
    <n v="1100"/>
    <d v="1899-12-30T00:03:55"/>
    <s v="1 year ago"/>
    <m/>
    <m/>
    <d v="1899-12-30T00:00:00"/>
    <x v="3"/>
    <s v=""/>
    <m/>
    <m/>
    <m/>
  </r>
  <r>
    <n v="384"/>
    <x v="1"/>
    <m/>
    <x v="2"/>
    <s v="https://www.youtube.com/watch?v=G1vj3YNYQYg"/>
    <s v="Rajiv Malhotra MIT 7: The Sold Out Insiders"/>
    <m/>
    <m/>
    <m/>
    <n v="947"/>
    <d v="1899-12-30T00:02:55"/>
    <s v="1 year ago"/>
    <m/>
    <m/>
    <d v="1899-12-30T00:00:00"/>
    <x v="3"/>
    <s v=""/>
    <m/>
    <m/>
    <m/>
  </r>
  <r>
    <n v="385"/>
    <x v="1"/>
    <m/>
    <x v="2"/>
    <s v="https://www.youtube.com/watch?v=Ly_KKukp01g"/>
    <s v="Rajiv Malhotra: Control of our tradition has shifted into the hands of 'outsiders'."/>
    <m/>
    <m/>
    <m/>
    <n v="405"/>
    <d v="1899-12-30T00:04:57"/>
    <s v="1 year ago"/>
    <m/>
    <m/>
    <d v="1899-12-30T00:00:00"/>
    <x v="3"/>
    <s v=""/>
    <m/>
    <m/>
    <m/>
  </r>
  <r>
    <n v="386"/>
    <x v="1"/>
    <m/>
    <x v="2"/>
    <s v="https://www.youtube.com/watch?v=yB7P6V4_zUw"/>
    <s v="Rajiv Malhotra in conversation with Indian industrialists: 'Who represents Hinduism?'"/>
    <m/>
    <m/>
    <m/>
    <n v="365"/>
    <d v="1899-12-30T00:04:17"/>
    <s v="1 year ago"/>
    <m/>
    <m/>
    <d v="1899-12-30T00:00:00"/>
    <x v="3"/>
    <s v=""/>
    <m/>
    <m/>
    <m/>
  </r>
  <r>
    <n v="387"/>
    <x v="1"/>
    <m/>
    <x v="2"/>
    <s v="https://www.youtube.com/watch?v=xjoBDX3u1Ys"/>
    <s v="Rajiv Malhotra MIT 3: Multiple 'Outsider' views on Hindusim &amp; Birth of American Indology"/>
    <m/>
    <m/>
    <m/>
    <n v="728"/>
    <d v="1899-12-30T00:04:52"/>
    <s v="1 year ago"/>
    <m/>
    <m/>
    <d v="1899-12-30T00:00:00"/>
    <x v="3"/>
    <s v=""/>
    <m/>
    <m/>
    <m/>
  </r>
  <r>
    <n v="388"/>
    <x v="1"/>
    <m/>
    <x v="2"/>
    <s v="https://www.youtube.com/watch?v=hFK3wIxZt3g"/>
    <s v="How India Should Manage US Think Tanks, Universities, Seminaries"/>
    <m/>
    <m/>
    <m/>
    <n v="3700"/>
    <d v="1899-12-30T00:45:46"/>
    <s v="1 year ago"/>
    <m/>
    <m/>
    <d v="1899-12-30T00:00:00"/>
    <x v="3"/>
    <s v=""/>
    <m/>
    <m/>
    <m/>
  </r>
  <r>
    <n v="389"/>
    <x v="1"/>
    <m/>
    <x v="2"/>
    <s v="https://www.youtube.com/watch?v=gL_j5YKKN38"/>
    <s v="Rajiv Malhotra: Battling the Secularization of Indian Fine Arts"/>
    <m/>
    <m/>
    <m/>
    <n v="634"/>
    <d v="1899-12-30T00:03:13"/>
    <s v="1 year ago"/>
    <m/>
    <m/>
    <d v="1899-12-30T00:00:00"/>
    <x v="3"/>
    <s v=""/>
    <m/>
    <m/>
    <m/>
  </r>
  <r>
    <n v="390"/>
    <x v="1"/>
    <m/>
    <x v="2"/>
    <s v="https://www.youtube.com/watch?v=J2klGHwzFFo"/>
    <s v="MIT 6: White Liberal American Woman Profile according to Marketing Co’s"/>
    <m/>
    <m/>
    <m/>
    <n v="387"/>
    <d v="1899-12-30T00:02:37"/>
    <s v="1 year ago"/>
    <m/>
    <m/>
    <d v="1899-12-30T00:00:00"/>
    <x v="3"/>
    <s v=""/>
    <m/>
    <m/>
    <m/>
  </r>
  <r>
    <n v="391"/>
    <x v="1"/>
    <m/>
    <x v="2"/>
    <s v="https://www.youtube.com/watch?v=ebsBucPcYoU"/>
    <s v="Rajiv Malhotra MIT 1: The Need for Insider Perspective on Hinduism"/>
    <m/>
    <m/>
    <m/>
    <n v="319"/>
    <d v="1899-12-30T00:02:39"/>
    <s v="1 year ago"/>
    <m/>
    <m/>
    <d v="1899-12-30T00:00:00"/>
    <x v="3"/>
    <s v=""/>
    <m/>
    <m/>
    <m/>
  </r>
  <r>
    <n v="392"/>
    <x v="1"/>
    <m/>
    <x v="2"/>
    <s v="https://www.youtube.com/watch?v=orOA4dPxE98"/>
    <s v="No one has attempted a Purvapaksha of Sheldon Pollock_MIT 2"/>
    <m/>
    <m/>
    <m/>
    <n v="282"/>
    <d v="1899-12-30T00:01:35"/>
    <s v="1 year ago"/>
    <m/>
    <m/>
    <d v="1899-12-30T00:00:00"/>
    <x v="3"/>
    <s v=""/>
    <m/>
    <m/>
    <m/>
  </r>
  <r>
    <n v="393"/>
    <x v="1"/>
    <m/>
    <x v="2"/>
    <s v="https://www.youtube.com/watch?v=go47jpA5M1A"/>
    <s v="How Hindus Have Lost The Ownership of Hinduism Studies #4"/>
    <m/>
    <m/>
    <m/>
    <n v="1000"/>
    <d v="1899-12-30T00:08:21"/>
    <s v="1 year ago"/>
    <m/>
    <m/>
    <d v="1899-12-30T00:00:00"/>
    <x v="3"/>
    <s v=""/>
    <m/>
    <m/>
    <m/>
  </r>
  <r>
    <n v="394"/>
    <x v="1"/>
    <m/>
    <x v="2"/>
    <s v="https://www.youtube.com/watch?v=dlfE6JbvIYI"/>
    <s v="How China Hits Back at Western Critics: MIT #13"/>
    <m/>
    <m/>
    <m/>
    <n v="790"/>
    <d v="1899-12-30T00:04:03"/>
    <s v="1 year ago"/>
    <m/>
    <m/>
    <d v="1899-12-30T00:00:00"/>
    <x v="3"/>
    <s v=""/>
    <m/>
    <m/>
    <m/>
  </r>
  <r>
    <n v="395"/>
    <x v="1"/>
    <m/>
    <x v="2"/>
    <s v="https://www.youtube.com/watch?v=1VZl4rtt2aU"/>
    <s v="Ivy Leagues Control Indological Studies Research: Rajiv Malhotra"/>
    <m/>
    <m/>
    <m/>
    <n v="270"/>
    <d v="1899-12-30T00:01:07"/>
    <s v="1 year ago"/>
    <m/>
    <m/>
    <d v="1899-12-30T00:00:00"/>
    <x v="3"/>
    <s v=""/>
    <m/>
    <m/>
    <m/>
  </r>
  <r>
    <n v="396"/>
    <x v="1"/>
    <m/>
    <x v="2"/>
    <s v="https://www.youtube.com/watch?v=cUULt5zHp0k"/>
    <s v="Amazing Discoveries About Ancient India That Are Being Neglected: Rajiv Malhotra"/>
    <m/>
    <m/>
    <m/>
    <n v="9500"/>
    <d v="1899-12-30T00:20:29"/>
    <s v="1 year ago"/>
    <m/>
    <m/>
    <d v="1899-12-30T00:00:00"/>
    <x v="3"/>
    <s v=""/>
    <m/>
    <m/>
    <m/>
  </r>
  <r>
    <n v="397"/>
    <x v="1"/>
    <m/>
    <x v="2"/>
    <s v="https://www.youtube.com/watch?v=BNly0XIZX6c"/>
    <s v="Biases of American Academia who study Hinduism_MIT 5"/>
    <m/>
    <m/>
    <m/>
    <n v="276"/>
    <d v="1899-12-30T00:03:37"/>
    <s v="1 year ago"/>
    <m/>
    <m/>
    <d v="1899-12-30T00:00:00"/>
    <x v="3"/>
    <s v=""/>
    <m/>
    <m/>
    <m/>
  </r>
  <r>
    <n v="398"/>
    <x v="1"/>
    <m/>
    <x v="2"/>
    <s v="https://www.youtube.com/watch?v=C3knBzrgTTY"/>
    <s v="Rajiv Malhotra MIT 8: Four types of Hindus who cannot help the cause of Hinduism"/>
    <m/>
    <m/>
    <m/>
    <n v="574"/>
    <d v="1899-12-30T00:07:18"/>
    <s v="1 year ago"/>
    <m/>
    <m/>
    <d v="1899-12-30T00:00:00"/>
    <x v="3"/>
    <s v=""/>
    <m/>
    <m/>
    <m/>
  </r>
  <r>
    <n v="399"/>
    <x v="1"/>
    <m/>
    <x v="2"/>
    <s v="https://www.youtube.com/watch?v=w1UAQGgnz4A"/>
    <s v="Christianity Digested lot of Paganism #4"/>
    <m/>
    <m/>
    <m/>
    <n v="612"/>
    <d v="1899-12-30T00:02:13"/>
    <s v="1 year ago"/>
    <m/>
    <m/>
    <d v="1899-12-30T00:00:00"/>
    <x v="3"/>
    <s v=""/>
    <m/>
    <m/>
    <m/>
  </r>
  <r>
    <n v="400"/>
    <x v="1"/>
    <m/>
    <x v="2"/>
    <s v="https://www.youtube.com/watch?v=1-5q-Da6EHQ"/>
    <s v="Rajiv Malhotra: # 5 Original Sin of Adam Eve &amp; Why Virgin Birth is such a big deal"/>
    <m/>
    <m/>
    <m/>
    <n v="423"/>
    <d v="1899-12-30T00:01:41"/>
    <s v="1 year ago"/>
    <m/>
    <m/>
    <d v="1899-12-30T00:00:00"/>
    <x v="3"/>
    <s v=""/>
    <m/>
    <m/>
    <m/>
  </r>
  <r>
    <n v="401"/>
    <x v="1"/>
    <m/>
    <x v="2"/>
    <s v="https://www.youtube.com/watch?v=JcNaFHIozC4"/>
    <s v="#1 Difference is the Truth: Swami Dayanand Saraswati Launches Rajiv's Book 'Being Different'"/>
    <m/>
    <m/>
    <m/>
    <n v="567"/>
    <d v="1899-12-30T00:01:58"/>
    <s v="1 year ago"/>
    <m/>
    <m/>
    <d v="1899-12-30T00:00:00"/>
    <x v="3"/>
    <s v=""/>
    <m/>
    <m/>
    <m/>
  </r>
  <r>
    <n v="402"/>
    <x v="1"/>
    <m/>
    <x v="2"/>
    <s v="https://www.youtube.com/watch?v=3zpg3MGhmyI"/>
    <s v="Rajiv Malhotra: # 2 Western Universalism Has Colonized Others"/>
    <m/>
    <m/>
    <m/>
    <n v="231"/>
    <d v="1899-12-30T00:03:16"/>
    <s v="1 year ago"/>
    <m/>
    <m/>
    <d v="1899-12-30T00:00:00"/>
    <x v="3"/>
    <s v=""/>
    <m/>
    <m/>
    <m/>
  </r>
  <r>
    <n v="403"/>
    <x v="1"/>
    <m/>
    <x v="2"/>
    <s v="https://www.youtube.com/watch?v=QrVLpFoGRb4"/>
    <s v="Sanskrit Non-translatables, Being Different"/>
    <m/>
    <m/>
    <m/>
    <n v="415"/>
    <d v="1899-12-30T00:04:10"/>
    <s v="1 year ago"/>
    <m/>
    <m/>
    <d v="1899-12-30T00:00:00"/>
    <x v="3"/>
    <s v=""/>
    <m/>
    <m/>
    <m/>
  </r>
  <r>
    <n v="404"/>
    <x v="1"/>
    <m/>
    <x v="2"/>
    <s v="https://www.youtube.com/watch?v=yCrftsxElf8"/>
    <s v="Rajiv Malhotra: # 6 Ask any Christian Theologian What happens to The Nicene Creed"/>
    <m/>
    <m/>
    <m/>
    <n v="553"/>
    <d v="1899-12-30T00:03:10"/>
    <s v="1 year ago"/>
    <m/>
    <m/>
    <d v="1899-12-30T00:00:00"/>
    <x v="3"/>
    <s v=""/>
    <m/>
    <m/>
    <m/>
  </r>
  <r>
    <n v="405"/>
    <x v="1"/>
    <m/>
    <x v="2"/>
    <s v="https://www.youtube.com/watch?v=c0qRokhkADI"/>
    <s v="Rajiv Malhotra: Are Christianity &amp; Hinduism Same AND The Nature of Self in Both #7"/>
    <m/>
    <m/>
    <m/>
    <n v="353"/>
    <d v="1899-12-30T00:01:57"/>
    <s v="1 year ago"/>
    <m/>
    <m/>
    <d v="1899-12-30T00:00:00"/>
    <x v="3"/>
    <s v=""/>
    <m/>
    <m/>
    <m/>
  </r>
  <r>
    <n v="406"/>
    <x v="1"/>
    <m/>
    <x v="2"/>
    <s v="https://www.youtube.com/watch?v=AcHVZjv6cAs"/>
    <s v="Purva-paksha of the West (Reversing the Gaze) not done by India: Rajiv Malhotra #8"/>
    <m/>
    <m/>
    <m/>
    <n v="798"/>
    <d v="1899-12-30T00:02:38"/>
    <s v="1 year ago"/>
    <m/>
    <m/>
    <d v="1899-12-30T00:00:00"/>
    <x v="3"/>
    <s v=""/>
    <m/>
    <m/>
    <m/>
  </r>
  <r>
    <n v="407"/>
    <x v="1"/>
    <m/>
    <x v="2"/>
    <s v="https://www.youtube.com/watch?v=P1Eurn7tEJM"/>
    <s v="History-Centrism of Christianity Makes Them Prisoners of History: Rajiv Malhotra #9"/>
    <m/>
    <m/>
    <m/>
    <n v="632"/>
    <d v="1899-12-30T00:08:34"/>
    <s v="1 year ago"/>
    <m/>
    <m/>
    <d v="1899-12-30T00:00:00"/>
    <x v="3"/>
    <s v=""/>
    <m/>
    <m/>
    <m/>
  </r>
  <r>
    <n v="408"/>
    <x v="1"/>
    <m/>
    <x v="2"/>
    <s v="https://www.youtube.com/watch?v=GDQ-FTObhak"/>
    <s v="Integral Unity Vs Synthetic Unity #10"/>
    <m/>
    <m/>
    <m/>
    <n v="363"/>
    <d v="1899-12-30T00:02:06"/>
    <s v="1 year ago"/>
    <m/>
    <m/>
    <d v="1899-12-30T00:00:00"/>
    <x v="3"/>
    <s v=""/>
    <m/>
    <m/>
    <m/>
  </r>
  <r>
    <n v="409"/>
    <x v="1"/>
    <m/>
    <x v="2"/>
    <s v="https://www.youtube.com/watch?v=5P0vjP1Hdvs"/>
    <s v="Is Jesus Christian: Q&amp;A with Rajiv Malhotra #13"/>
    <m/>
    <m/>
    <m/>
    <n v="2400"/>
    <d v="1899-12-30T00:02:56"/>
    <s v="1 year ago"/>
    <m/>
    <m/>
    <d v="1899-12-30T00:00:00"/>
    <x v="3"/>
    <s v=""/>
    <m/>
    <m/>
    <m/>
  </r>
  <r>
    <n v="410"/>
    <x v="1"/>
    <m/>
    <x v="2"/>
    <s v="https://www.youtube.com/watch?v=OAcu0ZHtcXc"/>
    <s v="Buddhist's Nature of Reality is also Integral Unity #11"/>
    <m/>
    <m/>
    <m/>
    <n v="513"/>
    <d v="1899-12-30T00:01:06"/>
    <s v="1 year ago"/>
    <m/>
    <m/>
    <d v="1899-12-30T00:00:00"/>
    <x v="3"/>
    <s v=""/>
    <m/>
    <m/>
    <m/>
  </r>
  <r>
    <n v="411"/>
    <x v="1"/>
    <m/>
    <x v="2"/>
    <s v="https://www.youtube.com/watch?v=F4X3ljkLFP8"/>
    <s v="A Christian can be a True Advaitin Only if History-Centrism is Given up: Rajiv Malhotra #14"/>
    <m/>
    <m/>
    <m/>
    <n v="765"/>
    <d v="1899-12-30T00:03:46"/>
    <s v="1 year ago"/>
    <m/>
    <m/>
    <d v="1899-12-30T00:00:00"/>
    <x v="3"/>
    <s v=""/>
    <m/>
    <m/>
    <m/>
  </r>
  <r>
    <n v="412"/>
    <x v="1"/>
    <m/>
    <x v="2"/>
    <s v="https://www.youtube.com/watch?v=_VfaX30ncIU"/>
    <s v="Swami Dayanand Saraswati Commends Rajiv Malhotra's Books #15"/>
    <m/>
    <m/>
    <m/>
    <n v="477"/>
    <d v="1899-12-30T00:04:16"/>
    <s v="1 year ago"/>
    <m/>
    <m/>
    <d v="1899-12-30T00:00:00"/>
    <x v="3"/>
    <s v=""/>
    <m/>
    <m/>
    <m/>
  </r>
  <r>
    <n v="413"/>
    <x v="1"/>
    <m/>
    <x v="2"/>
    <s v="https://www.youtube.com/watch?v=JDOBTQ94-S4"/>
    <s v="Digested Cultures live in Museums #1"/>
    <m/>
    <m/>
    <m/>
    <n v="742"/>
    <d v="1899-12-30T00:03:47"/>
    <s v="1 year ago"/>
    <m/>
    <m/>
    <d v="1899-12-30T00:00:00"/>
    <x v="3"/>
    <s v=""/>
    <m/>
    <m/>
    <m/>
  </r>
  <r>
    <n v="414"/>
    <x v="1"/>
    <m/>
    <x v="2"/>
    <s v="https://www.youtube.com/watch?v=5tMCiwnQlXM"/>
    <s v="Approach to Define The Dharma Point of View: Rajiv Malhotra #5"/>
    <m/>
    <m/>
    <m/>
    <n v="540"/>
    <d v="1899-12-30T00:05:39"/>
    <s v="1 year ago"/>
    <m/>
    <m/>
    <d v="1899-12-30T00:00:00"/>
    <x v="3"/>
    <s v=""/>
    <m/>
    <m/>
    <m/>
  </r>
  <r>
    <n v="415"/>
    <x v="1"/>
    <m/>
    <x v="2"/>
    <s v="https://www.youtube.com/watch?v=61VsCIaQhX4"/>
    <s v="#2 Gurus Replacing Sanskrit Words with English Exposes the Tradition to Digestion"/>
    <m/>
    <m/>
    <m/>
    <n v="657"/>
    <d v="1899-12-30T00:01:35"/>
    <s v="1 year ago"/>
    <m/>
    <m/>
    <d v="1899-12-30T00:00:00"/>
    <x v="3"/>
    <s v=""/>
    <m/>
    <m/>
    <m/>
  </r>
  <r>
    <n v="416"/>
    <x v="1"/>
    <m/>
    <x v="2"/>
    <s v="https://www.youtube.com/watch?v=o4_iAmYXDzg"/>
    <s v="How much of India do the Westerners Assimilate Before Making a U Turn #3"/>
    <m/>
    <m/>
    <m/>
    <n v="535"/>
    <d v="1899-12-30T00:02:33"/>
    <s v="1 year ago"/>
    <m/>
    <m/>
    <d v="1899-12-30T00:00:00"/>
    <x v="3"/>
    <s v=""/>
    <m/>
    <m/>
    <m/>
  </r>
  <r>
    <n v="417"/>
    <x v="1"/>
    <m/>
    <x v="2"/>
    <s v="https://www.youtube.com/watch?v=bF-3L4O8Nq8"/>
    <s v="Our History is NOT a Myth —Q&amp;A Broadcast with Rajiv Malhotra"/>
    <m/>
    <m/>
    <m/>
    <n v="6400"/>
    <d v="1899-12-30T00:27:05"/>
    <s v="1 year ago"/>
    <m/>
    <m/>
    <d v="1899-12-30T00:00:00"/>
    <x v="3"/>
    <s v=""/>
    <m/>
    <m/>
    <m/>
  </r>
  <r>
    <n v="418"/>
    <x v="1"/>
    <m/>
    <x v="2"/>
    <s v="https://www.youtube.com/watch?v=5c75GXSIdlM"/>
    <s v="#6 There is an Indian Universalism and Being Different is part of it."/>
    <m/>
    <m/>
    <m/>
    <n v="257"/>
    <d v="1899-12-30T00:02:57"/>
    <s v="1 year ago"/>
    <m/>
    <m/>
    <d v="1899-12-30T00:00:00"/>
    <x v="3"/>
    <s v=""/>
    <m/>
    <m/>
    <m/>
  </r>
  <r>
    <n v="419"/>
    <x v="1"/>
    <m/>
    <x v="2"/>
    <s v="https://www.youtube.com/watch?v=KXamV4OZjYs"/>
    <s v="India is Often Mis-represented in USA by Our Colonized Mentality: Rajiv Malhotra #4"/>
    <m/>
    <m/>
    <m/>
    <n v="485"/>
    <d v="1899-12-30T00:02:15"/>
    <s v="1 year ago"/>
    <m/>
    <m/>
    <d v="1899-12-30T00:00:00"/>
    <x v="3"/>
    <s v=""/>
    <m/>
    <m/>
    <m/>
  </r>
  <r>
    <n v="420"/>
    <x v="1"/>
    <m/>
    <x v="2"/>
    <s v="https://www.youtube.com/watch?v=rbrxzObExNc"/>
    <s v="Ideas of Yoga clash with Christianity's Nicene Creed: Rajiv Malhotra"/>
    <m/>
    <m/>
    <m/>
    <n v="994"/>
    <d v="1899-12-30T00:00:31"/>
    <s v="1 year ago"/>
    <m/>
    <m/>
    <d v="1899-12-30T00:00:00"/>
    <x v="3"/>
    <s v=""/>
    <m/>
    <m/>
    <m/>
  </r>
  <r>
    <n v="421"/>
    <x v="1"/>
    <m/>
    <x v="2"/>
    <s v="https://www.youtube.com/watch?v=G6rcMSQ1UVE"/>
    <s v="Asking some very important questions about Sufism: Rajiv Malhotra #12"/>
    <m/>
    <m/>
    <m/>
    <n v="3300"/>
    <d v="1899-12-30T00:05:30"/>
    <s v="1 year ago"/>
    <m/>
    <m/>
    <d v="1899-12-30T00:00:00"/>
    <x v="3"/>
    <s v=""/>
    <m/>
    <m/>
    <m/>
  </r>
  <r>
    <n v="422"/>
    <x v="1"/>
    <m/>
    <x v="2"/>
    <s v="https://www.youtube.com/watch?v=mK5DuxKw-I8"/>
    <s v="Everything is Ultimately a Distinct Expression of Brahman (Ultimate Reality) #2"/>
    <m/>
    <m/>
    <m/>
    <n v="376"/>
    <d v="1899-12-30T00:02:20"/>
    <s v="1 year ago"/>
    <m/>
    <m/>
    <d v="1899-12-30T00:00:00"/>
    <x v="3"/>
    <s v=""/>
    <m/>
    <m/>
    <m/>
  </r>
  <r>
    <n v="423"/>
    <x v="1"/>
    <m/>
    <x v="2"/>
    <s v="https://www.youtube.com/watch?v=zV5AbsAy5m4"/>
    <s v="Rajiv Malhotra: Why Look for Legitimacy from The West #3"/>
    <m/>
    <m/>
    <m/>
    <n v="263"/>
    <d v="1899-12-30T00:00:39"/>
    <s v="1 year ago"/>
    <m/>
    <m/>
    <d v="1899-12-30T00:00:00"/>
    <x v="3"/>
    <s v=""/>
    <m/>
    <m/>
    <m/>
  </r>
  <r>
    <n v="424"/>
    <x v="1"/>
    <m/>
    <x v="2"/>
    <s v="https://www.youtube.com/watch?v=dzUx3zUv_yw"/>
    <s v="Rajiv Malhotra: India should invest a huge amount in preserving it's civilization #5"/>
    <m/>
    <m/>
    <m/>
    <n v="309"/>
    <d v="1899-12-30T00:02:37"/>
    <s v="1 year ago"/>
    <m/>
    <m/>
    <d v="1899-12-30T00:00:00"/>
    <x v="3"/>
    <s v=""/>
    <m/>
    <m/>
    <m/>
  </r>
  <r>
    <n v="425"/>
    <x v="1"/>
    <m/>
    <x v="2"/>
    <s v="https://www.youtube.com/watch?v=5iT09vIaZOU"/>
    <s v="Hindu Gurus are Muddled Up in Understanding Christianity: Rajiv Malhotra #1"/>
    <m/>
    <m/>
    <m/>
    <n v="899"/>
    <d v="1899-12-30T00:01:17"/>
    <s v="1 year ago"/>
    <m/>
    <m/>
    <d v="1899-12-30T00:00:00"/>
    <x v="3"/>
    <s v=""/>
    <m/>
    <m/>
    <m/>
  </r>
  <r>
    <n v="426"/>
    <x v="1"/>
    <m/>
    <x v="2"/>
    <s v="https://www.youtube.com/watch?v=inpmzGJn2LU"/>
    <s v="Hindu Gurus Lost an Opportunity to Convert Western Yoga Students into Hindus #2"/>
    <m/>
    <m/>
    <m/>
    <n v="1400"/>
    <d v="1899-12-30T00:02:30"/>
    <s v="1 year ago"/>
    <m/>
    <m/>
    <d v="1899-12-30T00:00:00"/>
    <x v="3"/>
    <s v=""/>
    <m/>
    <m/>
    <m/>
  </r>
  <r>
    <n v="427"/>
    <x v="1"/>
    <m/>
    <x v="2"/>
    <s v="https://www.youtube.com/watch?v=wXoImJcJYxQ"/>
    <s v="Rajiv Malhotra: How Yoga's Advanced Effects Depend on One's Worldview &amp; Lifestyle #3"/>
    <m/>
    <m/>
    <m/>
    <n v="328"/>
    <d v="1899-12-30T00:03:27"/>
    <s v="1 year ago"/>
    <m/>
    <m/>
    <d v="1899-12-30T00:00:00"/>
    <x v="3"/>
    <s v=""/>
    <m/>
    <m/>
    <m/>
  </r>
  <r>
    <n v="428"/>
    <x v="1"/>
    <m/>
    <x v="2"/>
    <s v="https://www.youtube.com/watch?v=aASsLwbe6kY"/>
    <s v="Is chanting Om a part of Yoga: Rajiv Malhotra"/>
    <m/>
    <m/>
    <m/>
    <n v="776"/>
    <d v="1899-12-30T00:01:53"/>
    <s v="1 year ago"/>
    <m/>
    <m/>
    <d v="1899-12-30T00:00:00"/>
    <x v="3"/>
    <s v=""/>
    <m/>
    <m/>
    <m/>
  </r>
  <r>
    <n v="429"/>
    <x v="1"/>
    <m/>
    <x v="2"/>
    <s v="https://www.youtube.com/watch?v=bFIqLn3c85c"/>
    <s v="Lets Create a &quot;Global Yoga Franchise&quot; with Lakhs of Teachers: Rajiv Malhotra #5"/>
    <m/>
    <m/>
    <m/>
    <n v="241"/>
    <d v="1899-12-30T00:01:52"/>
    <s v="1 year ago"/>
    <m/>
    <m/>
    <d v="1899-12-30T00:00:00"/>
    <x v="3"/>
    <s v=""/>
    <m/>
    <m/>
    <m/>
  </r>
  <r>
    <n v="430"/>
    <x v="1"/>
    <m/>
    <x v="2"/>
    <s v="https://www.youtube.com/watch?v=PWZrF-TGsWo"/>
    <s v="What Should be India's Strategy for Leveraging Yoga: Rajiv Malhotra #6"/>
    <m/>
    <m/>
    <m/>
    <n v="440"/>
    <d v="1899-12-30T00:06:19"/>
    <s v="1 year ago"/>
    <m/>
    <m/>
    <d v="1899-12-30T00:00:00"/>
    <x v="3"/>
    <s v=""/>
    <m/>
    <m/>
    <m/>
  </r>
  <r>
    <n v="431"/>
    <x v="1"/>
    <m/>
    <x v="2"/>
    <s v="https://www.youtube.com/watch?v=S2ePhtW_O5A"/>
    <s v="Rajiv Malhotra responds: What was the origin of Yoga #7"/>
    <m/>
    <m/>
    <m/>
    <n v="801"/>
    <d v="1899-12-30T00:04:55"/>
    <s v="1 year ago"/>
    <m/>
    <m/>
    <d v="1899-12-30T00:00:00"/>
    <x v="3"/>
    <s v=""/>
    <m/>
    <m/>
    <m/>
  </r>
  <r>
    <n v="432"/>
    <x v="1"/>
    <m/>
    <x v="2"/>
    <s v="https://www.youtube.com/watch?v=6aJLKt2nXsg"/>
    <s v="Rajiv Malhotra: Yoga is Much More Than Asanas Physical Aspect #8"/>
    <m/>
    <m/>
    <m/>
    <n v="271"/>
    <d v="1899-12-30T00:03:32"/>
    <s v="1 year ago"/>
    <m/>
    <m/>
    <d v="1899-12-30T00:00:00"/>
    <x v="3"/>
    <s v=""/>
    <m/>
    <m/>
    <m/>
  </r>
  <r>
    <n v="433"/>
    <x v="1"/>
    <m/>
    <x v="2"/>
    <s v="https://www.youtube.com/watch?v=tRgTeYpgv8c"/>
    <s v="Rajiv Malhotra: Yoga Practitioners Must Also Understand its Philosophy Properly #9"/>
    <m/>
    <m/>
    <m/>
    <n v="296"/>
    <d v="1899-12-30T00:03:07"/>
    <s v="1 year ago"/>
    <m/>
    <m/>
    <d v="1899-12-30T00:00:00"/>
    <x v="3"/>
    <s v=""/>
    <m/>
    <m/>
    <m/>
  </r>
  <r>
    <n v="434"/>
    <x v="1"/>
    <m/>
    <x v="2"/>
    <s v="https://www.youtube.com/watch?v=txsij6WXt8s"/>
    <s v="Mutual Respect Between Hinduism &amp; Christianity is a One Way Street: Rajiv Malhotra"/>
    <m/>
    <m/>
    <m/>
    <n v="696"/>
    <d v="1899-12-30T00:04:06"/>
    <s v="1 year ago"/>
    <m/>
    <m/>
    <d v="1899-12-30T00:00:00"/>
    <x v="3"/>
    <s v=""/>
    <m/>
    <m/>
    <m/>
  </r>
  <r>
    <n v="435"/>
    <x v="1"/>
    <m/>
    <x v="2"/>
    <s v="https://www.youtube.com/watch?v=AefxKKTqv5I"/>
    <s v="International Yoga Day, Philadelphia"/>
    <m/>
    <m/>
    <m/>
    <n v="2400"/>
    <d v="1899-12-30T00:19:10"/>
    <s v="1 year ago"/>
    <m/>
    <m/>
    <d v="1899-12-30T00:00:00"/>
    <x v="3"/>
    <s v=""/>
    <m/>
    <m/>
    <m/>
  </r>
  <r>
    <n v="436"/>
    <x v="1"/>
    <m/>
    <x v="2"/>
    <s v="https://www.youtube.com/watch?v=7gTT37SeSUc"/>
    <s v="Rajiv Malhotra: Inner Awakening program integrates advaita inside with action outside"/>
    <m/>
    <m/>
    <m/>
    <n v="928"/>
    <d v="1899-12-30T00:02:18"/>
    <s v="1 year ago"/>
    <m/>
    <m/>
    <d v="1899-12-30T00:00:00"/>
    <x v="3"/>
    <s v=""/>
    <m/>
    <m/>
    <m/>
  </r>
  <r>
    <n v="437"/>
    <x v="1"/>
    <m/>
    <x v="2"/>
    <s v="https://www.youtube.com/watch?v=o-395A-OrOQ"/>
    <s v="Dharma gets Digested into &quot;Products&quot; of Western Universalism: Rajiv Malhotra #2"/>
    <m/>
    <m/>
    <m/>
    <n v="261"/>
    <d v="1899-12-30T00:06:36"/>
    <s v="1 year ago"/>
    <m/>
    <m/>
    <d v="1899-12-30T00:00:00"/>
    <x v="3"/>
    <s v=""/>
    <m/>
    <m/>
    <m/>
  </r>
  <r>
    <n v="438"/>
    <x v="1"/>
    <m/>
    <x v="2"/>
    <s v="https://www.youtube.com/watch?v=qYA9DVNkOCA"/>
    <s v="Rajiv Malhotra: #1 Adhyatma-Vidya as inner science"/>
    <m/>
    <m/>
    <m/>
    <n v="309"/>
    <d v="1899-12-30T00:03:00"/>
    <s v="1 year ago"/>
    <m/>
    <m/>
    <d v="1899-12-30T00:00:00"/>
    <x v="3"/>
    <s v=""/>
    <m/>
    <m/>
    <m/>
  </r>
  <r>
    <n v="439"/>
    <x v="1"/>
    <m/>
    <x v="2"/>
    <s v="https://www.youtube.com/watch?v=-JT1qlD0wPQ"/>
    <s v="Non-digestible Tension Points Between Dharmic &amp; Western Universal traditions"/>
    <m/>
    <m/>
    <m/>
    <n v="184"/>
    <d v="1899-12-30T00:02:50"/>
    <s v="1 year ago"/>
    <m/>
    <m/>
    <d v="1899-12-30T00:00:00"/>
    <x v="3"/>
    <s v=""/>
    <m/>
    <m/>
    <m/>
  </r>
  <r>
    <n v="440"/>
    <x v="1"/>
    <m/>
    <x v="2"/>
    <s v="https://www.youtube.com/watch?v=kSNHRGhGt_Y"/>
    <s v="Rajiv Malhotra: UTurn Stages of Appropriation #6"/>
    <m/>
    <m/>
    <m/>
    <n v="380"/>
    <d v="1899-12-30T00:05:14"/>
    <s v="1 year ago"/>
    <m/>
    <m/>
    <d v="1899-12-30T00:00:00"/>
    <x v="3"/>
    <s v=""/>
    <m/>
    <m/>
    <m/>
  </r>
  <r>
    <n v="441"/>
    <x v="1"/>
    <m/>
    <x v="2"/>
    <s v="https://www.youtube.com/watch?v=adov37an6hU"/>
    <s v="Rajiv Malhotra: #5 Westernized Indians Discomfort about Own Heritage"/>
    <m/>
    <m/>
    <m/>
    <n v="398"/>
    <d v="1899-12-30T00:01:45"/>
    <s v="1 year ago"/>
    <m/>
    <m/>
    <d v="1899-12-30T00:00:00"/>
    <x v="3"/>
    <s v=""/>
    <m/>
    <m/>
    <m/>
  </r>
  <r>
    <n v="442"/>
    <x v="1"/>
    <m/>
    <x v="2"/>
    <s v="https://www.youtube.com/watch?v=glBt8I5y1b8"/>
    <s v="Rajiv Malhotra: #4 Destructive Effect of Digestion"/>
    <m/>
    <m/>
    <m/>
    <n v="667"/>
    <d v="1899-12-30T00:06:16"/>
    <s v="1 year ago"/>
    <m/>
    <m/>
    <d v="1899-12-30T00:00:00"/>
    <x v="3"/>
    <s v=""/>
    <m/>
    <m/>
    <m/>
  </r>
  <r>
    <n v="443"/>
    <x v="1"/>
    <m/>
    <x v="2"/>
    <s v="https://www.youtube.com/watch?v=a_HGSrmF_8w"/>
    <s v="Leftist Control of Mainstream Media is Biased: Rajiv Malhotra, BLR Lit Fest"/>
    <m/>
    <m/>
    <m/>
    <n v="1600"/>
    <d v="1899-12-30T00:07:36"/>
    <s v="1 year ago"/>
    <m/>
    <m/>
    <d v="1899-12-30T00:00:00"/>
    <x v="3"/>
    <s v=""/>
    <m/>
    <m/>
    <m/>
  </r>
  <r>
    <n v="444"/>
    <x v="1"/>
    <m/>
    <x v="2"/>
    <s v="https://www.youtube.com/watch?v=Kfqplhug-eA"/>
    <s v="Rajiv Malhotra Intl Day of Yoga, Philadelphia: #1 Defining Yoga &amp; Relation to Dharma"/>
    <m/>
    <m/>
    <m/>
    <n v="797"/>
    <d v="1899-12-30T00:02:07"/>
    <s v="1 year ago"/>
    <m/>
    <m/>
    <d v="1899-12-30T00:00:00"/>
    <x v="3"/>
    <s v=""/>
    <m/>
    <m/>
    <m/>
  </r>
  <r>
    <n v="445"/>
    <x v="1"/>
    <m/>
    <x v="2"/>
    <s v="https://www.youtube.com/watch?v=AgRVHML48XM"/>
    <s v="Rajiv Malhotra at Intl Day of Yoga, Philadelphia: #2 Should OM be removed from Yoga"/>
    <m/>
    <m/>
    <m/>
    <n v="327"/>
    <d v="1899-12-30T00:04:37"/>
    <s v="1 year ago"/>
    <m/>
    <m/>
    <d v="1899-12-30T00:00:00"/>
    <x v="3"/>
    <s v=""/>
    <m/>
    <m/>
    <m/>
  </r>
  <r>
    <n v="446"/>
    <x v="1"/>
    <m/>
    <x v="2"/>
    <s v="https://www.youtube.com/watch?v=2Hmcjz_IH8I"/>
    <s v="Rajiv Malhotra at Intl Day of Yoga, Philadelphia: #3 Scope of Yoga"/>
    <m/>
    <m/>
    <m/>
    <n v="173"/>
    <d v="1899-12-30T00:01:17"/>
    <s v="1 year ago"/>
    <m/>
    <m/>
    <d v="1899-12-30T00:00:00"/>
    <x v="3"/>
    <s v=""/>
    <m/>
    <m/>
    <m/>
  </r>
  <r>
    <n v="447"/>
    <x v="1"/>
    <m/>
    <x v="2"/>
    <s v="https://www.youtube.com/watch?v=xuKnWRKpLyM"/>
    <s v="Rajiv Malhotra at Intl Day of Yoga, Philadelphia: #4 Is Yoga a religion or science"/>
    <m/>
    <m/>
    <m/>
    <n v="297"/>
    <d v="1899-12-30T00:06:04"/>
    <s v="1 year ago"/>
    <m/>
    <m/>
    <d v="1899-12-30T00:00:00"/>
    <x v="3"/>
    <s v=""/>
    <m/>
    <m/>
    <m/>
  </r>
  <r>
    <n v="448"/>
    <x v="1"/>
    <m/>
    <x v="2"/>
    <s v="https://www.youtube.com/watch?v=2U1DVGO8vo4"/>
    <s v="Rajiv Malhotra at Intl Day of Yoga, Philadelphia: #6 Yoga Asana for Schools"/>
    <m/>
    <m/>
    <m/>
    <n v="182"/>
    <d v="1899-12-30T00:03:56"/>
    <s v="1 year ago"/>
    <m/>
    <m/>
    <d v="1899-12-30T00:00:00"/>
    <x v="3"/>
    <s v=""/>
    <m/>
    <m/>
    <m/>
  </r>
  <r>
    <n v="449"/>
    <x v="1"/>
    <m/>
    <x v="2"/>
    <s v="https://www.youtube.com/watch?v=xhcu0nbcfy0"/>
    <s v="Rajiv Malhotra: क्या हिन्दू धर्म और ईसाई रिलिजन समान हैं"/>
    <m/>
    <m/>
    <m/>
    <n v="1800"/>
    <d v="1899-12-30T00:14:31"/>
    <s v="1 year ago"/>
    <m/>
    <m/>
    <d v="1899-12-30T00:00:00"/>
    <x v="3"/>
    <s v=""/>
    <m/>
    <m/>
    <m/>
  </r>
  <r>
    <n v="450"/>
    <x v="1"/>
    <m/>
    <x v="2"/>
    <s v="https://www.youtube.com/watch?v=lJLoAHZxMWE"/>
    <s v="Rajiv Malhotra fb LIVE 10: Keynote address at first ever 'Swadeshi Indology' Conference"/>
    <m/>
    <m/>
    <m/>
    <n v="3600"/>
    <d v="1899-12-30T00:38:55"/>
    <s v="1 year ago"/>
    <m/>
    <m/>
    <d v="1899-12-30T00:00:00"/>
    <x v="3"/>
    <s v=""/>
    <m/>
    <m/>
    <m/>
  </r>
  <r>
    <n v="451"/>
    <x v="1"/>
    <m/>
    <x v="2"/>
    <s v="https://www.youtube.com/watch?v=dSKwv3KOvN8"/>
    <s v="Rajiv Malhotra at Intl Day of Yoga, Philadelphia: #7 Yoga philosophy is based on nature of Self"/>
    <m/>
    <m/>
    <m/>
    <n v="198"/>
    <d v="1899-12-30T00:03:24"/>
    <s v="1 year ago"/>
    <m/>
    <m/>
    <d v="1899-12-30T00:00:00"/>
    <x v="3"/>
    <s v=""/>
    <m/>
    <m/>
    <m/>
  </r>
  <r>
    <n v="452"/>
    <x v="1"/>
    <m/>
    <x v="2"/>
    <s v="https://www.youtube.com/watch?v=t5tjD9qq-98"/>
    <s v="Rajiv Malhotra at Intl Day of Yoga, Philadelphia: #8 Yoga solves many kinds of issues"/>
    <m/>
    <m/>
    <m/>
    <n v="193"/>
    <d v="1899-12-30T00:02:27"/>
    <s v="1 year ago"/>
    <m/>
    <m/>
    <d v="1899-12-30T00:00:00"/>
    <x v="3"/>
    <s v=""/>
    <m/>
    <m/>
    <m/>
  </r>
  <r>
    <n v="453"/>
    <x v="1"/>
    <m/>
    <x v="2"/>
    <s v="https://www.youtube.com/watch?v=LEotomBnsQk"/>
    <s v="Rajiv Malhotra: भारतीय स्वयं ज़िम्मेदारी लें, दूसरों पर न निर्भर हों"/>
    <m/>
    <m/>
    <m/>
    <n v="1000"/>
    <d v="1899-12-30T00:10:41"/>
    <s v="1 year ago"/>
    <m/>
    <m/>
    <d v="1899-12-30T00:00:00"/>
    <x v="3"/>
    <s v=""/>
    <m/>
    <m/>
    <m/>
  </r>
  <r>
    <n v="454"/>
    <x v="1"/>
    <m/>
    <x v="2"/>
    <s v="https://www.youtube.com/watch?v=tpUBWJjtzrA"/>
    <s v="Rajiv Malhotra: BARC 2_True and verifiable history of Indian science &amp; technology"/>
    <m/>
    <m/>
    <m/>
    <n v="530"/>
    <d v="1899-12-30T00:02:24"/>
    <s v="1 year ago"/>
    <m/>
    <m/>
    <d v="1899-12-30T00:00:00"/>
    <x v="3"/>
    <s v=""/>
    <m/>
    <m/>
    <m/>
  </r>
  <r>
    <n v="455"/>
    <x v="1"/>
    <m/>
    <x v="2"/>
    <s v="https://www.youtube.com/watch?v=Cuelsn9VyZQ"/>
    <s v="Quackery &amp; Chauvinism Can Spoil the Reputation of Scientific Work. #1"/>
    <m/>
    <m/>
    <m/>
    <n v="509"/>
    <d v="1899-12-30T00:01:59"/>
    <s v="1 year ago"/>
    <m/>
    <m/>
    <d v="1899-12-30T00:00:00"/>
    <x v="3"/>
    <s v=""/>
    <m/>
    <m/>
    <m/>
  </r>
  <r>
    <n v="456"/>
    <x v="1"/>
    <m/>
    <x v="2"/>
    <s v="https://www.youtube.com/watch?v=IQCY6tVgZ9s"/>
    <s v="Rajiv Malhotra: BARC 3_Yoga claims there is an inner science Adhyatma Vidya that is verifiable"/>
    <m/>
    <m/>
    <m/>
    <n v="352"/>
    <d v="1899-12-30T00:02:55"/>
    <s v="1 year ago"/>
    <m/>
    <m/>
    <d v="1899-12-30T00:00:00"/>
    <x v="3"/>
    <s v=""/>
    <m/>
    <m/>
    <m/>
  </r>
  <r>
    <n v="457"/>
    <x v="1"/>
    <m/>
    <x v="2"/>
    <s v="https://www.youtube.com/watch?v=xVrbpqr1LEE"/>
    <s v="Rajiv Malhotra at Intl Day of Yoga, Philadelphia: #5 योग का स्वामित्व किसके पास है"/>
    <m/>
    <m/>
    <m/>
    <n v="223"/>
    <d v="1899-12-30T00:05:36"/>
    <s v="1 year ago"/>
    <m/>
    <m/>
    <d v="1899-12-30T00:00:00"/>
    <x v="3"/>
    <s v=""/>
    <m/>
    <m/>
    <m/>
  </r>
  <r>
    <n v="458"/>
    <x v="1"/>
    <m/>
    <x v="2"/>
    <s v="https://www.youtube.com/watch?v=kZVT_WU4Pm4"/>
    <s v="Inaugural Address by Prof. V.N. Jha (First Swadeshi Indology Conference)"/>
    <m/>
    <m/>
    <m/>
    <n v="2500"/>
    <d v="1899-12-30T00:49:27"/>
    <s v="1 year ago"/>
    <m/>
    <m/>
    <d v="1899-12-30T00:00:00"/>
    <x v="3"/>
    <s v=""/>
    <m/>
    <m/>
    <m/>
  </r>
  <r>
    <n v="459"/>
    <x v="1"/>
    <m/>
    <x v="2"/>
    <s v="https://www.youtube.com/watch?v=5HrBZvxcPmY"/>
    <s v="Swadeshi Indology Conference - Closing Comments by Rajiv Malhotra"/>
    <m/>
    <m/>
    <m/>
    <n v="4400"/>
    <d v="1899-12-30T00:39:19"/>
    <s v="1 year ago"/>
    <m/>
    <m/>
    <d v="1899-12-30T00:00:00"/>
    <x v="3"/>
    <s v=""/>
    <m/>
    <m/>
    <m/>
  </r>
  <r>
    <n v="460"/>
    <x v="1"/>
    <m/>
    <x v="2"/>
    <s v="https://www.youtube.com/watch?v=KdiEMEbTV1M"/>
    <s v="Swadeshi Indology Conference: Prof Makarand Paranjape (JNU) on Ambedkarism and Islam"/>
    <m/>
    <m/>
    <m/>
    <n v="2700"/>
    <d v="1899-12-30T00:02:49"/>
    <s v="1 year ago"/>
    <m/>
    <m/>
    <d v="1899-12-30T00:00:00"/>
    <x v="3"/>
    <s v=""/>
    <m/>
    <m/>
    <m/>
  </r>
  <r>
    <n v="461"/>
    <x v="1"/>
    <m/>
    <x v="2"/>
    <s v="https://www.youtube.com/watch?v=9Zummy0j6Ws"/>
    <s v="Welcome Speech by Prof Kannan - First Swadeshi Indology Conference"/>
    <m/>
    <m/>
    <m/>
    <n v="2200"/>
    <d v="1899-12-30T00:16:19"/>
    <s v="1 year ago"/>
    <m/>
    <m/>
    <d v="1899-12-30T00:00:00"/>
    <x v="3"/>
    <s v=""/>
    <m/>
    <m/>
    <m/>
  </r>
  <r>
    <n v="462"/>
    <x v="1"/>
    <m/>
    <x v="2"/>
    <s v="https://www.youtube.com/watch?v=9VsQzAI5PLo"/>
    <s v="First Swadeshi Indology Conference: Inauguration and Felicitation"/>
    <m/>
    <m/>
    <m/>
    <n v="1000"/>
    <d v="1899-12-30T00:11:01"/>
    <s v="1 year ago"/>
    <m/>
    <m/>
    <d v="1899-12-30T00:00:00"/>
    <x v="3"/>
    <s v=""/>
    <m/>
    <m/>
    <m/>
  </r>
  <r>
    <n v="463"/>
    <x v="1"/>
    <m/>
    <x v="2"/>
    <s v="https://www.youtube.com/watch?v=ZwiLQGKP--A"/>
    <s v="Swadeshi Indology Conference - Vote of Thanks by Prof Jalihal"/>
    <m/>
    <m/>
    <m/>
    <n v="704"/>
    <d v="1899-12-30T00:06:49"/>
    <s v="1 year ago"/>
    <m/>
    <m/>
    <d v="1899-12-30T00:00:00"/>
    <x v="3"/>
    <s v=""/>
    <m/>
    <m/>
    <m/>
  </r>
  <r>
    <n v="464"/>
    <x v="1"/>
    <m/>
    <x v="2"/>
    <s v="https://www.youtube.com/watch?v=fmVDyQnLFe4"/>
    <s v="Rajiv: BARC 4_Adhyatma vidya is empirical inner science, different from external hard sciences"/>
    <m/>
    <m/>
    <m/>
    <n v="396"/>
    <d v="1899-12-30T00:03:45"/>
    <s v="1 year ago"/>
    <m/>
    <m/>
    <d v="1899-12-30T00:00:00"/>
    <x v="3"/>
    <s v=""/>
    <m/>
    <m/>
    <m/>
  </r>
  <r>
    <n v="465"/>
    <x v="1"/>
    <m/>
    <x v="2"/>
    <s v="https://www.youtube.com/watch?v=ohUG8LIy7Cs"/>
    <s v="Rajiv Malhotra: BARC 5_Indian tradition ensures no conflict between science &amp; religion"/>
    <m/>
    <m/>
    <m/>
    <n v="260"/>
    <d v="1899-12-30T00:02:13"/>
    <s v="1 year ago"/>
    <m/>
    <m/>
    <d v="1899-12-30T00:00:00"/>
    <x v="3"/>
    <s v=""/>
    <m/>
    <m/>
    <m/>
  </r>
  <r>
    <n v="466"/>
    <x v="1"/>
    <m/>
    <x v="2"/>
    <s v="https://www.youtube.com/watch?v=WfJvOgXp9SM"/>
    <s v="Rajiv Malhotra: BARC 6_ Colonizers left but the Indian mind is still colonized"/>
    <m/>
    <m/>
    <m/>
    <n v="366"/>
    <d v="1899-12-30T00:01:38"/>
    <s v="1 year ago"/>
    <m/>
    <m/>
    <d v="1899-12-30T00:00:00"/>
    <x v="3"/>
    <s v=""/>
    <m/>
    <m/>
    <m/>
  </r>
  <r>
    <n v="467"/>
    <x v="1"/>
    <m/>
    <x v="2"/>
    <s v="https://www.youtube.com/watch?v=_vKbwIOfXy0"/>
    <s v="Rajiv Malhotra: BARC 7_Indian ideas have been plagiarized &amp; appropriated by the West"/>
    <m/>
    <m/>
    <m/>
    <n v="461"/>
    <d v="1899-12-30T00:02:38"/>
    <s v="1 year ago"/>
    <m/>
    <m/>
    <d v="1899-12-30T00:00:00"/>
    <x v="3"/>
    <s v=""/>
    <m/>
    <m/>
    <m/>
  </r>
  <r>
    <n v="468"/>
    <x v="1"/>
    <m/>
    <x v="2"/>
    <s v="https://www.youtube.com/watch?v=NNu6sJz2cPI"/>
    <s v="Rajiv Malhotra: BARC 8_ Swami Vivekananda influenced Nikola Tesla"/>
    <m/>
    <m/>
    <m/>
    <n v="849"/>
    <d v="1899-12-30T00:01:22"/>
    <s v="1 year ago"/>
    <m/>
    <m/>
    <d v="1899-12-30T00:00:00"/>
    <x v="3"/>
    <s v=""/>
    <m/>
    <m/>
    <m/>
  </r>
  <r>
    <n v="469"/>
    <x v="1"/>
    <m/>
    <x v="2"/>
    <s v="https://www.youtube.com/watch?v=Deab_JE4fv4"/>
    <s v="Rajiv: BARC 9_ How Herb Benson and Stephen Laberge have appropriated ideas from Indian mind sciences"/>
    <m/>
    <m/>
    <m/>
    <n v="248"/>
    <d v="1899-12-30T00:02:10"/>
    <s v="1 year ago"/>
    <m/>
    <m/>
    <d v="1899-12-30T00:00:00"/>
    <x v="3"/>
    <s v=""/>
    <m/>
    <m/>
    <m/>
  </r>
  <r>
    <n v="470"/>
    <x v="1"/>
    <m/>
    <x v="2"/>
    <s v="https://www.youtube.com/watch?v=GiNhw1WJNXc"/>
    <s v="Rajiv Malhotra: BARC 10_Indian Philosophy is the only one compatible with Quantum Physics"/>
    <m/>
    <m/>
    <m/>
    <n v="671"/>
    <d v="1899-12-30T00:01:53"/>
    <s v="1 year ago"/>
    <m/>
    <m/>
    <d v="1899-12-30T00:00:00"/>
    <x v="3"/>
    <s v=""/>
    <m/>
    <m/>
    <m/>
  </r>
  <r>
    <n v="471"/>
    <x v="1"/>
    <m/>
    <x v="2"/>
    <s v="https://www.youtube.com/watch?v=NRep5rGd_FU"/>
    <s v="Rajiv Malhotra: BARC 12_Why difference and diversity should be preserved"/>
    <m/>
    <m/>
    <m/>
    <n v="335"/>
    <d v="1899-12-30T00:01:01"/>
    <s v="1 year ago"/>
    <m/>
    <m/>
    <d v="1899-12-30T00:00:00"/>
    <x v="3"/>
    <s v=""/>
    <m/>
    <m/>
    <m/>
  </r>
  <r>
    <n v="472"/>
    <x v="1"/>
    <m/>
    <x v="2"/>
    <s v="https://www.youtube.com/watch?v=gF2CbaL7t6g"/>
    <s v="Rajiv Malhotra: Harvard Video Proves Their Infiltration of Kumbh Mela (with Hindi Subtitles)"/>
    <m/>
    <m/>
    <m/>
    <n v="1000"/>
    <d v="1899-12-30T00:07:11"/>
    <s v="1 year ago"/>
    <m/>
    <m/>
    <d v="1899-12-30T00:00:00"/>
    <x v="3"/>
    <s v=""/>
    <m/>
    <m/>
    <m/>
  </r>
  <r>
    <n v="473"/>
    <x v="1"/>
    <m/>
    <x v="2"/>
    <s v="https://www.youtube.com/watch?v=GB9g4sKWR0M"/>
    <s v="Role of Organizations Like The Hindu American Foundation (HAF): Rajiv Malhotra #1"/>
    <m/>
    <m/>
    <m/>
    <n v="704"/>
    <d v="1899-12-30T00:12:08"/>
    <s v="1 year ago"/>
    <m/>
    <m/>
    <d v="1899-12-30T00:00:00"/>
    <x v="3"/>
    <s v=""/>
    <m/>
    <m/>
    <m/>
  </r>
  <r>
    <n v="474"/>
    <x v="1"/>
    <m/>
    <x v="2"/>
    <s v="https://www.youtube.com/watch?v=AB0KeX_0T2I"/>
    <s v="Rajiv Malhotra's Hard-hitting Response to False Charges of Plagiarism #2"/>
    <m/>
    <m/>
    <m/>
    <n v="1100"/>
    <d v="1899-12-30T00:15:59"/>
    <s v="1 year ago"/>
    <m/>
    <m/>
    <d v="1899-12-30T00:00:00"/>
    <x v="3"/>
    <s v=""/>
    <m/>
    <m/>
    <m/>
  </r>
  <r>
    <n v="475"/>
    <x v="1"/>
    <m/>
    <x v="2"/>
    <s v="https://www.youtube.com/watch?v=VDqAX3plBww"/>
    <s v="Rajiv Malhotra on Obama administration's effect on curtailing violence against Black people #3"/>
    <m/>
    <m/>
    <m/>
    <n v="179"/>
    <d v="1899-12-30T00:03:12"/>
    <s v="1 year ago"/>
    <m/>
    <m/>
    <d v="1899-12-30T00:00:00"/>
    <x v="3"/>
    <s v=""/>
    <m/>
    <m/>
    <m/>
  </r>
  <r>
    <n v="476"/>
    <x v="1"/>
    <m/>
    <x v="2"/>
    <s v="https://www.youtube.com/watch?v=Hqx5Pfe-4NI"/>
    <s v="Indian Social Sciences Scholars are the New Elites: Rajiv Malhotra #4"/>
    <m/>
    <m/>
    <m/>
    <n v="961"/>
    <d v="1899-12-30T00:08:06"/>
    <s v="1 year ago"/>
    <m/>
    <m/>
    <d v="1899-12-30T00:00:00"/>
    <x v="3"/>
    <s v=""/>
    <m/>
    <m/>
    <m/>
  </r>
  <r>
    <n v="477"/>
    <x v="1"/>
    <m/>
    <x v="2"/>
    <s v="https://www.youtube.com/watch?v=rAWCL2ENS90"/>
    <s v="Rajiv Malhotra: Importance of Knowledge Percolating to the Lower Strata #5"/>
    <m/>
    <m/>
    <m/>
    <n v="144"/>
    <d v="1899-12-30T00:02:38"/>
    <s v="1 year ago"/>
    <m/>
    <m/>
    <d v="1899-12-30T00:00:00"/>
    <x v="3"/>
    <s v=""/>
    <m/>
    <m/>
    <m/>
  </r>
  <r>
    <n v="478"/>
    <x v="1"/>
    <m/>
    <x v="2"/>
    <s v="https://www.youtube.com/watch?v=47hxgUfQ8jo"/>
    <s v="Ambedkar and The Origins of 'Left Wing' 'Right Wing' #6"/>
    <m/>
    <m/>
    <m/>
    <n v="2400"/>
    <d v="1899-12-30T00:03:50"/>
    <s v="1 year ago"/>
    <m/>
    <m/>
    <d v="1899-12-30T00:00:00"/>
    <x v="3"/>
    <s v=""/>
    <m/>
    <m/>
    <m/>
  </r>
  <r>
    <n v="479"/>
    <x v="1"/>
    <m/>
    <x v="2"/>
    <s v="https://www.youtube.com/watch?v=EMznloyYysU"/>
    <s v="Harvard Video Proves Their Infiltration of Kumbh Mela: Rajiv Malhotra"/>
    <m/>
    <m/>
    <m/>
    <n v="2800"/>
    <d v="1899-12-30T00:07:11"/>
    <s v="1 year ago"/>
    <m/>
    <m/>
    <d v="1899-12-30T00:00:00"/>
    <x v="3"/>
    <s v=""/>
    <m/>
    <m/>
    <m/>
  </r>
  <r>
    <n v="480"/>
    <x v="1"/>
    <m/>
    <x v="2"/>
    <s v="https://www.youtube.com/watch?v=Xsq9jAEpAY8"/>
    <s v="Supreme Court Lawyer Monika Arora Explains Lawsuit Against Wendy Doniger’s Book"/>
    <m/>
    <m/>
    <m/>
    <n v="14000"/>
    <d v="1899-12-30T00:12:18"/>
    <s v="1 year ago"/>
    <m/>
    <m/>
    <d v="1899-12-30T00:00:00"/>
    <x v="3"/>
    <s v=""/>
    <m/>
    <m/>
    <m/>
  </r>
  <r>
    <n v="481"/>
    <x v="1"/>
    <m/>
    <x v="2"/>
    <s v="https://www.youtube.com/watch?v=-HWLO-7d98U"/>
    <s v="Rajiv Malhotra on NewsX Channel: Hinduphobia, Breaking India forces &amp; Kashmir problem"/>
    <m/>
    <m/>
    <m/>
    <n v="3500"/>
    <d v="1899-12-30T00:10:47"/>
    <s v="1 year ago"/>
    <m/>
    <m/>
    <d v="1899-12-30T00:00:00"/>
    <x v="3"/>
    <s v=""/>
    <m/>
    <m/>
    <m/>
  </r>
  <r>
    <n v="482"/>
    <x v="1"/>
    <m/>
    <x v="2"/>
    <s v="https://www.youtube.com/watch?v=xAx9rKxKjCk"/>
    <s v="Rajiv Malhotra on Literarisation #7"/>
    <m/>
    <m/>
    <m/>
    <n v="118"/>
    <d v="1899-12-30T00:01:33"/>
    <s v="1 year ago"/>
    <m/>
    <m/>
    <d v="1899-12-30T00:00:00"/>
    <x v="3"/>
    <s v=""/>
    <m/>
    <m/>
    <m/>
  </r>
  <r>
    <n v="483"/>
    <x v="1"/>
    <m/>
    <x v="2"/>
    <s v="https://www.youtube.com/watch?v=pIn71L7Kv9Q"/>
    <s v="Rajiv Malhotra: The Invisible Fence Syndrome #9"/>
    <m/>
    <m/>
    <m/>
    <n v="317"/>
    <d v="1899-12-30T00:02:21"/>
    <s v="1 year ago"/>
    <m/>
    <m/>
    <d v="1899-12-30T00:00:00"/>
    <x v="3"/>
    <s v=""/>
    <m/>
    <m/>
    <m/>
  </r>
  <r>
    <n v="484"/>
    <x v="1"/>
    <m/>
    <x v="2"/>
    <s v="https://www.youtube.com/watch?v=9oRLNbl-DxI"/>
    <s v="Why the Hindu Community has Failed to Confront Hinduphobia #1"/>
    <m/>
    <m/>
    <m/>
    <n v="3200"/>
    <d v="1899-12-30T00:06:18"/>
    <s v="1 year ago"/>
    <m/>
    <m/>
    <d v="1899-12-30T00:00:00"/>
    <x v="3"/>
    <s v=""/>
    <m/>
    <m/>
    <m/>
  </r>
  <r>
    <n v="485"/>
    <x v="1"/>
    <m/>
    <x v="2"/>
    <s v="https://www.youtube.com/watch?v=ZhuUYD3QvB8"/>
    <s v="Rajiv Malhotra: The Need For Hindu Viewpoint in Mainstream Media #2"/>
    <m/>
    <m/>
    <m/>
    <n v="219"/>
    <d v="1899-12-30T00:03:04"/>
    <s v="1 year ago"/>
    <m/>
    <m/>
    <d v="1899-12-30T00:00:00"/>
    <x v="3"/>
    <s v=""/>
    <m/>
    <m/>
    <m/>
  </r>
  <r>
    <n v="486"/>
    <x v="1"/>
    <m/>
    <x v="2"/>
    <s v="https://www.youtube.com/watch?v=G2ke7Higm-Y"/>
    <s v="Rajiv Malhotra's Encounter with a Hinduphobic Professor from Univ of Chicago #3"/>
    <m/>
    <m/>
    <m/>
    <n v="22000"/>
    <d v="1899-12-30T00:10:26"/>
    <s v="1 year ago"/>
    <m/>
    <m/>
    <d v="1899-12-30T00:00:00"/>
    <x v="3"/>
    <s v=""/>
    <m/>
    <m/>
    <m/>
  </r>
  <r>
    <n v="487"/>
    <x v="1"/>
    <m/>
    <x v="2"/>
    <s v="https://www.youtube.com/watch?v=FTdLV7hcCvI"/>
    <s v="Removing Caste Discrimination in India: Rajiv Malhotra #4"/>
    <m/>
    <m/>
    <m/>
    <n v="743"/>
    <d v="1899-12-30T00:03:06"/>
    <s v="1 year ago"/>
    <m/>
    <m/>
    <d v="1899-12-30T00:00:00"/>
    <x v="3"/>
    <s v=""/>
    <m/>
    <m/>
    <m/>
  </r>
  <r>
    <n v="488"/>
    <x v="1"/>
    <m/>
    <x v="2"/>
    <s v="https://www.youtube.com/watch?v=FQ3dpY5j5y8"/>
    <s v="Rajiv Malhotra: Why the Western Labels of 'Left' &amp; 'Right' Do Not Apply to Hinduism #5"/>
    <m/>
    <m/>
    <m/>
    <n v="408"/>
    <d v="1899-12-30T00:01:59"/>
    <s v="1 year ago"/>
    <m/>
    <m/>
    <d v="1899-12-30T00:00:00"/>
    <x v="3"/>
    <s v=""/>
    <m/>
    <m/>
    <m/>
  </r>
  <r>
    <n v="489"/>
    <x v="1"/>
    <m/>
    <x v="2"/>
    <s v="https://www.youtube.com/watch?v=iGqKIfGTc-s"/>
    <s v="Rajiv Malhotra's Responds to Disruption by Hinduphobic Mob &amp; Condemns All Forms of Xenophobia #6"/>
    <m/>
    <m/>
    <m/>
    <n v="1800"/>
    <d v="1899-12-30T00:04:39"/>
    <s v="1 year ago"/>
    <m/>
    <m/>
    <d v="1899-12-30T00:00:00"/>
    <x v="3"/>
    <s v=""/>
    <m/>
    <m/>
    <m/>
  </r>
  <r>
    <n v="490"/>
    <x v="1"/>
    <m/>
    <x v="2"/>
    <s v="https://www.youtube.com/watch?v=ejkbEib1Otk"/>
    <s v="Americanization of The Indian Elite: Rajiv Malhotra #8"/>
    <m/>
    <m/>
    <m/>
    <n v="577"/>
    <d v="1899-12-30T00:02:56"/>
    <s v="1 year ago"/>
    <m/>
    <m/>
    <d v="1899-12-30T00:00:00"/>
    <x v="3"/>
    <s v=""/>
    <m/>
    <m/>
    <m/>
  </r>
  <r>
    <n v="491"/>
    <x v="1"/>
    <m/>
    <x v="2"/>
    <s v="https://www.youtube.com/watch?v=4PxIlOKBbng"/>
    <s v="Rajiv Malhotra: Impact of Aryan-Dravidian Theory in South India #1"/>
    <m/>
    <m/>
    <m/>
    <n v="1100"/>
    <d v="1899-12-30T00:04:07"/>
    <s v="1 year ago"/>
    <m/>
    <m/>
    <d v="1899-12-30T00:00:00"/>
    <x v="3"/>
    <s v=""/>
    <m/>
    <m/>
    <m/>
  </r>
  <r>
    <n v="492"/>
    <x v="1"/>
    <m/>
    <x v="2"/>
    <s v="https://www.youtube.com/watch?v=9fu_xDvkBMk"/>
    <s v="Rajiv Malhotra: The Promise &amp; the Concerns Around Computational Linguistics #2"/>
    <m/>
    <m/>
    <m/>
    <n v="225"/>
    <d v="1899-12-30T00:02:21"/>
    <s v="1 year ago"/>
    <m/>
    <m/>
    <d v="1899-12-30T00:00:00"/>
    <x v="3"/>
    <s v=""/>
    <m/>
    <m/>
    <m/>
  </r>
  <r>
    <n v="493"/>
    <x v="1"/>
    <m/>
    <x v="2"/>
    <s v="https://www.youtube.com/watch?v=s_eR4_6kip8"/>
    <s v="An Analyst of the 'Industry of Indology&quot;, Rajiv Malhotra #3"/>
    <m/>
    <m/>
    <m/>
    <n v="208"/>
    <d v="1899-12-30T00:04:06"/>
    <s v="1 year ago"/>
    <m/>
    <m/>
    <d v="1899-12-30T00:00:00"/>
    <x v="3"/>
    <s v=""/>
    <m/>
    <m/>
    <m/>
  </r>
  <r>
    <n v="494"/>
    <x v="1"/>
    <m/>
    <x v="2"/>
    <s v="https://www.youtube.com/watch?v=C-AklzjB96w"/>
    <s v="Rajiv Malhotra: Who Defines Sacred and How to Experience It #4"/>
    <m/>
    <m/>
    <m/>
    <n v="422"/>
    <d v="1899-12-30T00:03:52"/>
    <s v="1 year ago"/>
    <m/>
    <m/>
    <d v="1899-12-30T00:00:00"/>
    <x v="3"/>
    <s v=""/>
    <m/>
    <m/>
    <m/>
  </r>
  <r>
    <n v="495"/>
    <x v="1"/>
    <m/>
    <x v="2"/>
    <s v="https://www.youtube.com/watch?v=CLCX0mlWjw0"/>
    <s v="How the Britishers Created Caste-based Fault Lines in India #5"/>
    <m/>
    <m/>
    <m/>
    <n v="6600"/>
    <d v="1899-12-30T00:07:56"/>
    <s v="1 year ago"/>
    <m/>
    <m/>
    <d v="1899-12-30T00:00:00"/>
    <x v="3"/>
    <s v=""/>
    <m/>
    <m/>
    <m/>
  </r>
  <r>
    <n v="496"/>
    <x v="1"/>
    <m/>
    <x v="2"/>
    <s v="https://www.youtube.com/watch?v=5XqO9FCH3Xk"/>
    <s v="Rajiv Malhotra: The Book 'Battle for Sanskrit' &amp; what happened to the Sringeri Mutt Project #6"/>
    <m/>
    <m/>
    <m/>
    <n v="1000"/>
    <d v="1899-12-30T00:05:49"/>
    <s v="1 year ago"/>
    <m/>
    <m/>
    <d v="1899-12-30T00:00:00"/>
    <x v="3"/>
    <s v=""/>
    <m/>
    <m/>
    <m/>
  </r>
  <r>
    <n v="497"/>
    <x v="1"/>
    <m/>
    <x v="2"/>
    <s v="https://www.youtube.com/watch?v=4xWwhXcAjhU"/>
    <s v="Analysis of Pollock's &quot;Death of Sanskrit&quot; thesis - 2 paper presentations"/>
    <m/>
    <m/>
    <m/>
    <n v="2100"/>
    <d v="1899-12-30T01:03:17"/>
    <s v="1 year ago"/>
    <m/>
    <m/>
    <d v="1899-12-30T00:00:00"/>
    <x v="3"/>
    <s v=""/>
    <m/>
    <m/>
    <m/>
  </r>
  <r>
    <n v="498"/>
    <x v="1"/>
    <m/>
    <x v="2"/>
    <s v="https://www.youtube.com/watch?v=KStzrk3h76o"/>
    <s v="Rajiv Malhotra's comments and Q&amp;A on &quot;Death of Sanskrit&quot; Thesis"/>
    <m/>
    <m/>
    <m/>
    <n v="1900"/>
    <d v="1899-12-30T00:36:04"/>
    <s v="1 year ago"/>
    <m/>
    <m/>
    <d v="1899-12-30T00:00:00"/>
    <x v="3"/>
    <s v=""/>
    <m/>
    <m/>
    <m/>
  </r>
  <r>
    <n v="499"/>
    <x v="1"/>
    <m/>
    <x v="2"/>
    <s v="https://www.youtube.com/watch?v=udY03G3fVJQ"/>
    <s v="Rajiv Malhotra: I will do the Purvapaksha &amp; Traditional Scholars Should do Uttarpaksa #7"/>
    <m/>
    <m/>
    <m/>
    <n v="234"/>
    <d v="1899-12-30T00:02:00"/>
    <s v="1 year ago"/>
    <m/>
    <m/>
    <d v="1899-12-30T00:00:00"/>
    <x v="3"/>
    <s v=""/>
    <m/>
    <m/>
    <m/>
  </r>
  <r>
    <n v="500"/>
    <x v="1"/>
    <m/>
    <x v="2"/>
    <s v="https://www.youtube.com/watch?v=1UT4aCq24wA"/>
    <s v="Rajiv Malhotra: Lack of Rigor in Indian Academia &amp; the Removal of Sacred from Sanskrit #9"/>
    <m/>
    <m/>
    <m/>
    <n v="205"/>
    <d v="1899-12-30T00:03:09"/>
    <s v="1 year ago"/>
    <m/>
    <m/>
    <d v="1899-12-30T00:00:00"/>
    <x v="3"/>
    <s v=""/>
    <m/>
    <m/>
    <m/>
  </r>
  <r>
    <n v="501"/>
    <x v="1"/>
    <m/>
    <x v="2"/>
    <s v="https://www.youtube.com/watch?v=JkMKDP2BOlw&amp;t=169s"/>
    <s v="Pollock’s Position on Sastras - Surya K"/>
    <m/>
    <m/>
    <m/>
    <n v="3000"/>
    <d v="1899-12-30T00:34:30"/>
    <s v="1 year ago"/>
    <m/>
    <m/>
    <d v="1899-12-30T00:00:00"/>
    <x v="3"/>
    <s v=""/>
    <m/>
    <m/>
    <m/>
  </r>
  <r>
    <n v="502"/>
    <x v="1"/>
    <m/>
    <x v="2"/>
    <s v="https://www.youtube.com/watch?v=a6bj2Qddmzk"/>
    <s v="Critique of Pollock's Position on The Science of Sastras - 2 Paper Presentations"/>
    <m/>
    <m/>
    <m/>
    <n v="2400"/>
    <d v="1899-12-30T00:54:21"/>
    <s v="1 year ago"/>
    <m/>
    <m/>
    <d v="1899-12-30T00:00:00"/>
    <x v="3"/>
    <s v=""/>
    <m/>
    <m/>
    <m/>
  </r>
  <r>
    <n v="503"/>
    <x v="1"/>
    <m/>
    <x v="2"/>
    <s v="https://www.youtube.com/watch?v=qEJJIhs02cI"/>
    <s v="Prof. Ramanujan's comments and Q&amp;A on the two papers on science of Sastra"/>
    <m/>
    <m/>
    <m/>
    <n v="2800"/>
    <d v="1899-12-30T00:26:35"/>
    <s v="1 year ago"/>
    <m/>
    <m/>
    <d v="1899-12-30T00:00:00"/>
    <x v="3"/>
    <s v=""/>
    <m/>
    <m/>
    <m/>
  </r>
  <r>
    <n v="504"/>
    <x v="1"/>
    <m/>
    <x v="2"/>
    <s v="https://www.youtube.com/watch?v=v2dy-2T9kRE"/>
    <s v="Misrepresentations in Pollock’s Sastra paper - 2 Paper Presentations"/>
    <m/>
    <m/>
    <m/>
    <n v="3500"/>
    <d v="1899-12-30T00:55:01"/>
    <s v="1 year ago"/>
    <m/>
    <m/>
    <d v="1899-12-30T00:00:00"/>
    <x v="3"/>
    <s v=""/>
    <m/>
    <m/>
    <m/>
  </r>
  <r>
    <n v="505"/>
    <x v="1"/>
    <m/>
    <x v="2"/>
    <s v="https://www.youtube.com/watch?v=REfOblHmn6Q"/>
    <s v="Comments on two papers on misrepresentations in Pollock’s Sastra paper: Prof. VN Jha"/>
    <m/>
    <m/>
    <m/>
    <n v="1000"/>
    <d v="1899-12-30T00:16:39"/>
    <s v="1 year ago"/>
    <m/>
    <m/>
    <d v="1899-12-30T00:00:00"/>
    <x v="3"/>
    <s v=""/>
    <m/>
    <m/>
    <m/>
  </r>
  <r>
    <n v="506"/>
    <x v="1"/>
    <m/>
    <x v="2"/>
    <s v="https://www.youtube.com/watch?v=8Fyp5gw_HGc&amp;t=19s"/>
    <s v="Rajiv Malhotra and others in discussion on Pollock's position on Sastras"/>
    <m/>
    <m/>
    <m/>
    <n v="4300"/>
    <d v="1899-12-30T00:35:03"/>
    <s v="1 year ago"/>
    <m/>
    <m/>
    <d v="1899-12-30T00:00:00"/>
    <x v="3"/>
    <s v=""/>
    <m/>
    <m/>
    <m/>
  </r>
  <r>
    <n v="507"/>
    <x v="1"/>
    <m/>
    <x v="2"/>
    <s v="https://www.youtube.com/watch?v=xl6nyKVDNCQ"/>
    <s v="Rajiv Malhotra fb LIVE 11: Strategy of Infinity Foundation India &amp; How it will Transform India"/>
    <m/>
    <m/>
    <m/>
    <n v="2600"/>
    <d v="1899-12-30T00:18:59"/>
    <s v="1 year ago"/>
    <m/>
    <m/>
    <d v="1899-12-30T00:00:00"/>
    <x v="3"/>
    <s v=""/>
    <m/>
    <m/>
    <m/>
  </r>
  <r>
    <n v="508"/>
    <x v="1"/>
    <m/>
    <x v="2"/>
    <s v="https://www.youtube.com/watch?v=ll-fhgVbj1I"/>
    <s v="Rajiv Malhotra: Importance of Sacredness in Indian Civilization #8"/>
    <m/>
    <m/>
    <m/>
    <n v="473"/>
    <d v="1899-12-30T00:09:24"/>
    <s v="1 year ago"/>
    <m/>
    <m/>
    <d v="1899-12-30T00:00:00"/>
    <x v="3"/>
    <s v=""/>
    <m/>
    <m/>
    <m/>
  </r>
  <r>
    <n v="509"/>
    <x v="1"/>
    <m/>
    <x v="2"/>
    <s v="https://www.youtube.com/watch?v=1uNyxmccf1U"/>
    <s v="Rajiv Malhotra's Unique Position to Critique Western Indology #1"/>
    <m/>
    <m/>
    <m/>
    <n v="974"/>
    <d v="1899-12-30T00:03:51"/>
    <s v="1 year ago"/>
    <m/>
    <m/>
    <d v="1899-12-30T00:00:00"/>
    <x v="3"/>
    <s v=""/>
    <m/>
    <m/>
    <m/>
  </r>
  <r>
    <n v="510"/>
    <x v="1"/>
    <m/>
    <x v="2"/>
    <s v="https://www.youtube.com/watch?v=NMCXHN1fW9k"/>
    <s v="Rajiv Malhotra: What is Our Response to Murty Classical Library 500 Volume Project #3"/>
    <m/>
    <m/>
    <m/>
    <n v="437"/>
    <d v="1899-12-30T00:01:54"/>
    <s v="1 year ago"/>
    <m/>
    <m/>
    <d v="1899-12-30T00:00:00"/>
    <x v="3"/>
    <s v=""/>
    <m/>
    <m/>
    <m/>
  </r>
  <r>
    <n v="511"/>
    <x v="1"/>
    <m/>
    <x v="2"/>
    <s v="https://www.youtube.com/watch?v=NeCQOUox8zc"/>
    <s v="Making Sanskrit Mainstream: Rajiv Malhotra's Vision #4"/>
    <m/>
    <m/>
    <m/>
    <n v="274"/>
    <d v="1899-12-30T00:02:04"/>
    <s v="1 year ago"/>
    <m/>
    <m/>
    <d v="1899-12-30T00:00:00"/>
    <x v="3"/>
    <s v=""/>
    <m/>
    <m/>
    <m/>
  </r>
  <r>
    <n v="512"/>
    <x v="1"/>
    <m/>
    <x v="2"/>
    <s v="https://www.youtube.com/watch?v=3vhgcNKVRgY"/>
    <s v="Rajiv Malhotra: How Devdutt Pattanaik is Facilitating Digestion by Turning Our Itihas into Myth #5"/>
    <m/>
    <m/>
    <m/>
    <n v="4200"/>
    <d v="1899-12-30T00:02:00"/>
    <s v="1 year ago"/>
    <m/>
    <m/>
    <d v="1899-12-30T00:00:00"/>
    <x v="3"/>
    <s v=""/>
    <m/>
    <m/>
    <m/>
  </r>
  <r>
    <n v="513"/>
    <x v="1"/>
    <m/>
    <x v="2"/>
    <s v="https://www.youtube.com/watch?v=gPdm-EF13GU"/>
    <s v="Prof Girish Nath Jha &amp; Rajiv Malhotra on the Decline of Sanskrit During Colonial Times #6"/>
    <m/>
    <m/>
    <m/>
    <n v="366"/>
    <d v="1899-12-30T00:03:09"/>
    <s v="1 year ago"/>
    <m/>
    <m/>
    <d v="1899-12-30T00:00:00"/>
    <x v="3"/>
    <s v=""/>
    <m/>
    <m/>
    <m/>
  </r>
  <r>
    <n v="514"/>
    <x v="1"/>
    <m/>
    <x v="2"/>
    <s v="https://www.youtube.com/watch?v=wYCmU0vaKvc"/>
    <s v="Loss of Purvapaksha Tradition Led to The Decline of Indian Civilization #7"/>
    <m/>
    <m/>
    <m/>
    <n v="277"/>
    <d v="1899-12-30T00:03:29"/>
    <s v="1 year ago"/>
    <m/>
    <m/>
    <d v="1899-12-30T00:00:00"/>
    <x v="3"/>
    <s v=""/>
    <m/>
    <m/>
    <m/>
  </r>
  <r>
    <n v="515"/>
    <x v="1"/>
    <m/>
    <x v="2"/>
    <s v="https://www.youtube.com/watch?v=wu_ONpNjikY"/>
    <s v="If Dravidianism can be debunked, AIT will become irrelevant by Rajiv Malhotra #8"/>
    <m/>
    <m/>
    <m/>
    <n v="667"/>
    <d v="1899-12-30T00:02:12"/>
    <s v="1 year ago"/>
    <m/>
    <m/>
    <d v="1899-12-30T00:00:00"/>
    <x v="3"/>
    <s v=""/>
    <m/>
    <m/>
    <m/>
  </r>
  <r>
    <n v="516"/>
    <x v="1"/>
    <m/>
    <x v="2"/>
    <s v="https://www.youtube.com/watch?v=6ufhk6JL8x8"/>
    <s v="BFS Book Cover, &quot;Sir William Jones &amp; The Pandits&quot; #2"/>
    <m/>
    <m/>
    <m/>
    <n v="434"/>
    <d v="1899-12-30T00:01:56"/>
    <s v="1 year ago"/>
    <m/>
    <m/>
    <d v="1899-12-30T00:00:00"/>
    <x v="3"/>
    <s v=""/>
    <m/>
    <m/>
    <m/>
  </r>
  <r>
    <n v="517"/>
    <x v="1"/>
    <m/>
    <x v="2"/>
    <s v="https://www.youtube.com/watch?v=S9RImbEoWYA"/>
    <s v="Rajiv Malhotra Argues for Continually Updating the Purvapaksha Tradition #9"/>
    <m/>
    <m/>
    <m/>
    <n v="556"/>
    <d v="1899-12-30T00:02:56"/>
    <s v="1 year ago"/>
    <m/>
    <m/>
    <d v="1899-12-30T00:00:00"/>
    <x v="3"/>
    <s v=""/>
    <m/>
    <m/>
    <m/>
  </r>
  <r>
    <n v="518"/>
    <x v="1"/>
    <m/>
    <x v="2"/>
    <s v="https://www.youtube.com/watch?v=D7yIybTWmmU"/>
    <s v="Prof Upender Rao: Evidence of Sanskrit Being Part of Popular Culture #11"/>
    <m/>
    <m/>
    <m/>
    <n v="449"/>
    <d v="1899-12-30T00:05:08"/>
    <s v="1 year ago"/>
    <m/>
    <m/>
    <d v="1899-12-30T00:00:00"/>
    <x v="3"/>
    <s v=""/>
    <m/>
    <m/>
    <m/>
  </r>
  <r>
    <n v="519"/>
    <x v="1"/>
    <m/>
    <x v="2"/>
    <s v="https://www.youtube.com/watch?v=EfHkupTL5wU"/>
    <s v="Prof Girish Jha Describes Research Applying Traditional Sanskrit Knowledge in Modern Science #12"/>
    <m/>
    <m/>
    <m/>
    <n v="813"/>
    <d v="1899-12-30T00:04:31"/>
    <s v="1 year ago"/>
    <m/>
    <m/>
    <d v="1899-12-30T00:00:00"/>
    <x v="3"/>
    <s v=""/>
    <m/>
    <m/>
    <m/>
  </r>
  <r>
    <n v="520"/>
    <x v="1"/>
    <m/>
    <x v="2"/>
    <s v="https://www.youtube.com/watch?v=4pkD8CkJiIQ"/>
    <s v="Negative Impact of Indian Billionaires Funding Western Universities #13"/>
    <m/>
    <m/>
    <m/>
    <n v="1400"/>
    <d v="1899-12-30T00:04:59"/>
    <s v="1 year ago"/>
    <m/>
    <m/>
    <d v="1899-12-30T00:00:00"/>
    <x v="3"/>
    <s v=""/>
    <m/>
    <m/>
    <m/>
  </r>
  <r>
    <n v="521"/>
    <x v="1"/>
    <m/>
    <x v="2"/>
    <s v="https://www.youtube.com/watch?v=uTyoGVNa7FA"/>
    <s v="'Sanskritizing English' By Introducing Non-translatable words #14"/>
    <m/>
    <m/>
    <m/>
    <n v="343"/>
    <d v="1899-12-30T00:01:02"/>
    <s v="1 year ago"/>
    <m/>
    <m/>
    <d v="1899-12-30T00:00:00"/>
    <x v="3"/>
    <s v=""/>
    <m/>
    <m/>
    <m/>
  </r>
  <r>
    <n v="522"/>
    <x v="1"/>
    <m/>
    <x v="2"/>
    <s v="https://www.youtube.com/watch?v=xkyySDtO5HU"/>
    <s v="Prof Koenraad Elst &amp; Prof Girish Jha on the alleged North &amp; South Language Divide in India #15"/>
    <m/>
    <m/>
    <m/>
    <n v="736"/>
    <d v="1899-12-30T00:03:29"/>
    <s v="1 year ago"/>
    <m/>
    <m/>
    <d v="1899-12-30T00:00:00"/>
    <x v="3"/>
    <s v=""/>
    <m/>
    <m/>
    <m/>
  </r>
  <r>
    <n v="523"/>
    <x v="1"/>
    <m/>
    <x v="2"/>
    <s v="https://www.youtube.com/watch?v=VkyOIj4SQu4"/>
    <s v="Rajiv Malhotra on the origin of Sanskrit and Vedas #10"/>
    <m/>
    <m/>
    <m/>
    <n v="2300"/>
    <d v="1899-12-30T00:03:29"/>
    <s v="1 year ago"/>
    <m/>
    <m/>
    <d v="1899-12-30T00:00:00"/>
    <x v="3"/>
    <s v=""/>
    <m/>
    <m/>
    <m/>
  </r>
  <r>
    <n v="524"/>
    <x v="1"/>
    <m/>
    <x v="2"/>
    <s v="https://www.youtube.com/watch?v=GCo89ggyUKw"/>
    <s v="Critiquing Pollock’s out of context reading of the Ramayana - 2 Paper Presentations"/>
    <m/>
    <m/>
    <m/>
    <n v="4800"/>
    <d v="1899-12-30T00:45:48"/>
    <s v="1 year ago"/>
    <m/>
    <m/>
    <d v="1899-12-30T00:00:00"/>
    <x v="3"/>
    <s v=""/>
    <m/>
    <m/>
    <m/>
  </r>
  <r>
    <n v="525"/>
    <x v="1"/>
    <m/>
    <x v="2"/>
    <s v="https://www.youtube.com/watch?v=vOOkxcKaZEo"/>
    <s v="Pollock’s out of context reading of the Ramayana - Comments and Q&amp;A on the papers"/>
    <m/>
    <m/>
    <m/>
    <n v="2000"/>
    <d v="1899-12-30T00:28:25"/>
    <s v="1 year ago"/>
    <m/>
    <m/>
    <d v="1899-12-30T00:00:00"/>
    <x v="3"/>
    <s v=""/>
    <m/>
    <m/>
    <m/>
  </r>
  <r>
    <n v="526"/>
    <x v="1"/>
    <m/>
    <x v="2"/>
    <s v="https://www.youtube.com/watch?v=aRzq_l_Rmcc"/>
    <s v="Comments on the two papers - Nityananda Misra"/>
    <m/>
    <m/>
    <m/>
    <n v="1900"/>
    <d v="1899-12-30T00:07:26"/>
    <s v="1 year ago"/>
    <m/>
    <m/>
    <d v="1899-12-30T00:00:00"/>
    <x v="3"/>
    <s v=""/>
    <m/>
    <m/>
    <m/>
  </r>
  <r>
    <n v="527"/>
    <x v="1"/>
    <m/>
    <x v="2"/>
    <s v="https://www.youtube.com/watch?v=iZ6Xk9YCaaY"/>
    <s v="A Purvapaksha of Deep Orientalism - Ashay Naik"/>
    <m/>
    <m/>
    <m/>
    <n v="1400"/>
    <d v="1899-12-30T00:24:35"/>
    <s v="1 year ago"/>
    <m/>
    <m/>
    <d v="1899-12-30T00:00:00"/>
    <x v="3"/>
    <s v=""/>
    <m/>
    <m/>
    <m/>
  </r>
  <r>
    <n v="528"/>
    <x v="1"/>
    <m/>
    <x v="2"/>
    <s v="https://www.youtube.com/watch?v=ozdJ_kTaZcc"/>
    <s v="History of Indology and Nazi ideology - Prof. K. Gopinath"/>
    <m/>
    <m/>
    <m/>
    <n v="1000"/>
    <d v="1899-12-30T00:22:59"/>
    <s v="1 year ago"/>
    <m/>
    <m/>
    <d v="1899-12-30T00:00:00"/>
    <x v="3"/>
    <s v=""/>
    <m/>
    <m/>
    <m/>
  </r>
  <r>
    <n v="529"/>
    <x v="1"/>
    <m/>
    <x v="2"/>
    <s v="https://www.youtube.com/watch?v=Q7TqlnXF3cA"/>
    <s v="Sheldon Pollock's Idea of a Nazi Indology - Dr. Koenraad Elst"/>
    <m/>
    <m/>
    <m/>
    <n v="4900"/>
    <d v="1899-12-30T00:25:58"/>
    <s v="1 year ago"/>
    <m/>
    <m/>
    <d v="1899-12-30T00:00:00"/>
    <x v="3"/>
    <s v=""/>
    <m/>
    <m/>
    <m/>
  </r>
  <r>
    <n v="530"/>
    <x v="1"/>
    <m/>
    <x v="2"/>
    <s v="https://www.youtube.com/watch?v=_nyKGkDh6WM"/>
    <s v="Theme- Sanskrit was Responsible for Holocaust- Comments and Q&amp;A"/>
    <m/>
    <m/>
    <m/>
    <n v="5200"/>
    <d v="1899-12-30T00:26:00"/>
    <s v="1 year ago"/>
    <m/>
    <m/>
    <d v="1899-12-30T00:00:00"/>
    <x v="3"/>
    <s v=""/>
    <m/>
    <m/>
    <m/>
  </r>
  <r>
    <n v="531"/>
    <x v="1"/>
    <m/>
    <x v="2"/>
    <s v="https://www.youtube.com/watch?v=log0y9fRklc"/>
    <s v="How to Interpret the US Presidential Elections 2016 in terms of the Myth of American Exceptionalism"/>
    <m/>
    <m/>
    <m/>
    <n v="9200"/>
    <d v="1899-12-30T00:26:10"/>
    <s v="1 year ago"/>
    <m/>
    <m/>
    <d v="1899-12-30T00:00:00"/>
    <x v="3"/>
    <s v=""/>
    <m/>
    <m/>
    <m/>
  </r>
  <r>
    <n v="532"/>
    <x v="1"/>
    <m/>
    <x v="2"/>
    <s v="https://www.youtube.com/watch?v=74BW9K7eGtY&amp;t=21s"/>
    <s v="The New MOHENJO DARO Movie, What is True &amp; False About Its Depictions of History"/>
    <m/>
    <m/>
    <m/>
    <n v="25000"/>
    <d v="1899-12-30T00:29:56"/>
    <s v="1 year ago"/>
    <m/>
    <m/>
    <d v="1899-12-30T00:00:00"/>
    <x v="3"/>
    <s v=""/>
    <m/>
    <m/>
    <m/>
  </r>
  <r>
    <n v="533"/>
    <x v="1"/>
    <m/>
    <x v="2"/>
    <s v="https://www.youtube.com/watch?v=gzOZ5Lo3n9Y"/>
    <s v="JNU Sociology Professors are Effectively Studying &quot;The White Man's Grandmother&quot; #10"/>
    <m/>
    <m/>
    <m/>
    <n v="7400"/>
    <d v="1899-12-30T00:03:19"/>
    <s v="1 year ago"/>
    <m/>
    <m/>
    <d v="1899-12-30T00:00:00"/>
    <x v="3"/>
    <s v=""/>
    <m/>
    <m/>
    <m/>
  </r>
  <r>
    <n v="534"/>
    <x v="1"/>
    <m/>
    <x v="2"/>
    <s v="https://www.youtube.com/watch?v=2yRygpW0RYY"/>
    <s v="On Pollockism- Purvapaksha on Pollock's Methodologies: Sati Shankar"/>
    <m/>
    <m/>
    <m/>
    <n v="716"/>
    <d v="1899-12-30T00:29:09"/>
    <s v="1 year ago"/>
    <m/>
    <m/>
    <d v="1899-12-30T00:00:00"/>
    <x v="3"/>
    <s v=""/>
    <m/>
    <m/>
    <m/>
  </r>
  <r>
    <n v="535"/>
    <x v="1"/>
    <m/>
    <x v="2"/>
    <s v="https://www.youtube.com/watch?v=Y3j3g76ggFE"/>
    <s v="On Pollockism paper_Comments and Q and A"/>
    <m/>
    <m/>
    <m/>
    <n v="629"/>
    <d v="1899-12-30T00:29:32"/>
    <s v="1 year ago"/>
    <m/>
    <m/>
    <d v="1899-12-30T00:00:00"/>
    <x v="3"/>
    <s v=""/>
    <m/>
    <m/>
    <m/>
  </r>
  <r>
    <n v="536"/>
    <x v="1"/>
    <m/>
    <x v="2"/>
    <s v="https://www.youtube.com/watch?v=bMOOUhzJreA"/>
    <s v="&quot;Sanskrit is dead and its okay&quot; - Naresh Cuntoor"/>
    <m/>
    <m/>
    <m/>
    <n v="858"/>
    <d v="1899-12-30T00:33:02"/>
    <s v="1 year ago"/>
    <m/>
    <m/>
    <d v="1899-12-30T00:00:00"/>
    <x v="3"/>
    <s v=""/>
    <m/>
    <m/>
    <m/>
  </r>
  <r>
    <n v="537"/>
    <x v="1"/>
    <m/>
    <x v="2"/>
    <s v="https://www.youtube.com/watch?v=WzACbsbv3Mc"/>
    <s v="Vedic Knowledge, Science &amp; Pollockian Indology - Prof. Ravi Gomatam"/>
    <m/>
    <m/>
    <m/>
    <n v="1000"/>
    <d v="1899-12-30T00:40:18"/>
    <s v="1 year ago"/>
    <m/>
    <m/>
    <d v="1899-12-30T00:00:00"/>
    <x v="3"/>
    <s v=""/>
    <m/>
    <m/>
    <m/>
  </r>
  <r>
    <n v="538"/>
    <x v="1"/>
    <m/>
    <x v="2"/>
    <s v="https://www.youtube.com/watch?v=0W0XxcsCH_0"/>
    <s v="Dr. Koenraad Elst's Comments on Indic Viewpoints to Refute Pollock's positions"/>
    <m/>
    <m/>
    <m/>
    <n v="2600"/>
    <d v="1899-12-30T00:21:37"/>
    <s v="1 year ago"/>
    <m/>
    <m/>
    <d v="1899-12-30T00:00:00"/>
    <x v="3"/>
    <s v=""/>
    <m/>
    <m/>
    <m/>
  </r>
  <r>
    <n v="539"/>
    <x v="1"/>
    <m/>
    <x v="2"/>
    <s v="https://www.youtube.com/watch?v=a30EnICYBUA"/>
    <s v="Panel Discussion on Murty Classical Library - Part 1"/>
    <m/>
    <m/>
    <m/>
    <n v="4600"/>
    <d v="1899-12-30T00:31:02"/>
    <s v="1 year ago"/>
    <m/>
    <m/>
    <d v="1899-12-30T00:00:00"/>
    <x v="3"/>
    <s v=""/>
    <m/>
    <m/>
    <m/>
  </r>
  <r>
    <n v="540"/>
    <x v="1"/>
    <m/>
    <x v="2"/>
    <s v="https://www.youtube.com/watch?v=Wr_CIMPuH3I"/>
    <s v="Panel Discussion on Murty Classical Library - Part 2"/>
    <m/>
    <m/>
    <m/>
    <n v="1900"/>
    <d v="1899-12-30T00:30:43"/>
    <s v="1 year ago"/>
    <m/>
    <m/>
    <d v="1899-12-30T00:00:00"/>
    <x v="3"/>
    <s v=""/>
    <m/>
    <m/>
    <m/>
  </r>
  <r>
    <n v="541"/>
    <x v="1"/>
    <m/>
    <x v="2"/>
    <s v="https://www.youtube.com/watch?v=w1panKQ58dU"/>
    <s v="New TV Serial on Aryan/Dravidian Conflict is Incorrect &amp; Politically Dangerous"/>
    <m/>
    <m/>
    <m/>
    <n v="5600"/>
    <d v="1899-12-30T00:12:10"/>
    <s v="1 year ago"/>
    <m/>
    <m/>
    <d v="1899-12-30T00:00:00"/>
    <x v="3"/>
    <s v=""/>
    <m/>
    <m/>
    <m/>
  </r>
  <r>
    <n v="542"/>
    <x v="1"/>
    <m/>
    <x v="2"/>
    <s v="https://www.youtube.com/watch?v=N20dY0-9Nio"/>
    <s v="Sense Philology - TM Narendran"/>
    <m/>
    <m/>
    <m/>
    <n v="984"/>
    <d v="1899-12-30T00:50:04"/>
    <s v="1 year ago"/>
    <m/>
    <m/>
    <d v="1899-12-30T00:00:00"/>
    <x v="3"/>
    <s v=""/>
    <m/>
    <m/>
    <m/>
  </r>
  <r>
    <n v="543"/>
    <x v="1"/>
    <m/>
    <x v="2"/>
    <s v="https://www.youtube.com/watch?v=mxQpJeckKaU"/>
    <s v="Orientalist &amp; Post Colonial Basis of Indology - Ravi Joshi"/>
    <m/>
    <m/>
    <m/>
    <n v="722"/>
    <d v="1899-12-30T00:22:33"/>
    <s v="1 year ago"/>
    <m/>
    <m/>
    <d v="1899-12-30T00:00:00"/>
    <x v="3"/>
    <s v=""/>
    <m/>
    <m/>
    <m/>
  </r>
  <r>
    <n v="544"/>
    <x v="1"/>
    <m/>
    <x v="2"/>
    <s v="https://www.youtube.com/watch?v=3dgPn1KOovw"/>
    <s v="Recent Political Attacks in Hawaii Against Hinduism —Christianity's Violent Conquest of Pagans #15"/>
    <m/>
    <m/>
    <m/>
    <n v="4900"/>
    <d v="1899-12-30T00:14:44"/>
    <s v="1 year ago"/>
    <m/>
    <m/>
    <d v="1899-12-30T00:00:00"/>
    <x v="3"/>
    <s v=""/>
    <m/>
    <m/>
    <m/>
  </r>
  <r>
    <n v="545"/>
    <x v="1"/>
    <m/>
    <x v="2"/>
    <s v="https://www.youtube.com/watch?v=Aivw6qVhabo"/>
    <s v="Contrast the Attitude of Abrahamic Religions &amp; Sanatan Dharma Towards Peace #3"/>
    <m/>
    <m/>
    <m/>
    <n v="1000"/>
    <d v="1899-12-30T00:06:06"/>
    <s v="1 year ago"/>
    <m/>
    <m/>
    <d v="1899-12-30T00:00:00"/>
    <x v="3"/>
    <s v=""/>
    <m/>
    <m/>
    <m/>
  </r>
  <r>
    <n v="546"/>
    <x v="1"/>
    <m/>
    <x v="2"/>
    <s v="https://www.youtube.com/watch?v=av1BWeMbl1Q"/>
    <s v="Rajiv Malhotra Discusses Strategy for Kumbh Mela with Head of Akhada Parishad"/>
    <m/>
    <m/>
    <m/>
    <n v="3500"/>
    <d v="1899-12-30T00:19:34"/>
    <s v="1 year ago"/>
    <m/>
    <m/>
    <d v="1899-12-30T00:00:00"/>
    <x v="3"/>
    <s v=""/>
    <m/>
    <m/>
    <m/>
  </r>
  <r>
    <n v="547"/>
    <x v="1"/>
    <m/>
    <x v="2"/>
    <s v="https://www.youtube.com/watch?v=dLQSHM_T-jI"/>
    <s v="Hindu Dharma Shastras Accused of Human Rights Violation Against Women &amp; Dalits #4"/>
    <m/>
    <m/>
    <m/>
    <n v="1900"/>
    <d v="1899-12-30T00:08:28"/>
    <s v="1 year ago"/>
    <m/>
    <m/>
    <d v="1899-12-30T00:00:00"/>
    <x v="3"/>
    <s v=""/>
    <m/>
    <m/>
    <m/>
  </r>
  <r>
    <n v="548"/>
    <x v="1"/>
    <m/>
    <x v="2"/>
    <s v="https://www.youtube.com/watch?v=joPLKP546hk"/>
    <s v="Are The Vedic Texts Not Powerful Enough To Convince Anybody Who Reads it: Rajiv Malhotra #6"/>
    <m/>
    <m/>
    <m/>
    <n v="1300"/>
    <d v="1899-12-30T00:05:41"/>
    <s v="1 year ago"/>
    <m/>
    <m/>
    <d v="1899-12-30T00:00:00"/>
    <x v="3"/>
    <s v=""/>
    <m/>
    <m/>
    <m/>
  </r>
  <r>
    <n v="549"/>
    <x v="1"/>
    <m/>
    <x v="2"/>
    <s v="https://www.youtube.com/watch?v=0ol6BUtHZu8"/>
    <s v="Do Our sacred Scriptures Praise War &amp; Violence: Rajiv Malhotra #8"/>
    <m/>
    <m/>
    <m/>
    <n v="1200"/>
    <d v="1899-12-30T00:02:16"/>
    <s v="1 year ago"/>
    <m/>
    <m/>
    <d v="1899-12-30T00:00:00"/>
    <x v="3"/>
    <s v=""/>
    <m/>
    <m/>
    <m/>
  </r>
  <r>
    <n v="550"/>
    <x v="1"/>
    <m/>
    <x v="2"/>
    <s v="https://www.youtube.com/watch?v=N1wkN3CKqHY"/>
    <s v="Rajiv Malhotra Interviews Yogi Amrit Desai - Part 1"/>
    <m/>
    <m/>
    <m/>
    <n v="4900"/>
    <d v="1899-12-30T00:20:16"/>
    <s v="1 year ago"/>
    <m/>
    <m/>
    <d v="1899-12-30T00:00:00"/>
    <x v="3"/>
    <s v=""/>
    <m/>
    <m/>
    <m/>
  </r>
  <r>
    <n v="551"/>
    <x v="1"/>
    <m/>
    <x v="2"/>
    <s v="https://www.youtube.com/watch?v=Zr29r9gnq6A"/>
    <s v="Rajiv Malhotra &amp; Dr Subramanian Swamy in a Vibrant LIVE Broadcast on Strategic Issues #16"/>
    <m/>
    <m/>
    <m/>
    <n v="62000"/>
    <d v="1899-12-30T00:57:05"/>
    <s v="11 months ago"/>
    <m/>
    <m/>
    <d v="1899-12-30T00:00:00"/>
    <x v="3"/>
    <s v=""/>
    <m/>
    <m/>
    <m/>
  </r>
  <r>
    <n v="552"/>
    <x v="1"/>
    <m/>
    <x v="2"/>
    <s v="https://www.youtube.com/watch?v=eVhJjqlSE8s"/>
    <s v="How to Counter Devdutt Pattanaik's Absurd Interpretations of Hinduism: Rajiv Malhotra #5"/>
    <m/>
    <m/>
    <m/>
    <n v="7000"/>
    <d v="1899-12-30T00:02:47"/>
    <s v="11 months ago"/>
    <m/>
    <m/>
    <d v="1899-12-30T00:00:00"/>
    <x v="3"/>
    <s v=""/>
    <m/>
    <m/>
    <m/>
  </r>
  <r>
    <n v="553"/>
    <x v="1"/>
    <m/>
    <x v="2"/>
    <s v="https://www.youtube.com/watch?v=R6bvpvI1_uY"/>
    <s v="Yogi Amrit Desai's Hatha Yoga is Integrated Into Ashtanga Yoga: Rajiv Part 2"/>
    <m/>
    <m/>
    <m/>
    <n v="1700"/>
    <d v="1899-12-30T00:27:08"/>
    <s v="11 months ago"/>
    <m/>
    <m/>
    <d v="1899-12-30T00:00:00"/>
    <x v="3"/>
    <s v=""/>
    <m/>
    <m/>
    <m/>
  </r>
  <r>
    <n v="554"/>
    <x v="1"/>
    <m/>
    <x v="2"/>
    <s v="https://www.youtube.com/watch?v=WtWOT6Hj2vM"/>
    <s v="Controversies on Yoga's Appropriation &amp; Mis-appropriation by Westerners: Yogi Amrit Desai Part 3"/>
    <m/>
    <m/>
    <m/>
    <n v="2600"/>
    <d v="1899-12-30T00:34:43"/>
    <s v="11 months ago"/>
    <m/>
    <m/>
    <d v="1899-12-30T00:00:00"/>
    <x v="3"/>
    <s v=""/>
    <m/>
    <m/>
    <m/>
  </r>
  <r>
    <n v="555"/>
    <x v="1"/>
    <m/>
    <x v="2"/>
    <s v="https://www.youtube.com/watch?v=3dYP3FhD3Po"/>
    <s v="How Yoga Helps Americans Solve Problems Like Addiction: Rajiv Interviews Yogi Amrit Desai Part 4"/>
    <m/>
    <m/>
    <m/>
    <n v="868"/>
    <d v="1899-12-30T00:16:27"/>
    <s v="11 months ago"/>
    <m/>
    <m/>
    <d v="1899-12-30T00:00:00"/>
    <x v="3"/>
    <s v=""/>
    <m/>
    <m/>
    <m/>
  </r>
  <r>
    <n v="556"/>
    <x v="1"/>
    <m/>
    <x v="2"/>
    <s v="https://www.youtube.com/watch?v=FgVpxhtCQdA"/>
    <s v="Rajiv Malhotra with Yogi Amrit Desai: FULL Interview"/>
    <m/>
    <m/>
    <m/>
    <n v="3700"/>
    <d v="1899-12-30T01:37:44"/>
    <s v="11 months ago"/>
    <m/>
    <m/>
    <d v="1899-12-30T00:00:00"/>
    <x v="3"/>
    <s v=""/>
    <m/>
    <m/>
    <m/>
  </r>
  <r>
    <n v="557"/>
    <x v="1"/>
    <m/>
    <x v="2"/>
    <s v="https://www.youtube.com/watch?v=07rLdtPRbEE"/>
    <s v="In Conversation with Swami Nithyananda: July 2016"/>
    <m/>
    <m/>
    <m/>
    <n v="6400"/>
    <d v="1899-12-30T01:00:02"/>
    <s v="11 months ago"/>
    <m/>
    <m/>
    <d v="1899-12-30T00:00:00"/>
    <x v="3"/>
    <s v=""/>
    <m/>
    <m/>
    <m/>
  </r>
  <r>
    <n v="558"/>
    <x v="1"/>
    <m/>
    <x v="2"/>
    <s v="https://www.youtube.com/watch?v=n0Ekb7yhf18"/>
    <s v="Can Living Guru be Replaced by Technology? Rajiv's Dialogue with Yogi Amrit Desai - Part 5"/>
    <m/>
    <m/>
    <m/>
    <n v="704"/>
    <d v="1899-12-30T00:07:15"/>
    <s v="11 months ago"/>
    <m/>
    <m/>
    <d v="1899-12-30T00:00:00"/>
    <x v="3"/>
    <s v=""/>
    <m/>
    <m/>
    <m/>
  </r>
  <r>
    <n v="559"/>
    <x v="1"/>
    <m/>
    <x v="2"/>
    <s v="https://www.youtube.com/watch?v=Pe53dUS_mHE"/>
    <s v="Society Must Be Detoxed By Force &amp; Intervention. Rajiv's Dialogue with Yogi Amrit Desai - Part 6"/>
    <m/>
    <m/>
    <m/>
    <n v="692"/>
    <d v="1899-12-30T00:09:16"/>
    <s v="11 months ago"/>
    <m/>
    <m/>
    <d v="1899-12-30T00:00:00"/>
    <x v="3"/>
    <s v=""/>
    <m/>
    <m/>
    <m/>
  </r>
  <r>
    <n v="560"/>
    <x v="1"/>
    <m/>
    <x v="2"/>
    <s v="https://www.youtube.com/watch?v=fZLoHeGF4XI"/>
    <s v="Q&amp;A Rajiv Malhotra at Chinmaya Mission, DC"/>
    <m/>
    <m/>
    <m/>
    <n v="3600"/>
    <d v="1899-12-30T01:03:22"/>
    <s v="11 months ago"/>
    <m/>
    <m/>
    <d v="1899-12-30T00:00:00"/>
    <x v="3"/>
    <s v=""/>
    <m/>
    <m/>
    <m/>
  </r>
  <r>
    <n v="561"/>
    <x v="1"/>
    <m/>
    <x v="2"/>
    <s v="https://www.youtube.com/watch?v=NaCx35vC5wg"/>
    <s v="JNU Plenary 2016: Assimilation of Tradition &amp; Modernity, Talk by Rajiv Malhotra"/>
    <m/>
    <m/>
    <m/>
    <n v="3000"/>
    <d v="1899-12-30T00:16:04"/>
    <s v="11 months ago"/>
    <m/>
    <m/>
    <d v="1899-12-30T00:00:00"/>
    <x v="3"/>
    <s v=""/>
    <m/>
    <m/>
    <m/>
  </r>
  <r>
    <n v="562"/>
    <x v="1"/>
    <m/>
    <x v="2"/>
    <s v="https://www.youtube.com/watch?v=8M2LUwJGwHw"/>
    <s v="Rajiv Malhotra Addresses Common Misconceptions Regarding Various Darshanas in Sanatan Dharma #1"/>
    <m/>
    <m/>
    <m/>
    <n v="953"/>
    <d v="1899-12-30T00:24:32"/>
    <s v="11 months ago"/>
    <m/>
    <m/>
    <d v="1899-12-30T00:00:00"/>
    <x v="3"/>
    <s v=""/>
    <m/>
    <m/>
    <m/>
  </r>
  <r>
    <n v="563"/>
    <x v="1"/>
    <m/>
    <x v="2"/>
    <s v="https://www.youtube.com/watch?v=4VaCcFKHkSY"/>
    <s v="Q&amp;A Hinduism vs Pagan Religions; Caste Divides; Open Architecture of Dharmic Traditions #2"/>
    <m/>
    <m/>
    <m/>
    <n v="851"/>
    <d v="1899-12-30T00:12:45"/>
    <s v="11 months ago"/>
    <m/>
    <m/>
    <d v="1899-12-30T00:00:00"/>
    <x v="3"/>
    <s v=""/>
    <m/>
    <m/>
    <m/>
  </r>
  <r>
    <n v="564"/>
    <x v="1"/>
    <m/>
    <x v="2"/>
    <s v="https://www.youtube.com/watch?v=udkwSpjJnGk"/>
    <s v="Rajiv Malhotra's Call To Action For Correcting The Discourse On Hinduism &amp; Hindu Organizations. #3"/>
    <m/>
    <m/>
    <m/>
    <n v="454"/>
    <d v="1899-12-30T00:10:07"/>
    <s v="11 months ago"/>
    <m/>
    <m/>
    <d v="1899-12-30T00:00:00"/>
    <x v="3"/>
    <s v=""/>
    <m/>
    <m/>
    <m/>
  </r>
  <r>
    <n v="565"/>
    <x v="1"/>
    <m/>
    <x v="2"/>
    <s v="https://www.youtube.com/watch?v=Z8Wd8i754cU"/>
    <s v="Misappropriation of Ancient Indian Ideas by The West; Value of Sanskrit; Aryan Dravidian Divide #4"/>
    <m/>
    <m/>
    <m/>
    <n v="979"/>
    <d v="1899-12-30T00:14:11"/>
    <s v="11 months ago"/>
    <m/>
    <m/>
    <d v="1899-12-30T00:00:00"/>
    <x v="3"/>
    <s v=""/>
    <m/>
    <m/>
    <m/>
  </r>
  <r>
    <n v="566"/>
    <x v="1"/>
    <m/>
    <x v="2"/>
    <s v="https://www.youtube.com/watch?v=tlCqUXsDwDc"/>
    <s v="Western Collective Ego Remains Even After Individual Ego Is Surrendered: Rajiv with Amrit Desai #7"/>
    <m/>
    <m/>
    <m/>
    <n v="609"/>
    <d v="1899-12-30T00:08:17"/>
    <s v="11 months ago"/>
    <m/>
    <m/>
    <d v="1899-12-30T00:00:00"/>
    <x v="3"/>
    <s v=""/>
    <m/>
    <m/>
    <m/>
  </r>
  <r>
    <n v="567"/>
    <x v="1"/>
    <m/>
    <x v="2"/>
    <s v="https://www.youtube.com/watch?v=aEAK6N982oQ"/>
    <s v="Deception &amp; Multigenerational Inculturation Strategy of the Church to Convert Hindus"/>
    <m/>
    <m/>
    <m/>
    <n v="1000"/>
    <d v="1899-12-30T00:05:03"/>
    <s v="11 months ago"/>
    <m/>
    <m/>
    <d v="1899-12-30T00:00:00"/>
    <x v="3"/>
    <s v=""/>
    <m/>
    <m/>
    <m/>
  </r>
  <r>
    <n v="568"/>
    <x v="1"/>
    <m/>
    <x v="2"/>
    <s v="https://www.youtube.com/watch?v=aBwX_u__31I"/>
    <s v="History &amp; Contributions of the Jiva Goswami Tradition: Dialogue with Dr Satyanarayana Dasa #1"/>
    <m/>
    <m/>
    <m/>
    <n v="4800"/>
    <d v="1899-12-30T01:05:02"/>
    <s v="11 months ago"/>
    <m/>
    <m/>
    <d v="1899-12-30T00:00:00"/>
    <x v="3"/>
    <s v=""/>
    <m/>
    <m/>
    <m/>
  </r>
  <r>
    <n v="569"/>
    <x v="1"/>
    <m/>
    <x v="2"/>
    <s v="https://www.youtube.com/watch?v=i24adZlRCZk"/>
    <s v="Can Dharmic &amp; Abrahamic Traditions be Reconciled? Rajiv in Dialogue with Dr Satyanarayana Dasa #2"/>
    <m/>
    <m/>
    <m/>
    <n v="3400"/>
    <d v="1899-12-30T00:22:36"/>
    <s v="11 months ago"/>
    <m/>
    <m/>
    <d v="1899-12-30T00:00:00"/>
    <x v="3"/>
    <s v=""/>
    <m/>
    <m/>
    <m/>
  </r>
  <r>
    <n v="570"/>
    <x v="1"/>
    <m/>
    <x v="2"/>
    <s v="https://www.youtube.com/watch?v=KYhdz2LiDLA"/>
    <s v="American Myth Undergoing Latest Crisis, Needs Dharmic Missionaries. Rajiv with Yogi Amrit Desai #8"/>
    <m/>
    <m/>
    <m/>
    <n v="962"/>
    <d v="1899-12-30T00:24:07"/>
    <s v="11 months ago"/>
    <m/>
    <m/>
    <d v="1899-12-30T00:00:00"/>
    <x v="3"/>
    <s v=""/>
    <m/>
    <m/>
    <m/>
  </r>
  <r>
    <n v="571"/>
    <x v="1"/>
    <m/>
    <x v="2"/>
    <s v="https://www.youtube.com/watch?v=BKG8mWyOvuw"/>
    <s v="Indian Spiritual Traditions Demand Discipline, Rigor &amp; Integrity: Dr Satyanarayana Dasa #3"/>
    <m/>
    <m/>
    <m/>
    <n v="2200"/>
    <d v="1899-12-30T00:49:28"/>
    <s v="11 months ago"/>
    <m/>
    <m/>
    <d v="1899-12-30T00:00:00"/>
    <x v="3"/>
    <s v=""/>
    <m/>
    <m/>
    <m/>
  </r>
  <r>
    <n v="572"/>
    <x v="1"/>
    <m/>
    <x v="2"/>
    <s v="https://www.youtube.com/watch?v=bGDeGR7DrFw"/>
    <s v="How Gurus Must Prevent Collective U-Turns of Western Students. Rajiv's Dialogue with Yogi Amrit #9"/>
    <m/>
    <m/>
    <m/>
    <n v="641"/>
    <d v="1899-12-30T00:09:19"/>
    <s v="11 months ago"/>
    <m/>
    <m/>
    <d v="1899-12-30T00:00:00"/>
    <x v="3"/>
    <s v=""/>
    <m/>
    <m/>
    <m/>
  </r>
  <r>
    <n v="573"/>
    <x v="1"/>
    <m/>
    <x v="2"/>
    <s v="https://www.youtube.com/watch?v=BsEY7XJTv70"/>
    <s v="Provocative Speculation: Are Many Hindus Unfit for Hinduism? Rajiv with Dr Satyanarayana Dasa #4"/>
    <m/>
    <m/>
    <m/>
    <n v="1100"/>
    <d v="1899-12-30T00:03:36"/>
    <s v="11 months ago"/>
    <m/>
    <m/>
    <d v="1899-12-30T00:00:00"/>
    <x v="3"/>
    <s v=""/>
    <m/>
    <m/>
    <m/>
  </r>
  <r>
    <n v="574"/>
    <x v="1"/>
    <m/>
    <x v="2"/>
    <s v="https://www.youtube.com/watch?v=Kfvmj7QyAfQ"/>
    <s v="In Conversation with Francois Gautier"/>
    <m/>
    <m/>
    <m/>
    <n v="14000"/>
    <d v="1899-12-30T00:40:59"/>
    <s v="10 months ago"/>
    <m/>
    <m/>
    <d v="1899-12-30T00:00:00"/>
    <x v="3"/>
    <s v=""/>
    <m/>
    <m/>
    <m/>
  </r>
  <r>
    <n v="575"/>
    <x v="1"/>
    <m/>
    <x v="2"/>
    <s v="https://www.youtube.com/watch?v=C6XbkLOcyVs"/>
    <s v="Dharma and Well-being, New Jersey 2016"/>
    <m/>
    <m/>
    <m/>
    <n v="2700"/>
    <d v="1899-12-30T00:19:08"/>
    <s v="10 months ago"/>
    <m/>
    <m/>
    <d v="1899-12-30T00:00:00"/>
    <x v="3"/>
    <s v=""/>
    <m/>
    <m/>
    <m/>
  </r>
  <r>
    <n v="576"/>
    <x v="1"/>
    <m/>
    <x v="2"/>
    <s v="https://www.youtube.com/watch?v=ANDhhofT1w0"/>
    <s v="Keynote at DCF Fundraiser in Los Angeles, 2016"/>
    <m/>
    <m/>
    <m/>
    <n v="2400"/>
    <d v="1899-12-30T00:31:33"/>
    <s v="10 months ago"/>
    <m/>
    <m/>
    <d v="1899-12-30T00:00:00"/>
    <x v="3"/>
    <s v=""/>
    <m/>
    <m/>
    <m/>
  </r>
  <r>
    <n v="577"/>
    <x v="1"/>
    <m/>
    <x v="2"/>
    <s v="https://www.youtube.com/watch?v=qiir-ZWT6yI"/>
    <s v="What are the chances that Liberal Muslims will call for a Reformation of Islam: Rajiv Malhotra"/>
    <m/>
    <m/>
    <m/>
    <n v="1300"/>
    <d v="1899-12-30T00:03:32"/>
    <s v="10 months ago"/>
    <m/>
    <m/>
    <d v="1899-12-30T00:00:00"/>
    <x v="3"/>
    <s v=""/>
    <m/>
    <m/>
    <m/>
  </r>
  <r>
    <n v="578"/>
    <x v="1"/>
    <m/>
    <x v="2"/>
    <s v="https://www.youtube.com/watch?v=wEalKzas5Ig"/>
    <s v="FACEBOOK HQ: Vedic Consciousness &amp; it's Relation to Modern Technology"/>
    <m/>
    <m/>
    <m/>
    <n v="6500"/>
    <d v="1899-12-30T00:40:18"/>
    <s v="10 months ago"/>
    <m/>
    <m/>
    <d v="1899-12-30T00:00:00"/>
    <x v="3"/>
    <s v=""/>
    <m/>
    <m/>
    <m/>
  </r>
  <r>
    <n v="579"/>
    <x v="1"/>
    <m/>
    <x v="2"/>
    <s v="https://www.youtube.com/watch?v=6PUBS8MXVzc"/>
    <s v="Academic Hinduphobia Book Launch, by Dr Subramanian Swamy"/>
    <m/>
    <m/>
    <m/>
    <n v="7900"/>
    <d v="1899-12-30T01:05:26"/>
    <s v="10 months ago"/>
    <m/>
    <m/>
    <d v="1899-12-30T00:00:00"/>
    <x v="3"/>
    <s v=""/>
    <m/>
    <m/>
    <m/>
  </r>
  <r>
    <n v="580"/>
    <x v="1"/>
    <m/>
    <x v="2"/>
    <s v="https://www.youtube.com/watch?v=HmKETjjGv0E"/>
    <s v="Hinduphobia of The Indian Left is a Combination of Many Factors: Rajiv Malhotra #5"/>
    <m/>
    <m/>
    <m/>
    <n v="520"/>
    <d v="1899-12-30T00:01:57"/>
    <s v="10 months ago"/>
    <m/>
    <m/>
    <d v="1899-12-30T00:00:00"/>
    <x v="3"/>
    <s v=""/>
    <m/>
    <m/>
    <m/>
  </r>
  <r>
    <n v="581"/>
    <x v="1"/>
    <m/>
    <x v="2"/>
    <s v="https://www.youtube.com/watch?v=vTz9mFEgYQU"/>
    <s v="Can We Use Guna System To Classify Western Indologists: Rajiv Malhotra #2"/>
    <m/>
    <m/>
    <m/>
    <n v="658"/>
    <d v="1899-12-30T00:05:34"/>
    <s v="10 months ago"/>
    <m/>
    <m/>
    <d v="1899-12-30T00:00:00"/>
    <x v="3"/>
    <s v=""/>
    <m/>
    <m/>
    <m/>
  </r>
  <r>
    <n v="582"/>
    <x v="1"/>
    <m/>
    <x v="2"/>
    <s v="https://www.youtube.com/watch?v=B1KtIwSP4_U"/>
    <s v="Intellectual &amp; Emotional Kshatriyas, Both Can Help Dharma &amp; India: Rajiv Malhotra #6"/>
    <m/>
    <m/>
    <m/>
    <n v="457"/>
    <d v="1899-12-30T00:03:52"/>
    <s v="10 months ago"/>
    <m/>
    <m/>
    <d v="1899-12-30T00:00:00"/>
    <x v="3"/>
    <s v=""/>
    <m/>
    <m/>
    <m/>
  </r>
  <r>
    <n v="583"/>
    <x v="1"/>
    <m/>
    <x v="2"/>
    <s v="https://www.youtube.com/watch?v=nUfn2eRsHgo"/>
    <s v="Western Study of Sanskrit Misstates Our Sanskriti &amp; Conceals Facts: Rajiv Malhotra #7"/>
    <m/>
    <m/>
    <m/>
    <n v="689"/>
    <d v="1899-12-30T00:02:06"/>
    <s v="10 months ago"/>
    <m/>
    <m/>
    <d v="1899-12-30T00:00:00"/>
    <x v="3"/>
    <s v=""/>
    <m/>
    <m/>
    <m/>
  </r>
  <r>
    <n v="584"/>
    <x v="1"/>
    <m/>
    <x v="2"/>
    <s v="https://www.youtube.com/watch?v=sGXLoCpynsU"/>
    <s v="Insiders Vs Outsiders — Who should have ‘Adhikara’ as Experts on Sanskrit: Rajiv Malhotra #3"/>
    <m/>
    <m/>
    <m/>
    <n v="422"/>
    <d v="1899-12-30T00:03:47"/>
    <s v="10 months ago"/>
    <m/>
    <m/>
    <d v="1899-12-30T00:00:00"/>
    <x v="3"/>
    <s v=""/>
    <m/>
    <m/>
    <m/>
  </r>
  <r>
    <n v="585"/>
    <x v="1"/>
    <m/>
    <x v="2"/>
    <s v="https://www.youtube.com/watch?v=Nattb-ZPK4g"/>
    <s v="I am trying to Provoke the 'Insiders' to Protect our Sanskriti: Rajiv Malhotra #4"/>
    <m/>
    <m/>
    <m/>
    <n v="393"/>
    <d v="1899-12-30T00:02:57"/>
    <s v="10 months ago"/>
    <m/>
    <m/>
    <d v="1899-12-30T00:00:00"/>
    <x v="3"/>
    <s v=""/>
    <m/>
    <m/>
    <m/>
  </r>
  <r>
    <n v="586"/>
    <x v="1"/>
    <m/>
    <x v="2"/>
    <s v="https://www.youtube.com/watch?v=EfQbirNpLM8"/>
    <s v="Murty Classical Library Translations Not Reviewed by Traditional Sanskrit Scholars' Panel #1"/>
    <m/>
    <m/>
    <m/>
    <n v="397"/>
    <d v="1899-12-30T00:02:54"/>
    <s v="10 months ago"/>
    <m/>
    <m/>
    <d v="1899-12-30T00:00:00"/>
    <x v="3"/>
    <s v=""/>
    <m/>
    <m/>
    <m/>
  </r>
  <r>
    <n v="587"/>
    <x v="1"/>
    <m/>
    <x v="2"/>
    <s v="https://www.youtube.com/watch?v=zNgyoAjVDhk"/>
    <s v="Don't Be Deceived by Western Culture which is Celebrated by Media: Rajiv Malhotra #8"/>
    <m/>
    <m/>
    <m/>
    <n v="1000"/>
    <d v="1899-12-30T00:02:24"/>
    <s v="10 months ago"/>
    <m/>
    <m/>
    <d v="1899-12-30T00:00:00"/>
    <x v="3"/>
    <s v=""/>
    <m/>
    <m/>
    <m/>
  </r>
  <r>
    <n v="588"/>
    <x v="1"/>
    <m/>
    <x v="2"/>
    <s v="https://www.youtube.com/watch?v=6WJO3QlTEpg"/>
    <s v="Lack of Support for Rigorous Indology Research Such as that by Shrikant Talageri: Rajiv Malhotra #9"/>
    <m/>
    <m/>
    <m/>
    <n v="506"/>
    <d v="1899-12-30T00:04:12"/>
    <s v="10 months ago"/>
    <m/>
    <m/>
    <d v="1899-12-30T00:00:00"/>
    <x v="3"/>
    <s v=""/>
    <m/>
    <m/>
    <m/>
  </r>
  <r>
    <n v="589"/>
    <x v="1"/>
    <m/>
    <x v="2"/>
    <s v="https://www.youtube.com/watch?v=9qgkONu6nbk"/>
    <s v="Knowing Hindu History: Rajiv Malhotra FULL Lecture, Duke University USA"/>
    <m/>
    <m/>
    <m/>
    <n v="25000"/>
    <d v="1899-12-30T01:39:25"/>
    <s v="10 months ago"/>
    <m/>
    <m/>
    <d v="1899-12-30T00:00:00"/>
    <x v="3"/>
    <s v=""/>
    <m/>
    <m/>
    <m/>
  </r>
  <r>
    <n v="590"/>
    <x v="1"/>
    <m/>
    <x v="2"/>
    <s v="https://www.youtube.com/watch?v=k8zAYJDE01E"/>
    <s v="Genocide &amp; Slavery Were Foundations of the so called 'Modernity Era' of Europe &amp; USA #10"/>
    <m/>
    <m/>
    <m/>
    <n v="922"/>
    <d v="1899-12-30T00:05:28"/>
    <s v="10 months ago"/>
    <m/>
    <m/>
    <d v="1899-12-30T00:00:00"/>
    <x v="3"/>
    <s v=""/>
    <m/>
    <m/>
    <m/>
  </r>
  <r>
    <n v="591"/>
    <x v="1"/>
    <m/>
    <x v="2"/>
    <s v="https://www.youtube.com/watch?v=Qh0tc43apsI"/>
    <s v="Hindu Contributions in the Cognitive Sciences: Rajiv at Duke University #1"/>
    <m/>
    <m/>
    <m/>
    <n v="931"/>
    <d v="1899-12-30T00:05:21"/>
    <s v="9 months ago"/>
    <m/>
    <m/>
    <d v="1899-12-30T00:00:00"/>
    <x v="3"/>
    <s v=""/>
    <m/>
    <m/>
    <m/>
  </r>
  <r>
    <n v="592"/>
    <x v="1"/>
    <m/>
    <x v="2"/>
    <s v="https://www.youtube.com/watch?v=B3K5KRgT0oE"/>
    <s v="Sanskrit is Foundation of Linguistics &amp; Computation: Rajiv at Duke University #2"/>
    <m/>
    <m/>
    <m/>
    <n v="799"/>
    <d v="1899-12-30T00:04:00"/>
    <s v="9 months ago"/>
    <m/>
    <m/>
    <d v="1899-12-30T00:00:00"/>
    <x v="3"/>
    <s v=""/>
    <m/>
    <m/>
    <m/>
  </r>
  <r>
    <n v="593"/>
    <x v="1"/>
    <m/>
    <x v="2"/>
    <s v="https://www.youtube.com/watch?v=MqvZxu1TaSQ"/>
    <s v="Digestion and the Doctrine of Christian Discovery #3"/>
    <m/>
    <m/>
    <m/>
    <n v="783"/>
    <d v="1899-12-30T00:05:22"/>
    <s v="9 months ago"/>
    <m/>
    <m/>
    <d v="1899-12-30T00:00:00"/>
    <x v="3"/>
    <s v=""/>
    <m/>
    <m/>
    <m/>
  </r>
  <r>
    <n v="594"/>
    <x v="1"/>
    <m/>
    <x v="2"/>
    <s v="https://www.youtube.com/watch?v=SmB_GUlrfzk"/>
    <s v="Hindu Society was Not Otherworldly; India has been an Important Part of World History #4"/>
    <m/>
    <m/>
    <m/>
    <n v="1000"/>
    <d v="1899-12-30T00:15:41"/>
    <s v="9 months ago"/>
    <m/>
    <m/>
    <d v="1899-12-30T00:00:00"/>
    <x v="3"/>
    <s v=""/>
    <m/>
    <m/>
    <m/>
  </r>
  <r>
    <n v="595"/>
    <x v="1"/>
    <m/>
    <x v="2"/>
    <s v="https://www.youtube.com/watch?v=YtD-Ro9OJRQ"/>
    <s v="In Conversation with Sri Sri Ravi Shankar"/>
    <m/>
    <m/>
    <m/>
    <n v="13000"/>
    <d v="1899-12-30T00:18:38"/>
    <s v="9 months ago"/>
    <m/>
    <m/>
    <d v="1899-12-30T00:00:00"/>
    <x v="3"/>
    <s v=""/>
    <m/>
    <m/>
    <m/>
  </r>
  <r>
    <n v="596"/>
    <x v="1"/>
    <m/>
    <x v="2"/>
    <s v="https://www.youtube.com/watch?v=m1RnPcyk_e0"/>
    <s v="In Conversation with Dr. Nagaswamy, Eminent Archaeologist &amp; Scholar #23"/>
    <m/>
    <m/>
    <m/>
    <n v="20000"/>
    <d v="1899-12-30T00:43:03"/>
    <s v="9 months ago"/>
    <m/>
    <m/>
    <d v="1899-12-30T00:00:00"/>
    <x v="3"/>
    <s v=""/>
    <m/>
    <m/>
    <m/>
  </r>
  <r>
    <n v="597"/>
    <x v="1"/>
    <m/>
    <x v="2"/>
    <s v="https://www.youtube.com/watch?v=MFeGLeUGf6Q"/>
    <s v="Current State of De-colonizing is Incomplete - Lokmanthan 2016, Bhopal"/>
    <m/>
    <m/>
    <m/>
    <n v="5600"/>
    <d v="1899-12-30T00:24:59"/>
    <s v="9 months ago"/>
    <m/>
    <m/>
    <d v="1899-12-30T00:00:00"/>
    <x v="3"/>
    <s v=""/>
    <m/>
    <m/>
    <m/>
  </r>
  <r>
    <n v="598"/>
    <x v="1"/>
    <m/>
    <x v="2"/>
    <s v="https://www.youtube.com/watch?v=ZkrWcJXqbGA"/>
    <s v="Historical Evidence: Hindu Tradition Is Progressive, Not Regressive #6"/>
    <m/>
    <m/>
    <m/>
    <n v="909"/>
    <d v="1899-12-30T00:07:06"/>
    <s v="9 months ago"/>
    <m/>
    <m/>
    <d v="1899-12-30T00:00:00"/>
    <x v="3"/>
    <s v=""/>
    <m/>
    <m/>
    <m/>
  </r>
  <r>
    <n v="599"/>
    <x v="1"/>
    <m/>
    <x v="2"/>
    <s v="https://www.youtube.com/watch?v=ZoDHsv06lNI"/>
    <s v="Sanskrit &amp; Sanskriti Are Being Secularized and their History Being Falsified #11"/>
    <m/>
    <m/>
    <m/>
    <n v="366"/>
    <d v="1899-12-30T00:05:43"/>
    <s v="9 months ago"/>
    <m/>
    <m/>
    <d v="1899-12-30T00:00:00"/>
    <x v="3"/>
    <s v=""/>
    <m/>
    <m/>
    <m/>
  </r>
  <r>
    <n v="600"/>
    <x v="1"/>
    <m/>
    <x v="2"/>
    <s v="https://www.youtube.com/watch?v=j53ZVDx4pYc"/>
    <s v="In Medieval Times Arabs Embraced Indian Science &amp; Spread it to Europe #5"/>
    <m/>
    <m/>
    <m/>
    <n v="559"/>
    <d v="1899-12-30T00:02:38"/>
    <s v="9 months ago"/>
    <m/>
    <m/>
    <d v="1899-12-30T00:00:00"/>
    <x v="3"/>
    <s v=""/>
    <m/>
    <m/>
    <m/>
  </r>
  <r>
    <n v="601"/>
    <x v="1"/>
    <m/>
    <x v="2"/>
    <s v="https://www.youtube.com/watch?v=ZI3BJk08OWI"/>
    <s v="Spanish Queen was a &quot;Venture Capitalist&quot; who Funded Columbus to Find a New Sea Route to India #7"/>
    <m/>
    <m/>
    <m/>
    <n v="511"/>
    <d v="1899-12-30T00:02:34"/>
    <s v="9 months ago"/>
    <m/>
    <m/>
    <d v="1899-12-30T00:00:00"/>
    <x v="3"/>
    <s v=""/>
    <m/>
    <m/>
    <m/>
  </r>
  <r>
    <n v="602"/>
    <x v="1"/>
    <m/>
    <x v="2"/>
    <s v="https://www.youtube.com/watch?v=84agoVdaycE"/>
    <s v="Why Digestion Is the Greatest Threat to Hinduism: Rajiv at Duke University #8"/>
    <m/>
    <m/>
    <m/>
    <n v="1000"/>
    <d v="1899-12-30T00:08:08"/>
    <s v="9 months ago"/>
    <m/>
    <m/>
    <d v="1899-12-30T00:00:00"/>
    <x v="3"/>
    <s v=""/>
    <m/>
    <m/>
    <m/>
  </r>
  <r>
    <n v="603"/>
    <x v="1"/>
    <m/>
    <x v="2"/>
    <s v="https://www.youtube.com/watch?v=sLe31yV0Fb4"/>
    <s v="Is There Any Practical Utility of Sanskrit? #1"/>
    <m/>
    <m/>
    <m/>
    <n v="1000"/>
    <d v="1899-12-30T00:02:51"/>
    <s v="9 months ago"/>
    <m/>
    <m/>
    <d v="1899-12-30T00:00:00"/>
    <x v="3"/>
    <s v=""/>
    <m/>
    <m/>
    <m/>
  </r>
  <r>
    <n v="604"/>
    <x v="1"/>
    <m/>
    <x v="2"/>
    <s v="https://www.youtube.com/watch?v=0gtyqapBB3A"/>
    <s v="Reviving the Vedic Learning Methods in Children: Rajiv Malhotra #3"/>
    <m/>
    <m/>
    <m/>
    <n v="1700"/>
    <d v="1899-12-30T00:05:40"/>
    <s v="9 months ago"/>
    <m/>
    <m/>
    <d v="1899-12-30T00:00:00"/>
    <x v="3"/>
    <s v=""/>
    <m/>
    <m/>
    <m/>
  </r>
  <r>
    <n v="605"/>
    <x v="1"/>
    <m/>
    <x v="2"/>
    <s v="https://www.youtube.com/watch?v=EKyX0QsZVJc"/>
    <s v="Vernacular Languages in India Played a Hyphenated Role Along Side With Sanskrit #4"/>
    <m/>
    <m/>
    <m/>
    <n v="429"/>
    <d v="1899-12-30T00:02:18"/>
    <s v="9 months ago"/>
    <m/>
    <m/>
    <d v="1899-12-30T00:00:00"/>
    <x v="3"/>
    <s v=""/>
    <m/>
    <m/>
    <m/>
  </r>
  <r>
    <n v="606"/>
    <x v="1"/>
    <m/>
    <x v="2"/>
    <s v="https://www.youtube.com/watch?v=DrTFGS7SoCg"/>
    <s v="Sufism is a &quot;Soft&quot; Conversion to Islam: Rajiv Malhotra #5"/>
    <m/>
    <m/>
    <m/>
    <n v="2100"/>
    <d v="1899-12-30T00:02:51"/>
    <s v="9 months ago"/>
    <m/>
    <m/>
    <d v="1899-12-30T00:00:00"/>
    <x v="3"/>
    <s v=""/>
    <m/>
    <m/>
    <m/>
  </r>
  <r>
    <n v="607"/>
    <x v="1"/>
    <m/>
    <x v="2"/>
    <s v="https://www.youtube.com/watch?v=J2Z6w1bXfYc"/>
    <s v="The Fight Is With Charvakas 2.0, Not with Buddhism or Other Dharmic Traditions #6"/>
    <m/>
    <m/>
    <m/>
    <n v="468"/>
    <d v="1899-12-30T00:01:16"/>
    <s v="9 months ago"/>
    <m/>
    <m/>
    <d v="1899-12-30T00:00:00"/>
    <x v="3"/>
    <s v=""/>
    <m/>
    <m/>
    <m/>
  </r>
  <r>
    <n v="608"/>
    <x v="1"/>
    <m/>
    <x v="2"/>
    <s v="https://www.youtube.com/watch?v=1jVMegap8Ws"/>
    <s v="Samskrita Bharati Teaches Sanskrit by Immersion, Not by Grammar: Rajiv Malhotra #8"/>
    <m/>
    <m/>
    <m/>
    <n v="833"/>
    <d v="1899-12-30T00:02:52"/>
    <s v="9 months ago"/>
    <m/>
    <m/>
    <d v="1899-12-30T00:00:00"/>
    <x v="3"/>
    <s v=""/>
    <m/>
    <m/>
    <m/>
  </r>
  <r>
    <n v="609"/>
    <x v="1"/>
    <m/>
    <x v="2"/>
    <s v="https://www.youtube.com/watch?v=4W3kmjNG_K8"/>
    <s v="In Conversation With General GD Bakshi"/>
    <m/>
    <m/>
    <m/>
    <n v="32000"/>
    <d v="1899-12-30T00:56:01"/>
    <s v="9 months ago"/>
    <m/>
    <m/>
    <d v="1899-12-30T00:00:00"/>
    <x v="3"/>
    <s v=""/>
    <m/>
    <m/>
    <m/>
  </r>
  <r>
    <n v="610"/>
    <x v="1"/>
    <m/>
    <x v="2"/>
    <s v="https://www.youtube.com/watch?v=8usGAaPq-WY"/>
    <s v="Response to a Young Post Modernist by Rajiv Malhotra"/>
    <m/>
    <m/>
    <m/>
    <n v="14000"/>
    <d v="1899-12-30T00:16:27"/>
    <s v="9 months ago"/>
    <m/>
    <m/>
    <d v="1899-12-30T00:00:00"/>
    <x v="3"/>
    <s v=""/>
    <m/>
    <m/>
    <m/>
  </r>
  <r>
    <n v="611"/>
    <x v="1"/>
    <m/>
    <x v="2"/>
    <s v="https://www.youtube.com/watch?v=RfiT3REVHxQ"/>
    <s v="Influences of Vedic Tradition on Accelerated Educational Systems like Montessori and Waldorf #9"/>
    <m/>
    <m/>
    <m/>
    <n v="617"/>
    <d v="1899-12-30T00:08:08"/>
    <s v="9 months ago"/>
    <m/>
    <m/>
    <d v="1899-12-30T00:00:00"/>
    <x v="3"/>
    <s v=""/>
    <m/>
    <m/>
    <m/>
  </r>
  <r>
    <n v="612"/>
    <x v="1"/>
    <m/>
    <x v="2"/>
    <s v="https://www.youtube.com/watch?v=r0tSX3M-7oM&amp;t=41s"/>
    <s v="Times LitFest Delhi: How Will India Deal with President Trump"/>
    <m/>
    <m/>
    <m/>
    <n v="8200"/>
    <d v="1899-12-30T01:02:49"/>
    <s v="9 months ago"/>
    <m/>
    <m/>
    <d v="1899-12-30T00:00:00"/>
    <x v="3"/>
    <s v=""/>
    <m/>
    <m/>
    <m/>
  </r>
  <r>
    <n v="613"/>
    <x v="1"/>
    <m/>
    <x v="2"/>
    <s v="https://www.youtube.com/watch?v=9hi4MG3BU0Y"/>
    <s v="Deep Malaise Of Aspirational Whiteness in India: Rajiv at Duke Univ #10"/>
    <m/>
    <m/>
    <m/>
    <n v="878"/>
    <d v="1899-12-30T00:04:44"/>
    <s v="9 months ago"/>
    <m/>
    <m/>
    <d v="1899-12-30T00:00:00"/>
    <x v="3"/>
    <s v=""/>
    <m/>
    <m/>
    <m/>
  </r>
  <r>
    <n v="614"/>
    <x v="1"/>
    <m/>
    <x v="2"/>
    <s v="https://www.youtube.com/watch?v=uiJHx80DJcw"/>
    <s v="What is Hindutva: Rajiv at Duke University #11"/>
    <m/>
    <m/>
    <m/>
    <n v="2700"/>
    <d v="1899-12-30T00:05:01"/>
    <s v="9 months ago"/>
    <m/>
    <m/>
    <d v="1899-12-30T00:00:00"/>
    <x v="3"/>
    <s v=""/>
    <m/>
    <m/>
    <m/>
  </r>
  <r>
    <n v="615"/>
    <x v="3"/>
    <m/>
    <x v="0"/>
    <s v="https://www.youtube.com/watch?v=XWeFa6jUiPw"/>
    <s v="Talk on Swadeshi Indology at IGNCA, New Delhi"/>
    <m/>
    <m/>
    <m/>
    <n v="4300"/>
    <d v="1899-12-30T01:12:04"/>
    <s v="9 months ago"/>
    <m/>
    <m/>
    <d v="1899-12-30T00:00:00"/>
    <x v="43"/>
    <s v=""/>
    <s v="Good"/>
    <s v="Average"/>
    <s v="Good"/>
  </r>
  <r>
    <n v="615.01"/>
    <x v="3"/>
    <m/>
    <x v="0"/>
    <m/>
    <m/>
    <s v="Swadeshi Indology Vs Vidheshi Indology - impact of colonization"/>
    <m/>
    <m/>
    <m/>
    <m/>
    <m/>
    <d v="1899-12-30T00:07:30"/>
    <d v="1899-12-30T00:10:26"/>
    <d v="1899-12-30T00:02:56"/>
    <x v="43"/>
    <m/>
    <s v="Good"/>
    <s v="Average"/>
    <s v="Good"/>
  </r>
  <r>
    <n v="615.02"/>
    <x v="3"/>
    <m/>
    <x v="0"/>
    <m/>
    <m/>
    <s v="Why is it important to understand vidheshi Indology and decolonize ourselves"/>
    <m/>
    <m/>
    <m/>
    <m/>
    <m/>
    <d v="1899-12-30T00:11:48"/>
    <d v="1899-12-30T00:18:57"/>
    <d v="1899-12-30T00:07:09"/>
    <x v="43"/>
    <m/>
    <s v="Good"/>
    <s v="Average"/>
    <s v="Good"/>
  </r>
  <r>
    <n v="615.03"/>
    <x v="3"/>
    <m/>
    <x v="0"/>
    <m/>
    <m/>
    <s v="Colonization Vs Oppression"/>
    <m/>
    <m/>
    <m/>
    <m/>
    <m/>
    <d v="1899-12-30T00:18:57"/>
    <d v="1899-12-30T00:23:45"/>
    <d v="1899-12-30T00:04:48"/>
    <x v="43"/>
    <m/>
    <s v="Good"/>
    <s v="Average"/>
    <s v="Good"/>
  </r>
  <r>
    <n v="615.04"/>
    <x v="3"/>
    <m/>
    <x v="0"/>
    <m/>
    <m/>
    <s v="How the British colonized Bharat"/>
    <m/>
    <m/>
    <m/>
    <m/>
    <m/>
    <d v="1899-12-30T00:23:47"/>
    <d v="1899-12-30T00:30:18"/>
    <d v="1899-12-30T00:06:31"/>
    <x v="43"/>
    <m/>
    <s v="Good"/>
    <s v="Average"/>
    <s v="Good"/>
  </r>
  <r>
    <n v="615.04999999999995"/>
    <x v="3"/>
    <m/>
    <x v="0"/>
    <m/>
    <m/>
    <s v="Post Independence -  videshi Indology wave"/>
    <m/>
    <m/>
    <m/>
    <m/>
    <m/>
    <d v="1899-12-30T00:30:19"/>
    <d v="1899-12-30T00:37:53"/>
    <d v="1899-12-30T00:07:34"/>
    <x v="43"/>
    <m/>
    <s v="Good"/>
    <s v="Average"/>
    <s v="Good"/>
  </r>
  <r>
    <n v="615.05999999999995"/>
    <x v="3"/>
    <m/>
    <x v="0"/>
    <m/>
    <m/>
    <s v="Latest trend in videshi Indology - Infilteration by American think tanks "/>
    <m/>
    <m/>
    <m/>
    <m/>
    <m/>
    <d v="1899-12-30T00:37:54"/>
    <d v="1899-12-30T00:43:42"/>
    <d v="1899-12-30T00:05:48"/>
    <x v="43"/>
    <m/>
    <s v="Good"/>
    <s v="Average"/>
    <s v="Good"/>
  </r>
  <r>
    <n v="615.07000000000005"/>
    <x v="3"/>
    <m/>
    <x v="0"/>
    <m/>
    <m/>
    <s v="Colonization - where are we today"/>
    <m/>
    <m/>
    <m/>
    <m/>
    <m/>
    <d v="1899-12-30T00:43:30"/>
    <d v="1899-12-30T00:48:58"/>
    <d v="1899-12-30T00:05:28"/>
    <x v="43"/>
    <m/>
    <s v="Good"/>
    <s v="Average"/>
    <s v="Good"/>
  </r>
  <r>
    <n v="615.08000000000004"/>
    <x v="3"/>
    <m/>
    <x v="0"/>
    <m/>
    <m/>
    <s v="Lack of serious intellectual research on Dharma"/>
    <m/>
    <m/>
    <m/>
    <m/>
    <m/>
    <d v="1899-12-30T00:49:02"/>
    <d v="1899-12-30T00:52:50"/>
    <d v="1899-12-30T00:03:48"/>
    <x v="43"/>
    <m/>
    <s v="Good"/>
    <s v="Average"/>
    <s v="Good"/>
  </r>
  <r>
    <n v="615.09"/>
    <x v="3"/>
    <m/>
    <x v="0"/>
    <m/>
    <m/>
    <s v="Swadeshi Indology - establishing an Institution of thought"/>
    <m/>
    <m/>
    <m/>
    <m/>
    <m/>
    <d v="1899-12-30T00:52:52"/>
    <d v="1899-12-30T00:58:03"/>
    <d v="1899-12-30T00:05:11"/>
    <x v="44"/>
    <m/>
    <s v="Good"/>
    <s v="Average"/>
    <s v="Good"/>
  </r>
  <r>
    <n v="615.1"/>
    <x v="3"/>
    <m/>
    <x v="0"/>
    <m/>
    <m/>
    <s v="Rajiv's yagna and the krukshetra for Swadeshi Indology - 1"/>
    <m/>
    <m/>
    <m/>
    <m/>
    <m/>
    <d v="1899-12-30T00:58:07"/>
    <d v="1899-12-30T01:04:58"/>
    <d v="1899-12-30T00:06:51"/>
    <x v="44"/>
    <m/>
    <s v="Good"/>
    <s v="Average"/>
    <s v="Good"/>
  </r>
  <r>
    <n v="615.11"/>
    <x v="3"/>
    <m/>
    <x v="0"/>
    <m/>
    <m/>
    <s v="Rajiv's yagna and the krukshetra for Swadeshi Indology - 2"/>
    <m/>
    <m/>
    <m/>
    <m/>
    <m/>
    <d v="1899-12-30T01:04:59"/>
    <d v="1899-12-30T01:12:00"/>
    <d v="1899-12-30T00:07:01"/>
    <x v="44"/>
    <m/>
    <s v="Good"/>
    <s v="Average"/>
    <s v="Good"/>
  </r>
  <r>
    <n v="616"/>
    <x v="1"/>
    <m/>
    <x v="2"/>
    <s v="https://www.youtube.com/watch?v=Y5sHrOViVq0"/>
    <s v="In Conversation with Dr. Sonal Mansingh"/>
    <m/>
    <m/>
    <m/>
    <n v="8900"/>
    <d v="1899-12-30T00:55:54"/>
    <s v="8 months ago"/>
    <m/>
    <m/>
    <d v="1899-12-30T00:00:00"/>
    <x v="3"/>
    <s v=""/>
    <m/>
    <m/>
    <m/>
  </r>
  <r>
    <n v="617"/>
    <x v="1"/>
    <m/>
    <x v="2"/>
    <s v="https://www.youtube.com/watch?v=SNAHZpRl3go"/>
    <s v="A Discussion with Nithyananda: on God vs. Sadashiva, Why Wear Gold, Attacks against Hinduism &amp; More"/>
    <m/>
    <m/>
    <m/>
    <n v="72000"/>
    <d v="1899-12-30T02:50:51"/>
    <s v="8 months ago"/>
    <m/>
    <m/>
    <d v="1899-12-30T00:00:00"/>
    <x v="3"/>
    <s v=""/>
    <m/>
    <m/>
    <m/>
  </r>
  <r>
    <n v="618"/>
    <x v="1"/>
    <m/>
    <x v="2"/>
    <s v="https://www.youtube.com/watch?v=kDDNkLWPpUc"/>
    <s v="Dialogue with Prof R Vaidyanathan, IIM Bangalore - Caste System"/>
    <m/>
    <m/>
    <m/>
    <n v="12000"/>
    <d v="1899-12-30T00:47:06"/>
    <s v="8 months ago"/>
    <m/>
    <m/>
    <d v="1899-12-30T00:00:00"/>
    <x v="3"/>
    <s v=""/>
    <m/>
    <m/>
    <m/>
  </r>
  <r>
    <n v="619"/>
    <x v="1"/>
    <m/>
    <x v="2"/>
    <s v="https://www.youtube.com/watch?v=Vrv16kSoTLQ"/>
    <s v="Aagamas are As Central to Hinduism As Vedas #1"/>
    <m/>
    <m/>
    <m/>
    <n v="657"/>
    <d v="1899-12-30T00:05:27"/>
    <s v="8 months ago"/>
    <m/>
    <m/>
    <d v="1899-12-30T00:00:00"/>
    <x v="3"/>
    <s v=""/>
    <m/>
    <m/>
    <m/>
  </r>
  <r>
    <n v="620"/>
    <x v="1"/>
    <m/>
    <x v="2"/>
    <s v="https://www.youtube.com/watch?v=1k_PbRxkEqo"/>
    <s v="Acārya Abhinavagupta Initiated Adi Shankaracharya Into Aagamas #2"/>
    <m/>
    <m/>
    <m/>
    <n v="624"/>
    <d v="1899-12-30T00:00:54"/>
    <s v="8 months ago"/>
    <m/>
    <m/>
    <d v="1899-12-30T00:00:00"/>
    <x v="3"/>
    <s v=""/>
    <m/>
    <m/>
    <m/>
  </r>
  <r>
    <n v="621"/>
    <x v="1"/>
    <m/>
    <x v="2"/>
    <s v="https://www.youtube.com/watch?v=JZ7LHVZfMwM"/>
    <s v="Are Neo Vedantins Justified in Demeaning Rituals #3"/>
    <m/>
    <m/>
    <m/>
    <n v="461"/>
    <d v="1899-12-30T00:01:53"/>
    <s v="8 months ago"/>
    <m/>
    <m/>
    <d v="1899-12-30T00:00:00"/>
    <x v="3"/>
    <s v=""/>
    <m/>
    <m/>
    <m/>
  </r>
  <r>
    <n v="622"/>
    <x v="1"/>
    <m/>
    <x v="2"/>
    <s v="https://www.youtube.com/watch?v=-pTe3fDFF7U"/>
    <s v="Aagamas Not Separate Set of Scriptures but Part of Vedas, Correct Nomenclature is &quot;Vedaagamas&quot; #4"/>
    <m/>
    <m/>
    <m/>
    <n v="369"/>
    <d v="1899-12-30T00:03:40"/>
    <s v="8 months ago"/>
    <m/>
    <m/>
    <d v="1899-12-30T00:00:00"/>
    <x v="3"/>
    <s v=""/>
    <m/>
    <m/>
    <m/>
  </r>
  <r>
    <n v="623"/>
    <x v="1"/>
    <m/>
    <x v="2"/>
    <s v="https://www.youtube.com/watch?v=HzuZ57Y3-VQ"/>
    <s v="Atma Pramana Alone Does Not Confer the Adhikara to Impart Teachings of Sanatana Hindu Dharma #5"/>
    <m/>
    <m/>
    <m/>
    <n v="554"/>
    <d v="1899-12-30T00:07:39"/>
    <s v="8 months ago"/>
    <m/>
    <m/>
    <d v="1899-12-30T00:00:00"/>
    <x v="3"/>
    <s v=""/>
    <m/>
    <m/>
    <m/>
  </r>
  <r>
    <n v="624"/>
    <x v="1"/>
    <m/>
    <x v="2"/>
    <s v="https://www.youtube.com/watch?v=b96t52xbmO8"/>
    <s v="Dialogue with Dr. HR Nagendra, President VYASA, Bangalore"/>
    <m/>
    <m/>
    <m/>
    <n v="8500"/>
    <d v="1899-12-30T01:22:09"/>
    <s v="8 months ago"/>
    <m/>
    <m/>
    <d v="1899-12-30T00:00:00"/>
    <x v="3"/>
    <s v=""/>
    <m/>
    <m/>
    <m/>
  </r>
  <r>
    <n v="625"/>
    <x v="1"/>
    <m/>
    <x v="2"/>
    <s v="https://www.youtube.com/watch?v=6M1Mp5tvk-E"/>
    <s v="Translating Hindu Itihasa to &quot;Myth&quot; Demeans &amp; Undermines Hindu Culture #6"/>
    <m/>
    <m/>
    <m/>
    <n v="686"/>
    <d v="1899-12-30T00:01:12"/>
    <s v="8 months ago"/>
    <m/>
    <m/>
    <d v="1899-12-30T00:00:00"/>
    <x v="3"/>
    <s v=""/>
    <m/>
    <m/>
    <m/>
  </r>
  <r>
    <n v="626"/>
    <x v="1"/>
    <m/>
    <x v="2"/>
    <s v="https://www.youtube.com/watch?v=LAZPY_rTJLU"/>
    <s v="Bangalore Literature Festival 2016 - India Reclaiming Our Civilization's Heritage"/>
    <m/>
    <m/>
    <m/>
    <n v="7100"/>
    <d v="1899-12-30T01:00:47"/>
    <s v="8 months ago"/>
    <m/>
    <m/>
    <d v="1899-12-30T00:00:00"/>
    <x v="3"/>
    <s v=""/>
    <m/>
    <m/>
    <m/>
  </r>
  <r>
    <n v="627"/>
    <x v="1"/>
    <m/>
    <x v="2"/>
    <s v="https://www.youtube.com/watch?v=13shkRG4RMc"/>
    <s v="The Tree of Yoga is Rooted in Sanatana Hindu Dharma #7"/>
    <m/>
    <m/>
    <m/>
    <n v="265"/>
    <d v="1899-12-30T00:01:51"/>
    <s v="8 months ago"/>
    <m/>
    <m/>
    <d v="1899-12-30T00:00:00"/>
    <x v="3"/>
    <s v=""/>
    <m/>
    <m/>
    <m/>
  </r>
  <r>
    <n v="628"/>
    <x v="1"/>
    <m/>
    <x v="2"/>
    <s v="https://www.youtube.com/watch?v=lnII4AH2rHw"/>
    <s v="Why Outsiders Like Pollock &amp; Doniger DO NOT Have Adhikara To Translate Hindu Shastra #8"/>
    <m/>
    <m/>
    <m/>
    <n v="476"/>
    <d v="1899-12-30T00:03:02"/>
    <s v="8 months ago"/>
    <m/>
    <m/>
    <d v="1899-12-30T00:00:00"/>
    <x v="3"/>
    <s v=""/>
    <m/>
    <m/>
    <m/>
  </r>
  <r>
    <n v="629"/>
    <x v="1"/>
    <m/>
    <x v="2"/>
    <s v="https://www.youtube.com/watch?v=az7GJp1YAXw"/>
    <s v="Swami Nithyananda's Vision of a Theme Park Which Will Be a 'Living Presentation' of Vedic Culture #9"/>
    <m/>
    <m/>
    <m/>
    <n v="359"/>
    <d v="1899-12-30T00:03:37"/>
    <s v="8 months ago"/>
    <m/>
    <m/>
    <d v="1899-12-30T00:00:00"/>
    <x v="3"/>
    <s v=""/>
    <m/>
    <m/>
    <m/>
  </r>
  <r>
    <n v="630"/>
    <x v="1"/>
    <m/>
    <x v="2"/>
    <s v="https://www.youtube.com/watch?v=_zmgXM40afU"/>
    <s v="Angkor Wat Was Built As a Mandala For The Whole Hindu Civilization #10"/>
    <m/>
    <m/>
    <m/>
    <n v="522"/>
    <d v="1899-12-30T00:02:42"/>
    <s v="8 months ago"/>
    <m/>
    <m/>
    <d v="1899-12-30T00:00:00"/>
    <x v="3"/>
    <s v=""/>
    <m/>
    <m/>
    <m/>
  </r>
  <r>
    <n v="631"/>
    <x v="1"/>
    <m/>
    <x v="2"/>
    <s v="https://www.youtube.com/watch?v=IS6hRiM7WuU"/>
    <s v="Banning of Puja &amp; Rituals Shows ASI's Disregard for Sacredness In Indian Culture #11"/>
    <m/>
    <m/>
    <m/>
    <n v="403"/>
    <d v="1899-12-30T00:01:42"/>
    <s v="8 months ago"/>
    <m/>
    <m/>
    <d v="1899-12-30T00:00:00"/>
    <x v="3"/>
    <s v=""/>
    <m/>
    <m/>
    <m/>
  </r>
  <r>
    <n v="632"/>
    <x v="1"/>
    <m/>
    <x v="2"/>
    <s v="https://www.youtube.com/watch?v=-c4KLljIDeo"/>
    <s v="Flaws in the Chronology of Western Indologists #12"/>
    <m/>
    <m/>
    <m/>
    <n v="499"/>
    <d v="1899-12-30T00:02:01"/>
    <s v="8 months ago"/>
    <m/>
    <m/>
    <d v="1899-12-30T00:00:00"/>
    <x v="3"/>
    <s v=""/>
    <m/>
    <m/>
    <m/>
  </r>
  <r>
    <n v="633"/>
    <x v="1"/>
    <m/>
    <x v="2"/>
    <s v="https://www.youtube.com/watch?v=6KN0GnYv6xQ"/>
    <s v="Lack of Shastra Vidya Contributed to the Decline of Pagan Civilizations #13"/>
    <m/>
    <m/>
    <m/>
    <n v="390"/>
    <d v="1899-12-30T00:02:24"/>
    <s v="8 months ago"/>
    <m/>
    <m/>
    <d v="1899-12-30T00:00:00"/>
    <x v="3"/>
    <s v=""/>
    <m/>
    <m/>
    <m/>
  </r>
  <r>
    <n v="634"/>
    <x v="1"/>
    <m/>
    <x v="2"/>
    <s v="https://www.youtube.com/watch?v=GP0JLpTLOWU"/>
    <s v="Distinction Between a Living Guru and a Deity #14"/>
    <m/>
    <m/>
    <m/>
    <n v="275"/>
    <d v="1899-12-30T00:01:39"/>
    <s v="8 months ago"/>
    <m/>
    <m/>
    <d v="1899-12-30T00:00:00"/>
    <x v="3"/>
    <s v=""/>
    <m/>
    <m/>
    <m/>
  </r>
  <r>
    <n v="635"/>
    <x v="1"/>
    <m/>
    <x v="2"/>
    <s v="https://www.youtube.com/watch?v=OdRuRzl5pwg"/>
    <s v="Existence of Shiv Avatar Hanuman in Vaishnav Text of Ramayana is Not a Paradox #15"/>
    <m/>
    <m/>
    <m/>
    <n v="822"/>
    <d v="1899-12-30T00:02:36"/>
    <s v="8 months ago"/>
    <m/>
    <m/>
    <d v="1899-12-30T00:00:00"/>
    <x v="3"/>
    <s v=""/>
    <m/>
    <m/>
    <m/>
  </r>
  <r>
    <n v="636"/>
    <x v="1"/>
    <m/>
    <x v="2"/>
    <s v="https://www.youtube.com/watch?v=ImpfhngYCCA"/>
    <s v="In Conversation with Shri Chamu Krishna Shastry"/>
    <m/>
    <m/>
    <m/>
    <n v="2200"/>
    <d v="1899-12-30T00:32:29"/>
    <s v="8 months ago"/>
    <m/>
    <m/>
    <d v="1899-12-30T00:00:00"/>
    <x v="3"/>
    <s v=""/>
    <m/>
    <m/>
    <m/>
  </r>
  <r>
    <n v="637"/>
    <x v="1"/>
    <m/>
    <x v="2"/>
    <s v="https://www.youtube.com/watch?v=p08RUDejFXs"/>
    <s v="God Particle, Shaktinipat (Quantum Entanglement), Divinity in Matter #17"/>
    <m/>
    <m/>
    <m/>
    <n v="1300"/>
    <d v="1899-12-30T00:06:04"/>
    <s v="8 months ago"/>
    <m/>
    <m/>
    <d v="1899-12-30T00:00:00"/>
    <x v="3"/>
    <s v=""/>
    <m/>
    <m/>
    <m/>
  </r>
  <r>
    <n v="638"/>
    <x v="1"/>
    <m/>
    <x v="2"/>
    <s v="https://www.youtube.com/watch?v=NpCmOPhka6g"/>
    <s v="Difference Between the Spiritual Process of Siddhis and Shaktis #18"/>
    <m/>
    <m/>
    <m/>
    <n v="481"/>
    <d v="1899-12-30T00:07:36"/>
    <s v="8 months ago"/>
    <m/>
    <m/>
    <d v="1899-12-30T00:00:00"/>
    <x v="3"/>
    <s v=""/>
    <m/>
    <m/>
    <m/>
  </r>
  <r>
    <n v="639"/>
    <x v="1"/>
    <m/>
    <x v="2"/>
    <s v="https://www.youtube.com/watch?v=Iz3TO-dXkSI"/>
    <s v="Journalists are the Furthest Away from Truth and Spirituality #19"/>
    <m/>
    <m/>
    <m/>
    <n v="411"/>
    <d v="1899-12-30T00:00:46"/>
    <s v="8 months ago"/>
    <m/>
    <m/>
    <d v="1899-12-30T00:00:00"/>
    <x v="3"/>
    <s v=""/>
    <m/>
    <m/>
    <m/>
  </r>
  <r>
    <n v="640"/>
    <x v="1"/>
    <m/>
    <x v="2"/>
    <s v="https://www.youtube.com/watch?v=5Qbkf3waru8"/>
    <s v="Shaktinipat is Beyond the Physics of Space and Time #20"/>
    <m/>
    <m/>
    <m/>
    <n v="301"/>
    <d v="1899-12-30T00:01:37"/>
    <s v="8 months ago"/>
    <m/>
    <m/>
    <d v="1899-12-30T00:00:00"/>
    <x v="3"/>
    <s v=""/>
    <m/>
    <m/>
    <m/>
  </r>
  <r>
    <n v="641"/>
    <x v="1"/>
    <m/>
    <x v="2"/>
    <s v="https://www.youtube.com/watch?v=0cvq3rbQ7Dw"/>
    <s v="Can Machines Transmit Shakti? #21"/>
    <m/>
    <m/>
    <m/>
    <n v="343"/>
    <d v="1899-12-30T00:02:30"/>
    <s v="8 months ago"/>
    <m/>
    <m/>
    <d v="1899-12-30T00:00:00"/>
    <x v="3"/>
    <s v=""/>
    <m/>
    <m/>
    <m/>
  </r>
  <r>
    <n v="642"/>
    <x v="1"/>
    <m/>
    <x v="2"/>
    <s v="https://www.youtube.com/watch?v=69M5XJQEYX4"/>
    <s v="&quot;I am Spiritual But Not Religious&quot;, Makes NO Sense if a Hindu Says This #22"/>
    <m/>
    <m/>
    <m/>
    <n v="816"/>
    <d v="1899-12-30T00:01:16"/>
    <s v="8 months ago"/>
    <m/>
    <m/>
    <d v="1899-12-30T00:00:00"/>
    <x v="3"/>
    <s v=""/>
    <m/>
    <m/>
    <m/>
  </r>
  <r>
    <n v="643"/>
    <x v="1"/>
    <m/>
    <x v="2"/>
    <s v="https://www.youtube.com/watch?v=Yb0AWtlb8-g"/>
    <s v="Donations to a Hindu Temple Should Legally be Owned by the Deity ResidingThere. #23"/>
    <m/>
    <m/>
    <m/>
    <n v="443"/>
    <d v="1899-12-30T00:03:07"/>
    <s v="8 months ago"/>
    <m/>
    <m/>
    <d v="1899-12-30T00:00:00"/>
    <x v="3"/>
    <s v=""/>
    <m/>
    <m/>
    <m/>
  </r>
  <r>
    <n v="644"/>
    <x v="1"/>
    <m/>
    <x v="2"/>
    <s v="https://www.youtube.com/watch?v=1Gop0_4D5pE"/>
    <s v="Swami Nityananda on the &quot;Collective Evolution&quot; Theory of Sri Aurobindo #26"/>
    <m/>
    <m/>
    <m/>
    <n v="467"/>
    <d v="1899-12-30T00:01:46"/>
    <s v="8 months ago"/>
    <m/>
    <m/>
    <d v="1899-12-30T00:00:00"/>
    <x v="3"/>
    <s v=""/>
    <m/>
    <m/>
    <m/>
  </r>
  <r>
    <n v="645"/>
    <x v="1"/>
    <m/>
    <x v="2"/>
    <s v="https://www.youtube.com/watch?v=-pDxEjRprYM"/>
    <s v="Bionic Humans &amp; Evolution of Consciousness #25"/>
    <m/>
    <m/>
    <m/>
    <n v="360"/>
    <d v="1899-12-30T00:03:40"/>
    <s v="8 months ago"/>
    <m/>
    <m/>
    <d v="1899-12-30T00:00:00"/>
    <x v="3"/>
    <s v=""/>
    <m/>
    <m/>
    <m/>
  </r>
  <r>
    <n v="646"/>
    <x v="1"/>
    <m/>
    <x v="2"/>
    <s v="https://www.youtube.com/watch?v=1P_XO3xfTCs"/>
    <s v="A Hindu Perspective on the Ethics of GMO, Human Organs Farming, and The Karmic Imprint #24"/>
    <m/>
    <m/>
    <m/>
    <n v="771"/>
    <d v="1899-12-30T00:06:07"/>
    <s v="8 months ago"/>
    <m/>
    <m/>
    <d v="1899-12-30T00:00:00"/>
    <x v="3"/>
    <s v=""/>
    <m/>
    <m/>
    <m/>
  </r>
  <r>
    <n v="647"/>
    <x v="1"/>
    <m/>
    <x v="2"/>
    <s v="https://www.youtube.com/watch?v=Voaw-uef3Tw"/>
    <s v="Hindu Perspective on Mercy Killing/Euthanasia #16"/>
    <m/>
    <m/>
    <m/>
    <n v="546"/>
    <d v="1899-12-30T00:03:02"/>
    <s v="8 months ago"/>
    <m/>
    <m/>
    <d v="1899-12-30T00:00:00"/>
    <x v="3"/>
    <s v=""/>
    <m/>
    <m/>
    <m/>
  </r>
  <r>
    <n v="648"/>
    <x v="1"/>
    <m/>
    <x v="2"/>
    <s v="https://www.youtube.com/watch?v=F2WG7neA31s"/>
    <s v="Rajiv's Open Challenge to Neuro-Scientists— &quot;Rishis Do Exist&quot; #27"/>
    <m/>
    <m/>
    <m/>
    <n v="2500"/>
    <d v="1899-12-30T00:05:07"/>
    <s v="8 months ago"/>
    <m/>
    <m/>
    <d v="1899-12-30T00:00:00"/>
    <x v="3"/>
    <s v=""/>
    <m/>
    <m/>
    <m/>
  </r>
  <r>
    <n v="649"/>
    <x v="1"/>
    <m/>
    <x v="2"/>
    <s v="https://www.youtube.com/watch?v=n5lHU4Qyfbk"/>
    <s v="Do Miracle Healings Given by Yogis Hack the Karma Cycle #28"/>
    <m/>
    <m/>
    <m/>
    <n v="570"/>
    <d v="1899-12-30T00:01:59"/>
    <s v="8 months ago"/>
    <m/>
    <m/>
    <d v="1899-12-30T00:00:00"/>
    <x v="3"/>
    <s v=""/>
    <m/>
    <m/>
    <m/>
  </r>
  <r>
    <n v="650"/>
    <x v="1"/>
    <m/>
    <x v="2"/>
    <s v="https://www.youtube.com/watch?v=mcxquOK_mY8"/>
    <s v="Breaking India: The Strategic Ploy Against Hinduism by Churches, Academics and More"/>
    <m/>
    <m/>
    <m/>
    <n v="2600"/>
    <d v="1899-12-30T00:02:46"/>
    <s v="8 months ago"/>
    <m/>
    <m/>
    <d v="1899-12-30T00:00:00"/>
    <x v="3"/>
    <s v=""/>
    <m/>
    <m/>
    <m/>
  </r>
  <r>
    <n v="651"/>
    <x v="1"/>
    <m/>
    <x v="2"/>
    <s v="https://www.youtube.com/watch?v=9FgUTz996bs"/>
    <s v="Continuing the Guru Parampara: Swami Nithyananda Shares His Mission of Gratitude and Integrity #30"/>
    <m/>
    <m/>
    <m/>
    <n v="173"/>
    <d v="1899-12-30T00:01:10"/>
    <s v="8 months ago"/>
    <m/>
    <m/>
    <d v="1899-12-30T00:00:00"/>
    <x v="3"/>
    <s v=""/>
    <m/>
    <m/>
    <m/>
  </r>
  <r>
    <n v="652"/>
    <x v="1"/>
    <m/>
    <x v="2"/>
    <s v="https://www.youtube.com/watch?v=DVcN5QXGA_w"/>
    <s v="Be the Heir to Your Own Fortune: Can Billionaires Bank on Financial Security in the Next Life? #29"/>
    <m/>
    <m/>
    <m/>
    <n v="789"/>
    <d v="1899-12-30T00:05:55"/>
    <s v="8 months ago"/>
    <m/>
    <m/>
    <d v="1899-12-30T00:00:00"/>
    <x v="3"/>
    <s v=""/>
    <m/>
    <m/>
    <m/>
  </r>
  <r>
    <n v="653"/>
    <x v="1"/>
    <m/>
    <x v="2"/>
    <s v="https://www.youtube.com/watch?v=_D2sWZSHDqg&amp;t=834s"/>
    <s v="Interview with a Neo-Jewish Pseudo-Hindu on Hinduized Judaism, Tantric Kabbala, &amp; More"/>
    <m/>
    <m/>
    <m/>
    <n v="15000"/>
    <d v="1899-12-30T02:12:33"/>
    <s v="8 months ago"/>
    <m/>
    <m/>
    <d v="1899-12-30T00:00:00"/>
    <x v="3"/>
    <s v=""/>
    <m/>
    <m/>
    <m/>
  </r>
  <r>
    <n v="654"/>
    <x v="1"/>
    <m/>
    <x v="2"/>
    <s v="https://www.youtube.com/watch?v=7-JbRtATwHQ"/>
    <s v="Being Different: Decolonizing Ourselves by Reversing the Indian Gaze Back at the West"/>
    <m/>
    <m/>
    <m/>
    <n v="1600"/>
    <d v="1899-12-30T00:02:37"/>
    <s v="8 months ago"/>
    <m/>
    <m/>
    <d v="1899-12-30T00:00:00"/>
    <x v="3"/>
    <s v=""/>
    <m/>
    <m/>
    <m/>
  </r>
  <r>
    <n v="655"/>
    <x v="1"/>
    <m/>
    <x v="2"/>
    <s v="https://www.youtube.com/watch?v=N6IDjOR1OY0"/>
    <s v="Indra's Net: Exposing the Western Academics who Attack Hinduism and Challenging their Claims"/>
    <m/>
    <m/>
    <m/>
    <n v="1200"/>
    <d v="1899-12-30T00:01:45"/>
    <s v="7 months ago"/>
    <m/>
    <m/>
    <d v="1899-12-30T00:00:00"/>
    <x v="3"/>
    <s v=""/>
    <m/>
    <m/>
    <m/>
  </r>
  <r>
    <n v="656"/>
    <x v="1"/>
    <m/>
    <x v="2"/>
    <s v="https://www.youtube.com/watch?v=mScbp58xwJE"/>
    <s v="Hindu Gurus Accepting Max Mullerian Translations is the Biggest Disadvantage Done to Hinduism #31"/>
    <m/>
    <m/>
    <m/>
    <n v="2300"/>
    <d v="1899-12-30T00:05:28"/>
    <s v="7 months ago"/>
    <m/>
    <m/>
    <d v="1899-12-30T00:00:00"/>
    <x v="3"/>
    <s v=""/>
    <m/>
    <m/>
    <m/>
  </r>
  <r>
    <n v="657"/>
    <x v="1"/>
    <m/>
    <x v="2"/>
    <s v="https://www.youtube.com/watch?v=eQBirhrwc3E"/>
    <s v="Taking the Experience then Dropping the Guru: Why a Jewish Seeker Came &amp; then Left Hinduism"/>
    <m/>
    <m/>
    <m/>
    <n v="2600"/>
    <d v="1899-12-30T00:18:36"/>
    <s v="7 months ago"/>
    <m/>
    <m/>
    <d v="1899-12-30T00:00:00"/>
    <x v="3"/>
    <s v=""/>
    <m/>
    <m/>
    <m/>
  </r>
  <r>
    <n v="658"/>
    <x v="1"/>
    <m/>
    <x v="2"/>
    <s v="https://www.youtube.com/watch?v=qzXGb7RIXmc"/>
    <s v="Why does Swamiji wear so much Gold Jewellery? The reason Gold became precious. #32"/>
    <m/>
    <m/>
    <m/>
    <n v="5800"/>
    <d v="1899-12-30T00:05:46"/>
    <s v="7 months ago"/>
    <m/>
    <m/>
    <d v="1899-12-30T00:00:00"/>
    <x v="3"/>
    <s v=""/>
    <m/>
    <m/>
    <m/>
  </r>
  <r>
    <n v="659"/>
    <x v="1"/>
    <m/>
    <x v="2"/>
    <s v="https://www.youtube.com/watch?v=JjtvU2xQpaQ"/>
    <s v="The Battle for Sanskrit: Setting the Record Straight on our Ancient but Living Language"/>
    <m/>
    <m/>
    <m/>
    <n v="1400"/>
    <d v="1899-12-30T00:02:41"/>
    <s v="7 months ago"/>
    <m/>
    <m/>
    <d v="1899-12-30T00:00:00"/>
    <x v="3"/>
    <s v=""/>
    <m/>
    <m/>
    <m/>
  </r>
  <r>
    <n v="660"/>
    <x v="1"/>
    <m/>
    <x v="2"/>
    <s v="https://www.youtube.com/watch?v=C6sAuCIhIzA"/>
    <s v="Two Kinds of Divine Power, Siddhis and Shaktis, are NOT Occult, Paranormal or Superstition 34"/>
    <m/>
    <m/>
    <m/>
    <n v="773"/>
    <d v="1899-12-30T00:02:15"/>
    <s v="7 months ago"/>
    <m/>
    <m/>
    <d v="1899-12-30T00:00:00"/>
    <x v="3"/>
    <s v=""/>
    <m/>
    <m/>
    <m/>
  </r>
  <r>
    <n v="661"/>
    <x v="1"/>
    <m/>
    <x v="2"/>
    <s v="https://www.youtube.com/watch?v=strZVEaixcs"/>
    <s v="Book on Major Gurus, Lost Parampara, Shiva's Trishul Denigrated as Symbol of The Devil #33"/>
    <m/>
    <m/>
    <m/>
    <n v="1000"/>
    <d v="1899-12-30T00:11:34"/>
    <s v="7 months ago"/>
    <m/>
    <m/>
    <d v="1899-12-30T00:00:00"/>
    <x v="3"/>
    <s v=""/>
    <m/>
    <m/>
    <m/>
  </r>
  <r>
    <n v="662"/>
    <x v="1"/>
    <m/>
    <x v="2"/>
    <s v="https://www.youtube.com/watch?v=Ih4StVOa0Qs"/>
    <s v="Indian Anti-Superstition Laws are Anti-Hindu &amp; Are Based on Western Idea of Superstition #35"/>
    <m/>
    <m/>
    <m/>
    <n v="536"/>
    <d v="1899-12-30T00:01:35"/>
    <s v="7 months ago"/>
    <m/>
    <m/>
    <d v="1899-12-30T00:00:00"/>
    <x v="3"/>
    <s v=""/>
    <m/>
    <m/>
    <m/>
  </r>
  <r>
    <n v="663"/>
    <x v="1"/>
    <m/>
    <x v="2"/>
    <s v="https://www.youtube.com/watch?v=LIl0C87tzGE"/>
    <s v="Vajpayee Govt Took the Unfortunate Decision of Converting Ma Ganga Into a Lake #36"/>
    <m/>
    <m/>
    <m/>
    <n v="912"/>
    <d v="1899-12-30T00:02:48"/>
    <s v="7 months ago"/>
    <m/>
    <m/>
    <d v="1899-12-30T00:00:00"/>
    <x v="3"/>
    <s v=""/>
    <m/>
    <m/>
    <m/>
  </r>
  <r>
    <n v="664"/>
    <x v="1"/>
    <m/>
    <x v="2"/>
    <s v="https://www.youtube.com/watch?v=sZGlmV--sG4"/>
    <s v="Rajiv Malhotra's Talk at S-Vyasa University, Bengaluru"/>
    <m/>
    <m/>
    <m/>
    <n v="4100"/>
    <d v="1899-12-30T01:01:57"/>
    <s v="7 months ago"/>
    <m/>
    <m/>
    <d v="1899-12-30T00:00:00"/>
    <x v="3"/>
    <s v=""/>
    <m/>
    <m/>
    <m/>
  </r>
  <r>
    <n v="665"/>
    <x v="1"/>
    <m/>
    <x v="2"/>
    <s v="https://www.youtube.com/watch?v=MAt3aD51sUM"/>
    <s v="Ram Leela is a Living Representation of &quot;The Hindu Grand Narrative&quot;. # 37"/>
    <m/>
    <m/>
    <m/>
    <n v="728"/>
    <d v="1899-12-30T00:02:16"/>
    <s v="7 months ago"/>
    <m/>
    <m/>
    <d v="1899-12-30T00:00:00"/>
    <x v="3"/>
    <s v=""/>
    <m/>
    <m/>
    <m/>
  </r>
  <r>
    <n v="666"/>
    <x v="1"/>
    <m/>
    <x v="2"/>
    <s v="https://www.youtube.com/watch?v=EXkq2inhXiw"/>
    <s v="Criticism on Interviewing Swami Nityananda, Rajiv Responds #38"/>
    <m/>
    <m/>
    <m/>
    <n v="2700"/>
    <d v="1899-12-30T00:03:28"/>
    <s v="7 months ago"/>
    <m/>
    <m/>
    <d v="1899-12-30T00:00:00"/>
    <x v="3"/>
    <s v=""/>
    <m/>
    <m/>
    <m/>
  </r>
  <r>
    <n v="667"/>
    <x v="1"/>
    <m/>
    <x v="2"/>
    <s v="https://www.youtube.com/watch?v=XfaMChybaCc"/>
    <s v="Academic Hinduphobia: Challenging Media and Western Academics who Blatantly Abuse Hinduism"/>
    <m/>
    <m/>
    <m/>
    <n v="2400"/>
    <d v="1899-12-30T00:03:03"/>
    <s v="7 months ago"/>
    <m/>
    <m/>
    <d v="1899-12-30T00:00:00"/>
    <x v="3"/>
    <s v=""/>
    <m/>
    <m/>
    <m/>
  </r>
  <r>
    <n v="668"/>
    <x v="1"/>
    <m/>
    <x v="2"/>
    <s v="https://www.youtube.com/watch?v=D559dD7btfo"/>
    <s v="All Civilizations, Traditions, Paths Are NOT The Same #1"/>
    <m/>
    <m/>
    <m/>
    <n v="2800"/>
    <d v="1899-12-30T00:10:00"/>
    <s v="7 months ago"/>
    <m/>
    <m/>
    <d v="1899-12-30T00:00:00"/>
    <x v="3"/>
    <s v=""/>
    <m/>
    <m/>
    <m/>
  </r>
  <r>
    <n v="669"/>
    <x v="1"/>
    <m/>
    <x v="2"/>
    <s v="https://www.youtube.com/watch?v=rt5w2HzSWc0"/>
    <s v="Lecture on &quot;Diplomacy and Brand India&quot; - Foreign Service Institute, New Delhi"/>
    <m/>
    <m/>
    <m/>
    <n v="14000"/>
    <d v="1899-12-30T01:21:16"/>
    <s v="6 months ago"/>
    <m/>
    <m/>
    <d v="1899-12-30T00:00:00"/>
    <x v="3"/>
    <s v=""/>
    <m/>
    <m/>
    <m/>
  </r>
  <r>
    <n v="670"/>
    <x v="1"/>
    <m/>
    <x v="2"/>
    <s v="https://www.youtube.com/watch?v=kvEIBfEnwXM"/>
    <s v="Swadeshi Indology Conference 2 — Inaugural Session"/>
    <m/>
    <m/>
    <m/>
    <n v="15000"/>
    <d v="1899-12-30T01:30:48"/>
    <s v="6 months ago"/>
    <m/>
    <m/>
    <d v="1899-12-30T00:00:00"/>
    <x v="3"/>
    <s v=""/>
    <m/>
    <m/>
    <m/>
  </r>
  <r>
    <n v="671"/>
    <x v="1"/>
    <m/>
    <x v="2"/>
    <s v="https://www.youtube.com/watch?v=lkDfIrZy2VY"/>
    <s v="Swadeshi Indology Conference 2 — Closing Session"/>
    <m/>
    <m/>
    <m/>
    <n v="6800"/>
    <d v="1899-12-30T01:26:16"/>
    <s v="6 months ago"/>
    <m/>
    <m/>
    <d v="1899-12-30T00:00:00"/>
    <x v="3"/>
    <s v=""/>
    <m/>
    <m/>
    <m/>
  </r>
  <r>
    <n v="672"/>
    <x v="1"/>
    <m/>
    <x v="2"/>
    <s v="https://www.youtube.com/watch?v=vB9JqlUiYUk"/>
    <s v="Hindu Students Council &amp; Rajiv Malhotra Discuss CNN's Latest Hinduphobia"/>
    <m/>
    <m/>
    <m/>
    <n v="27000"/>
    <d v="1899-12-30T00:35:45"/>
    <s v="6 months ago"/>
    <m/>
    <m/>
    <d v="1899-12-30T00:00:00"/>
    <x v="3"/>
    <s v=""/>
    <m/>
    <m/>
    <m/>
  </r>
  <r>
    <n v="673"/>
    <x v="1"/>
    <m/>
    <x v="2"/>
    <s v="https://www.youtube.com/watch?v=vzoIHUTieE0"/>
    <s v="&quot;Idea of Bharatiya Exceptionalism&quot; — Idea of Bharat International Conference"/>
    <m/>
    <m/>
    <m/>
    <n v="10000"/>
    <d v="1899-12-30T00:41:08"/>
    <s v="5 months ago"/>
    <m/>
    <m/>
    <d v="1899-12-30T00:00:00"/>
    <x v="3"/>
    <s v=""/>
    <m/>
    <m/>
    <m/>
  </r>
  <r>
    <n v="674"/>
    <x v="1"/>
    <m/>
    <x v="2"/>
    <s v="https://www.youtube.com/watch?v=eKSuEJqn2NI"/>
    <s v="Jewish-Hindu Difference on Nature of Reincarnation #2"/>
    <m/>
    <m/>
    <m/>
    <n v="1800"/>
    <d v="1899-12-30T00:05:42"/>
    <s v="5 months ago"/>
    <m/>
    <m/>
    <d v="1899-12-30T00:00:00"/>
    <x v="3"/>
    <s v=""/>
    <m/>
    <m/>
    <m/>
  </r>
  <r>
    <n v="675"/>
    <x v="1"/>
    <m/>
    <x v="2"/>
    <s v="https://www.youtube.com/watch?v=1UnsEQPK3PQ"/>
    <s v="Global Perceptions of Indian Heritage - SI Conference 2- Inaugural Session"/>
    <m/>
    <m/>
    <m/>
    <n v="2300"/>
    <d v="1899-12-30T01:30:50"/>
    <s v="5 months ago"/>
    <m/>
    <m/>
    <d v="1899-12-30T00:00:00"/>
    <x v="3"/>
    <s v=""/>
    <m/>
    <m/>
    <m/>
  </r>
  <r>
    <n v="676"/>
    <x v="1"/>
    <m/>
    <x v="2"/>
    <s v="https://www.youtube.com/watch?v=bD-uUsBgY-w"/>
    <s v="Global Perceptions of Indian Heritage - SI Conference 2- Closing Session"/>
    <m/>
    <m/>
    <m/>
    <n v="1200"/>
    <d v="1899-12-30T01:34:00"/>
    <s v="5 months ago"/>
    <m/>
    <m/>
    <d v="1899-12-30T00:00:00"/>
    <x v="3"/>
    <s v=""/>
    <m/>
    <m/>
    <m/>
  </r>
  <r>
    <n v="677"/>
    <x v="1"/>
    <m/>
    <x v="2"/>
    <s v="https://www.youtube.com/watch?v=Lrh5zQHEIk4"/>
    <s v="Monograph 1: Pollock's Three Dimensional Philology"/>
    <m/>
    <m/>
    <m/>
    <n v="3700"/>
    <d v="1899-12-30T00:54:18"/>
    <s v="5 months ago"/>
    <m/>
    <m/>
    <d v="1899-12-30T00:00:00"/>
    <x v="3"/>
    <s v=""/>
    <m/>
    <m/>
    <m/>
  </r>
  <r>
    <n v="678"/>
    <x v="1"/>
    <m/>
    <x v="2"/>
    <s v="https://www.youtube.com/watch?v=edQr4IJQuEg"/>
    <s v="Monograph 2: Politics of Sanskrit Studies"/>
    <m/>
    <m/>
    <m/>
    <n v="6700"/>
    <d v="1899-12-30T00:39:23"/>
    <s v="5 months ago"/>
    <m/>
    <m/>
    <d v="1899-12-30T00:00:00"/>
    <x v="3"/>
    <s v=""/>
    <m/>
    <m/>
    <m/>
  </r>
  <r>
    <n v="679"/>
    <x v="1"/>
    <m/>
    <x v="2"/>
    <s v="https://www.youtube.com/watch?v=RJSsEA6fpJE"/>
    <s v="Purva Paksa of Pollock's use of Chronology - Megh K &amp; Manogna S"/>
    <m/>
    <m/>
    <m/>
    <n v="3700"/>
    <d v="1899-12-30T00:41:11"/>
    <s v="5 months ago"/>
    <m/>
    <m/>
    <d v="1899-12-30T00:00:00"/>
    <x v="3"/>
    <s v=""/>
    <m/>
    <m/>
    <m/>
  </r>
  <r>
    <n v="680"/>
    <x v="1"/>
    <m/>
    <x v="2"/>
    <s v="https://www.youtube.com/watch?v=BlNY-1vmqvA"/>
    <s v="Critique of &amp; Rebuttal to Pollock's Dating for Epics - Nilesh Oak"/>
    <m/>
    <m/>
    <m/>
    <n v="6500"/>
    <d v="1899-12-30T00:32:40"/>
    <s v="5 months ago"/>
    <m/>
    <m/>
    <d v="1899-12-30T00:00:00"/>
    <x v="3"/>
    <s v=""/>
    <m/>
    <m/>
    <m/>
  </r>
  <r>
    <n v="681"/>
    <x v="1"/>
    <m/>
    <x v="2"/>
    <s v="https://www.youtube.com/watch?v=_CKZQa18hcY"/>
    <s v="Mimamsa Critique of Pollock's History Theory - Dr S. Tilak"/>
    <m/>
    <m/>
    <m/>
    <n v="2900"/>
    <d v="1899-12-30T00:41:36"/>
    <s v="5 months ago"/>
    <m/>
    <m/>
    <d v="1899-12-30T00:00:00"/>
    <x v="3"/>
    <s v=""/>
    <m/>
    <m/>
    <m/>
  </r>
  <r>
    <n v="682"/>
    <x v="1"/>
    <m/>
    <x v="2"/>
    <s v="https://www.youtube.com/watch?v=iwaHs0-q9l8"/>
    <s v="The Science of Meaning - Sudarshan Therani"/>
    <m/>
    <m/>
    <m/>
    <n v="2100"/>
    <d v="1899-12-30T00:37:49"/>
    <s v="5 months ago"/>
    <m/>
    <m/>
    <d v="1899-12-30T00:00:00"/>
    <x v="3"/>
    <s v=""/>
    <m/>
    <m/>
    <m/>
  </r>
  <r>
    <n v="683"/>
    <x v="1"/>
    <m/>
    <x v="2"/>
    <s v="https://www.youtube.com/watch?v=lkO1JaN7BoQ"/>
    <s v="Gaṇita Śāstra &amp; Western Mathematics - S Mukhopadhayay"/>
    <m/>
    <m/>
    <m/>
    <n v="3000"/>
    <d v="1899-12-30T00:22:04"/>
    <s v="5 months ago"/>
    <m/>
    <m/>
    <d v="1899-12-30T00:00:00"/>
    <x v="3"/>
    <s v=""/>
    <m/>
    <m/>
    <m/>
  </r>
  <r>
    <n v="684"/>
    <x v="1"/>
    <m/>
    <x v="2"/>
    <s v="https://www.youtube.com/watch?v=vaRCmUwpmNk"/>
    <s v="Are Sanskrit Grammar &amp; Royal Power Related - Sowmya K"/>
    <m/>
    <m/>
    <m/>
    <n v="5400"/>
    <d v="1899-12-30T00:28:12"/>
    <s v="5 months ago"/>
    <m/>
    <m/>
    <d v="1899-12-30T00:00:00"/>
    <x v="3"/>
    <s v=""/>
    <m/>
    <m/>
    <m/>
  </r>
  <r>
    <n v="685"/>
    <x v="1"/>
    <m/>
    <x v="2"/>
    <s v="https://www.youtube.com/watch?v=qY_yQIrKwRk"/>
    <s v="Examination of Pollock's &quot;Project SKSEC&quot; - Manjushree Hegde"/>
    <m/>
    <m/>
    <m/>
    <n v="3300"/>
    <d v="1899-12-30T00:23:31"/>
    <s v="5 months ago"/>
    <m/>
    <m/>
    <d v="1899-12-30T00:00:00"/>
    <x v="3"/>
    <s v=""/>
    <m/>
    <m/>
    <m/>
  </r>
  <r>
    <n v="686"/>
    <x v="1"/>
    <m/>
    <x v="2"/>
    <s v="https://www.youtube.com/watch?v=4ZkNnR--tMY"/>
    <s v="A Computational Theory for Rasa - Prof K Gopinath"/>
    <m/>
    <m/>
    <m/>
    <n v="2600"/>
    <d v="1899-12-30T00:31:36"/>
    <s v="5 months ago"/>
    <m/>
    <m/>
    <d v="1899-12-30T00:00:00"/>
    <x v="3"/>
    <s v=""/>
    <m/>
    <m/>
    <m/>
  </r>
  <r>
    <n v="687"/>
    <x v="1"/>
    <m/>
    <x v="2"/>
    <s v="https://www.youtube.com/watch?v=Fb11XAvWeyE"/>
    <s v="Pollock's Influence on Contemporary Discourse- Discussion between Sonal Mansingh and Rajiv Malhotra"/>
    <m/>
    <m/>
    <m/>
    <n v="5800"/>
    <d v="1899-12-30T00:08:49"/>
    <s v="5 months ago"/>
    <m/>
    <m/>
    <d v="1899-12-30T00:00:00"/>
    <x v="3"/>
    <s v=""/>
    <m/>
    <m/>
    <m/>
  </r>
  <r>
    <n v="688"/>
    <x v="1"/>
    <m/>
    <x v="2"/>
    <s v="https://www.youtube.com/watch?v=xAicQnL_abA"/>
    <s v="Why Traditional Scholars Should Take Pollock Seriously - Rajiv Malhotra Explains"/>
    <m/>
    <m/>
    <m/>
    <n v="12000"/>
    <d v="1899-12-30T00:11:23"/>
    <s v="5 months ago"/>
    <m/>
    <m/>
    <d v="1899-12-30T00:00:00"/>
    <x v="3"/>
    <s v=""/>
    <m/>
    <m/>
    <m/>
  </r>
  <r>
    <n v="689"/>
    <x v="1"/>
    <m/>
    <x v="2"/>
    <s v="https://www.youtube.com/watch?v=kcbL1wC9PEg"/>
    <s v="Sheldon Pollock's Prashastis For His Funding Sources"/>
    <m/>
    <m/>
    <m/>
    <n v="4800"/>
    <d v="1899-12-30T00:04:29"/>
    <s v="5 months ago"/>
    <m/>
    <m/>
    <d v="1899-12-30T00:00:00"/>
    <x v="3"/>
    <s v=""/>
    <m/>
    <m/>
    <m/>
  </r>
  <r>
    <n v="690"/>
    <x v="1"/>
    <m/>
    <x v="2"/>
    <s v="https://www.youtube.com/watch?v=qqDl6coS7wg"/>
    <s v="Rajiv Malhotra Darshan with Puri Shankaracharya to discuss common interests"/>
    <m/>
    <m/>
    <m/>
    <n v="9100"/>
    <d v="1899-12-30T00:46:14"/>
    <s v="5 months ago"/>
    <m/>
    <m/>
    <d v="1899-12-30T00:00:00"/>
    <x v="3"/>
    <s v=""/>
    <m/>
    <m/>
    <m/>
  </r>
  <r>
    <n v="691"/>
    <x v="1"/>
    <m/>
    <x v="2"/>
    <s v="https://www.youtube.com/watch?v=0RYS6V76lRQ"/>
    <s v="Decolonizing the Indian Civil Services: Rajiv Malhotra"/>
    <m/>
    <m/>
    <m/>
    <n v="24000"/>
    <d v="1899-12-30T01:04:12"/>
    <s v="5 months ago"/>
    <m/>
    <m/>
    <d v="1899-12-30T00:00:00"/>
    <x v="3"/>
    <s v=""/>
    <m/>
    <m/>
    <m/>
  </r>
  <r>
    <n v="692"/>
    <x v="1"/>
    <m/>
    <x v="2"/>
    <s v="https://www.youtube.com/watch?v=gtJ9OzJIB_c"/>
    <s v="R Nagaswamy's Plenary Talk at Swadeshi Indology Conf 2"/>
    <m/>
    <m/>
    <m/>
    <n v="4900"/>
    <d v="1899-12-30T00:40:24"/>
    <s v="5 months ago"/>
    <m/>
    <m/>
    <d v="1899-12-30T00:00:00"/>
    <x v="3"/>
    <s v=""/>
    <m/>
    <m/>
    <m/>
  </r>
  <r>
    <n v="693"/>
    <x v="1"/>
    <m/>
    <x v="2"/>
    <s v="https://www.youtube.com/watch?v=7AYmPqY5iF4"/>
    <s v="Lets Debate the Politics of Social Sciences"/>
    <m/>
    <m/>
    <m/>
    <n v="5300"/>
    <d v="1899-12-30T00:21:13"/>
    <s v="5 months ago"/>
    <m/>
    <m/>
    <d v="1899-12-30T00:00:00"/>
    <x v="3"/>
    <s v=""/>
    <m/>
    <m/>
    <m/>
  </r>
  <r>
    <n v="694"/>
    <x v="1"/>
    <m/>
    <x v="2"/>
    <s v="https://www.youtube.com/watch?v=4iGdwJ3nQcs&amp;t=38s"/>
    <s v="Kashmir Violence and the Legal Hounding of Madhu Kishwar"/>
    <m/>
    <m/>
    <m/>
    <n v="18000"/>
    <d v="1899-12-30T00:48:06"/>
    <s v="4 months ago"/>
    <m/>
    <m/>
    <d v="1899-12-30T00:00:00"/>
    <x v="3"/>
    <s v=""/>
    <m/>
    <m/>
    <m/>
  </r>
  <r>
    <n v="695"/>
    <x v="1"/>
    <m/>
    <x v="2"/>
    <s v="https://www.youtube.com/watch?v=OI3nL5YCIO8"/>
    <s v="Princeton University's Parth Parihar Interviews Rajiv Malhotra"/>
    <m/>
    <m/>
    <m/>
    <n v="9100"/>
    <d v="1899-12-30T01:00:59"/>
    <s v="4 months ago"/>
    <m/>
    <m/>
    <d v="1899-12-30T00:00:00"/>
    <x v="3"/>
    <s v=""/>
    <m/>
    <m/>
    <m/>
  </r>
  <r>
    <n v="696"/>
    <x v="1"/>
    <m/>
    <x v="2"/>
    <s v="https://www.youtube.com/watch?v=_xxJKDZyRuE"/>
    <s v="Keynote Speech by Rajiv Malhotra: &quot;Hindu Contributions to Humanity&quot;"/>
    <m/>
    <m/>
    <m/>
    <n v="10000"/>
    <d v="1899-12-30T00:31:39"/>
    <s v="4 months ago"/>
    <m/>
    <m/>
    <d v="1899-12-30T00:00:00"/>
    <x v="3"/>
    <s v=""/>
    <m/>
    <m/>
    <m/>
  </r>
  <r>
    <n v="697"/>
    <x v="1"/>
    <m/>
    <x v="2"/>
    <s v="https://www.youtube.com/watch?v=vhlPSbFlxPI"/>
    <s v="Rajiv Malhotra Invites Hindus To Send Queries About Hinduism"/>
    <m/>
    <m/>
    <m/>
    <n v="3700"/>
    <d v="1899-12-30T00:02:34"/>
    <s v="4 months ago"/>
    <m/>
    <m/>
    <d v="1899-12-30T00:00:00"/>
    <x v="3"/>
    <s v=""/>
    <m/>
    <m/>
    <m/>
  </r>
  <r>
    <n v="698"/>
    <x v="1"/>
    <m/>
    <x v="2"/>
    <s v="https://www.youtube.com/watch?v=vmOlaD1O5rg"/>
    <s v="Did the &quot;Art of Living&quot; Event Destroy The Yamuna, as Alleged?"/>
    <m/>
    <m/>
    <m/>
    <n v="16000"/>
    <d v="1899-12-30T00:55:25"/>
    <s v="4 months ago"/>
    <m/>
    <m/>
    <d v="1899-12-30T00:00:00"/>
    <x v="3"/>
    <s v=""/>
    <m/>
    <m/>
    <m/>
  </r>
  <r>
    <n v="699"/>
    <x v="1"/>
    <m/>
    <x v="2"/>
    <s v="https://www.youtube.com/watch?v=WzgR7yTQNzY"/>
    <s v="In Conversation with Meenakshi Jain"/>
    <m/>
    <m/>
    <m/>
    <n v="16000"/>
    <d v="1899-12-30T00:50:51"/>
    <s v="4 months ago"/>
    <m/>
    <m/>
    <d v="1899-12-30T00:00:00"/>
    <x v="3"/>
    <s v=""/>
    <m/>
    <m/>
    <m/>
  </r>
  <r>
    <n v="700"/>
    <x v="5"/>
    <m/>
    <x v="0"/>
    <s v="https://www.youtube.com/watch?v=SNpVBfgzPmo"/>
    <s v="Discussing the Digestion of Yoga with a White Hindu"/>
    <m/>
    <m/>
    <m/>
    <n v="12000"/>
    <d v="1899-12-30T00:40:15"/>
    <s v="4 months ago"/>
    <m/>
    <m/>
    <d v="1899-12-30T00:00:00"/>
    <x v="45"/>
    <s v=""/>
    <m/>
    <m/>
    <m/>
  </r>
  <r>
    <n v="700.01"/>
    <x v="5"/>
    <m/>
    <x v="0"/>
    <m/>
    <m/>
    <s v="Interview with Sri Louise-Her Journey to Hinduism"/>
    <s v="A disciple of Swami Dayanand Saraswati since 1998, Sri Louise talks about the cognitive shift in her life. She also describes entering a larger social stratosphere in 2012-13 after reading Invading the Sacred and actively critiquing some of her peers practising Yoga. "/>
    <m/>
    <m/>
    <m/>
    <m/>
    <d v="1899-12-30T00:00:17"/>
    <d v="1899-12-30T00:05:32"/>
    <d v="1899-12-30T00:05:15"/>
    <x v="45"/>
    <m/>
    <s v="Good"/>
    <s v="Good"/>
    <s v="Good"/>
  </r>
  <r>
    <n v="700.02"/>
    <x v="5"/>
    <m/>
    <x v="0"/>
    <m/>
    <m/>
    <s v="Lost in Translation-Looting of Yoga, A video Clip by Sri Louise"/>
    <s v="Sri Louise speaks about the teachers who teach Srimad Bhagwad Gita who never learnt from qualified teachers, and thus they themselves are not qulaified to teach Gita. In the process the text itself gets lost in translation. She also talks about non-translatables and inside versus outsiders. Rajiv Malhotra talks in brief about the journey of using the term Hinduphobia."/>
    <m/>
    <m/>
    <m/>
    <m/>
    <d v="1899-12-30T00:05:34"/>
    <d v="1899-12-30T00:08:42"/>
    <d v="1899-12-30T00:03:08"/>
    <x v="45"/>
    <m/>
    <s v="Good"/>
    <s v="Good"/>
    <s v="Good"/>
  </r>
  <r>
    <n v="700.03"/>
    <x v="5"/>
    <m/>
    <x v="0"/>
    <m/>
    <m/>
    <s v="Deva Premal and Miten says Hindus appropriated Mantras"/>
    <s v="The front-runners of the worldwide chanting phenomenon Deva and Miten who make their millions chanting and singing the Samskrit mantras say that these are primordial sounds and Hindus appropriated them. Dissecting their position very clinically, Rajiv Malhotra states that the real question is whether the Mantra chanting and Christianity are compatible with each other or not. Sri Louise muses over the western-colonial narcissism, lack of rigorous thinking and colonial self-deflection by some of the western yoga-kirtan-mantra people."/>
    <m/>
    <m/>
    <m/>
    <m/>
    <d v="1899-12-30T00:08:43"/>
    <d v="1899-12-30T00:27:45"/>
    <d v="1899-12-30T00:19:02"/>
    <x v="45"/>
    <m/>
    <s v="Good"/>
    <s v="Good"/>
    <s v="Good"/>
  </r>
  <r>
    <n v="700.04"/>
    <x v="5"/>
    <m/>
    <x v="0"/>
    <m/>
    <m/>
    <s v="Yoga's position in the West"/>
    <s v="Rajiv Malhotra is concerned about the confused westerners who end up confusing Hindus and also Hindu Gurus who began to accept the position that westerners take. Rajiv Malhotra also theorises how the digestion process happens and asks how Sri Louise views that. She gives her own perscpective from the standpoint of a westerner about the digestion and the commodification. She rues about the neo-colonial perspectives and tactics by her peers and also the fact that for most westerners Yoga is almost synomymous with asanas and have nothing to do with the real Yoga. Rajiv Malhotra ends by saying that distancing from its source and finding it inferior is the ego's excuse for digestion."/>
    <m/>
    <m/>
    <m/>
    <m/>
    <d v="1899-12-30T00:27:45"/>
    <d v="1899-12-30T00:39:23"/>
    <d v="1899-12-30T00:11:38"/>
    <x v="45"/>
    <m/>
    <s v="Good"/>
    <s v="Good"/>
    <s v="Good"/>
  </r>
  <r>
    <n v="701"/>
    <x v="1"/>
    <m/>
    <x v="2"/>
    <s v="https://www.youtube.com/watch?v=MC9pK4dCHAs"/>
    <s v="Natyasastra to Bollywood: Rasa, an eternal experience - Charu Uppal"/>
    <m/>
    <m/>
    <m/>
    <n v="895"/>
    <d v="1899-12-30T00:22:54"/>
    <s v="3 months ago"/>
    <m/>
    <m/>
    <d v="1899-12-30T00:00:00"/>
    <x v="3"/>
    <s v=""/>
    <m/>
    <m/>
    <m/>
  </r>
  <r>
    <n v="702"/>
    <x v="1"/>
    <m/>
    <x v="2"/>
    <s v="https://www.youtube.com/watch?v=g8GW7DlPr4g"/>
    <s v="The Science of the Sacred - Sudarshan Therani"/>
    <m/>
    <m/>
    <m/>
    <n v="214"/>
    <d v="1899-12-30T00:43:15"/>
    <s v="3 months ago"/>
    <m/>
    <m/>
    <d v="1899-12-30T00:00:00"/>
    <x v="3"/>
    <s v=""/>
    <m/>
    <m/>
    <m/>
  </r>
  <r>
    <n v="703"/>
    <x v="1"/>
    <m/>
    <x v="2"/>
    <s v="https://www.youtube.com/watch?v=lQph5joRdU8"/>
    <s v="Sheldon Pollock &amp; Desacralization of Sanskrit - Megh K and Manogna S"/>
    <m/>
    <m/>
    <m/>
    <n v="1400"/>
    <d v="1899-12-30T00:36:18"/>
    <s v="3 months ago"/>
    <m/>
    <m/>
    <d v="1899-12-30T00:00:00"/>
    <x v="3"/>
    <s v=""/>
    <m/>
    <m/>
    <m/>
  </r>
  <r>
    <n v="704"/>
    <x v="1"/>
    <m/>
    <x v="2"/>
    <s v="https://www.youtube.com/watch?v=DMReaVWJGFE"/>
    <s v="Pollock's views on Rasa: A Critique - Karthik S Joshi"/>
    <m/>
    <m/>
    <m/>
    <n v="159"/>
    <d v="1899-12-30T00:19:44"/>
    <s v="3 months ago"/>
    <m/>
    <m/>
    <d v="1899-12-30T00:00:00"/>
    <x v="3"/>
    <s v=""/>
    <m/>
    <m/>
    <m/>
  </r>
  <r>
    <n v="705"/>
    <x v="1"/>
    <m/>
    <x v="2"/>
    <s v="https://www.youtube.com/watch?v=Zused4CGMw4"/>
    <s v="Sanskrit is not dead - Satyanarayana Dasa"/>
    <m/>
    <m/>
    <m/>
    <n v="1700"/>
    <d v="1899-12-30T00:31:39"/>
    <s v="3 months ago"/>
    <m/>
    <m/>
    <d v="1899-12-30T00:00:00"/>
    <x v="3"/>
    <s v=""/>
    <m/>
    <m/>
    <m/>
  </r>
  <r>
    <n v="706"/>
    <x v="1"/>
    <m/>
    <x v="2"/>
    <s v="https://www.youtube.com/watch?v=KCUZ6hBgxc0"/>
    <s v="Pollock's &quot;From Rasa Seen to Rasa Heard&quot;: A Critique - Sreejit Datta"/>
    <m/>
    <m/>
    <m/>
    <n v="395"/>
    <d v="1899-12-30T00:15:16"/>
    <s v="3 months ago"/>
    <m/>
    <m/>
    <d v="1899-12-30T00:00:00"/>
    <x v="3"/>
    <s v=""/>
    <m/>
    <m/>
    <m/>
  </r>
  <r>
    <n v="707"/>
    <x v="1"/>
    <m/>
    <x v="2"/>
    <s v="https://www.youtube.com/watch?v=k0FNC9LuJoo&amp;t=4s"/>
    <s v="The Buddha Versus Sheldon Pollock — Dr. Koenraad Elst"/>
    <m/>
    <m/>
    <m/>
    <n v="4200"/>
    <d v="1899-12-30T00:34:38"/>
    <s v="3 months ago"/>
    <m/>
    <m/>
    <d v="1899-12-30T00:00:00"/>
    <x v="3"/>
    <s v=""/>
    <m/>
    <m/>
    <m/>
  </r>
  <r>
    <n v="708"/>
    <x v="1"/>
    <m/>
    <x v="2"/>
    <s v="https://www.youtube.com/watch?v=DBYSIkWsAOI"/>
    <s v="Remarks From Chair: Session on Misc Themes - Shashi Tiwari"/>
    <m/>
    <m/>
    <m/>
    <n v="131"/>
    <d v="1899-12-30T00:12:46"/>
    <s v="3 months ago"/>
    <m/>
    <m/>
    <d v="1899-12-30T00:00:00"/>
    <x v="3"/>
    <s v=""/>
    <m/>
    <m/>
    <m/>
  </r>
  <r>
    <n v="709"/>
    <x v="1"/>
    <m/>
    <x v="2"/>
    <s v="https://www.youtube.com/watch?v=VKbVHIgKbbo"/>
    <s v="Remarks From Chair: Session on Sastra &amp; Misc Theme — Dr. Aravinda Rao"/>
    <m/>
    <m/>
    <m/>
    <n v="420"/>
    <d v="1899-12-30T00:07:12"/>
    <s v="3 months ago"/>
    <m/>
    <m/>
    <d v="1899-12-30T00:00:00"/>
    <x v="3"/>
    <s v=""/>
    <m/>
    <m/>
    <m/>
  </r>
  <r>
    <n v="710"/>
    <x v="1"/>
    <m/>
    <x v="2"/>
    <s v="https://www.youtube.com/watch?v=uaTb9-4kT2Y"/>
    <s v="Hinduism and Buddhism: Convergent or Divergent - Rajath V"/>
    <m/>
    <m/>
    <m/>
    <n v="1000"/>
    <d v="1899-12-30T00:29:16"/>
    <s v="3 months ago"/>
    <m/>
    <m/>
    <d v="1899-12-30T00:00:00"/>
    <x v="3"/>
    <s v=""/>
    <m/>
    <m/>
    <m/>
  </r>
  <r>
    <n v="711"/>
    <x v="1"/>
    <m/>
    <x v="2"/>
    <s v="https://www.youtube.com/watch?v=wKoUB00RmE0"/>
    <s v="The Science &amp; Nescience of Mimamsa - Sudarshan Therani"/>
    <m/>
    <m/>
    <m/>
    <n v="508"/>
    <d v="1899-12-30T00:27:57"/>
    <s v="3 months ago"/>
    <m/>
    <m/>
    <d v="1899-12-30T00:00:00"/>
    <x v="3"/>
    <s v=""/>
    <m/>
    <m/>
    <m/>
  </r>
  <r>
    <n v="712"/>
    <x v="1"/>
    <m/>
    <x v="2"/>
    <s v="https://www.youtube.com/watch?v=sI2xSENomQY"/>
    <s v="Pollock's 'Irresponsible' Vs Valmiki's 'Plausible' Ramayana - Animesh Aaryan"/>
    <m/>
    <m/>
    <m/>
    <n v="710"/>
    <d v="1899-12-30T00:18:09"/>
    <s v="3 months ago"/>
    <m/>
    <m/>
    <d v="1899-12-30T00:00:00"/>
    <x v="3"/>
    <s v=""/>
    <m/>
    <m/>
    <m/>
  </r>
  <r>
    <n v="713"/>
    <x v="3"/>
    <m/>
    <x v="0"/>
    <s v="https://www.youtube.com/watch?v=Ts09Fp7M53k"/>
    <s v="The divine nature of the Vedas - Alok Mishra"/>
    <m/>
    <m/>
    <m/>
    <n v="1000"/>
    <d v="1899-12-30T00:21:57"/>
    <s v="3 months ago"/>
    <m/>
    <m/>
    <d v="1899-12-30T00:00:00"/>
    <x v="46"/>
    <s v=""/>
    <m/>
    <m/>
    <m/>
  </r>
  <r>
    <n v="713.01"/>
    <x v="3"/>
    <m/>
    <x v="0"/>
    <m/>
    <m/>
    <s v="Mimamsa: Dharma = Yagna contradicts Pollok's views  (Alok Misra in Hindi)"/>
    <m/>
    <m/>
    <m/>
    <m/>
    <m/>
    <d v="1899-12-30T00:01:49"/>
    <d v="1899-12-30T00:06:10"/>
    <d v="1899-12-30T00:04:21"/>
    <x v="46"/>
    <s v="https://www.youtube.com/embed/Ts09Fp7M53k?start=109&amp;end=370&amp;autoplay=1"/>
    <s v="Good"/>
    <s v="Good"/>
    <s v="Good"/>
  </r>
  <r>
    <n v="713.02"/>
    <x v="3"/>
    <m/>
    <x v="0"/>
    <m/>
    <m/>
    <s v="Mimamsa - all cognitions are true until falsified (Alok Misra in Hindi)"/>
    <m/>
    <m/>
    <m/>
    <m/>
    <m/>
    <d v="1899-12-30T00:06:15"/>
    <d v="1899-12-30T00:09:54"/>
    <d v="1899-12-30T00:03:39"/>
    <x v="46"/>
    <s v="https://www.youtube.com/embed/Ts09Fp7M53k?start=375&amp;end=594&amp;autoplay=1"/>
    <s v="Good"/>
    <s v="Good"/>
    <s v="Good"/>
  </r>
  <r>
    <n v="713.03"/>
    <x v="3"/>
    <m/>
    <x v="0"/>
    <m/>
    <m/>
    <s v="Vedas are apouresheya - belief contested by Pollock (Alok Misra in Hindi)"/>
    <m/>
    <m/>
    <m/>
    <m/>
    <m/>
    <d v="1899-12-30T00:09:56"/>
    <d v="1899-12-30T00:14:28"/>
    <d v="1899-12-30T00:04:32"/>
    <x v="46"/>
    <s v="https://www.youtube.com/embed/Ts09Fp7M53k?start=596&amp;end=868&amp;autoplay=1"/>
    <s v="Good"/>
    <s v="Good"/>
    <s v="Good"/>
  </r>
  <r>
    <n v="713.04"/>
    <x v="3"/>
    <m/>
    <x v="0"/>
    <m/>
    <m/>
    <s v="Contesting Sheldon Pollock's views on Vedas (Alok  Misra in Hindi)"/>
    <m/>
    <m/>
    <m/>
    <m/>
    <m/>
    <d v="1899-12-30T00:14:29"/>
    <d v="1899-12-30T00:21:35"/>
    <d v="1899-12-30T00:07:06"/>
    <x v="46"/>
    <s v="https://www.youtube.com/embed/Ts09Fp7M53k?start=869&amp;end=1295&amp;autoplay=1"/>
    <s v="Good"/>
    <s v="Good"/>
    <s v="Good"/>
  </r>
  <r>
    <n v="714"/>
    <x v="1"/>
    <m/>
    <x v="2"/>
    <s v="https://www.youtube.com/watch?v=inDcB8LwlqI"/>
    <s v="Sastra of Science &amp; Science of Sastras - Madhu &amp; Sudarshan Therani"/>
    <m/>
    <m/>
    <m/>
    <n v="878"/>
    <d v="1899-12-30T00:27:15"/>
    <s v="3 months ago"/>
    <m/>
    <m/>
    <d v="1899-12-30T00:00:00"/>
    <x v="3"/>
    <s v=""/>
    <m/>
    <m/>
    <m/>
  </r>
  <r>
    <n v="715"/>
    <x v="1"/>
    <m/>
    <x v="2"/>
    <s v="https://www.youtube.com/watch?v=1wYg5d-4aVg"/>
    <s v="Rejoinder to Rasa Reader: An Insider View - Sharda Narayanan"/>
    <m/>
    <m/>
    <m/>
    <n v="1100"/>
    <d v="1899-12-30T00:20:16"/>
    <s v="3 months ago"/>
    <m/>
    <m/>
    <d v="1899-12-30T00:00:00"/>
    <x v="3"/>
    <s v=""/>
    <m/>
    <m/>
    <m/>
  </r>
  <r>
    <n v="716"/>
    <x v="1"/>
    <m/>
    <x v="2"/>
    <s v="https://www.youtube.com/watch?v=oLCI7vQ7WFk"/>
    <s v="Remarks From Chair: Session on Rasa - Dr Pappu Venugopala Rao"/>
    <m/>
    <m/>
    <m/>
    <n v="347"/>
    <d v="1899-12-30T00:27:44"/>
    <s v="3 months ago"/>
    <m/>
    <m/>
    <d v="1899-12-30T00:00:00"/>
    <x v="3"/>
    <s v=""/>
    <m/>
    <m/>
    <m/>
  </r>
  <r>
    <n v="717"/>
    <x v="1"/>
    <m/>
    <x v="2"/>
    <s v="https://www.youtube.com/watch?v=Owv0FewW5Bo"/>
    <s v="Commonalities in Hindu &amp; Buddhist Meta Framework - Ravi Joshi"/>
    <m/>
    <m/>
    <m/>
    <n v="465"/>
    <d v="1899-12-30T00:20:41"/>
    <s v="3 months ago"/>
    <m/>
    <m/>
    <d v="1899-12-30T00:00:00"/>
    <x v="3"/>
    <s v=""/>
    <m/>
    <m/>
    <m/>
  </r>
  <r>
    <n v="718"/>
    <x v="1"/>
    <m/>
    <x v="2"/>
    <s v="https://www.youtube.com/watch?v=3ytmTvor21A"/>
    <s v="Impressions of Swadeshi Indology Conference 2 - Dr. Sonal Mansingh"/>
    <m/>
    <m/>
    <m/>
    <n v="1100"/>
    <d v="1899-12-30T00:04:30"/>
    <s v="3 months ago"/>
    <m/>
    <m/>
    <d v="1899-12-30T00:00:00"/>
    <x v="3"/>
    <s v=""/>
    <m/>
    <m/>
    <m/>
  </r>
  <r>
    <n v="719"/>
    <x v="1"/>
    <m/>
    <x v="2"/>
    <s v="https://www.youtube.com/watch?v=tPgOVeqnOcc"/>
    <s v="Remarks from chair - Session 2 on Rasa - Prof. K Gopinath"/>
    <m/>
    <m/>
    <m/>
    <n v="690"/>
    <d v="1899-12-30T00:08:23"/>
    <s v="3 months ago"/>
    <m/>
    <m/>
    <d v="1899-12-30T00:00:00"/>
    <x v="3"/>
    <s v=""/>
    <m/>
    <m/>
    <m/>
  </r>
  <r>
    <n v="720"/>
    <x v="1"/>
    <m/>
    <x v="2"/>
    <s v="https://www.youtube.com/watch?v=sEg8fP2ckhI"/>
    <s v="Plenary Session 3: Dr. Pappu Venugopala Rao"/>
    <m/>
    <m/>
    <m/>
    <n v="734"/>
    <d v="1899-12-30T00:34:15"/>
    <s v="3 months ago"/>
    <m/>
    <m/>
    <d v="1899-12-30T00:00:00"/>
    <x v="3"/>
    <s v=""/>
    <m/>
    <m/>
    <m/>
  </r>
  <r>
    <n v="721"/>
    <x v="1"/>
    <m/>
    <x v="2"/>
    <s v="https://www.youtube.com/watch?v=tmCFtpj6IZc"/>
    <s v="Plenary Session 2 - Dr Meenakshi Jain"/>
    <m/>
    <m/>
    <m/>
    <n v="2400"/>
    <d v="1899-12-30T00:36:44"/>
    <s v="3 months ago"/>
    <m/>
    <m/>
    <d v="1899-12-30T00:00:00"/>
    <x v="3"/>
    <s v=""/>
    <m/>
    <m/>
    <m/>
  </r>
  <r>
    <n v="722"/>
    <x v="1"/>
    <m/>
    <x v="2"/>
    <s v="https://www.youtube.com/watch?v=Ul-faWS75vA"/>
    <s v="Pollock’s Hypothesis on “Othering” is unscientific - Murali KV"/>
    <m/>
    <m/>
    <m/>
    <n v="698"/>
    <d v="1899-12-30T00:23:55"/>
    <s v="3 months ago"/>
    <m/>
    <m/>
    <d v="1899-12-30T00:00:00"/>
    <x v="3"/>
    <s v=""/>
    <m/>
    <m/>
    <m/>
  </r>
  <r>
    <n v="723"/>
    <x v="1"/>
    <m/>
    <x v="2"/>
    <s v="https://www.youtube.com/watch?v=rP79c8rd-jE"/>
    <s v="Upanishads and Buddha's Teachings - Sunil M V"/>
    <m/>
    <m/>
    <m/>
    <n v="587"/>
    <d v="1899-12-30T00:19:27"/>
    <s v="3 months ago"/>
    <m/>
    <m/>
    <d v="1899-12-30T00:00:00"/>
    <x v="3"/>
    <s v=""/>
    <m/>
    <m/>
    <m/>
  </r>
  <r>
    <n v="724"/>
    <x v="3"/>
    <m/>
    <x v="0"/>
    <s v="https://www.youtube.com/watch?v=4ej2lqB-kjM"/>
    <s v="Pollock's Desacralisation of the Indian Rasa Tradition - Ashay Naik"/>
    <m/>
    <m/>
    <m/>
    <n v="304"/>
    <d v="1899-12-30T00:31:53"/>
    <s v="3 months ago"/>
    <m/>
    <m/>
    <d v="1899-12-30T00:00:00"/>
    <x v="46"/>
    <s v=""/>
    <m/>
    <m/>
    <m/>
  </r>
  <r>
    <n v="724.01"/>
    <x v="3"/>
    <m/>
    <x v="0"/>
    <m/>
    <m/>
    <s v="Pollock's distortion politicization of Kavya - Ashay Naik"/>
    <m/>
    <m/>
    <m/>
    <m/>
    <m/>
    <d v="1899-12-30T00:03:27"/>
    <d v="1899-12-30T00:09:54"/>
    <d v="1899-12-30T00:06:27"/>
    <x v="46"/>
    <s v="https://www.youtube.com/embed/4ej2lqB-kjM?start=207&amp;end=594&amp;autoplay=1"/>
    <s v="Good"/>
    <s v="Good"/>
    <s v="Good"/>
  </r>
  <r>
    <n v="724.02"/>
    <x v="3"/>
    <m/>
    <x v="0"/>
    <m/>
    <m/>
    <s v="Pollock wilfully demishes imp of scholars emphasizing rasa in kavya - Ashay Naik"/>
    <m/>
    <m/>
    <m/>
    <m/>
    <m/>
    <d v="1899-12-30T00:10:34"/>
    <d v="1899-12-30T00:16:47"/>
    <d v="1899-12-30T00:06:13"/>
    <x v="46"/>
    <s v="https://www.youtube.com/embed/4ej2lqB-kjM?start=634&amp;end=1007&amp;autoplay=1"/>
    <s v="Good"/>
    <s v="Good"/>
    <s v="Good"/>
  </r>
  <r>
    <n v="724.03"/>
    <x v="3"/>
    <m/>
    <x v="0"/>
    <m/>
    <m/>
    <s v="Pollock promotes socio-political message of kavya (eg scholars Bhoja)  - Ashay Naik"/>
    <m/>
    <m/>
    <m/>
    <m/>
    <m/>
    <d v="1899-12-30T00:16:48"/>
    <d v="1899-12-30T00:20:16"/>
    <d v="1899-12-30T00:03:28"/>
    <x v="46"/>
    <s v="https://www.youtube.com/embed/4ej2lqB-kjM?start=1008&amp;end=1216&amp;autoplay=1"/>
    <s v="Good"/>
    <s v="Good"/>
    <s v="Good"/>
  </r>
  <r>
    <n v="724.04"/>
    <x v="3"/>
    <m/>
    <x v="0"/>
    <m/>
    <m/>
    <s v="Pollock's criticism of Kavyasastra tradition &amp; contributions of Bhatanaik - Ashay Naik"/>
    <m/>
    <m/>
    <m/>
    <m/>
    <m/>
    <d v="1899-12-30T00:20:17"/>
    <d v="1899-12-30T00:25:53"/>
    <d v="1899-12-30T00:05:36"/>
    <x v="46"/>
    <s v="https://www.youtube.com/embed/4ej2lqB-kjM?start=1217&amp;end=1553&amp;autoplay=1"/>
    <s v="Good"/>
    <s v="Good"/>
    <s v="Good"/>
  </r>
  <r>
    <n v="724.05"/>
    <x v="3"/>
    <m/>
    <x v="0"/>
    <m/>
    <m/>
    <s v="Western Indologists' marxist interpretation of rasa &amp; Kavya - Ashay Naik"/>
    <m/>
    <m/>
    <m/>
    <m/>
    <m/>
    <d v="1899-12-30T00:25:54"/>
    <d v="1899-12-30T00:31:02"/>
    <d v="1899-12-30T00:05:08"/>
    <x v="46"/>
    <s v="https://www.youtube.com/embed/4ej2lqB-kjM?start=1554&amp;end=1862&amp;autoplay=1"/>
    <s v="Good"/>
    <s v="Good"/>
    <s v="Good"/>
  </r>
  <r>
    <n v="725"/>
    <x v="1"/>
    <m/>
    <x v="2"/>
    <s v="https://www.youtube.com/watch?v=OmWUkxANoEk"/>
    <s v="Mimamsa and the Problem of History in Traditional India - Ananth Sethuraman"/>
    <m/>
    <m/>
    <m/>
    <n v="361"/>
    <d v="1899-12-30T00:36:59"/>
    <s v="3 months ago"/>
    <m/>
    <m/>
    <d v="1899-12-30T00:00:00"/>
    <x v="3"/>
    <s v=""/>
    <m/>
    <m/>
    <m/>
  </r>
  <r>
    <n v="726"/>
    <x v="1"/>
    <m/>
    <x v="2"/>
    <s v="https://www.youtube.com/watch?v=5IYA6g6rNW0"/>
    <s v="Rasa one step below Brahman - Dr. R Ganesh"/>
    <m/>
    <m/>
    <m/>
    <n v="2200"/>
    <d v="1899-12-30T00:28:24"/>
    <s v="3 months ago"/>
    <m/>
    <m/>
    <d v="1899-12-30T00:00:00"/>
    <x v="3"/>
    <s v=""/>
    <m/>
    <m/>
    <m/>
  </r>
  <r>
    <n v="727"/>
    <x v="1"/>
    <m/>
    <x v="2"/>
    <s v="https://www.youtube.com/watch?v=zEXu5K5eyCY"/>
    <s v="Rasa theory - Dr. Nagaswamy"/>
    <m/>
    <m/>
    <m/>
    <n v="1600"/>
    <d v="1899-12-30T00:48:48"/>
    <s v="3 months ago"/>
    <m/>
    <m/>
    <d v="1899-12-30T00:00:00"/>
    <x v="3"/>
    <s v=""/>
    <m/>
    <m/>
    <m/>
  </r>
  <r>
    <n v="728"/>
    <x v="1"/>
    <m/>
    <x v="2"/>
    <s v="https://www.youtube.com/watch?v=s9g49kgd9ao"/>
    <s v="Change and growth of Rasa Theory - Naresh Cuntoor"/>
    <m/>
    <m/>
    <m/>
    <n v="245"/>
    <d v="1899-12-30T00:33:46"/>
    <s v="3 months ago"/>
    <m/>
    <m/>
    <d v="1899-12-30T00:00:00"/>
    <x v="3"/>
    <s v=""/>
    <m/>
    <m/>
    <m/>
  </r>
  <r>
    <n v="729"/>
    <x v="1"/>
    <m/>
    <x v="2"/>
    <s v="https://www.youtube.com/watch?v=7IXp156RgtQ"/>
    <s v="Mimamsa and Ahistoricism - Prof. K S Kannan"/>
    <m/>
    <m/>
    <m/>
    <n v="479"/>
    <d v="1899-12-30T00:43:08"/>
    <s v="3 months ago"/>
    <m/>
    <m/>
    <d v="1899-12-30T00:00:00"/>
    <x v="3"/>
    <s v=""/>
    <m/>
    <m/>
    <m/>
  </r>
  <r>
    <n v="730"/>
    <x v="1"/>
    <m/>
    <x v="2"/>
    <s v="https://www.youtube.com/watch?v=1CJb6PuWDqk"/>
    <s v="Remarks From Chair - Session on Chronology and Buddhism_Dr Nagaswamy"/>
    <m/>
    <m/>
    <m/>
    <n v="217"/>
    <d v="1899-12-30T00:18:33"/>
    <s v="3 months ago"/>
    <m/>
    <m/>
    <d v="1899-12-30T00:00:00"/>
    <x v="3"/>
    <s v=""/>
    <m/>
    <m/>
    <m/>
  </r>
  <r>
    <n v="731"/>
    <x v="1"/>
    <m/>
    <x v="2"/>
    <s v="https://www.youtube.com/watch?v=3Pat7agSMJU&amp;t=22s"/>
    <s v="Brahmanism, Buddhism and Mimamsa - Sharda Narayanan"/>
    <m/>
    <m/>
    <m/>
    <n v="5500"/>
    <d v="1899-12-30T00:27:14"/>
    <s v="3 months ago"/>
    <m/>
    <m/>
    <d v="1899-12-30T00:00:00"/>
    <x v="3"/>
    <s v=""/>
    <m/>
    <m/>
    <m/>
  </r>
  <r>
    <n v="732"/>
    <x v="1"/>
    <m/>
    <x v="2"/>
    <s v="https://www.youtube.com/watch?v=lyiuoR-2E6I"/>
    <s v="Examining Pollock's &quot;Sanskrit Cosmopolis&quot; - Arvind Prasad"/>
    <m/>
    <m/>
    <m/>
    <n v="335"/>
    <d v="1899-12-30T00:34:23"/>
    <s v="3 months ago"/>
    <m/>
    <m/>
    <d v="1899-12-30T00:00:00"/>
    <x v="3"/>
    <s v=""/>
    <m/>
    <m/>
    <m/>
  </r>
  <r>
    <n v="733"/>
    <x v="1"/>
    <m/>
    <x v="2"/>
    <s v="https://www.youtube.com/watch?v=h4ZgKKlmUl0&amp;t=481s"/>
    <s v="Conflict Between Buddhism &amp; Hinduism - Dr. R Nagaswamy"/>
    <m/>
    <m/>
    <m/>
    <n v="4400"/>
    <d v="1899-12-30T00:25:24"/>
    <s v="3 months ago"/>
    <m/>
    <m/>
    <d v="1899-12-30T00:00:00"/>
    <x v="3"/>
    <s v=""/>
    <m/>
    <m/>
    <m/>
  </r>
  <r>
    <n v="734"/>
    <x v="1"/>
    <m/>
    <x v="2"/>
    <s v="https://www.youtube.com/watch?v=8gCMYZ-alVw"/>
    <s v="Pollock's Philology: Mixing Ramayana and Political Imagination - Ishani Dutta"/>
    <m/>
    <m/>
    <m/>
    <n v="1300"/>
    <d v="1899-12-30T00:17:36"/>
    <s v="3 months ago"/>
    <m/>
    <m/>
    <d v="1899-12-30T00:00:00"/>
    <x v="3"/>
    <s v=""/>
    <m/>
    <m/>
    <m/>
  </r>
  <r>
    <n v="735"/>
    <x v="1"/>
    <m/>
    <x v="2"/>
    <s v="https://www.youtube.com/watch?v=aPfBxS4huSc"/>
    <s v="Remarks from Chair - Session on Mimamsa &amp; some Misc topics - Dr. Koenraad Elst"/>
    <m/>
    <m/>
    <m/>
    <n v="684"/>
    <d v="1899-12-30T00:04:20"/>
    <s v="3 months ago"/>
    <m/>
    <m/>
    <d v="1899-12-30T00:00:00"/>
    <x v="3"/>
    <s v=""/>
    <m/>
    <m/>
    <m/>
  </r>
  <r>
    <n v="736"/>
    <x v="1"/>
    <m/>
    <x v="2"/>
    <s v="https://www.youtube.com/watch?v=HQK8u4lh7y0"/>
    <s v="Remarks from chair - Session on Philology - Dr. Korada Subrahmanyam"/>
    <m/>
    <m/>
    <m/>
    <n v="570"/>
    <d v="1899-12-30T00:07:37"/>
    <s v="3 months ago"/>
    <m/>
    <m/>
    <d v="1899-12-30T00:00:00"/>
    <x v="3"/>
    <s v=""/>
    <m/>
    <m/>
    <m/>
  </r>
  <r>
    <n v="737"/>
    <x v="1"/>
    <m/>
    <x v="2"/>
    <s v="https://www.youtube.com/watch?v=qIQN0DtO2Z8"/>
    <s v="Remarks from chair - Session on Buddhism - Dr. Amarjiva Lochan"/>
    <m/>
    <m/>
    <m/>
    <n v="431"/>
    <d v="1899-12-30T00:07:42"/>
    <s v="3 months ago"/>
    <m/>
    <m/>
    <d v="1899-12-30T00:00:00"/>
    <x v="3"/>
    <s v=""/>
    <m/>
    <m/>
    <m/>
  </r>
  <r>
    <n v="738"/>
    <x v="1"/>
    <m/>
    <x v="2"/>
    <s v="https://www.youtube.com/watch?v=ZErxsCxSQsA"/>
    <s v="Pollock's &quot;Death of Sanskrit&quot; - An Analysis - Jayaraman Mahadevan"/>
    <m/>
    <m/>
    <m/>
    <n v="1300"/>
    <d v="1899-12-30T00:32:51"/>
    <s v="3 months ago"/>
    <m/>
    <m/>
    <d v="1899-12-30T00:00:00"/>
    <x v="3"/>
    <s v=""/>
    <m/>
    <m/>
    <m/>
  </r>
  <r>
    <n v="739"/>
    <x v="1"/>
    <m/>
    <x v="2"/>
    <s v="https://www.youtube.com/watch?v=ZyApm_PJ-W8&amp;t=65s"/>
    <s v="India’s (Unacknowledged) Contributions to Mind Sciences: Rajiv Malhotra"/>
    <m/>
    <m/>
    <m/>
    <n v="14000"/>
    <d v="1899-12-30T00:56:56"/>
    <s v="3 months ago"/>
    <m/>
    <m/>
    <d v="1899-12-30T00:00:00"/>
    <x v="3"/>
    <s v=""/>
    <m/>
    <m/>
    <m/>
  </r>
  <r>
    <n v="740"/>
    <x v="5"/>
    <m/>
    <x v="0"/>
    <s v="https://www.youtube.com/watch?v=VFJFvcNogFU"/>
    <s v="Rajiv Malhotra in Conversation with Brooke Boon, Founder of ‘Holy Yoga’"/>
    <m/>
    <m/>
    <m/>
    <n v="8100"/>
    <d v="1899-12-30T01:44:09"/>
    <s v="3 months ago"/>
    <m/>
    <m/>
    <d v="1899-12-30T00:00:00"/>
    <x v="24"/>
    <s v=""/>
    <m/>
    <m/>
    <m/>
  </r>
  <r>
    <n v="740.01"/>
    <x v="5"/>
    <m/>
    <x v="0"/>
    <m/>
    <m/>
    <s v="What is Holy Yoga?"/>
    <s v="In her promotional video, Brooke Boon invites believers and seekers of Jesus to Holy Yoga"/>
    <m/>
    <m/>
    <m/>
    <m/>
    <d v="1899-12-30T00:03:31"/>
    <d v="1899-12-30T00:05:38"/>
    <d v="1899-12-30T00:02:07"/>
    <x v="24"/>
    <s v="https://www.youtube.com/embed/VFJFvcNogFU?start=211&amp;end=338&amp;autoplay=1"/>
    <s v="Good"/>
    <s v="Good"/>
    <s v="Good"/>
  </r>
  <r>
    <n v="740.02"/>
    <x v="5"/>
    <m/>
    <x v="0"/>
    <m/>
    <m/>
    <s v="Teachers' training programme by Holy Yoga"/>
    <s v="Another Holy Yoga promotional video: Explains how they weave Bible and Spriitualness. Invite Christians to deepen their knowledge of how Yoga and word of God come together. "/>
    <m/>
    <m/>
    <m/>
    <m/>
    <d v="1899-12-30T00:05:39"/>
    <d v="1899-12-30T00:07:54"/>
    <d v="1899-12-30T00:02:15"/>
    <x v="24"/>
    <s v="https://www.youtube.com/embed/VFJFvcNogFU?start=339&amp;end=474&amp;autoplay=1"/>
    <s v="Good"/>
    <s v="Good"/>
    <s v="Good"/>
  </r>
  <r>
    <n v="740.03"/>
    <x v="5"/>
    <m/>
    <x v="0"/>
    <m/>
    <m/>
    <s v="Jesus is our Guru"/>
    <s v="Brooke declares Jesus is the Guru, Gu meaning &quot;Dark', Ru meaning &quot;Light&quot;. Explains naunces of the spirit and her sweeping experience of God, about the transformation of her mind, heart and action."/>
    <m/>
    <m/>
    <m/>
    <m/>
    <d v="1899-12-30T00:07:55"/>
    <d v="1899-12-30T00:11:42"/>
    <d v="1899-12-30T00:03:47"/>
    <x v="24"/>
    <s v="https://www.youtube.com/embed/VFJFvcNogFU?start=475&amp;end=702&amp;autoplay=1"/>
    <s v="Good"/>
    <s v="Good"/>
    <s v="Good"/>
  </r>
  <r>
    <n v="740.04"/>
    <x v="5"/>
    <m/>
    <x v="0"/>
    <m/>
    <m/>
    <s v="Meaning of Namaste in Holy Yoga"/>
    <s v="As per Holy Yoga, Brooke Boon explains, the meaning of Namaste as bowing not to the individual but to to Christ in him, to the light of Christ."/>
    <m/>
    <m/>
    <m/>
    <m/>
    <d v="1899-12-30T00:11:43"/>
    <d v="1899-12-30T00:13:06"/>
    <d v="1899-12-30T00:01:23"/>
    <x v="24"/>
    <s v="https://www.youtube.com/embed/VFJFvcNogFU?start=703&amp;end=786&amp;autoplay=1"/>
    <s v="Good"/>
    <s v="Good"/>
    <s v="Good"/>
  </r>
  <r>
    <n v="740.05"/>
    <x v="5"/>
    <m/>
    <x v="0"/>
    <m/>
    <m/>
    <s v="Holy Yoga supports individuals and the Ministry"/>
    <s v="In a Holy Yoga video, an instructor explains that God has given them the vision and support to equip the individuals to bring the Gospel to the ends of the world, so they work through the modalities of Holy Yoga to achieve the goal."/>
    <m/>
    <m/>
    <m/>
    <m/>
    <d v="1899-12-30T00:13:06"/>
    <d v="1899-12-30T00:14:40"/>
    <d v="1899-12-30T00:01:34"/>
    <x v="24"/>
    <s v="https://www.youtube.com/embed/VFJFvcNogFU?start=786&amp;end=880&amp;autoplay=1"/>
    <s v="Good"/>
    <s v="Good"/>
    <s v="Good"/>
  </r>
  <r>
    <n v="740.06"/>
    <x v="5"/>
    <m/>
    <x v="0"/>
    <m/>
    <m/>
    <s v="Digestion of Hindu Yoga into Holy Yoga"/>
    <s v="Brooke Boon describes her journey on the path that lead her to Holy Yoga. When her life fell apart at some point, she found Jesus."/>
    <m/>
    <m/>
    <m/>
    <m/>
    <d v="1899-12-30T00:15:14"/>
    <d v="1899-12-30T00:24:20"/>
    <d v="1899-12-30T00:09:06"/>
    <x v="24"/>
    <s v="https://www.youtube.com/embed/VFJFvcNogFU?start=914&amp;end=1460&amp;autoplay=1"/>
    <s v="Good"/>
    <s v="Good"/>
    <s v="Good"/>
  </r>
  <r>
    <n v="740.07"/>
    <x v="5"/>
    <m/>
    <x v="0"/>
    <m/>
    <m/>
    <s v="Seeking Enlightenment: Hindu way and Christian way"/>
    <s v="Brooke Boon says as Christians, they seek communion with Chris. She describes Jesus as saying, &quot;the Kingdom is within us&quot;. So, seeking that intimacy with the interior should not be discounted as Hindu practice."/>
    <m/>
    <m/>
    <m/>
    <m/>
    <d v="1899-12-30T00:24:41"/>
    <d v="1899-12-30T00:26:18"/>
    <d v="1899-12-30T00:01:37"/>
    <x v="24"/>
    <s v="https://www.youtube.com/embed/VFJFvcNogFU?start=1481&amp;end=1578&amp;autoplay=1"/>
    <s v="Good"/>
    <s v="Good"/>
    <s v="Good"/>
  </r>
  <r>
    <n v="740.08"/>
    <x v="5"/>
    <m/>
    <x v="0"/>
    <m/>
    <m/>
    <s v="Does Jesus-focused Yoga Practice keep Satan away?"/>
    <s v="Brooke Boon does not think Satan can affect anyone doing Yoga."/>
    <m/>
    <m/>
    <m/>
    <m/>
    <d v="1899-12-30T00:26:19"/>
    <d v="1899-12-30T00:29:52"/>
    <d v="1899-12-30T00:03:33"/>
    <x v="24"/>
    <s v="https://www.youtube.com/embed/VFJFvcNogFU?start=1579&amp;end=1792&amp;autoplay=1"/>
    <s v="Good"/>
    <s v="Good"/>
    <s v="Good"/>
  </r>
  <r>
    <n v="740.09"/>
    <x v="5"/>
    <m/>
    <x v="0"/>
    <m/>
    <m/>
    <s v="Difference between Hindu and Christian idea on Yoga"/>
    <s v="Rajiv Malhotra and Brooke Boon explore the connect between Yoga and Salvation on one hand and on the other hand between Yoga and Karma/Reincarnation."/>
    <m/>
    <m/>
    <m/>
    <m/>
    <d v="1899-12-30T00:29:53"/>
    <d v="1899-12-30T00:33:13"/>
    <d v="1899-12-30T00:03:20"/>
    <x v="24"/>
    <s v="https://www.youtube.com/embed/VFJFvcNogFU?start=1793&amp;end=1993&amp;autoplay=1"/>
    <s v="Good"/>
    <s v="Good"/>
    <s v="Good"/>
  </r>
  <r>
    <n v="740.1"/>
    <x v="5"/>
    <m/>
    <x v="0"/>
    <m/>
    <m/>
    <s v="Multiple Deities of Hindu and One form of Jesus"/>
    <s v="Rajiv Malhotra states that a Hindu can worship any God and may have a preferred God called Ishtadevata."/>
    <m/>
    <m/>
    <m/>
    <m/>
    <d v="1899-12-30T00:33:14"/>
    <d v="1899-12-30T00:38:49"/>
    <d v="1899-12-30T00:05:35"/>
    <x v="24"/>
    <s v="https://www.youtube.com/embed/VFJFvcNogFU?start=1994&amp;end=2329&amp;autoplay=1"/>
    <s v="Good"/>
    <s v="Good"/>
    <s v="Good"/>
  </r>
  <r>
    <n v="740.11"/>
    <x v="5"/>
    <m/>
    <x v="0"/>
    <m/>
    <m/>
    <s v="False Gods as per Christianity"/>
    <s v="Rajiv Malhotra refers to the book Holy Yoga that mentions that there is the risk of  false Gods coming in if one does different kinds of Yoga. Brooke Boon admits the Church has not done a good job about this and adds that one should not pass judgement on anyone's beliefs."/>
    <m/>
    <m/>
    <m/>
    <m/>
    <d v="1899-12-30T00:38:50"/>
    <d v="1899-12-30T00:40:45"/>
    <d v="1899-12-30T00:01:55"/>
    <x v="24"/>
    <s v="https://www.youtube.com/embed/VFJFvcNogFU?start=2330&amp;end=2445&amp;autoplay=1"/>
    <s v="Good"/>
    <s v="Good"/>
    <s v="Good"/>
  </r>
  <r>
    <n v="740.12"/>
    <x v="5"/>
    <m/>
    <x v="0"/>
    <m/>
    <m/>
    <s v="Idolatory and Hindu's belief in other manifestations of God"/>
    <s v="Brooke Boon describes her belief about the inherent divinity in Jesus through her own worldview. Rajiv Malhotra asks why Christians do not believe that God CAN take other forms. Brooke believes that fullness of reality is found in Christ."/>
    <m/>
    <m/>
    <m/>
    <m/>
    <d v="1899-12-30T00:40:46"/>
    <d v="1899-12-30T00:43:50"/>
    <d v="1899-12-30T00:03:04"/>
    <x v="24"/>
    <s v="https://www.youtube.com/embed/VFJFvcNogFU?start=2446&amp;end=2630&amp;autoplay=1"/>
    <s v="Poor"/>
    <s v="Good"/>
    <s v="Good"/>
  </r>
  <r>
    <n v="740.13"/>
    <x v="5"/>
    <m/>
    <x v="0"/>
    <m/>
    <m/>
    <s v="Understanding of Aum, Namaste, Bhaktiyoga etc."/>
    <s v="Rajiv Malhotra appreciates her knowledge about some Hindu practices and further probes her about recitation of verses from Bible before doing Yoga in the school of Holy Yoga. Brooke Boon replies that the recitation is not for all the asanas but only is theme based."/>
    <m/>
    <m/>
    <m/>
    <m/>
    <d v="1899-12-30T00:43:51"/>
    <d v="1899-12-30T00:47:27"/>
    <d v="1899-12-30T00:03:36"/>
    <x v="24"/>
    <s v="https://www.youtube.com/embed/VFJFvcNogFU?start=2631&amp;end=2847&amp;autoplay=1"/>
    <s v="Poor"/>
    <s v="Good"/>
    <s v="Good"/>
  </r>
  <r>
    <n v="740.14"/>
    <x v="5"/>
    <m/>
    <x v="0"/>
    <m/>
    <m/>
    <s v="Success of Holy Yoga Movement"/>
    <s v="Brooke Boon describes the success of Holy Yoga movement, presence in several countries and about possibility of entering India."/>
    <m/>
    <m/>
    <m/>
    <m/>
    <d v="1899-12-30T00:47:30"/>
    <d v="1899-12-30T00:51:31"/>
    <d v="1899-12-30T00:04:01"/>
    <x v="24"/>
    <s v="https://www.youtube.com/embed/VFJFvcNogFU?start=2850&amp;end=3091&amp;autoplay=1"/>
    <s v="Good"/>
    <s v="Good"/>
    <s v="Good"/>
  </r>
  <r>
    <n v="740.15"/>
    <x v="5"/>
    <m/>
    <x v="0"/>
    <m/>
    <m/>
    <s v="Is Christian Yoga necessary for Enlightenment or is optional?"/>
    <s v="Brooke Boon says doing Yoga as per her school is neither necessary nor sufficient for enlightenment. According to her, only surrender to Jesus is necessary for that. "/>
    <m/>
    <m/>
    <m/>
    <m/>
    <d v="1899-12-30T00:51:33"/>
    <d v="1899-12-30T00:56:36"/>
    <d v="1899-12-30T00:05:03"/>
    <x v="24"/>
    <s v="https://www.youtube.com/embed/VFJFvcNogFU?start=3093&amp;end=3396&amp;autoplay=1"/>
    <s v="Good"/>
    <s v="Good"/>
    <s v="Good"/>
  </r>
  <r>
    <n v="740.16"/>
    <x v="5"/>
    <m/>
    <x v="0"/>
    <m/>
    <m/>
    <s v="Appropriation of Hindu tradition and Christianizing of the same"/>
    <s v="Rajiv Malhotra probes whether it is fair to Hindus when their traditions are taken and re-marketed to them by Evangelicals and used against them."/>
    <m/>
    <m/>
    <m/>
    <m/>
    <d v="1899-12-30T00:56:38"/>
    <d v="1899-12-30T01:06:13"/>
    <d v="1899-12-30T00:09:35"/>
    <x v="24"/>
    <s v="https://www.youtube.com/embed/VFJFvcNogFU?start=3398&amp;end=3973&amp;autoplay=1"/>
    <s v="Good"/>
    <s v="Good"/>
    <s v="Good"/>
  </r>
  <r>
    <n v="740.17"/>
    <x v="5"/>
    <m/>
    <x v="0"/>
    <m/>
    <m/>
    <s v="Analysis of interview with Brooke Boon"/>
    <s v="Brooke Boon appears as accomodative and ambivalent. Holy Yoga website is very explicit. Clearly comes out as Christian Ministry. Shows how the missionaries obtain fake visas (called tentmakers) and operate as students, businessmen, NGOs, long-term tourists, retirees etc. to accomplish the job as missionaries."/>
    <m/>
    <m/>
    <m/>
    <m/>
    <d v="1899-12-30T01:06:14"/>
    <d v="1899-12-30T01:10:37"/>
    <d v="1899-12-30T00:04:23"/>
    <x v="20"/>
    <m/>
    <s v="Good"/>
    <s v="Good"/>
    <s v="Good"/>
  </r>
  <r>
    <n v="740.18"/>
    <x v="5"/>
    <m/>
    <x v="0"/>
    <m/>
    <m/>
    <s v="Spending time with Hindus-Pastor Joe Style"/>
    <s v="Article by Pastor Joe on the Holy Yoga website clearly outlines that to make an impact on Hindus for converting them to Christianity, it's necessary to spend time with them. His wife Diane started wearing the symbols of Hindu womern as trhey realised the importance of Hindus."/>
    <m/>
    <m/>
    <m/>
    <m/>
    <d v="1899-12-30T01:10:38"/>
    <d v="1899-12-30T01:29:39"/>
    <d v="1899-12-30T00:19:01"/>
    <x v="14"/>
    <m/>
    <s v="Good"/>
    <s v="Good"/>
    <s v="Good"/>
  </r>
  <r>
    <n v="740.19"/>
    <x v="5"/>
    <m/>
    <x v="0"/>
    <m/>
    <m/>
    <s v="Yoga as Pastor Joe sees it in Holy Yoga"/>
    <s v="Pastor built a case that to Christianise Yoga, it's necessary to Christianise bhajans, satsang, Hindu clothes, Hindu symbols etc. He discusses in his artilce on the website various ways of biblical contextualisation keeping Jesus at the center. "/>
    <m/>
    <m/>
    <m/>
    <m/>
    <d v="1899-12-30T01:29:40"/>
    <d v="1899-12-30T01:36:31"/>
    <d v="1899-12-30T00:06:51"/>
    <x v="14"/>
    <m/>
    <s v="Good"/>
    <s v="Good"/>
    <s v="Good"/>
  </r>
  <r>
    <n v="740.2"/>
    <x v="5"/>
    <m/>
    <x v="0"/>
    <m/>
    <m/>
    <s v="Holy Yoga website says it all"/>
    <s v="Unambiguous statement on the website that Holy Yoga is Christian Ministry. Several quotes from Bible on the website. Appears there is huge pressure from the Christians to learn Yoga so the Church wants to avoid losing Christians and also convert Hindus to Christianity. Holy Yoga clearly comes out as Bible-centric, Jesus-centric Christian missionary movement to re-interpret and utilise the power of Yoga movement for their evangelical purpose."/>
    <m/>
    <m/>
    <m/>
    <m/>
    <d v="1899-12-30T01:36:32"/>
    <d v="1899-12-30T01:41:14"/>
    <d v="1899-12-30T00:04:42"/>
    <x v="14"/>
    <m/>
    <s v="Good"/>
    <s v="Good"/>
    <s v="Good"/>
  </r>
  <r>
    <n v="741"/>
    <x v="1"/>
    <m/>
    <x v="2"/>
    <s v="https://www.youtube.com/watch?v=JlEmX46IYNY"/>
    <s v="Rajiv Malhotra in Conversation with Brooke Boon, Founder of ‘Holy Yoga’"/>
    <m/>
    <m/>
    <m/>
    <n v="9400"/>
    <d v="1899-12-30T01:41:33"/>
    <s v="3 months ago"/>
    <m/>
    <m/>
    <d v="1899-12-30T00:00:00"/>
    <x v="3"/>
    <s v=""/>
    <m/>
    <m/>
    <m/>
  </r>
  <r>
    <n v="742"/>
    <x v="1"/>
    <m/>
    <x v="2"/>
    <s v="https://www.youtube.com/watch?v=SPD35eCSgDk"/>
    <s v="In Conversation with Vivek Agnihotri, A Patriotic Filmmaker"/>
    <m/>
    <m/>
    <m/>
    <n v="18000"/>
    <d v="1899-12-30T01:04:02"/>
    <s v="3 months ago"/>
    <m/>
    <m/>
    <d v="1899-12-30T00:00:00"/>
    <x v="3"/>
    <s v=""/>
    <m/>
    <m/>
    <m/>
  </r>
  <r>
    <n v="743"/>
    <x v="1"/>
    <m/>
    <x v="2"/>
    <s v="https://www.youtube.com/watch?v=sy6xQyjX7qg"/>
    <s v="Discussion with Suzin Green, a Kali Worshipper &amp; Yoga-based Life Coach"/>
    <m/>
    <m/>
    <m/>
    <n v="10000"/>
    <d v="1899-12-30T01:05:29"/>
    <s v="3 months ago"/>
    <m/>
    <m/>
    <d v="1899-12-30T00:00:00"/>
    <x v="3"/>
    <s v=""/>
    <m/>
    <m/>
    <m/>
  </r>
  <r>
    <n v="744"/>
    <x v="1"/>
    <m/>
    <x v="2"/>
    <s v="https://www.youtube.com/watch?v=xCLLCYBg7Zc"/>
    <s v="Dr Subramanian Swamy In Conversation with Rajiv Malhotra"/>
    <m/>
    <m/>
    <m/>
    <n v="114000"/>
    <d v="1899-12-30T01:01:25"/>
    <s v="2 months ago"/>
    <m/>
    <m/>
    <d v="1899-12-30T00:00:00"/>
    <x v="3"/>
    <s v=""/>
    <m/>
    <m/>
    <m/>
  </r>
  <r>
    <n v="745"/>
    <x v="1"/>
    <m/>
    <x v="2"/>
    <s v="https://www.youtube.com/watch?v=s4vjcCAXvVI"/>
    <s v="Discussion with General GD Bakshi: &quot;Bold Proposals on India's Security Dilemmas&quot;"/>
    <m/>
    <m/>
    <m/>
    <n v="27000"/>
    <d v="1899-12-30T01:00:36"/>
    <s v="2 months ago"/>
    <m/>
    <m/>
    <d v="1899-12-30T00:00:00"/>
    <x v="3"/>
    <s v=""/>
    <m/>
    <m/>
    <m/>
  </r>
  <r>
    <n v="746"/>
    <x v="1"/>
    <m/>
    <x v="2"/>
    <s v="https://www.youtube.com/watch?v=wfQX8QWcWgI"/>
    <s v="Swami Vigyananand (Chairman of World Hindu Foundation) In Conversation with Rajiv Malhotra"/>
    <m/>
    <m/>
    <m/>
    <n v="17000"/>
    <d v="1899-12-30T00:56:58"/>
    <s v="2 months ago"/>
    <m/>
    <m/>
    <d v="1899-12-30T00:00:00"/>
    <x v="3"/>
    <s v=""/>
    <m/>
    <m/>
    <m/>
  </r>
  <r>
    <n v="747"/>
    <x v="1"/>
    <m/>
    <x v="2"/>
    <s v="https://www.youtube.com/watch?v=c50rfZlrNXU"/>
    <s v="Prof R. Vaidyanathan &amp; Rajiv Malhotra on the Global and Local Economic Mess"/>
    <m/>
    <m/>
    <m/>
    <n v="24000"/>
    <d v="1899-12-30T01:05:28"/>
    <s v="2 months ago"/>
    <m/>
    <m/>
    <d v="1899-12-30T00:00:00"/>
    <x v="3"/>
    <s v=""/>
    <m/>
    <m/>
    <m/>
  </r>
  <r>
    <n v="748"/>
    <x v="1"/>
    <m/>
    <x v="2"/>
    <s v="https://www.youtube.com/watch?v=Bx9ffGtMMxo"/>
    <s v="Meet the Real Hero Behind Demonetization"/>
    <m/>
    <m/>
    <m/>
    <n v="22000"/>
    <d v="1899-12-30T00:46:53"/>
    <s v="2 months ago"/>
    <m/>
    <m/>
    <d v="1899-12-30T00:00:00"/>
    <x v="3"/>
    <s v=""/>
    <m/>
    <m/>
    <m/>
  </r>
  <r>
    <n v="749"/>
    <x v="1"/>
    <m/>
    <x v="2"/>
    <s v="https://www.youtube.com/watch?v=DL5cLBZou3I"/>
    <s v="Sushil Pandit, Well-Known Kashmir Activist In Conversation with Rajiv Malhotra"/>
    <m/>
    <m/>
    <m/>
    <n v="27000"/>
    <d v="1899-12-30T00:48:04"/>
    <s v="1 month ago"/>
    <m/>
    <m/>
    <d v="1899-12-30T00:00:00"/>
    <x v="3"/>
    <s v=""/>
    <m/>
    <m/>
    <m/>
  </r>
  <r>
    <n v="750"/>
    <x v="5"/>
    <m/>
    <x v="0"/>
    <s v="https://www.youtube.com/watch?v=dHQ-HMVdPyE"/>
    <s v="Swami Nirmalanandanatha, Head of Sri Adichunchanagiri Muth, Discusses with Rajiv Malhotra"/>
    <m/>
    <m/>
    <m/>
    <n v="14000"/>
    <d v="1899-12-30T01:01:09"/>
    <s v="1 month ago"/>
    <m/>
    <m/>
    <d v="1899-12-30T00:00:00"/>
    <x v="25"/>
    <s v=""/>
    <m/>
    <m/>
    <m/>
  </r>
  <r>
    <n v="750.01"/>
    <x v="5"/>
    <m/>
    <x v="0"/>
    <m/>
    <m/>
    <s v="Introduction of Sri Adichunchunagiri Muth by Swami Nirmalanandanatha "/>
    <s v="Briefly describes about 1500 years of the history of Muth and its role in the society for blending of ancient and modern education and in other social aspects"/>
    <m/>
    <m/>
    <m/>
    <m/>
    <d v="1899-12-30T00:02:07"/>
    <d v="1899-12-30T00:08:37"/>
    <d v="1899-12-30T00:06:30"/>
    <x v="25"/>
    <s v="https://www.youtube.com/embed/dHQ-HMVdPyE?start=127&amp;end=517&amp;autoplay=1"/>
    <s v="Good"/>
    <s v="Good"/>
    <s v="Good"/>
  </r>
  <r>
    <n v="750.02"/>
    <x v="5"/>
    <m/>
    <x v="0"/>
    <m/>
    <m/>
    <s v="Karnataka Gurus render spiritual and religious services alongwith social and education services"/>
    <s v="Explains why Gurus and Muthas are successful in Karnataka in providing services that directly impact society. Rethinking is required how past glory can be brought back. "/>
    <m/>
    <m/>
    <m/>
    <m/>
    <d v="1899-12-30T00:08:38"/>
    <d v="1899-12-30T00:15:28"/>
    <d v="1899-12-30T00:06:50"/>
    <x v="25"/>
    <s v="https://www.youtube.com/embed/dHQ-HMVdPyE?start=518&amp;end=928&amp;autoplay=1"/>
    <s v="Good"/>
    <s v="Good"/>
    <s v="Good"/>
  </r>
  <r>
    <n v="750.03"/>
    <x v="5"/>
    <m/>
    <x v="0"/>
    <m/>
    <m/>
    <s v="Importance of education and the need to de-colonize our minds"/>
    <s v="Discussion about the state of education, the medium of instructions, inclusion of Western ideologies in curriculum. Exclusion of learning about our ancient knowledge and importance of knowing one's own culture."/>
    <m/>
    <m/>
    <m/>
    <m/>
    <d v="1899-12-30T00:15:29"/>
    <d v="1899-12-30T00:19:15"/>
    <d v="1899-12-30T00:03:46"/>
    <x v="25"/>
    <s v="https://www.youtube.com/embed/dHQ-HMVdPyE?start=929&amp;end=1155&amp;autoplay=1"/>
    <s v="Good"/>
    <s v="Good"/>
    <s v="Good"/>
  </r>
  <r>
    <n v="750.04"/>
    <x v="5"/>
    <m/>
    <x v="0"/>
    <m/>
    <m/>
    <s v="Educational policy and Aryan-Dravidian divide"/>
    <s v="Discussion about why India was powerful until 1750, how we can incorporate Kautilya's Arthashstra. Also, how can we get rid of Aryan-Dravidian theory."/>
    <m/>
    <m/>
    <m/>
    <m/>
    <d v="1899-12-30T00:19:16"/>
    <d v="1899-12-30T00:24:14"/>
    <d v="1899-12-30T00:04:58"/>
    <x v="25"/>
    <s v="https://www.youtube.com/embed/dHQ-HMVdPyE?start=1156&amp;end=1454&amp;autoplay=1"/>
    <s v="Good"/>
    <s v="Good"/>
    <s v="Good"/>
  </r>
  <r>
    <n v="750.05"/>
    <x v="5"/>
    <m/>
    <x v="0"/>
    <m/>
    <m/>
    <s v="We are jati-based, hence merit-based society, and caste concept implanted by the British"/>
    <s v="Discuss our jati-based, varna-based class structure. British introduced this caste concept to divide and rule. Need to provide benefit not on the basis of caste but on the economic status . Also, how to support our Gurus under attack."/>
    <m/>
    <m/>
    <m/>
    <m/>
    <d v="1899-12-30T00:24:15"/>
    <d v="1899-12-30T00:30:07"/>
    <d v="1899-12-30T00:05:52"/>
    <x v="25"/>
    <s v="https://www.youtube.com/embed/dHQ-HMVdPyE?start=1455&amp;end=1807&amp;autoplay=1"/>
    <s v="Good"/>
    <s v="Good"/>
    <s v="Good"/>
  </r>
  <r>
    <n v="750.06"/>
    <x v="5"/>
    <m/>
    <x v="0"/>
    <m/>
    <m/>
    <s v="Get our temples back"/>
    <s v="Talk about Swami Dayanand Saraswati's role in setting up Hindu Dharma Acharya Sabha to get our temples back from Givt. control."/>
    <m/>
    <m/>
    <m/>
    <m/>
    <d v="1899-12-30T00:30:08"/>
    <d v="1899-12-30T00:33:00"/>
    <d v="1899-12-30T00:02:52"/>
    <x v="25"/>
    <s v="https://www.youtube.com/embed/dHQ-HMVdPyE?start=1808&amp;end=1980&amp;autoplay=1"/>
    <s v="Good"/>
    <s v="Good"/>
    <s v="Good"/>
  </r>
  <r>
    <n v="750.07"/>
    <x v="5"/>
    <m/>
    <x v="0"/>
    <m/>
    <m/>
    <s v="Yoga, our gift to the mankind"/>
    <s v="Analysis of how Yoga has become big industry and is secularised by our own people as a business. Discuss the need to talk about the true purpose of Yoga."/>
    <m/>
    <m/>
    <m/>
    <m/>
    <d v="1899-12-30T00:33:03"/>
    <d v="1899-12-30T00:41:26"/>
    <d v="1899-12-30T00:08:23"/>
    <x v="25"/>
    <s v="https://www.youtube.com/embed/dHQ-HMVdPyE?start=1983&amp;end=2486&amp;autoplay=1"/>
    <s v="Good"/>
    <s v="Good"/>
    <s v="Good"/>
  </r>
  <r>
    <n v="750.08"/>
    <x v="5"/>
    <m/>
    <x v="0"/>
    <m/>
    <m/>
    <s v="Why the name &quot;Infinity&quot; of the foundation?"/>
    <s v="Rajiv Malhotra beautifully explains why this name was chosen. Also talks about what is Indra's Net."/>
    <m/>
    <m/>
    <m/>
    <m/>
    <d v="1899-12-30T00:41:29"/>
    <d v="1899-12-30T00:44:56"/>
    <d v="1899-12-30T00:03:27"/>
    <x v="25"/>
    <s v="https://www.youtube.com/embed/dHQ-HMVdPyE?start=2489&amp;end=2696&amp;autoplay=1"/>
    <s v="Good"/>
    <s v="Good"/>
    <s v="Good"/>
  </r>
  <r>
    <n v="750.09"/>
    <x v="5"/>
    <m/>
    <x v="0"/>
    <m/>
    <m/>
    <s v="Quantum Physics and Study of Consciousness"/>
    <s v="Discuss the connection between ancient philosophy and today's Quantum Physics. Rajiv Malhotra explains how today's Western scientists have converted our metaphysics into machines as extension of our senses to help the society today. Also, discuss how Western world is appropriating our metaphysics, our philosophy and marketing as their own."/>
    <m/>
    <m/>
    <m/>
    <m/>
    <d v="1899-12-30T00:44:57"/>
    <d v="1899-12-30T01:00:50"/>
    <d v="1899-12-30T00:15:53"/>
    <x v="25"/>
    <s v="https://www.youtube.com/embed/dHQ-HMVdPyE?start=2697&amp;end=3650&amp;autoplay=1"/>
    <s v="Good"/>
    <s v="Good"/>
    <s v="Good"/>
  </r>
  <r>
    <n v="751"/>
    <x v="1"/>
    <m/>
    <x v="2"/>
    <s v="https://www.youtube.com/watch?v=GtSbmTRia5Y"/>
    <s v="Rajiv Malhotra with Prof Mohan on &quot;Breaking India&quot; on Tharanga"/>
    <m/>
    <m/>
    <m/>
    <n v="6700"/>
    <d v="1899-12-30T01:57:35"/>
    <s v="1 month ago"/>
    <m/>
    <m/>
    <d v="1899-12-30T00:00:00"/>
    <x v="3"/>
    <s v=""/>
    <m/>
    <m/>
    <m/>
  </r>
  <r>
    <n v="752"/>
    <x v="1"/>
    <m/>
    <x v="2"/>
    <s v="https://www.youtube.com/watch?v=dvcJI5yAd6M&amp;t=122s"/>
    <s v="Persecution of Hindu Gurus Who Challenge Hinduphobia"/>
    <m/>
    <m/>
    <m/>
    <n v="39000"/>
    <d v="1899-12-30T00:38:48"/>
    <s v="1 month ago"/>
    <m/>
    <m/>
    <d v="1899-12-30T00:00:00"/>
    <x v="3"/>
    <s v=""/>
    <m/>
    <m/>
    <m/>
  </r>
  <r>
    <n v="753"/>
    <x v="1"/>
    <m/>
    <x v="2"/>
    <s v="https://www.youtube.com/watch?v=ahKeSqFT0Nk"/>
    <s v="Interfaith Marriages in USA. Discussion with Researcher"/>
    <m/>
    <m/>
    <m/>
    <n v="10000"/>
    <d v="1899-12-30T01:02:10"/>
    <s v="1 month ago"/>
    <m/>
    <m/>
    <d v="1899-12-30T00:00:00"/>
    <x v="3"/>
    <s v=""/>
    <m/>
    <m/>
    <m/>
  </r>
  <r>
    <n v="754"/>
    <x v="3"/>
    <m/>
    <x v="0"/>
    <s v="https://www.youtube.com/watch?v=JB_lc00AWIE"/>
    <s v="V. Ramachandran, the Noted Neuroscientist, In Conversation with Rajiv Malhotra"/>
    <m/>
    <m/>
    <m/>
    <n v="22000"/>
    <d v="1899-12-30T01:13:55"/>
    <s v="3 weeks ago"/>
    <m/>
    <m/>
    <d v="1899-12-30T00:00:00"/>
    <x v="47"/>
    <s v=""/>
    <m/>
    <m/>
    <m/>
  </r>
  <r>
    <n v="754.01"/>
    <x v="3"/>
    <m/>
    <x v="0"/>
    <m/>
    <m/>
    <s v="Debate on oral vs written traditions"/>
    <m/>
    <m/>
    <m/>
    <m/>
    <m/>
    <d v="1899-12-30T00:01:40"/>
    <d v="1899-12-30T00:04:58"/>
    <d v="1899-12-30T00:03:18"/>
    <x v="47"/>
    <s v="https://www.youtube.com/embed/JB_lc00AWIE?start=100&amp;end=298&amp;autoplay=1"/>
    <s v="Good"/>
    <s v="Good"/>
    <s v="Good"/>
  </r>
  <r>
    <n v="754.02"/>
    <x v="3"/>
    <m/>
    <x v="0"/>
    <m/>
    <m/>
    <s v="Sounds = distinct vibrations = emotions, irrespective of language"/>
    <m/>
    <m/>
    <m/>
    <m/>
    <m/>
    <d v="1899-12-30T00:04:59"/>
    <d v="1899-12-30T00:12:00"/>
    <d v="1899-12-30T00:07:01"/>
    <x v="47"/>
    <s v="https://www.youtube.com/embed/JB_lc00AWIE?start=299&amp;end=720&amp;autoplay=1"/>
    <s v="Good"/>
    <s v="Good"/>
    <s v="Good"/>
  </r>
  <r>
    <n v="754.03"/>
    <x v="3"/>
    <m/>
    <x v="0"/>
    <m/>
    <m/>
    <s v="Writing is unidimensional &amp; linear whereas senses are not"/>
    <m/>
    <m/>
    <m/>
    <m/>
    <m/>
    <d v="1899-12-30T00:12:02"/>
    <d v="1899-12-30T00:15:58"/>
    <d v="1899-12-30T00:03:56"/>
    <x v="47"/>
    <s v="https://www.youtube.com/embed/JB_lc00AWIE?start=722&amp;end=958&amp;autoplay=1"/>
    <s v="Good"/>
    <s v="Good"/>
    <s v="Good"/>
  </r>
  <r>
    <n v="754.04"/>
    <x v="3"/>
    <m/>
    <x v="0"/>
    <m/>
    <m/>
    <s v="Are we atrophying faculties by not using them"/>
    <m/>
    <m/>
    <m/>
    <m/>
    <m/>
    <d v="1899-12-30T00:15:59"/>
    <d v="1899-12-30T00:20:21"/>
    <d v="1899-12-30T00:04:22"/>
    <x v="47"/>
    <s v="https://www.youtube.com/embed/JB_lc00AWIE?start=959&amp;end=1221&amp;autoplay=1"/>
    <s v="Good"/>
    <s v="Good"/>
    <s v="Good"/>
  </r>
  <r>
    <n v="754.05"/>
    <x v="3"/>
    <m/>
    <x v="0"/>
    <m/>
    <m/>
    <s v="Importance of rythmic singing/ intonation and body movements in mind development"/>
    <m/>
    <m/>
    <m/>
    <m/>
    <m/>
    <d v="1899-12-30T00:20:22"/>
    <d v="1899-12-30T00:24:54"/>
    <d v="1899-12-30T00:04:32"/>
    <x v="47"/>
    <s v="https://www.youtube.com/embed/JB_lc00AWIE?start=1222&amp;end=1494&amp;autoplay=1"/>
    <s v="Good"/>
    <s v="Good"/>
    <s v="Good"/>
  </r>
  <r>
    <n v="754.06"/>
    <x v="3"/>
    <m/>
    <x v="0"/>
    <m/>
    <m/>
    <s v="Reconnecting new age consciousness studies to their roots"/>
    <m/>
    <m/>
    <m/>
    <m/>
    <m/>
    <d v="1899-12-30T00:24:55"/>
    <d v="1899-12-30T00:28:14"/>
    <d v="1899-12-30T00:03:19"/>
    <x v="47"/>
    <s v="https://www.youtube.com/embed/JB_lc00AWIE?start=1495&amp;end=1694&amp;autoplay=1"/>
    <s v="Good"/>
    <s v="Good"/>
    <s v="Good"/>
  </r>
  <r>
    <n v="754.07"/>
    <x v="3"/>
    <m/>
    <x v="0"/>
    <m/>
    <m/>
    <s v="Traditional Indian sciences - need for empirical evidence"/>
    <m/>
    <m/>
    <m/>
    <m/>
    <m/>
    <d v="1899-12-30T00:28:15"/>
    <d v="1899-12-30T00:33:36"/>
    <d v="1899-12-30T00:05:21"/>
    <x v="47"/>
    <s v="https://www.youtube.com/embed/JB_lc00AWIE?start=1695&amp;end=2016&amp;autoplay=1"/>
    <s v="Good"/>
    <s v="Good"/>
    <s v="Good"/>
  </r>
  <r>
    <n v="754.08"/>
    <x v="3"/>
    <m/>
    <x v="0"/>
    <m/>
    <m/>
    <s v="Unrealized/ unstudied potential of the mind"/>
    <m/>
    <m/>
    <m/>
    <m/>
    <m/>
    <d v="1899-12-30T00:33:37"/>
    <d v="1899-12-30T00:41:47"/>
    <d v="1899-12-30T00:08:10"/>
    <x v="47"/>
    <s v="https://www.youtube.com/embed/JB_lc00AWIE?start=2017&amp;end=2507&amp;autoplay=1"/>
    <s v="Good"/>
    <s v="Good"/>
    <s v="Good"/>
  </r>
  <r>
    <n v="754.09"/>
    <x v="3"/>
    <m/>
    <x v="0"/>
    <m/>
    <m/>
    <s v="Agamas in vedic traditions and their role in mind development"/>
    <m/>
    <m/>
    <m/>
    <m/>
    <m/>
    <d v="1899-12-30T00:41:48"/>
    <d v="1899-12-30T00:46:40"/>
    <d v="1899-12-30T00:04:52"/>
    <x v="47"/>
    <s v="https://www.youtube.com/embed/JB_lc00AWIE?start=2508&amp;end=2800&amp;autoplay=1"/>
    <s v="Good"/>
    <s v="Good"/>
    <s v="Good"/>
  </r>
  <r>
    <n v="754.1"/>
    <x v="3"/>
    <m/>
    <x v="0"/>
    <m/>
    <m/>
    <s v="Third eye awakening - needs empirical proof"/>
    <m/>
    <m/>
    <m/>
    <m/>
    <m/>
    <d v="1899-12-30T00:46:41"/>
    <d v="1899-12-30T00:50:17"/>
    <n v="-1.157407407407357E-5"/>
    <x v="47"/>
    <s v="https://www.youtube.com/embed/JB_lc00AWIE?start=2801&amp;end=3017&amp;autoplay=1"/>
    <s v="Good"/>
    <s v="Good"/>
    <s v="Good"/>
  </r>
  <r>
    <n v="754.11"/>
    <x v="3"/>
    <m/>
    <x v="0"/>
    <m/>
    <m/>
    <s v="Cultural universlas - West Vs India - 1"/>
    <m/>
    <m/>
    <m/>
    <m/>
    <m/>
    <d v="1899-12-30T00:50:18"/>
    <d v="1899-12-30T00:55:44"/>
    <n v="-3.4722222222220711E-5"/>
    <x v="48"/>
    <s v="https://www.youtube.com/embed/JB_lc00AWIE?start=3018&amp;end=3344&amp;autoplay=1"/>
    <s v="Good"/>
    <s v="Good"/>
    <s v="Good"/>
  </r>
  <r>
    <n v="754.12"/>
    <x v="3"/>
    <m/>
    <x v="0"/>
    <m/>
    <m/>
    <s v="Cultural universlas - West Vs India - 2"/>
    <m/>
    <m/>
    <m/>
    <m/>
    <m/>
    <d v="1899-12-30T00:55:47"/>
    <d v="1899-12-30T01:00:48"/>
    <d v="1899-12-30T00:05:01"/>
    <x v="48"/>
    <s v="https://www.youtube.com/embed/JB_lc00AWIE?start=3347&amp;end=3648&amp;autoplay=1"/>
    <s v="Good"/>
    <s v="Good"/>
    <s v="Good"/>
  </r>
  <r>
    <n v="754.13"/>
    <x v="3"/>
    <m/>
    <x v="0"/>
    <m/>
    <m/>
    <s v="Is a group identity part of a universal? respecting differences"/>
    <m/>
    <m/>
    <m/>
    <m/>
    <m/>
    <d v="1899-12-30T01:07:50"/>
    <d v="1899-12-30T01:13:35"/>
    <d v="1899-12-30T00:05:45"/>
    <x v="48"/>
    <s v="https://www.youtube.com/embed/JB_lc00AWIE?start=4070&amp;end=4415&amp;autoplay=1"/>
    <s v="Good"/>
    <s v="Good"/>
    <s v="Good"/>
  </r>
  <r>
    <n v="755"/>
    <x v="1"/>
    <m/>
    <x v="2"/>
    <s v="https://www.youtube.com/watch?v=9jjsiAFVdXc"/>
    <s v="&quot;Is Templeton Foundation Digesting Vedanta into Christianity?&quot;"/>
    <m/>
    <m/>
    <m/>
    <n v="12000"/>
    <d v="1899-12-30T01:37:57"/>
    <s v="2 weeks ago"/>
    <m/>
    <m/>
    <d v="1899-12-30T00:00:00"/>
    <x v="3"/>
    <s v=""/>
    <m/>
    <m/>
    <m/>
  </r>
  <r>
    <n v="756"/>
    <x v="1"/>
    <m/>
    <x v="2"/>
    <s v="https://www.youtube.com/watch?v=9QSUsKZfoQA&amp;t=156s"/>
    <s v="Head of India's Top Sanskrit Research Center in Conversation with Rajiv Malhotra"/>
    <m/>
    <m/>
    <m/>
    <n v="17000"/>
    <d v="1899-12-30T00:48:48"/>
    <s v="1 week ago"/>
    <m/>
    <m/>
    <d v="1899-12-30T00:00:00"/>
    <x v="3"/>
    <s v=""/>
    <m/>
    <m/>
    <m/>
  </r>
  <r>
    <n v="757"/>
    <x v="3"/>
    <m/>
    <x v="0"/>
    <s v="https://www.youtube.com/watch?v=79r5KYH0nBI"/>
    <s v="Aditi Banerjee Recollects How We Started Responding "/>
    <m/>
    <m/>
    <m/>
    <n v="9500"/>
    <d v="1899-12-30T01:13:24"/>
    <s v="6 days ago"/>
    <m/>
    <m/>
    <d v="1899-12-30T00:00:00"/>
    <x v="28"/>
    <s v=""/>
    <m/>
    <m/>
    <m/>
  </r>
  <r>
    <n v="757.01"/>
    <x v="3"/>
    <m/>
    <x v="0"/>
    <m/>
    <m/>
    <s v="Aditi Banerjee describes her experience of hinduphobia"/>
    <s v="Chicago public school teacher laughs at garlanding of pilot"/>
    <m/>
    <m/>
    <m/>
    <m/>
    <d v="1899-12-30T00:00:53"/>
    <d v="1899-12-30T00:02:16"/>
    <d v="1899-12-30T00:01:23"/>
    <x v="28"/>
    <s v="https://www.youtube.com/embed/79r5KYH0nBI?start=53&amp;end=136&amp;autoplay=1"/>
    <m/>
    <m/>
    <m/>
  </r>
  <r>
    <n v="757.02"/>
    <x v="3"/>
    <m/>
    <x v="0"/>
    <m/>
    <m/>
    <s v="RISA Lila article, Sulekha &amp; Rajiv Malhotra Controversy"/>
    <s v="Risa Lila article and hinduphobia"/>
    <m/>
    <m/>
    <m/>
    <m/>
    <d v="1899-12-30T00:04:08"/>
    <d v="1899-12-30T00:06:40"/>
    <d v="1899-12-30T00:02:32"/>
    <x v="28"/>
    <s v="https://www.youtube.com/embed/79r5KYH0nBI?start=248&amp;end=400&amp;autoplay=1"/>
    <s v="Good"/>
    <s v="Good"/>
    <s v="Good"/>
  </r>
  <r>
    <n v="757.03"/>
    <x v="3"/>
    <m/>
    <x v="0"/>
    <m/>
    <m/>
    <s v="Understanding of Rajiv Malhotra's work by ABCD"/>
    <s v="How Indian groups in Us did not support RM"/>
    <m/>
    <m/>
    <m/>
    <m/>
    <d v="1899-12-30T00:06:48"/>
    <d v="1899-12-30T00:08:15"/>
    <d v="1899-12-30T00:01:27"/>
    <x v="28"/>
    <s v="https://www.youtube.com/embed/79r5KYH0nBI?start=408&amp;end=495&amp;autoplay=1"/>
    <s v="Good"/>
    <s v="Good"/>
    <s v="Good"/>
  </r>
  <r>
    <n v="757.04"/>
    <x v="3"/>
    <m/>
    <x v="0"/>
    <m/>
    <m/>
    <s v="Naughty work of Wendy Doniger and her student Martha Nussbaum"/>
    <s v="Wrongly represent holi, Mahabharatha, Bhagavad Gita etc"/>
    <m/>
    <m/>
    <m/>
    <m/>
    <d v="1899-12-30T00:08:35"/>
    <d v="1899-12-30T00:13:18"/>
    <d v="1899-12-30T00:04:43"/>
    <x v="28"/>
    <s v="https://www.youtube.com/embed/79r5KYH0nBI?start=515&amp;end=798&amp;autoplay=1"/>
    <s v="Good"/>
    <s v="Good"/>
    <s v="Good"/>
  </r>
  <r>
    <n v="757.05"/>
    <x v="3"/>
    <m/>
    <x v="0"/>
    <m/>
    <m/>
    <s v="Books by Ramakrishna missions considered inappropriate for children"/>
    <s v="Wendy Doninger's talk - &quot;Bhagavad Gita is a dishonest book&quot;"/>
    <m/>
    <m/>
    <m/>
    <m/>
    <d v="1899-12-30T00:13:18"/>
    <d v="1899-12-30T00:15:00"/>
    <d v="1899-12-30T00:01:42"/>
    <x v="28"/>
    <s v="https://www.youtube.com/embed/79r5KYH0nBI?start=798&amp;end=900&amp;autoplay=1"/>
    <s v="Good"/>
    <s v="Good"/>
    <s v="Good"/>
  </r>
  <r>
    <n v="757.06"/>
    <x v="3"/>
    <m/>
    <x v="0"/>
    <m/>
    <m/>
    <s v="Jeffrey Kripal's book misrepresentaitons of Ramakrishna Mission"/>
    <s v="Such leading academicians can have a strong influence even on Hindus who have grown up learning from the Indian culture and can shake their beliefs"/>
    <m/>
    <m/>
    <m/>
    <m/>
    <d v="1899-12-30T00:15:43"/>
    <d v="1899-12-30T00:19:36"/>
    <d v="1899-12-30T00:03:53"/>
    <x v="28"/>
    <s v="https://www.youtube.com/embed/79r5KYH0nBI?start=943&amp;end=1176&amp;autoplay=1"/>
    <s v="Good"/>
    <s v="Good"/>
    <s v="Good"/>
  </r>
  <r>
    <n v="757.07"/>
    <x v="3"/>
    <m/>
    <x v="0"/>
    <m/>
    <m/>
    <s v="Hinduphobia from Paul Courtright's book about Ganesh"/>
    <m/>
    <m/>
    <m/>
    <m/>
    <m/>
    <d v="1899-12-30T00:23:03"/>
    <d v="1899-12-30T00:27:52"/>
    <d v="1899-12-30T00:04:49"/>
    <x v="28"/>
    <s v="https://www.youtube.com/embed/79r5KYH0nBI?start=1383&amp;end=1672&amp;autoplay=1"/>
    <s v="Good"/>
    <s v="Good"/>
    <s v="Good"/>
  </r>
  <r>
    <n v="757.08"/>
    <x v="3"/>
    <m/>
    <x v="0"/>
    <m/>
    <m/>
    <s v="David Gordon delinking popular movements from hinduism, opression by brahmanas"/>
    <s v="Kiss of the yogini, about tantra - delinking popular movements from hinduism, supression by bramanas"/>
    <m/>
    <m/>
    <m/>
    <m/>
    <d v="1899-12-30T00:29:05"/>
    <d v="1899-12-30T00:33:33"/>
    <d v="1899-12-30T00:04:28"/>
    <x v="28"/>
    <s v="https://www.youtube.com/embed/79r5KYH0nBI?start=1745&amp;end=2013&amp;autoplay=1"/>
    <s v="Good"/>
    <s v="Good"/>
    <s v="Good"/>
  </r>
  <r>
    <n v="757.09"/>
    <x v="3"/>
    <m/>
    <x v="0"/>
    <m/>
    <m/>
    <s v="Sara Caldwell award winning paper - improper psychoanalysis of hinduism"/>
    <s v="Improper psychoanalysis of hinduism an expression of author's own trauma"/>
    <m/>
    <m/>
    <m/>
    <m/>
    <d v="1899-12-30T00:35:00"/>
    <d v="1899-12-30T00:38:00"/>
    <d v="1899-12-30T00:03:00"/>
    <x v="28"/>
    <s v="https://www.youtube.com/embed/79r5KYH0nBI?start=2100&amp;end=2280&amp;autoplay=1"/>
    <s v="Good"/>
    <s v="Good"/>
    <s v="Good"/>
  </r>
  <r>
    <n v="757.1"/>
    <x v="3"/>
    <m/>
    <x v="0"/>
    <m/>
    <m/>
    <s v="Western academicians infiltrate and coopt indians"/>
    <m/>
    <m/>
    <m/>
    <m/>
    <m/>
    <d v="1899-12-30T00:38:02"/>
    <d v="1899-12-30T00:41:53"/>
    <d v="1899-12-30T00:03:51"/>
    <x v="28"/>
    <s v="https://www.youtube.com/embed/79r5KYH0nBI?start=2282&amp;end=2513&amp;autoplay=1"/>
    <s v="Good"/>
    <s v="Good"/>
    <s v="Good"/>
  </r>
  <r>
    <n v="757.11"/>
    <x v="3"/>
    <m/>
    <x v="0"/>
    <m/>
    <m/>
    <s v="Our vedic scholars dont qualify in the western academia"/>
    <m/>
    <m/>
    <m/>
    <m/>
    <m/>
    <d v="1899-12-30T00:41:55"/>
    <d v="1899-12-30T00:44:58"/>
    <d v="1899-12-30T00:03:03"/>
    <x v="28"/>
    <s v="https://www.youtube.com/embed/79r5KYH0nBI?start=2515&amp;end=2698&amp;autoplay=1"/>
    <s v="Good"/>
    <s v="Good"/>
    <s v="Good"/>
  </r>
  <r>
    <n v="757.12"/>
    <x v="3"/>
    <m/>
    <x v="0"/>
    <m/>
    <m/>
    <s v="Jack Hawley and his book on Neo Hinduism"/>
    <s v="Response to this &quot;Neo Hinduism&quot; in RMs book Indra's Net"/>
    <m/>
    <m/>
    <m/>
    <m/>
    <d v="1899-12-30T00:45:00"/>
    <d v="1899-12-30T00:47:38"/>
    <d v="1899-12-30T00:02:38"/>
    <x v="28"/>
    <s v="https://www.youtube.com/embed/79r5KYH0nBI?start=2700&amp;end=2858&amp;autoplay=1"/>
    <s v="Good"/>
    <s v="Good"/>
    <s v="Good"/>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r>
    <m/>
    <x v="1"/>
    <m/>
    <x v="2"/>
    <m/>
    <m/>
    <m/>
    <m/>
    <m/>
    <m/>
    <m/>
    <m/>
    <m/>
    <m/>
    <m/>
    <x v="3"/>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D719C0-02F8-4EBA-9F25-ECABD4F765F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Y26" firstHeaderRow="1" firstDataRow="3" firstDataCol="1"/>
  <pivotFields count="20">
    <pivotField subtotalTop="0" showAll="0"/>
    <pivotField axis="axisCol" subtotalTop="0" multipleItemSelectionAllowed="1" showAll="0">
      <items count="8">
        <item x="0"/>
        <item x="2"/>
        <item x="3"/>
        <item x="1"/>
        <item x="4"/>
        <item x="5"/>
        <item x="6"/>
        <item t="default"/>
      </items>
    </pivotField>
    <pivotField subtotalTop="0" showAll="0"/>
    <pivotField axis="axisRow" subtotalTop="0" multipleItemSelectionAllowed="1" showAll="0">
      <items count="4">
        <item x="0"/>
        <item x="1"/>
        <item x="2"/>
        <item t="default"/>
      </items>
    </pivotField>
    <pivotField subtotalTop="0" showAll="0"/>
    <pivotField dataField="1" subtotalTop="0" showAll="0"/>
    <pivotField dataField="1" subtotalTop="0" showAll="0"/>
    <pivotField subtotalTop="0" showAll="0"/>
    <pivotField subtotalTop="0" showAll="0"/>
    <pivotField subtotalTop="0" showAll="0"/>
    <pivotField dataField="1" showAll="0"/>
    <pivotField subtotalTop="0" showAll="0"/>
    <pivotField showAll="0"/>
    <pivotField subtotalTop="0" showAll="0"/>
    <pivotField subtotalTop="0" showAll="0"/>
    <pivotField axis="axisRow" subtotalTop="0" showAll="0">
      <items count="14">
        <item x="0"/>
        <item x="1"/>
        <item x="2"/>
        <item x="3"/>
        <item x="4"/>
        <item x="5"/>
        <item x="6"/>
        <item x="7"/>
        <item x="8"/>
        <item x="9"/>
        <item x="10"/>
        <item x="11"/>
        <item x="12"/>
        <item t="default"/>
      </items>
    </pivotField>
    <pivotField subtotalTop="0" showAll="0"/>
    <pivotField subtotalTop="0" showAll="0"/>
    <pivotField subtotalTop="0" showAll="0"/>
    <pivotField subtotalTop="0" showAll="0"/>
  </pivotFields>
  <rowFields count="2">
    <field x="3"/>
    <field x="15"/>
  </rowFields>
  <rowItems count="21">
    <i>
      <x/>
    </i>
    <i r="1">
      <x v="1"/>
    </i>
    <i r="1">
      <x v="2"/>
    </i>
    <i r="1">
      <x v="3"/>
    </i>
    <i r="1">
      <x v="4"/>
    </i>
    <i r="1">
      <x v="5"/>
    </i>
    <i r="1">
      <x v="6"/>
    </i>
    <i r="1">
      <x v="7"/>
    </i>
    <i r="1">
      <x v="8"/>
    </i>
    <i r="1">
      <x v="9"/>
    </i>
    <i r="1">
      <x v="10"/>
    </i>
    <i r="1">
      <x v="11"/>
    </i>
    <i t="default">
      <x/>
    </i>
    <i>
      <x v="1"/>
    </i>
    <i r="1">
      <x v="1"/>
    </i>
    <i r="1">
      <x v="4"/>
    </i>
    <i t="default">
      <x v="1"/>
    </i>
    <i>
      <x v="2"/>
    </i>
    <i r="1">
      <x/>
    </i>
    <i t="default">
      <x v="2"/>
    </i>
    <i t="grand">
      <x/>
    </i>
  </rowItems>
  <colFields count="2">
    <field x="1"/>
    <field x="-2"/>
  </colFields>
  <colItems count="24">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t="grand">
      <x/>
    </i>
    <i t="grand" i="1">
      <x/>
    </i>
    <i t="grand" i="2">
      <x/>
    </i>
  </colItems>
  <dataFields count="3">
    <dataField name="Count of Video Title" fld="5" subtotal="count" baseField="0" baseItem="0"/>
    <dataField name="Sum of Video Duration" fld="10" baseField="15" baseItem="2" numFmtId="174"/>
    <dataField name="Count of Clip Title" fld="6" subtotal="count" baseField="0" baseItem="0"/>
  </dataFields>
  <formats count="176">
    <format dxfId="178">
      <pivotArea outline="0" collapsedLevelsAreSubtotals="1" fieldPosition="0"/>
    </format>
    <format dxfId="177">
      <pivotArea field="1" type="button" dataOnly="0" labelOnly="1" outline="0" axis="axisCol" fieldPosition="0"/>
    </format>
    <format dxfId="176">
      <pivotArea field="-2" type="button" dataOnly="0" labelOnly="1" outline="0" axis="axisCol" fieldPosition="1"/>
    </format>
    <format dxfId="175">
      <pivotArea type="topRight" dataOnly="0" labelOnly="1" outline="0" fieldPosition="0"/>
    </format>
    <format dxfId="174">
      <pivotArea dataOnly="0" labelOnly="1" fieldPosition="0">
        <references count="1">
          <reference field="1" count="0"/>
        </references>
      </pivotArea>
    </format>
    <format dxfId="173">
      <pivotArea field="1" dataOnly="0" labelOnly="1" outline="0" axis="axisCol" fieldPosition="0">
        <references count="1">
          <reference field="4294967294" count="1" selected="0">
            <x v="0"/>
          </reference>
        </references>
      </pivotArea>
    </format>
    <format dxfId="172">
      <pivotArea field="1" dataOnly="0" labelOnly="1" outline="0" axis="axisCol" fieldPosition="0">
        <references count="1">
          <reference field="4294967294" count="1" selected="0">
            <x v="1"/>
          </reference>
        </references>
      </pivotArea>
    </format>
    <format dxfId="171">
      <pivotArea field="1" dataOnly="0" labelOnly="1" outline="0" axis="axisCol" fieldPosition="0">
        <references count="1">
          <reference field="4294967294" count="1" selected="0">
            <x v="0"/>
          </reference>
        </references>
      </pivotArea>
    </format>
    <format dxfId="170">
      <pivotArea field="1" dataOnly="0" labelOnly="1" outline="0" axis="axisCol" fieldPosition="0">
        <references count="1">
          <reference field="4294967294" count="1" selected="0">
            <x v="1"/>
          </reference>
        </references>
      </pivotArea>
    </format>
    <format dxfId="169">
      <pivotArea dataOnly="0" labelOnly="1" outline="0" fieldPosition="0">
        <references count="2">
          <reference field="4294967294" count="2">
            <x v="0"/>
            <x v="1"/>
          </reference>
          <reference field="1" count="1" selected="0">
            <x v="0"/>
          </reference>
        </references>
      </pivotArea>
    </format>
    <format dxfId="168">
      <pivotArea dataOnly="0" labelOnly="1" outline="0" fieldPosition="0">
        <references count="2">
          <reference field="4294967294" count="2">
            <x v="0"/>
            <x v="1"/>
          </reference>
          <reference field="1" count="1" selected="0">
            <x v="1"/>
          </reference>
        </references>
      </pivotArea>
    </format>
    <format dxfId="167">
      <pivotArea dataOnly="0" labelOnly="1" outline="0" fieldPosition="0">
        <references count="2">
          <reference field="4294967294" count="2">
            <x v="0"/>
            <x v="1"/>
          </reference>
          <reference field="1" count="1" selected="0">
            <x v="2"/>
          </reference>
        </references>
      </pivotArea>
    </format>
    <format dxfId="166">
      <pivotArea dataOnly="0" labelOnly="1" outline="0" fieldPosition="0">
        <references count="2">
          <reference field="4294967294" count="2">
            <x v="0"/>
            <x v="1"/>
          </reference>
          <reference field="1" count="1" selected="0">
            <x v="3"/>
          </reference>
        </references>
      </pivotArea>
    </format>
    <format dxfId="165">
      <pivotArea outline="0" collapsedLevelsAreSubtotals="1" fieldPosition="0"/>
    </format>
    <format dxfId="164">
      <pivotArea field="1" type="button" dataOnly="0" labelOnly="1" outline="0" axis="axisCol" fieldPosition="0"/>
    </format>
    <format dxfId="163">
      <pivotArea field="-2" type="button" dataOnly="0" labelOnly="1" outline="0" axis="axisCol" fieldPosition="1"/>
    </format>
    <format dxfId="162">
      <pivotArea type="topRight" dataOnly="0" labelOnly="1" outline="0" fieldPosition="0"/>
    </format>
    <format dxfId="161">
      <pivotArea dataOnly="0" labelOnly="1" fieldPosition="0">
        <references count="1">
          <reference field="1" count="0"/>
        </references>
      </pivotArea>
    </format>
    <format dxfId="160">
      <pivotArea field="1" dataOnly="0" labelOnly="1" outline="0" axis="axisCol" fieldPosition="0">
        <references count="1">
          <reference field="4294967294" count="1" selected="0">
            <x v="0"/>
          </reference>
        </references>
      </pivotArea>
    </format>
    <format dxfId="159">
      <pivotArea field="1" dataOnly="0" labelOnly="1" outline="0" axis="axisCol" fieldPosition="0">
        <references count="1">
          <reference field="4294967294" count="1" selected="0">
            <x v="1"/>
          </reference>
        </references>
      </pivotArea>
    </format>
    <format dxfId="158">
      <pivotArea field="1" dataOnly="0" labelOnly="1" outline="0" axis="axisCol" fieldPosition="0">
        <references count="1">
          <reference field="4294967294" count="1" selected="0">
            <x v="2"/>
          </reference>
        </references>
      </pivotArea>
    </format>
    <format dxfId="157">
      <pivotArea field="1" dataOnly="0" labelOnly="1" outline="0" axis="axisCol" fieldPosition="0">
        <references count="1">
          <reference field="4294967294" count="1" selected="0">
            <x v="0"/>
          </reference>
        </references>
      </pivotArea>
    </format>
    <format dxfId="156">
      <pivotArea field="1" dataOnly="0" labelOnly="1" outline="0" axis="axisCol" fieldPosition="0">
        <references count="1">
          <reference field="4294967294" count="1" selected="0">
            <x v="1"/>
          </reference>
        </references>
      </pivotArea>
    </format>
    <format dxfId="155">
      <pivotArea field="1" dataOnly="0" labelOnly="1" outline="0" axis="axisCol" fieldPosition="0">
        <references count="1">
          <reference field="4294967294" count="1" selected="0">
            <x v="2"/>
          </reference>
        </references>
      </pivotArea>
    </format>
    <format dxfId="154">
      <pivotArea field="1" dataOnly="0" labelOnly="1" outline="0" axis="axisCol" fieldPosition="0">
        <references count="1">
          <reference field="4294967294" count="1" selected="0">
            <x v="0"/>
          </reference>
        </references>
      </pivotArea>
    </format>
    <format dxfId="153">
      <pivotArea field="1" dataOnly="0" labelOnly="1" outline="0" axis="axisCol" fieldPosition="0">
        <references count="1">
          <reference field="4294967294" count="1" selected="0">
            <x v="1"/>
          </reference>
        </references>
      </pivotArea>
    </format>
    <format dxfId="152">
      <pivotArea field="1" dataOnly="0" labelOnly="1" outline="0" axis="axisCol" fieldPosition="0">
        <references count="1">
          <reference field="4294967294" count="1" selected="0">
            <x v="2"/>
          </reference>
        </references>
      </pivotArea>
    </format>
    <format dxfId="151">
      <pivotArea dataOnly="0" labelOnly="1" outline="0" fieldPosition="0">
        <references count="2">
          <reference field="4294967294" count="3">
            <x v="0"/>
            <x v="1"/>
            <x v="2"/>
          </reference>
          <reference field="1" count="1" selected="0">
            <x v="0"/>
          </reference>
        </references>
      </pivotArea>
    </format>
    <format dxfId="150">
      <pivotArea dataOnly="0" labelOnly="1" outline="0" fieldPosition="0">
        <references count="2">
          <reference field="4294967294" count="3">
            <x v="0"/>
            <x v="1"/>
            <x v="2"/>
          </reference>
          <reference field="1" count="1" selected="0">
            <x v="1"/>
          </reference>
        </references>
      </pivotArea>
    </format>
    <format dxfId="149">
      <pivotArea dataOnly="0" labelOnly="1" outline="0" fieldPosition="0">
        <references count="2">
          <reference field="4294967294" count="3">
            <x v="0"/>
            <x v="1"/>
            <x v="2"/>
          </reference>
          <reference field="1" count="1" selected="0">
            <x v="2"/>
          </reference>
        </references>
      </pivotArea>
    </format>
    <format dxfId="148">
      <pivotArea dataOnly="0" labelOnly="1" outline="0" fieldPosition="0">
        <references count="2">
          <reference field="4294967294" count="3">
            <x v="0"/>
            <x v="1"/>
            <x v="2"/>
          </reference>
          <reference field="1" count="1" selected="0">
            <x v="3"/>
          </reference>
        </references>
      </pivotArea>
    </format>
    <format dxfId="147">
      <pivotArea dataOnly="0" labelOnly="1" outline="0" fieldPosition="0">
        <references count="2">
          <reference field="4294967294" count="3">
            <x v="0"/>
            <x v="1"/>
            <x v="2"/>
          </reference>
          <reference field="1" count="1" selected="0">
            <x v="4"/>
          </reference>
        </references>
      </pivotArea>
    </format>
    <format dxfId="146">
      <pivotArea dataOnly="0" labelOnly="1" outline="0" fieldPosition="0">
        <references count="2">
          <reference field="4294967294" count="3">
            <x v="0"/>
            <x v="1"/>
            <x v="2"/>
          </reference>
          <reference field="1" count="1" selected="0">
            <x v="5"/>
          </reference>
        </references>
      </pivotArea>
    </format>
    <format dxfId="145">
      <pivotArea dataOnly="0" labelOnly="1" outline="0" fieldPosition="0">
        <references count="2">
          <reference field="4294967294" count="3">
            <x v="0"/>
            <x v="1"/>
            <x v="2"/>
          </reference>
          <reference field="1" count="1" selected="0">
            <x v="6"/>
          </reference>
        </references>
      </pivotArea>
    </format>
    <format dxfId="144">
      <pivotArea outline="0" collapsedLevelsAreSubtotals="1" fieldPosition="0"/>
    </format>
    <format dxfId="143">
      <pivotArea field="1" type="button" dataOnly="0" labelOnly="1" outline="0" axis="axisCol" fieldPosition="0"/>
    </format>
    <format dxfId="142">
      <pivotArea field="-2" type="button" dataOnly="0" labelOnly="1" outline="0" axis="axisCol" fieldPosition="1"/>
    </format>
    <format dxfId="141">
      <pivotArea type="topRight" dataOnly="0" labelOnly="1" outline="0" fieldPosition="0"/>
    </format>
    <format dxfId="140">
      <pivotArea dataOnly="0" labelOnly="1" fieldPosition="0">
        <references count="1">
          <reference field="1" count="0"/>
        </references>
      </pivotArea>
    </format>
    <format dxfId="139">
      <pivotArea field="1" dataOnly="0" labelOnly="1" outline="0" axis="axisCol" fieldPosition="0">
        <references count="1">
          <reference field="4294967294" count="1" selected="0">
            <x v="0"/>
          </reference>
        </references>
      </pivotArea>
    </format>
    <format dxfId="138">
      <pivotArea field="1" dataOnly="0" labelOnly="1" outline="0" axis="axisCol" fieldPosition="0">
        <references count="1">
          <reference field="4294967294" count="1" selected="0">
            <x v="1"/>
          </reference>
        </references>
      </pivotArea>
    </format>
    <format dxfId="137">
      <pivotArea field="1" dataOnly="0" labelOnly="1" outline="0" axis="axisCol" fieldPosition="0">
        <references count="1">
          <reference field="4294967294" count="1" selected="0">
            <x v="2"/>
          </reference>
        </references>
      </pivotArea>
    </format>
    <format dxfId="136">
      <pivotArea field="1" dataOnly="0" labelOnly="1" outline="0" axis="axisCol" fieldPosition="0">
        <references count="1">
          <reference field="4294967294" count="1" selected="0">
            <x v="0"/>
          </reference>
        </references>
      </pivotArea>
    </format>
    <format dxfId="135">
      <pivotArea field="1" dataOnly="0" labelOnly="1" outline="0" axis="axisCol" fieldPosition="0">
        <references count="1">
          <reference field="4294967294" count="1" selected="0">
            <x v="1"/>
          </reference>
        </references>
      </pivotArea>
    </format>
    <format dxfId="134">
      <pivotArea field="1" dataOnly="0" labelOnly="1" outline="0" axis="axisCol" fieldPosition="0">
        <references count="1">
          <reference field="4294967294" count="1" selected="0">
            <x v="2"/>
          </reference>
        </references>
      </pivotArea>
    </format>
    <format dxfId="133">
      <pivotArea field="1" dataOnly="0" labelOnly="1" outline="0" axis="axisCol" fieldPosition="0">
        <references count="1">
          <reference field="4294967294" count="1" selected="0">
            <x v="0"/>
          </reference>
        </references>
      </pivotArea>
    </format>
    <format dxfId="132">
      <pivotArea field="1" dataOnly="0" labelOnly="1" outline="0" axis="axisCol" fieldPosition="0">
        <references count="1">
          <reference field="4294967294" count="1" selected="0">
            <x v="1"/>
          </reference>
        </references>
      </pivotArea>
    </format>
    <format dxfId="131">
      <pivotArea field="1" dataOnly="0" labelOnly="1" outline="0" axis="axisCol" fieldPosition="0">
        <references count="1">
          <reference field="4294967294" count="1" selected="0">
            <x v="2"/>
          </reference>
        </references>
      </pivotArea>
    </format>
    <format dxfId="130">
      <pivotArea dataOnly="0" labelOnly="1" outline="0" fieldPosition="0">
        <references count="2">
          <reference field="4294967294" count="3">
            <x v="0"/>
            <x v="1"/>
            <x v="2"/>
          </reference>
          <reference field="1" count="1" selected="0">
            <x v="0"/>
          </reference>
        </references>
      </pivotArea>
    </format>
    <format dxfId="129">
      <pivotArea dataOnly="0" labelOnly="1" outline="0" fieldPosition="0">
        <references count="2">
          <reference field="4294967294" count="3">
            <x v="0"/>
            <x v="1"/>
            <x v="2"/>
          </reference>
          <reference field="1" count="1" selected="0">
            <x v="1"/>
          </reference>
        </references>
      </pivotArea>
    </format>
    <format dxfId="128">
      <pivotArea dataOnly="0" labelOnly="1" outline="0" fieldPosition="0">
        <references count="2">
          <reference field="4294967294" count="3">
            <x v="0"/>
            <x v="1"/>
            <x v="2"/>
          </reference>
          <reference field="1" count="1" selected="0">
            <x v="2"/>
          </reference>
        </references>
      </pivotArea>
    </format>
    <format dxfId="127">
      <pivotArea dataOnly="0" labelOnly="1" outline="0" fieldPosition="0">
        <references count="2">
          <reference field="4294967294" count="3">
            <x v="0"/>
            <x v="1"/>
            <x v="2"/>
          </reference>
          <reference field="1" count="1" selected="0">
            <x v="3"/>
          </reference>
        </references>
      </pivotArea>
    </format>
    <format dxfId="126">
      <pivotArea dataOnly="0" labelOnly="1" outline="0" fieldPosition="0">
        <references count="2">
          <reference field="4294967294" count="3">
            <x v="0"/>
            <x v="1"/>
            <x v="2"/>
          </reference>
          <reference field="1" count="1" selected="0">
            <x v="4"/>
          </reference>
        </references>
      </pivotArea>
    </format>
    <format dxfId="125">
      <pivotArea dataOnly="0" labelOnly="1" outline="0" fieldPosition="0">
        <references count="2">
          <reference field="4294967294" count="3">
            <x v="0"/>
            <x v="1"/>
            <x v="2"/>
          </reference>
          <reference field="1" count="1" selected="0">
            <x v="5"/>
          </reference>
        </references>
      </pivotArea>
    </format>
    <format dxfId="124">
      <pivotArea dataOnly="0" labelOnly="1" outline="0" fieldPosition="0">
        <references count="2">
          <reference field="4294967294" count="3">
            <x v="0"/>
            <x v="1"/>
            <x v="2"/>
          </reference>
          <reference field="1" count="1" selected="0">
            <x v="6"/>
          </reference>
        </references>
      </pivotArea>
    </format>
    <format dxfId="123">
      <pivotArea outline="0" collapsedLevelsAreSubtotals="1" fieldPosition="0"/>
    </format>
    <format dxfId="122">
      <pivotArea field="1" type="button" dataOnly="0" labelOnly="1" outline="0" axis="axisCol" fieldPosition="0"/>
    </format>
    <format dxfId="121">
      <pivotArea field="-2" type="button" dataOnly="0" labelOnly="1" outline="0" axis="axisCol" fieldPosition="1"/>
    </format>
    <format dxfId="120">
      <pivotArea type="topRight" dataOnly="0" labelOnly="1" outline="0" fieldPosition="0"/>
    </format>
    <format dxfId="119">
      <pivotArea dataOnly="0" labelOnly="1" fieldPosition="0">
        <references count="1">
          <reference field="1" count="0"/>
        </references>
      </pivotArea>
    </format>
    <format dxfId="118">
      <pivotArea field="1" dataOnly="0" labelOnly="1" outline="0" axis="axisCol" fieldPosition="0">
        <references count="1">
          <reference field="4294967294" count="1" selected="0">
            <x v="0"/>
          </reference>
        </references>
      </pivotArea>
    </format>
    <format dxfId="117">
      <pivotArea field="1" dataOnly="0" labelOnly="1" outline="0" axis="axisCol" fieldPosition="0">
        <references count="1">
          <reference field="4294967294" count="1" selected="0">
            <x v="1"/>
          </reference>
        </references>
      </pivotArea>
    </format>
    <format dxfId="116">
      <pivotArea field="1" dataOnly="0" labelOnly="1" outline="0" axis="axisCol" fieldPosition="0">
        <references count="1">
          <reference field="4294967294" count="1" selected="0">
            <x v="2"/>
          </reference>
        </references>
      </pivotArea>
    </format>
    <format dxfId="115">
      <pivotArea field="1" dataOnly="0" labelOnly="1" outline="0" axis="axisCol" fieldPosition="0">
        <references count="1">
          <reference field="4294967294" count="1" selected="0">
            <x v="0"/>
          </reference>
        </references>
      </pivotArea>
    </format>
    <format dxfId="114">
      <pivotArea field="1" dataOnly="0" labelOnly="1" outline="0" axis="axisCol" fieldPosition="0">
        <references count="1">
          <reference field="4294967294" count="1" selected="0">
            <x v="1"/>
          </reference>
        </references>
      </pivotArea>
    </format>
    <format dxfId="113">
      <pivotArea field="1" dataOnly="0" labelOnly="1" outline="0" axis="axisCol" fieldPosition="0">
        <references count="1">
          <reference field="4294967294" count="1" selected="0">
            <x v="2"/>
          </reference>
        </references>
      </pivotArea>
    </format>
    <format dxfId="112">
      <pivotArea field="1" dataOnly="0" labelOnly="1" outline="0" axis="axisCol" fieldPosition="0">
        <references count="1">
          <reference field="4294967294" count="1" selected="0">
            <x v="0"/>
          </reference>
        </references>
      </pivotArea>
    </format>
    <format dxfId="111">
      <pivotArea field="1" dataOnly="0" labelOnly="1" outline="0" axis="axisCol" fieldPosition="0">
        <references count="1">
          <reference field="4294967294" count="1" selected="0">
            <x v="1"/>
          </reference>
        </references>
      </pivotArea>
    </format>
    <format dxfId="110">
      <pivotArea field="1" dataOnly="0" labelOnly="1" outline="0" axis="axisCol" fieldPosition="0">
        <references count="1">
          <reference field="4294967294" count="1" selected="0">
            <x v="2"/>
          </reference>
        </references>
      </pivotArea>
    </format>
    <format dxfId="109">
      <pivotArea dataOnly="0" labelOnly="1" outline="0" fieldPosition="0">
        <references count="2">
          <reference field="4294967294" count="3">
            <x v="0"/>
            <x v="1"/>
            <x v="2"/>
          </reference>
          <reference field="1" count="1" selected="0">
            <x v="0"/>
          </reference>
        </references>
      </pivotArea>
    </format>
    <format dxfId="108">
      <pivotArea dataOnly="0" labelOnly="1" outline="0" fieldPosition="0">
        <references count="2">
          <reference field="4294967294" count="3">
            <x v="0"/>
            <x v="1"/>
            <x v="2"/>
          </reference>
          <reference field="1" count="1" selected="0">
            <x v="1"/>
          </reference>
        </references>
      </pivotArea>
    </format>
    <format dxfId="107">
      <pivotArea dataOnly="0" labelOnly="1" outline="0" fieldPosition="0">
        <references count="2">
          <reference field="4294967294" count="3">
            <x v="0"/>
            <x v="1"/>
            <x v="2"/>
          </reference>
          <reference field="1" count="1" selected="0">
            <x v="2"/>
          </reference>
        </references>
      </pivotArea>
    </format>
    <format dxfId="106">
      <pivotArea dataOnly="0" labelOnly="1" outline="0" fieldPosition="0">
        <references count="2">
          <reference field="4294967294" count="3">
            <x v="0"/>
            <x v="1"/>
            <x v="2"/>
          </reference>
          <reference field="1" count="1" selected="0">
            <x v="3"/>
          </reference>
        </references>
      </pivotArea>
    </format>
    <format dxfId="105">
      <pivotArea dataOnly="0" labelOnly="1" outline="0" fieldPosition="0">
        <references count="2">
          <reference field="4294967294" count="3">
            <x v="0"/>
            <x v="1"/>
            <x v="2"/>
          </reference>
          <reference field="1" count="1" selected="0">
            <x v="4"/>
          </reference>
        </references>
      </pivotArea>
    </format>
    <format dxfId="104">
      <pivotArea dataOnly="0" labelOnly="1" outline="0" fieldPosition="0">
        <references count="2">
          <reference field="4294967294" count="3">
            <x v="0"/>
            <x v="1"/>
            <x v="2"/>
          </reference>
          <reference field="1" count="1" selected="0">
            <x v="5"/>
          </reference>
        </references>
      </pivotArea>
    </format>
    <format dxfId="103">
      <pivotArea dataOnly="0" labelOnly="1" outline="0" fieldPosition="0">
        <references count="2">
          <reference field="4294967294" count="3">
            <x v="0"/>
            <x v="1"/>
            <x v="2"/>
          </reference>
          <reference field="1" count="1" selected="0">
            <x v="6"/>
          </reference>
        </references>
      </pivotArea>
    </format>
    <format dxfId="102">
      <pivotArea outline="0" collapsedLevelsAreSubtotals="1" fieldPosition="0"/>
    </format>
    <format dxfId="101">
      <pivotArea field="1" type="button" dataOnly="0" labelOnly="1" outline="0" axis="axisCol" fieldPosition="0"/>
    </format>
    <format dxfId="100">
      <pivotArea field="-2" type="button" dataOnly="0" labelOnly="1" outline="0" axis="axisCol" fieldPosition="1"/>
    </format>
    <format dxfId="99">
      <pivotArea type="topRight" dataOnly="0" labelOnly="1" outline="0" fieldPosition="0"/>
    </format>
    <format dxfId="98">
      <pivotArea dataOnly="0" labelOnly="1" fieldPosition="0">
        <references count="1">
          <reference field="1" count="0"/>
        </references>
      </pivotArea>
    </format>
    <format dxfId="97">
      <pivotArea field="1" dataOnly="0" labelOnly="1" outline="0" axis="axisCol" fieldPosition="0">
        <references count="1">
          <reference field="4294967294" count="1" selected="0">
            <x v="0"/>
          </reference>
        </references>
      </pivotArea>
    </format>
    <format dxfId="96">
      <pivotArea field="1" dataOnly="0" labelOnly="1" outline="0" axis="axisCol" fieldPosition="0">
        <references count="1">
          <reference field="4294967294" count="1" selected="0">
            <x v="1"/>
          </reference>
        </references>
      </pivotArea>
    </format>
    <format dxfId="95">
      <pivotArea field="1" dataOnly="0" labelOnly="1" outline="0" axis="axisCol" fieldPosition="0">
        <references count="1">
          <reference field="4294967294" count="1" selected="0">
            <x v="2"/>
          </reference>
        </references>
      </pivotArea>
    </format>
    <format dxfId="94">
      <pivotArea field="1" dataOnly="0" labelOnly="1" outline="0" axis="axisCol" fieldPosition="0">
        <references count="1">
          <reference field="4294967294" count="1" selected="0">
            <x v="0"/>
          </reference>
        </references>
      </pivotArea>
    </format>
    <format dxfId="93">
      <pivotArea field="1" dataOnly="0" labelOnly="1" outline="0" axis="axisCol" fieldPosition="0">
        <references count="1">
          <reference field="4294967294" count="1" selected="0">
            <x v="1"/>
          </reference>
        </references>
      </pivotArea>
    </format>
    <format dxfId="92">
      <pivotArea field="1" dataOnly="0" labelOnly="1" outline="0" axis="axisCol" fieldPosition="0">
        <references count="1">
          <reference field="4294967294" count="1" selected="0">
            <x v="2"/>
          </reference>
        </references>
      </pivotArea>
    </format>
    <format dxfId="91">
      <pivotArea field="1" dataOnly="0" labelOnly="1" outline="0" axis="axisCol" fieldPosition="0">
        <references count="1">
          <reference field="4294967294" count="1" selected="0">
            <x v="0"/>
          </reference>
        </references>
      </pivotArea>
    </format>
    <format dxfId="90">
      <pivotArea field="1" dataOnly="0" labelOnly="1" outline="0" axis="axisCol" fieldPosition="0">
        <references count="1">
          <reference field="4294967294" count="1" selected="0">
            <x v="1"/>
          </reference>
        </references>
      </pivotArea>
    </format>
    <format dxfId="89">
      <pivotArea field="1" dataOnly="0" labelOnly="1" outline="0" axis="axisCol" fieldPosition="0">
        <references count="1">
          <reference field="4294967294" count="1" selected="0">
            <x v="2"/>
          </reference>
        </references>
      </pivotArea>
    </format>
    <format dxfId="88">
      <pivotArea dataOnly="0" labelOnly="1" outline="0" fieldPosition="0">
        <references count="2">
          <reference field="4294967294" count="3">
            <x v="0"/>
            <x v="1"/>
            <x v="2"/>
          </reference>
          <reference field="1" count="1" selected="0">
            <x v="0"/>
          </reference>
        </references>
      </pivotArea>
    </format>
    <format dxfId="87">
      <pivotArea dataOnly="0" labelOnly="1" outline="0" fieldPosition="0">
        <references count="2">
          <reference field="4294967294" count="3">
            <x v="0"/>
            <x v="1"/>
            <x v="2"/>
          </reference>
          <reference field="1" count="1" selected="0">
            <x v="1"/>
          </reference>
        </references>
      </pivotArea>
    </format>
    <format dxfId="86">
      <pivotArea dataOnly="0" labelOnly="1" outline="0" fieldPosition="0">
        <references count="2">
          <reference field="4294967294" count="3">
            <x v="0"/>
            <x v="1"/>
            <x v="2"/>
          </reference>
          <reference field="1" count="1" selected="0">
            <x v="2"/>
          </reference>
        </references>
      </pivotArea>
    </format>
    <format dxfId="85">
      <pivotArea dataOnly="0" labelOnly="1" outline="0" fieldPosition="0">
        <references count="2">
          <reference field="4294967294" count="3">
            <x v="0"/>
            <x v="1"/>
            <x v="2"/>
          </reference>
          <reference field="1" count="1" selected="0">
            <x v="3"/>
          </reference>
        </references>
      </pivotArea>
    </format>
    <format dxfId="84">
      <pivotArea dataOnly="0" labelOnly="1" outline="0" fieldPosition="0">
        <references count="2">
          <reference field="4294967294" count="3">
            <x v="0"/>
            <x v="1"/>
            <x v="2"/>
          </reference>
          <reference field="1" count="1" selected="0">
            <x v="4"/>
          </reference>
        </references>
      </pivotArea>
    </format>
    <format dxfId="83">
      <pivotArea dataOnly="0" labelOnly="1" outline="0" fieldPosition="0">
        <references count="2">
          <reference field="4294967294" count="3">
            <x v="0"/>
            <x v="1"/>
            <x v="2"/>
          </reference>
          <reference field="1" count="1" selected="0">
            <x v="5"/>
          </reference>
        </references>
      </pivotArea>
    </format>
    <format dxfId="82">
      <pivotArea dataOnly="0" labelOnly="1" outline="0" fieldPosition="0">
        <references count="2">
          <reference field="4294967294" count="3">
            <x v="0"/>
            <x v="1"/>
            <x v="2"/>
          </reference>
          <reference field="1" count="1" selected="0">
            <x v="6"/>
          </reference>
        </references>
      </pivotArea>
    </format>
    <format dxfId="81">
      <pivotArea outline="0" collapsedLevelsAreSubtotals="1" fieldPosition="0"/>
    </format>
    <format dxfId="80">
      <pivotArea field="1" type="button" dataOnly="0" labelOnly="1" outline="0" axis="axisCol" fieldPosition="0"/>
    </format>
    <format dxfId="79">
      <pivotArea field="-2" type="button" dataOnly="0" labelOnly="1" outline="0" axis="axisCol" fieldPosition="1"/>
    </format>
    <format dxfId="78">
      <pivotArea type="topRight" dataOnly="0" labelOnly="1" outline="0" fieldPosition="0"/>
    </format>
    <format dxfId="77">
      <pivotArea dataOnly="0" labelOnly="1" fieldPosition="0">
        <references count="1">
          <reference field="1" count="0"/>
        </references>
      </pivotArea>
    </format>
    <format dxfId="76">
      <pivotArea field="1" dataOnly="0" labelOnly="1" outline="0" axis="axisCol" fieldPosition="0">
        <references count="1">
          <reference field="4294967294" count="1" selected="0">
            <x v="0"/>
          </reference>
        </references>
      </pivotArea>
    </format>
    <format dxfId="75">
      <pivotArea field="1" dataOnly="0" labelOnly="1" outline="0" axis="axisCol" fieldPosition="0">
        <references count="1">
          <reference field="4294967294" count="1" selected="0">
            <x v="1"/>
          </reference>
        </references>
      </pivotArea>
    </format>
    <format dxfId="74">
      <pivotArea field="1" dataOnly="0" labelOnly="1" outline="0" axis="axisCol" fieldPosition="0">
        <references count="1">
          <reference field="4294967294" count="1" selected="0">
            <x v="2"/>
          </reference>
        </references>
      </pivotArea>
    </format>
    <format dxfId="73">
      <pivotArea field="1" dataOnly="0" labelOnly="1" outline="0" axis="axisCol" fieldPosition="0">
        <references count="1">
          <reference field="4294967294" count="1" selected="0">
            <x v="0"/>
          </reference>
        </references>
      </pivotArea>
    </format>
    <format dxfId="72">
      <pivotArea field="1" dataOnly="0" labelOnly="1" outline="0" axis="axisCol" fieldPosition="0">
        <references count="1">
          <reference field="4294967294" count="1" selected="0">
            <x v="1"/>
          </reference>
        </references>
      </pivotArea>
    </format>
    <format dxfId="71">
      <pivotArea field="1" dataOnly="0" labelOnly="1" outline="0" axis="axisCol" fieldPosition="0">
        <references count="1">
          <reference field="4294967294" count="1" selected="0">
            <x v="2"/>
          </reference>
        </references>
      </pivotArea>
    </format>
    <format dxfId="70">
      <pivotArea field="1" dataOnly="0" labelOnly="1" outline="0" axis="axisCol" fieldPosition="0">
        <references count="1">
          <reference field="4294967294" count="1" selected="0">
            <x v="0"/>
          </reference>
        </references>
      </pivotArea>
    </format>
    <format dxfId="69">
      <pivotArea field="1" dataOnly="0" labelOnly="1" outline="0" axis="axisCol" fieldPosition="0">
        <references count="1">
          <reference field="4294967294" count="1" selected="0">
            <x v="1"/>
          </reference>
        </references>
      </pivotArea>
    </format>
    <format dxfId="68">
      <pivotArea field="1" dataOnly="0" labelOnly="1" outline="0" axis="axisCol" fieldPosition="0">
        <references count="1">
          <reference field="4294967294" count="1" selected="0">
            <x v="2"/>
          </reference>
        </references>
      </pivotArea>
    </format>
    <format dxfId="67">
      <pivotArea dataOnly="0" labelOnly="1" outline="0" fieldPosition="0">
        <references count="2">
          <reference field="4294967294" count="3">
            <x v="0"/>
            <x v="1"/>
            <x v="2"/>
          </reference>
          <reference field="1" count="1" selected="0">
            <x v="0"/>
          </reference>
        </references>
      </pivotArea>
    </format>
    <format dxfId="66">
      <pivotArea dataOnly="0" labelOnly="1" outline="0" fieldPosition="0">
        <references count="2">
          <reference field="4294967294" count="3">
            <x v="0"/>
            <x v="1"/>
            <x v="2"/>
          </reference>
          <reference field="1" count="1" selected="0">
            <x v="1"/>
          </reference>
        </references>
      </pivotArea>
    </format>
    <format dxfId="65">
      <pivotArea dataOnly="0" labelOnly="1" outline="0" fieldPosition="0">
        <references count="2">
          <reference field="4294967294" count="3">
            <x v="0"/>
            <x v="1"/>
            <x v="2"/>
          </reference>
          <reference field="1" count="1" selected="0">
            <x v="2"/>
          </reference>
        </references>
      </pivotArea>
    </format>
    <format dxfId="64">
      <pivotArea dataOnly="0" labelOnly="1" outline="0" fieldPosition="0">
        <references count="2">
          <reference field="4294967294" count="3">
            <x v="0"/>
            <x v="1"/>
            <x v="2"/>
          </reference>
          <reference field="1" count="1" selected="0">
            <x v="3"/>
          </reference>
        </references>
      </pivotArea>
    </format>
    <format dxfId="63">
      <pivotArea dataOnly="0" labelOnly="1" outline="0" fieldPosition="0">
        <references count="2">
          <reference field="4294967294" count="3">
            <x v="0"/>
            <x v="1"/>
            <x v="2"/>
          </reference>
          <reference field="1" count="1" selected="0">
            <x v="4"/>
          </reference>
        </references>
      </pivotArea>
    </format>
    <format dxfId="62">
      <pivotArea dataOnly="0" labelOnly="1" outline="0" fieldPosition="0">
        <references count="2">
          <reference field="4294967294" count="3">
            <x v="0"/>
            <x v="1"/>
            <x v="2"/>
          </reference>
          <reference field="1" count="1" selected="0">
            <x v="5"/>
          </reference>
        </references>
      </pivotArea>
    </format>
    <format dxfId="61">
      <pivotArea dataOnly="0" labelOnly="1" outline="0" fieldPosition="0">
        <references count="2">
          <reference field="4294967294" count="3">
            <x v="0"/>
            <x v="1"/>
            <x v="2"/>
          </reference>
          <reference field="1" count="1" selected="0">
            <x v="6"/>
          </reference>
        </references>
      </pivotArea>
    </format>
    <format dxfId="60">
      <pivotArea field="15" type="button" dataOnly="0" labelOnly="1" outline="0" axis="axisRow" fieldPosition="1"/>
    </format>
    <format dxfId="59">
      <pivotArea dataOnly="0" labelOnly="1" fieldPosition="0">
        <references count="1">
          <reference field="15" count="7">
            <x v="0"/>
            <x v="1"/>
            <x v="2"/>
            <x v="3"/>
            <x v="4"/>
            <x v="5"/>
            <x v="6"/>
          </reference>
        </references>
      </pivotArea>
    </format>
    <format dxfId="58">
      <pivotArea field="15" type="button" dataOnly="0" labelOnly="1" outline="0" axis="axisRow" fieldPosition="1"/>
    </format>
    <format dxfId="57">
      <pivotArea dataOnly="0" labelOnly="1" fieldPosition="0">
        <references count="1">
          <reference field="15" count="7">
            <x v="0"/>
            <x v="1"/>
            <x v="2"/>
            <x v="3"/>
            <x v="4"/>
            <x v="5"/>
            <x v="6"/>
          </reference>
        </references>
      </pivotArea>
    </format>
    <format dxfId="56">
      <pivotArea collapsedLevelsAreSubtotals="1" fieldPosition="0">
        <references count="2">
          <reference field="3" count="1" selected="0">
            <x v="0"/>
          </reference>
          <reference field="15" count="2">
            <x v="7"/>
            <x v="8"/>
          </reference>
        </references>
      </pivotArea>
    </format>
    <format dxfId="55">
      <pivotArea dataOnly="0" labelOnly="1" fieldPosition="0">
        <references count="2">
          <reference field="3" count="1" selected="0">
            <x v="0"/>
          </reference>
          <reference field="15" count="2">
            <x v="7"/>
            <x v="8"/>
          </reference>
        </references>
      </pivotArea>
    </format>
    <format dxfId="54">
      <pivotArea collapsedLevelsAreSubtotals="1" fieldPosition="0">
        <references count="2">
          <reference field="3" count="1" selected="0">
            <x v="2"/>
          </reference>
          <reference field="15" count="1">
            <x v="8"/>
          </reference>
        </references>
      </pivotArea>
    </format>
    <format dxfId="53">
      <pivotArea dataOnly="0" labelOnly="1" fieldPosition="0">
        <references count="2">
          <reference field="3" count="1" selected="0">
            <x v="2"/>
          </reference>
          <reference field="15" count="1">
            <x v="8"/>
          </reference>
        </references>
      </pivotArea>
    </format>
    <format dxfId="52">
      <pivotArea collapsedLevelsAreSubtotals="1" fieldPosition="0">
        <references count="2">
          <reference field="3" count="1" selected="0">
            <x v="0"/>
          </reference>
          <reference field="15" count="2">
            <x v="9"/>
            <x v="10"/>
          </reference>
        </references>
      </pivotArea>
    </format>
    <format dxfId="51">
      <pivotArea dataOnly="0" labelOnly="1" fieldPosition="0">
        <references count="2">
          <reference field="3" count="1" selected="0">
            <x v="0"/>
          </reference>
          <reference field="15" count="2">
            <x v="9"/>
            <x v="10"/>
          </reference>
        </references>
      </pivotArea>
    </format>
    <format dxfId="50">
      <pivotArea field="1" grandCol="1" outline="0" collapsedLevelsAreSubtotals="1" axis="axisCol" fieldPosition="0">
        <references count="1">
          <reference field="4294967294" count="3" selected="0">
            <x v="0"/>
            <x v="1"/>
            <x v="2"/>
          </reference>
        </references>
      </pivotArea>
    </format>
    <format dxfId="49">
      <pivotArea field="1" grandCol="1" outline="0" collapsedLevelsAreSubtotals="1" axis="axisCol" fieldPosition="0">
        <references count="1">
          <reference field="4294967294" count="3" selected="0">
            <x v="0"/>
            <x v="1"/>
            <x v="2"/>
          </reference>
        </references>
      </pivotArea>
    </format>
    <format dxfId="48">
      <pivotArea field="1" dataOnly="0" labelOnly="1" grandCol="1" outline="0" axis="axisCol" fieldPosition="0">
        <references count="1">
          <reference field="4294967294" count="1" selected="0">
            <x v="0"/>
          </reference>
        </references>
      </pivotArea>
    </format>
    <format dxfId="47">
      <pivotArea field="1" dataOnly="0" labelOnly="1" grandCol="1" outline="0" axis="axisCol" fieldPosition="0">
        <references count="1">
          <reference field="4294967294" count="1" selected="0">
            <x v="1"/>
          </reference>
        </references>
      </pivotArea>
    </format>
    <format dxfId="46">
      <pivotArea field="1" dataOnly="0" labelOnly="1" grandCol="1" outline="0" axis="axisCol" fieldPosition="0">
        <references count="1">
          <reference field="4294967294" count="1" selected="0">
            <x v="2"/>
          </reference>
        </references>
      </pivotArea>
    </format>
    <format dxfId="45">
      <pivotArea field="1" dataOnly="0" labelOnly="1" grandCol="1" outline="0" axis="axisCol" fieldPosition="0">
        <references count="1">
          <reference field="4294967294" count="1" selected="0">
            <x v="0"/>
          </reference>
        </references>
      </pivotArea>
    </format>
    <format dxfId="44">
      <pivotArea field="1" dataOnly="0" labelOnly="1" grandCol="1" outline="0" axis="axisCol" fieldPosition="0">
        <references count="1">
          <reference field="4294967294" count="1" selected="0">
            <x v="1"/>
          </reference>
        </references>
      </pivotArea>
    </format>
    <format dxfId="43">
      <pivotArea field="1" dataOnly="0" labelOnly="1" grandCol="1" outline="0" axis="axisCol" fieldPosition="0">
        <references count="1">
          <reference field="4294967294" count="1" selected="0">
            <x v="2"/>
          </reference>
        </references>
      </pivotArea>
    </format>
    <format dxfId="42">
      <pivotArea field="1" dataOnly="0" labelOnly="1" grandCol="1" outline="0" axis="axisCol" fieldPosition="0">
        <references count="1">
          <reference field="4294967294" count="1" selected="0">
            <x v="0"/>
          </reference>
        </references>
      </pivotArea>
    </format>
    <format dxfId="41">
      <pivotArea field="1" dataOnly="0" labelOnly="1" grandCol="1" outline="0" axis="axisCol" fieldPosition="0">
        <references count="1">
          <reference field="4294967294" count="1" selected="0">
            <x v="1"/>
          </reference>
        </references>
      </pivotArea>
    </format>
    <format dxfId="40">
      <pivotArea field="1" dataOnly="0" labelOnly="1" grandCol="1" outline="0" axis="axisCol" fieldPosition="0">
        <references count="1">
          <reference field="4294967294" count="1" selected="0">
            <x v="2"/>
          </reference>
        </references>
      </pivotArea>
    </format>
    <format dxfId="39">
      <pivotArea field="1" dataOnly="0" labelOnly="1" grandCol="1" outline="0" axis="axisCol" fieldPosition="0">
        <references count="1">
          <reference field="4294967294" count="1" selected="0">
            <x v="0"/>
          </reference>
        </references>
      </pivotArea>
    </format>
    <format dxfId="38">
      <pivotArea field="1" dataOnly="0" labelOnly="1" grandCol="1" outline="0" axis="axisCol" fieldPosition="0">
        <references count="1">
          <reference field="4294967294" count="1" selected="0">
            <x v="1"/>
          </reference>
        </references>
      </pivotArea>
    </format>
    <format dxfId="37">
      <pivotArea field="1" dataOnly="0" labelOnly="1" grandCol="1" outline="0" axis="axisCol" fieldPosition="0">
        <references count="1">
          <reference field="4294967294" count="1" selected="0">
            <x v="2"/>
          </reference>
        </references>
      </pivotArea>
    </format>
    <format dxfId="36">
      <pivotArea field="1" dataOnly="0" labelOnly="1" grandCol="1" outline="0" axis="axisCol" fieldPosition="0">
        <references count="1">
          <reference field="4294967294" count="1" selected="0">
            <x v="0"/>
          </reference>
        </references>
      </pivotArea>
    </format>
    <format dxfId="35">
      <pivotArea field="1" dataOnly="0" labelOnly="1" grandCol="1" outline="0" axis="axisCol" fieldPosition="0">
        <references count="1">
          <reference field="4294967294" count="1" selected="0">
            <x v="1"/>
          </reference>
        </references>
      </pivotArea>
    </format>
    <format dxfId="34">
      <pivotArea field="1" dataOnly="0" labelOnly="1" grandCol="1" outline="0" axis="axisCol" fieldPosition="0">
        <references count="1">
          <reference field="4294967294" count="1" selected="0">
            <x v="2"/>
          </reference>
        </references>
      </pivotArea>
    </format>
    <format dxfId="33">
      <pivotArea field="1" dataOnly="0" labelOnly="1" grandCol="1" outline="0" axis="axisCol" fieldPosition="0">
        <references count="1">
          <reference field="4294967294" count="1" selected="0">
            <x v="0"/>
          </reference>
        </references>
      </pivotArea>
    </format>
    <format dxfId="32">
      <pivotArea field="1" dataOnly="0" labelOnly="1" grandCol="1" outline="0" axis="axisCol" fieldPosition="0">
        <references count="1">
          <reference field="4294967294" count="1" selected="0">
            <x v="1"/>
          </reference>
        </references>
      </pivotArea>
    </format>
    <format dxfId="31">
      <pivotArea field="1" dataOnly="0" labelOnly="1" grandCol="1" outline="0" axis="axisCol" fieldPosition="0">
        <references count="1">
          <reference field="4294967294" count="1" selected="0">
            <x v="2"/>
          </reference>
        </references>
      </pivotArea>
    </format>
    <format dxfId="30">
      <pivotArea field="1" dataOnly="0" labelOnly="1" grandCol="1" outline="0" axis="axisCol" fieldPosition="0">
        <references count="1">
          <reference field="4294967294" count="1" selected="0">
            <x v="0"/>
          </reference>
        </references>
      </pivotArea>
    </format>
    <format dxfId="29">
      <pivotArea field="1" dataOnly="0" labelOnly="1" grandCol="1" outline="0" axis="axisCol" fieldPosition="0">
        <references count="1">
          <reference field="4294967294" count="1" selected="0">
            <x v="1"/>
          </reference>
        </references>
      </pivotArea>
    </format>
    <format dxfId="28">
      <pivotArea field="1" dataOnly="0" labelOnly="1" grandCol="1" outline="0" axis="axisCol" fieldPosition="0">
        <references count="1">
          <reference field="4294967294" count="1" selected="0">
            <x v="2"/>
          </reference>
        </references>
      </pivotArea>
    </format>
    <format dxfId="27">
      <pivotArea field="1" dataOnly="0" labelOnly="1" grandCol="1" outline="0" axis="axisCol" fieldPosition="0">
        <references count="1">
          <reference field="4294967294" count="1" selected="0">
            <x v="0"/>
          </reference>
        </references>
      </pivotArea>
    </format>
    <format dxfId="26">
      <pivotArea field="1" dataOnly="0" labelOnly="1" grandCol="1" outline="0" axis="axisCol" fieldPosition="0">
        <references count="1">
          <reference field="4294967294" count="1" selected="0">
            <x v="1"/>
          </reference>
        </references>
      </pivotArea>
    </format>
    <format dxfId="25">
      <pivotArea field="1" dataOnly="0" labelOnly="1" grandCol="1" outline="0" axis="axisCol" fieldPosition="0">
        <references count="1">
          <reference field="4294967294" count="1" selected="0">
            <x v="2"/>
          </reference>
        </references>
      </pivotArea>
    </format>
    <format dxfId="24">
      <pivotArea field="1" dataOnly="0" labelOnly="1" grandCol="1" outline="0" axis="axisCol" fieldPosition="0">
        <references count="1">
          <reference field="4294967294" count="1" selected="0">
            <x v="0"/>
          </reference>
        </references>
      </pivotArea>
    </format>
    <format dxfId="23">
      <pivotArea field="1" dataOnly="0" labelOnly="1" grandCol="1" outline="0" axis="axisCol" fieldPosition="0">
        <references count="1">
          <reference field="4294967294" count="1" selected="0">
            <x v="1"/>
          </reference>
        </references>
      </pivotArea>
    </format>
    <format dxfId="22">
      <pivotArea field="1" dataOnly="0" labelOnly="1" grandCol="1" outline="0" axis="axisCol" fieldPosition="0">
        <references count="1">
          <reference field="4294967294" count="1" selected="0">
            <x v="2"/>
          </reference>
        </references>
      </pivotArea>
    </format>
    <format dxfId="21">
      <pivotArea outline="0" collapsedLevelsAreSubtotals="1" fieldPosition="0">
        <references count="2">
          <reference field="4294967294" count="3" selected="0">
            <x v="0"/>
            <x v="1"/>
            <x v="2"/>
          </reference>
          <reference field="1" count="0" selected="0"/>
        </references>
      </pivotArea>
    </format>
    <format dxfId="20">
      <pivotArea field="1" type="button" dataOnly="0" labelOnly="1" outline="0" axis="axisCol" fieldPosition="0"/>
    </format>
    <format dxfId="19">
      <pivotArea field="-2" type="button" dataOnly="0" labelOnly="1" outline="0" axis="axisCol" fieldPosition="1"/>
    </format>
    <format dxfId="18">
      <pivotArea type="topRight" dataOnly="0" labelOnly="1" outline="0" fieldPosition="0"/>
    </format>
    <format dxfId="17">
      <pivotArea dataOnly="0" labelOnly="1" fieldPosition="0">
        <references count="1">
          <reference field="1" count="0"/>
        </references>
      </pivotArea>
    </format>
    <format dxfId="16">
      <pivotArea dataOnly="0" labelOnly="1" outline="0" fieldPosition="0">
        <references count="2">
          <reference field="4294967294" count="3">
            <x v="0"/>
            <x v="1"/>
            <x v="2"/>
          </reference>
          <reference field="1" count="1" selected="0">
            <x v="0"/>
          </reference>
        </references>
      </pivotArea>
    </format>
    <format dxfId="15">
      <pivotArea dataOnly="0" labelOnly="1" outline="0" fieldPosition="0">
        <references count="2">
          <reference field="4294967294" count="3">
            <x v="0"/>
            <x v="1"/>
            <x v="2"/>
          </reference>
          <reference field="1" count="1" selected="0">
            <x v="1"/>
          </reference>
        </references>
      </pivotArea>
    </format>
    <format dxfId="14">
      <pivotArea dataOnly="0" labelOnly="1" outline="0" fieldPosition="0">
        <references count="2">
          <reference field="4294967294" count="3">
            <x v="0"/>
            <x v="1"/>
            <x v="2"/>
          </reference>
          <reference field="1" count="1" selected="0">
            <x v="2"/>
          </reference>
        </references>
      </pivotArea>
    </format>
    <format dxfId="13">
      <pivotArea dataOnly="0" labelOnly="1" outline="0" fieldPosition="0">
        <references count="2">
          <reference field="4294967294" count="3">
            <x v="0"/>
            <x v="1"/>
            <x v="2"/>
          </reference>
          <reference field="1" count="1" selected="0">
            <x v="4"/>
          </reference>
        </references>
      </pivotArea>
    </format>
    <format dxfId="12">
      <pivotArea dataOnly="0" labelOnly="1" outline="0" fieldPosition="0">
        <references count="2">
          <reference field="4294967294" count="3">
            <x v="0"/>
            <x v="1"/>
            <x v="2"/>
          </reference>
          <reference field="1" count="1" selected="0">
            <x v="5"/>
          </reference>
        </references>
      </pivotArea>
    </format>
    <format dxfId="11">
      <pivotArea dataOnly="0" labelOnly="1" outline="0" fieldPosition="0">
        <references count="2">
          <reference field="4294967294" count="3">
            <x v="0"/>
            <x v="1"/>
            <x v="2"/>
          </reference>
          <reference field="1" count="1" selected="0">
            <x v="6"/>
          </reference>
        </references>
      </pivotArea>
    </format>
    <format dxfId="10">
      <pivotArea collapsedLevelsAreSubtotals="1" fieldPosition="0">
        <references count="2">
          <reference field="3" count="1" selected="0">
            <x v="0"/>
          </reference>
          <reference field="15" count="1">
            <x v="11"/>
          </reference>
        </references>
      </pivotArea>
    </format>
    <format dxfId="9">
      <pivotArea dataOnly="0" labelOnly="1" fieldPosition="0">
        <references count="2">
          <reference field="3" count="1" selected="0">
            <x v="0"/>
          </reference>
          <reference field="15" count="1">
            <x v="11"/>
          </reference>
        </references>
      </pivotArea>
    </format>
    <format dxfId="8">
      <pivotArea field="1" grandCol="1" outline="0" collapsedLevelsAreSubtotals="1" axis="axisCol" fieldPosition="0">
        <references count="1">
          <reference field="4294967294" count="3" selected="0">
            <x v="0"/>
            <x v="1"/>
            <x v="2"/>
          </reference>
        </references>
      </pivotArea>
    </format>
    <format dxfId="7">
      <pivotArea field="1" grandCol="1" outline="0" collapsedLevelsAreSubtotals="1" axis="axisCol" fieldPosition="0">
        <references count="1">
          <reference field="4294967294" count="3" selected="0">
            <x v="0"/>
            <x v="1"/>
            <x v="2"/>
          </reference>
        </references>
      </pivotArea>
    </format>
    <format dxfId="6">
      <pivotArea collapsedLevelsAreSubtotals="1" fieldPosition="0">
        <references count="2">
          <reference field="3" count="1" selected="0">
            <x v="0"/>
          </reference>
          <reference field="15" count="1">
            <x v="7"/>
          </reference>
        </references>
      </pivotArea>
    </format>
    <format dxfId="5">
      <pivotArea dataOnly="0" labelOnly="1" fieldPosition="0">
        <references count="2">
          <reference field="3" count="1" selected="0">
            <x v="0"/>
          </reference>
          <reference field="15" count="1">
            <x v="7"/>
          </reference>
        </references>
      </pivotArea>
    </format>
    <format dxfId="4">
      <pivotArea collapsedLevelsAreSubtotals="1" fieldPosition="0">
        <references count="2">
          <reference field="3" count="1" selected="0">
            <x v="0"/>
          </reference>
          <reference field="15" count="4">
            <x v="8"/>
            <x v="9"/>
            <x v="10"/>
            <x v="11"/>
          </reference>
        </references>
      </pivotArea>
    </format>
    <format dxfId="3">
      <pivotArea dataOnly="0" labelOnly="1" fieldPosition="0">
        <references count="2">
          <reference field="3" count="1" selected="0">
            <x v="0"/>
          </reference>
          <reference field="15" count="4">
            <x v="8"/>
            <x v="9"/>
            <x v="10"/>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G41:H57">
  <tableColumns count="2">
    <tableColumn id="1" xr3:uid="{00000000-0010-0000-0000-000001000000}" name="Example of Corporate Support: Pew Trust"/>
    <tableColumn id="2" xr3:uid="{00000000-0010-0000-0000-000002000000}" name="Explicit Mission Statement by Pew Trust: To support institution that upholds historic Chrisitian principles rooted in Biblical standards."/>
  </tableColumns>
  <tableStyleInfo name="U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G355:H369">
  <tableColumns count="2">
    <tableColumn id="1" xr3:uid="{00000000-0010-0000-0100-000001000000}" name="Example of Corporate Support: Pew Trust"/>
    <tableColumn id="2" xr3:uid="{00000000-0010-0000-0100-000002000000}" name="Explicit Mission Statement by Pew Trust: To support institution that upholds historic Chrisitian principles rooted in Biblical standards."/>
  </tableColumns>
  <tableStyleInfo name="Final-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youtube.com/watch?v=TxC_8Xllf-M" TargetMode="External"/><Relationship Id="rId299" Type="http://schemas.openxmlformats.org/officeDocument/2006/relationships/hyperlink" Target="https://www.youtube.com/watch?v=fyMRRD_YeRI" TargetMode="External"/><Relationship Id="rId671" Type="http://schemas.openxmlformats.org/officeDocument/2006/relationships/hyperlink" Target="https://www.youtube.com/watch?v=lkDfIrZy2VY" TargetMode="External"/><Relationship Id="rId727" Type="http://schemas.openxmlformats.org/officeDocument/2006/relationships/hyperlink" Target="https://www.youtube.com/watch?v=zEXu5K5eyCY" TargetMode="External"/><Relationship Id="rId21" Type="http://schemas.openxmlformats.org/officeDocument/2006/relationships/hyperlink" Target="https://www.youtube.com/watch?v=DMG2XD9_nTI" TargetMode="External"/><Relationship Id="rId63" Type="http://schemas.openxmlformats.org/officeDocument/2006/relationships/hyperlink" Target="https://www.youtube.com/watch?v=-3rtVbNkNNQ" TargetMode="External"/><Relationship Id="rId159" Type="http://schemas.openxmlformats.org/officeDocument/2006/relationships/hyperlink" Target="https://www.youtube.com/watch?v=2uOiM67vK6A" TargetMode="External"/><Relationship Id="rId324" Type="http://schemas.openxmlformats.org/officeDocument/2006/relationships/hyperlink" Target="https://www.youtube.com/watch?v=jQ47l4DT1BY" TargetMode="External"/><Relationship Id="rId366" Type="http://schemas.openxmlformats.org/officeDocument/2006/relationships/hyperlink" Target="https://www.youtube.com/watch?v=w2e5eqI49cE" TargetMode="External"/><Relationship Id="rId531" Type="http://schemas.openxmlformats.org/officeDocument/2006/relationships/hyperlink" Target="https://www.youtube.com/watch?v=log0y9fRklc" TargetMode="External"/><Relationship Id="rId573" Type="http://schemas.openxmlformats.org/officeDocument/2006/relationships/hyperlink" Target="https://www.youtube.com/watch?v=BsEY7XJTv70" TargetMode="External"/><Relationship Id="rId629" Type="http://schemas.openxmlformats.org/officeDocument/2006/relationships/hyperlink" Target="https://www.youtube.com/watch?v=az7GJp1YAXw" TargetMode="External"/><Relationship Id="rId170" Type="http://schemas.openxmlformats.org/officeDocument/2006/relationships/hyperlink" Target="https://www.youtube.com/watch?v=wgud4Fi47XA" TargetMode="External"/><Relationship Id="rId226" Type="http://schemas.openxmlformats.org/officeDocument/2006/relationships/hyperlink" Target="https://www.youtube.com/watch?v=7zvf9bnLgs8" TargetMode="External"/><Relationship Id="rId433" Type="http://schemas.openxmlformats.org/officeDocument/2006/relationships/hyperlink" Target="https://www.youtube.com/watch?v=tRgTeYpgv8c" TargetMode="External"/><Relationship Id="rId268" Type="http://schemas.openxmlformats.org/officeDocument/2006/relationships/hyperlink" Target="https://www.youtube.com/watch?v=R_G2Gd70LiY" TargetMode="External"/><Relationship Id="rId475" Type="http://schemas.openxmlformats.org/officeDocument/2006/relationships/hyperlink" Target="https://www.youtube.com/watch?v=VDqAX3plBww" TargetMode="External"/><Relationship Id="rId640" Type="http://schemas.openxmlformats.org/officeDocument/2006/relationships/hyperlink" Target="https://www.youtube.com/watch?v=5Qbkf3waru8" TargetMode="External"/><Relationship Id="rId682" Type="http://schemas.openxmlformats.org/officeDocument/2006/relationships/hyperlink" Target="https://www.youtube.com/watch?v=iwaHs0-q9l8" TargetMode="External"/><Relationship Id="rId738" Type="http://schemas.openxmlformats.org/officeDocument/2006/relationships/hyperlink" Target="https://www.youtube.com/watch?v=ZErxsCxSQsA" TargetMode="External"/><Relationship Id="rId32" Type="http://schemas.openxmlformats.org/officeDocument/2006/relationships/hyperlink" Target="https://www.youtube.com/watch?v=ryQMb29oX3s" TargetMode="External"/><Relationship Id="rId74" Type="http://schemas.openxmlformats.org/officeDocument/2006/relationships/hyperlink" Target="https://www.youtube.com/watch?v=YFmL65VsWdk" TargetMode="External"/><Relationship Id="rId128" Type="http://schemas.openxmlformats.org/officeDocument/2006/relationships/hyperlink" Target="https://www.youtube.com/watch?v=JErwMUETzvU" TargetMode="External"/><Relationship Id="rId335" Type="http://schemas.openxmlformats.org/officeDocument/2006/relationships/hyperlink" Target="https://www.youtube.com/watch?v=zgOMSgegwGk" TargetMode="External"/><Relationship Id="rId377" Type="http://schemas.openxmlformats.org/officeDocument/2006/relationships/hyperlink" Target="https://www.youtube.com/watch?v=AjEKOFHh4yM" TargetMode="External"/><Relationship Id="rId500" Type="http://schemas.openxmlformats.org/officeDocument/2006/relationships/hyperlink" Target="https://www.youtube.com/watch?v=1UT4aCq24wA" TargetMode="External"/><Relationship Id="rId542" Type="http://schemas.openxmlformats.org/officeDocument/2006/relationships/hyperlink" Target="https://www.youtube.com/watch?v=N20dY0-9Nio" TargetMode="External"/><Relationship Id="rId584" Type="http://schemas.openxmlformats.org/officeDocument/2006/relationships/hyperlink" Target="https://www.youtube.com/watch?v=sGXLoCpynsU" TargetMode="External"/><Relationship Id="rId5" Type="http://schemas.openxmlformats.org/officeDocument/2006/relationships/hyperlink" Target="https://www.youtube.com/watch?v=7WsGnkGob7A" TargetMode="External"/><Relationship Id="rId181" Type="http://schemas.openxmlformats.org/officeDocument/2006/relationships/hyperlink" Target="https://www.youtube.com/watch?v=qsCWK-TQVsk" TargetMode="External"/><Relationship Id="rId237" Type="http://schemas.openxmlformats.org/officeDocument/2006/relationships/hyperlink" Target="https://www.youtube.com/watch?v=GajqTVRZzfE" TargetMode="External"/><Relationship Id="rId402" Type="http://schemas.openxmlformats.org/officeDocument/2006/relationships/hyperlink" Target="https://www.youtube.com/watch?v=3zpg3MGhmyI" TargetMode="External"/><Relationship Id="rId279" Type="http://schemas.openxmlformats.org/officeDocument/2006/relationships/hyperlink" Target="https://www.youtube.com/watch?v=FKg_FjS3qZw" TargetMode="External"/><Relationship Id="rId444" Type="http://schemas.openxmlformats.org/officeDocument/2006/relationships/hyperlink" Target="https://www.youtube.com/watch?v=Kfqplhug-eA" TargetMode="External"/><Relationship Id="rId486" Type="http://schemas.openxmlformats.org/officeDocument/2006/relationships/hyperlink" Target="https://www.youtube.com/watch?v=G2ke7Higm-Y" TargetMode="External"/><Relationship Id="rId651" Type="http://schemas.openxmlformats.org/officeDocument/2006/relationships/hyperlink" Target="https://www.youtube.com/watch?v=9FgUTz996bs" TargetMode="External"/><Relationship Id="rId693" Type="http://schemas.openxmlformats.org/officeDocument/2006/relationships/hyperlink" Target="https://www.youtube.com/watch?v=7AYmPqY5iF4" TargetMode="External"/><Relationship Id="rId707" Type="http://schemas.openxmlformats.org/officeDocument/2006/relationships/hyperlink" Target="https://www.youtube.com/watch?v=k0FNC9LuJoo&amp;t=4s" TargetMode="External"/><Relationship Id="rId749" Type="http://schemas.openxmlformats.org/officeDocument/2006/relationships/hyperlink" Target="https://www.youtube.com/watch?v=DL5cLBZou3I" TargetMode="External"/><Relationship Id="rId43" Type="http://schemas.openxmlformats.org/officeDocument/2006/relationships/hyperlink" Target="https://www.youtube.com/watch?v=ufZ1BZcZzKI" TargetMode="External"/><Relationship Id="rId139" Type="http://schemas.openxmlformats.org/officeDocument/2006/relationships/hyperlink" Target="https://www.youtube.com/watch?v=7ZD3D4mAoaE" TargetMode="External"/><Relationship Id="rId290" Type="http://schemas.openxmlformats.org/officeDocument/2006/relationships/hyperlink" Target="https://www.youtube.com/watch?v=zILqg37PouM" TargetMode="External"/><Relationship Id="rId304" Type="http://schemas.openxmlformats.org/officeDocument/2006/relationships/hyperlink" Target="https://www.youtube.com/watch?v=59-D2X_vmlA" TargetMode="External"/><Relationship Id="rId346" Type="http://schemas.openxmlformats.org/officeDocument/2006/relationships/hyperlink" Target="https://www.youtube.com/watch?v=7cA62ZHlWx0" TargetMode="External"/><Relationship Id="rId388" Type="http://schemas.openxmlformats.org/officeDocument/2006/relationships/hyperlink" Target="https://www.youtube.com/watch?v=hFK3wIxZt3g" TargetMode="External"/><Relationship Id="rId511" Type="http://schemas.openxmlformats.org/officeDocument/2006/relationships/hyperlink" Target="https://www.youtube.com/watch?v=NeCQOUox8zc" TargetMode="External"/><Relationship Id="rId553" Type="http://schemas.openxmlformats.org/officeDocument/2006/relationships/hyperlink" Target="https://www.youtube.com/watch?v=R6bvpvI1_uY" TargetMode="External"/><Relationship Id="rId609" Type="http://schemas.openxmlformats.org/officeDocument/2006/relationships/hyperlink" Target="https://www.youtube.com/watch?v=4W3kmjNG_K8" TargetMode="External"/><Relationship Id="rId760" Type="http://schemas.openxmlformats.org/officeDocument/2006/relationships/comments" Target="../comments1.xml"/><Relationship Id="rId85" Type="http://schemas.openxmlformats.org/officeDocument/2006/relationships/hyperlink" Target="https://www.youtube.com/watch?v=z1wT-GurohQ" TargetMode="External"/><Relationship Id="rId150" Type="http://schemas.openxmlformats.org/officeDocument/2006/relationships/hyperlink" Target="https://www.youtube.com/watch?v=PjvzuUMMZs4" TargetMode="External"/><Relationship Id="rId192" Type="http://schemas.openxmlformats.org/officeDocument/2006/relationships/hyperlink" Target="https://www.youtube.com/watch?v=EWnc9FdyP7s" TargetMode="External"/><Relationship Id="rId206" Type="http://schemas.openxmlformats.org/officeDocument/2006/relationships/hyperlink" Target="https://www.youtube.com/watch?v=Dymxd9hAemA" TargetMode="External"/><Relationship Id="rId413" Type="http://schemas.openxmlformats.org/officeDocument/2006/relationships/hyperlink" Target="https://www.youtube.com/watch?v=JDOBTQ94-S4" TargetMode="External"/><Relationship Id="rId595" Type="http://schemas.openxmlformats.org/officeDocument/2006/relationships/hyperlink" Target="https://www.youtube.com/watch?v=YtD-Ro9OJRQ" TargetMode="External"/><Relationship Id="rId248" Type="http://schemas.openxmlformats.org/officeDocument/2006/relationships/hyperlink" Target="https://www.youtube.com/watch?v=R2XPp4eJXLk" TargetMode="External"/><Relationship Id="rId455" Type="http://schemas.openxmlformats.org/officeDocument/2006/relationships/hyperlink" Target="https://www.youtube.com/watch?v=Cuelsn9VyZQ" TargetMode="External"/><Relationship Id="rId497" Type="http://schemas.openxmlformats.org/officeDocument/2006/relationships/hyperlink" Target="https://www.youtube.com/watch?v=4xWwhXcAjhU" TargetMode="External"/><Relationship Id="rId620" Type="http://schemas.openxmlformats.org/officeDocument/2006/relationships/hyperlink" Target="https://www.youtube.com/watch?v=1k_PbRxkEqo" TargetMode="External"/><Relationship Id="rId662" Type="http://schemas.openxmlformats.org/officeDocument/2006/relationships/hyperlink" Target="https://www.youtube.com/watch?v=Ih4StVOa0Qs" TargetMode="External"/><Relationship Id="rId718" Type="http://schemas.openxmlformats.org/officeDocument/2006/relationships/hyperlink" Target="https://www.youtube.com/watch?v=3ytmTvor21A" TargetMode="External"/><Relationship Id="rId12" Type="http://schemas.openxmlformats.org/officeDocument/2006/relationships/hyperlink" Target="https://www.youtube.com/watch?v=2UnJMns3fjs" TargetMode="External"/><Relationship Id="rId108" Type="http://schemas.openxmlformats.org/officeDocument/2006/relationships/hyperlink" Target="https://www.youtube.com/watch?v=WMf0Mau2TzE" TargetMode="External"/><Relationship Id="rId315" Type="http://schemas.openxmlformats.org/officeDocument/2006/relationships/hyperlink" Target="https://www.youtube.com/watch?v=r2uhf3x6oH8" TargetMode="External"/><Relationship Id="rId357" Type="http://schemas.openxmlformats.org/officeDocument/2006/relationships/hyperlink" Target="https://www.youtube.com/watch?v=dlQfycnk550" TargetMode="External"/><Relationship Id="rId522" Type="http://schemas.openxmlformats.org/officeDocument/2006/relationships/hyperlink" Target="https://www.youtube.com/watch?v=xkyySDtO5HU" TargetMode="External"/><Relationship Id="rId54" Type="http://schemas.openxmlformats.org/officeDocument/2006/relationships/hyperlink" Target="https://www.youtube.com/watch?v=m3jwqSSyVkg" TargetMode="External"/><Relationship Id="rId96" Type="http://schemas.openxmlformats.org/officeDocument/2006/relationships/hyperlink" Target="https://www.youtube.com/watch?v=schP-IZS5Sw" TargetMode="External"/><Relationship Id="rId161" Type="http://schemas.openxmlformats.org/officeDocument/2006/relationships/hyperlink" Target="https://www.youtube.com/watch?v=yaOVnZ7W-Qc" TargetMode="External"/><Relationship Id="rId217" Type="http://schemas.openxmlformats.org/officeDocument/2006/relationships/hyperlink" Target="https://www.youtube.com/watch?v=30958J1ez4k" TargetMode="External"/><Relationship Id="rId399" Type="http://schemas.openxmlformats.org/officeDocument/2006/relationships/hyperlink" Target="https://www.youtube.com/watch?v=w1UAQGgnz4A" TargetMode="External"/><Relationship Id="rId564" Type="http://schemas.openxmlformats.org/officeDocument/2006/relationships/hyperlink" Target="https://www.youtube.com/watch?v=udkwSpjJnGk" TargetMode="External"/><Relationship Id="rId259" Type="http://schemas.openxmlformats.org/officeDocument/2006/relationships/hyperlink" Target="https://www.youtube.com/watch?v=VwTbkm1NN4Y" TargetMode="External"/><Relationship Id="rId424" Type="http://schemas.openxmlformats.org/officeDocument/2006/relationships/hyperlink" Target="https://www.youtube.com/watch?v=dzUx3zUv_yw" TargetMode="External"/><Relationship Id="rId466" Type="http://schemas.openxmlformats.org/officeDocument/2006/relationships/hyperlink" Target="https://www.youtube.com/watch?v=WfJvOgXp9SM" TargetMode="External"/><Relationship Id="rId631" Type="http://schemas.openxmlformats.org/officeDocument/2006/relationships/hyperlink" Target="https://www.youtube.com/watch?v=IS6hRiM7WuU" TargetMode="External"/><Relationship Id="rId673" Type="http://schemas.openxmlformats.org/officeDocument/2006/relationships/hyperlink" Target="https://www.youtube.com/watch?v=vzoIHUTieE0" TargetMode="External"/><Relationship Id="rId729" Type="http://schemas.openxmlformats.org/officeDocument/2006/relationships/hyperlink" Target="https://www.youtube.com/watch?v=7IXp156RgtQ" TargetMode="External"/><Relationship Id="rId23" Type="http://schemas.openxmlformats.org/officeDocument/2006/relationships/hyperlink" Target="https://www.youtube.com/watch?v=5LJPOCxc3E8" TargetMode="External"/><Relationship Id="rId119" Type="http://schemas.openxmlformats.org/officeDocument/2006/relationships/hyperlink" Target="https://www.youtube.com/watch?v=rdyZwjy8Wko" TargetMode="External"/><Relationship Id="rId270" Type="http://schemas.openxmlformats.org/officeDocument/2006/relationships/hyperlink" Target="https://www.youtube.com/watch?v=X4TDNzwe3s4" TargetMode="External"/><Relationship Id="rId326" Type="http://schemas.openxmlformats.org/officeDocument/2006/relationships/hyperlink" Target="https://www.youtube.com/watch?v=wXSD2PQznXI" TargetMode="External"/><Relationship Id="rId533" Type="http://schemas.openxmlformats.org/officeDocument/2006/relationships/hyperlink" Target="https://www.youtube.com/watch?v=gzOZ5Lo3n9Y" TargetMode="External"/><Relationship Id="rId65" Type="http://schemas.openxmlformats.org/officeDocument/2006/relationships/hyperlink" Target="https://www.youtube.com/watch?v=28dLjjiriJA" TargetMode="External"/><Relationship Id="rId130" Type="http://schemas.openxmlformats.org/officeDocument/2006/relationships/hyperlink" Target="https://www.youtube.com/watch?v=g-xyM5pVESg" TargetMode="External"/><Relationship Id="rId368" Type="http://schemas.openxmlformats.org/officeDocument/2006/relationships/hyperlink" Target="https://www.youtube.com/watch?v=yMRw4TF7CAk" TargetMode="External"/><Relationship Id="rId575" Type="http://schemas.openxmlformats.org/officeDocument/2006/relationships/hyperlink" Target="https://www.youtube.com/watch?v=C6XbkLOcyVs" TargetMode="External"/><Relationship Id="rId740" Type="http://schemas.openxmlformats.org/officeDocument/2006/relationships/hyperlink" Target="https://www.youtube.com/watch?v=VFJFvcNogFU" TargetMode="External"/><Relationship Id="rId172" Type="http://schemas.openxmlformats.org/officeDocument/2006/relationships/hyperlink" Target="https://www.youtube.com/watch?v=Au_HvuB2IQc" TargetMode="External"/><Relationship Id="rId228" Type="http://schemas.openxmlformats.org/officeDocument/2006/relationships/hyperlink" Target="https://www.youtube.com/watch?v=Th1s8XrKhnk" TargetMode="External"/><Relationship Id="rId435" Type="http://schemas.openxmlformats.org/officeDocument/2006/relationships/hyperlink" Target="https://www.youtube.com/watch?v=AefxKKTqv5I" TargetMode="External"/><Relationship Id="rId477" Type="http://schemas.openxmlformats.org/officeDocument/2006/relationships/hyperlink" Target="https://www.youtube.com/watch?v=rAWCL2ENS90" TargetMode="External"/><Relationship Id="rId600" Type="http://schemas.openxmlformats.org/officeDocument/2006/relationships/hyperlink" Target="https://www.youtube.com/watch?v=j53ZVDx4pYc" TargetMode="External"/><Relationship Id="rId642" Type="http://schemas.openxmlformats.org/officeDocument/2006/relationships/hyperlink" Target="https://www.youtube.com/watch?v=69M5XJQEYX4" TargetMode="External"/><Relationship Id="rId684" Type="http://schemas.openxmlformats.org/officeDocument/2006/relationships/hyperlink" Target="https://www.youtube.com/watch?v=vaRCmUwpmNk" TargetMode="External"/><Relationship Id="rId281" Type="http://schemas.openxmlformats.org/officeDocument/2006/relationships/hyperlink" Target="https://www.youtube.com/watch?v=-cC-ErXYdnI" TargetMode="External"/><Relationship Id="rId337" Type="http://schemas.openxmlformats.org/officeDocument/2006/relationships/hyperlink" Target="https://www.youtube.com/watch?v=MP4mGKSR2-0" TargetMode="External"/><Relationship Id="rId502" Type="http://schemas.openxmlformats.org/officeDocument/2006/relationships/hyperlink" Target="https://www.youtube.com/watch?v=a6bj2Qddmzk" TargetMode="External"/><Relationship Id="rId34" Type="http://schemas.openxmlformats.org/officeDocument/2006/relationships/hyperlink" Target="https://www.youtube.com/watch?v=lzMEDrUFlpw" TargetMode="External"/><Relationship Id="rId76" Type="http://schemas.openxmlformats.org/officeDocument/2006/relationships/hyperlink" Target="https://www.youtube.com/watch?v=y1fdkGgCt64" TargetMode="External"/><Relationship Id="rId141" Type="http://schemas.openxmlformats.org/officeDocument/2006/relationships/hyperlink" Target="https://www.youtube.com/watch?v=OBViSvvLu-s" TargetMode="External"/><Relationship Id="rId379" Type="http://schemas.openxmlformats.org/officeDocument/2006/relationships/hyperlink" Target="https://www.youtube.com/watch?v=Kg7UNGe9lik" TargetMode="External"/><Relationship Id="rId544" Type="http://schemas.openxmlformats.org/officeDocument/2006/relationships/hyperlink" Target="https://www.youtube.com/watch?v=3dgPn1KOovw" TargetMode="External"/><Relationship Id="rId586" Type="http://schemas.openxmlformats.org/officeDocument/2006/relationships/hyperlink" Target="https://www.youtube.com/watch?v=EfQbirNpLM8" TargetMode="External"/><Relationship Id="rId751" Type="http://schemas.openxmlformats.org/officeDocument/2006/relationships/hyperlink" Target="https://www.youtube.com/watch?v=GtSbmTRia5Y" TargetMode="External"/><Relationship Id="rId7" Type="http://schemas.openxmlformats.org/officeDocument/2006/relationships/hyperlink" Target="https://www.youtube.com/watch?v=PcNDlU0LyJk" TargetMode="External"/><Relationship Id="rId183" Type="http://schemas.openxmlformats.org/officeDocument/2006/relationships/hyperlink" Target="https://www.youtube.com/watch?v=MFVzVjuj90E" TargetMode="External"/><Relationship Id="rId239" Type="http://schemas.openxmlformats.org/officeDocument/2006/relationships/hyperlink" Target="https://www.youtube.com/watch?v=pfw-rEK12IA" TargetMode="External"/><Relationship Id="rId390" Type="http://schemas.openxmlformats.org/officeDocument/2006/relationships/hyperlink" Target="https://www.youtube.com/watch?v=J2klGHwzFFo" TargetMode="External"/><Relationship Id="rId404" Type="http://schemas.openxmlformats.org/officeDocument/2006/relationships/hyperlink" Target="https://www.youtube.com/watch?v=yCrftsxElf8" TargetMode="External"/><Relationship Id="rId446" Type="http://schemas.openxmlformats.org/officeDocument/2006/relationships/hyperlink" Target="https://www.youtube.com/watch?v=2Hmcjz_IH8I" TargetMode="External"/><Relationship Id="rId611" Type="http://schemas.openxmlformats.org/officeDocument/2006/relationships/hyperlink" Target="https://www.youtube.com/watch?v=RfiT3REVHxQ" TargetMode="External"/><Relationship Id="rId653" Type="http://schemas.openxmlformats.org/officeDocument/2006/relationships/hyperlink" Target="https://www.youtube.com/watch?v=_D2sWZSHDqg&amp;t=834s" TargetMode="External"/><Relationship Id="rId250" Type="http://schemas.openxmlformats.org/officeDocument/2006/relationships/hyperlink" Target="https://www.youtube.com/watch?v=Ow3nJA8fhhQ" TargetMode="External"/><Relationship Id="rId292" Type="http://schemas.openxmlformats.org/officeDocument/2006/relationships/hyperlink" Target="https://www.youtube.com/watch?v=-fhrU0xoCgk" TargetMode="External"/><Relationship Id="rId306" Type="http://schemas.openxmlformats.org/officeDocument/2006/relationships/hyperlink" Target="https://www.youtube.com/watch?v=7JNUG5Lyals" TargetMode="External"/><Relationship Id="rId488" Type="http://schemas.openxmlformats.org/officeDocument/2006/relationships/hyperlink" Target="https://www.youtube.com/watch?v=FQ3dpY5j5y8" TargetMode="External"/><Relationship Id="rId695" Type="http://schemas.openxmlformats.org/officeDocument/2006/relationships/hyperlink" Target="https://www.youtube.com/watch?v=OI3nL5YCIO8" TargetMode="External"/><Relationship Id="rId709" Type="http://schemas.openxmlformats.org/officeDocument/2006/relationships/hyperlink" Target="https://www.youtube.com/watch?v=VKbVHIgKbbo" TargetMode="External"/><Relationship Id="rId45" Type="http://schemas.openxmlformats.org/officeDocument/2006/relationships/hyperlink" Target="https://www.youtube.com/watch?v=FndfcBhZklU" TargetMode="External"/><Relationship Id="rId87" Type="http://schemas.openxmlformats.org/officeDocument/2006/relationships/hyperlink" Target="https://www.youtube.com/watch?v=BcDC-Op1hJc" TargetMode="External"/><Relationship Id="rId110" Type="http://schemas.openxmlformats.org/officeDocument/2006/relationships/hyperlink" Target="https://www.youtube.com/watch?v=CtiARMXwI0Q" TargetMode="External"/><Relationship Id="rId348" Type="http://schemas.openxmlformats.org/officeDocument/2006/relationships/hyperlink" Target="https://www.youtube.com/watch?v=5U64D5B9-O0" TargetMode="External"/><Relationship Id="rId513" Type="http://schemas.openxmlformats.org/officeDocument/2006/relationships/hyperlink" Target="https://www.youtube.com/watch?v=gPdm-EF13GU" TargetMode="External"/><Relationship Id="rId555" Type="http://schemas.openxmlformats.org/officeDocument/2006/relationships/hyperlink" Target="https://www.youtube.com/watch?v=3dYP3FhD3Po" TargetMode="External"/><Relationship Id="rId597" Type="http://schemas.openxmlformats.org/officeDocument/2006/relationships/hyperlink" Target="https://www.youtube.com/watch?v=MFeGLeUGf6Q" TargetMode="External"/><Relationship Id="rId720" Type="http://schemas.openxmlformats.org/officeDocument/2006/relationships/hyperlink" Target="https://www.youtube.com/watch?v=sEg8fP2ckhI" TargetMode="External"/><Relationship Id="rId152" Type="http://schemas.openxmlformats.org/officeDocument/2006/relationships/hyperlink" Target="https://www.youtube.com/watch?v=vKGL9b0x_K8" TargetMode="External"/><Relationship Id="rId194" Type="http://schemas.openxmlformats.org/officeDocument/2006/relationships/hyperlink" Target="https://www.youtube.com/watch?v=yVdcSMOWtxM" TargetMode="External"/><Relationship Id="rId208" Type="http://schemas.openxmlformats.org/officeDocument/2006/relationships/hyperlink" Target="https://www.youtube.com/watch?v=gU4jkSa9phY" TargetMode="External"/><Relationship Id="rId415" Type="http://schemas.openxmlformats.org/officeDocument/2006/relationships/hyperlink" Target="https://www.youtube.com/watch?v=61VsCIaQhX4" TargetMode="External"/><Relationship Id="rId457" Type="http://schemas.openxmlformats.org/officeDocument/2006/relationships/hyperlink" Target="https://www.youtube.com/watch?v=xVrbpqr1LEE" TargetMode="External"/><Relationship Id="rId622" Type="http://schemas.openxmlformats.org/officeDocument/2006/relationships/hyperlink" Target="https://www.youtube.com/watch?v=-pTe3fDFF7U" TargetMode="External"/><Relationship Id="rId261" Type="http://schemas.openxmlformats.org/officeDocument/2006/relationships/hyperlink" Target="https://www.youtube.com/watch?v=CouNRYMLDmY" TargetMode="External"/><Relationship Id="rId499" Type="http://schemas.openxmlformats.org/officeDocument/2006/relationships/hyperlink" Target="https://www.youtube.com/watch?v=udY03G3fVJQ" TargetMode="External"/><Relationship Id="rId664" Type="http://schemas.openxmlformats.org/officeDocument/2006/relationships/hyperlink" Target="https://www.youtube.com/watch?v=sZGlmV--sG4" TargetMode="External"/><Relationship Id="rId14" Type="http://schemas.openxmlformats.org/officeDocument/2006/relationships/hyperlink" Target="https://www.youtube.com/watch?v=Smd_3o5vtLo" TargetMode="External"/><Relationship Id="rId56" Type="http://schemas.openxmlformats.org/officeDocument/2006/relationships/hyperlink" Target="https://www.youtube.com/watch?v=JXjMYvGqqDE" TargetMode="External"/><Relationship Id="rId317" Type="http://schemas.openxmlformats.org/officeDocument/2006/relationships/hyperlink" Target="https://www.youtube.com/watch?v=hbcWYVaowqI" TargetMode="External"/><Relationship Id="rId359" Type="http://schemas.openxmlformats.org/officeDocument/2006/relationships/hyperlink" Target="https://www.youtube.com/watch?v=Xml5nVm8bg0" TargetMode="External"/><Relationship Id="rId524" Type="http://schemas.openxmlformats.org/officeDocument/2006/relationships/hyperlink" Target="https://www.youtube.com/watch?v=GCo89ggyUKw" TargetMode="External"/><Relationship Id="rId566" Type="http://schemas.openxmlformats.org/officeDocument/2006/relationships/hyperlink" Target="https://www.youtube.com/watch?v=tlCqUXsDwDc" TargetMode="External"/><Relationship Id="rId731" Type="http://schemas.openxmlformats.org/officeDocument/2006/relationships/hyperlink" Target="https://www.youtube.com/watch?v=3Pat7agSMJU&amp;t=22s" TargetMode="External"/><Relationship Id="rId98" Type="http://schemas.openxmlformats.org/officeDocument/2006/relationships/hyperlink" Target="https://www.youtube.com/watch?v=-WPYCv8jdJc" TargetMode="External"/><Relationship Id="rId121" Type="http://schemas.openxmlformats.org/officeDocument/2006/relationships/hyperlink" Target="https://www.youtube.com/watch?v=vSLKEwGRgbY" TargetMode="External"/><Relationship Id="rId163" Type="http://schemas.openxmlformats.org/officeDocument/2006/relationships/hyperlink" Target="https://www.youtube.com/watch?v=8iuVX1AkV_0" TargetMode="External"/><Relationship Id="rId219" Type="http://schemas.openxmlformats.org/officeDocument/2006/relationships/hyperlink" Target="https://www.youtube.com/watch?v=dXkhbNnOMy0" TargetMode="External"/><Relationship Id="rId370" Type="http://schemas.openxmlformats.org/officeDocument/2006/relationships/hyperlink" Target="https://www.youtube.com/watch?v=sTYcLqa56Z4" TargetMode="External"/><Relationship Id="rId426" Type="http://schemas.openxmlformats.org/officeDocument/2006/relationships/hyperlink" Target="https://www.youtube.com/watch?v=inpmzGJn2LU" TargetMode="External"/><Relationship Id="rId633" Type="http://schemas.openxmlformats.org/officeDocument/2006/relationships/hyperlink" Target="https://www.youtube.com/watch?v=6KN0GnYv6xQ" TargetMode="External"/><Relationship Id="rId230" Type="http://schemas.openxmlformats.org/officeDocument/2006/relationships/hyperlink" Target="https://www.youtube.com/watch?v=Cs9JbmZ0poM" TargetMode="External"/><Relationship Id="rId468" Type="http://schemas.openxmlformats.org/officeDocument/2006/relationships/hyperlink" Target="https://www.youtube.com/watch?v=NNu6sJz2cPI" TargetMode="External"/><Relationship Id="rId675" Type="http://schemas.openxmlformats.org/officeDocument/2006/relationships/hyperlink" Target="https://www.youtube.com/watch?v=1UnsEQPK3PQ" TargetMode="External"/><Relationship Id="rId25" Type="http://schemas.openxmlformats.org/officeDocument/2006/relationships/hyperlink" Target="https://www.youtube.com/watch?v=gbWoqwJKhbM" TargetMode="External"/><Relationship Id="rId67" Type="http://schemas.openxmlformats.org/officeDocument/2006/relationships/hyperlink" Target="https://www.youtube.com/watch?v=HZ6X5Xt1nS8" TargetMode="External"/><Relationship Id="rId272" Type="http://schemas.openxmlformats.org/officeDocument/2006/relationships/hyperlink" Target="https://www.youtube.com/watch?v=s1VIjn0qPQg" TargetMode="External"/><Relationship Id="rId328" Type="http://schemas.openxmlformats.org/officeDocument/2006/relationships/hyperlink" Target="https://www.youtube.com/watch?v=7bZemcM70W0" TargetMode="External"/><Relationship Id="rId535" Type="http://schemas.openxmlformats.org/officeDocument/2006/relationships/hyperlink" Target="https://www.youtube.com/watch?v=Y3j3g76ggFE" TargetMode="External"/><Relationship Id="rId577" Type="http://schemas.openxmlformats.org/officeDocument/2006/relationships/hyperlink" Target="https://www.youtube.com/watch?v=qiir-ZWT6yI" TargetMode="External"/><Relationship Id="rId700" Type="http://schemas.openxmlformats.org/officeDocument/2006/relationships/hyperlink" Target="https://www.youtube.com/watch?v=SNpVBfgzPmo" TargetMode="External"/><Relationship Id="rId742" Type="http://schemas.openxmlformats.org/officeDocument/2006/relationships/hyperlink" Target="https://www.youtube.com/watch?v=SPD35eCSgDk" TargetMode="External"/><Relationship Id="rId132" Type="http://schemas.openxmlformats.org/officeDocument/2006/relationships/hyperlink" Target="https://www.youtube.com/watch?v=3f7b_ZE5B1Y" TargetMode="External"/><Relationship Id="rId174" Type="http://schemas.openxmlformats.org/officeDocument/2006/relationships/hyperlink" Target="https://www.youtube.com/watch?v=MfzPrOKKZVo" TargetMode="External"/><Relationship Id="rId381" Type="http://schemas.openxmlformats.org/officeDocument/2006/relationships/hyperlink" Target="https://www.youtube.com/watch?v=VJZ4LARPMJU&amp;t=79s" TargetMode="External"/><Relationship Id="rId602" Type="http://schemas.openxmlformats.org/officeDocument/2006/relationships/hyperlink" Target="https://www.youtube.com/watch?v=84agoVdaycE" TargetMode="External"/><Relationship Id="rId241" Type="http://schemas.openxmlformats.org/officeDocument/2006/relationships/hyperlink" Target="https://www.youtube.com/watch?v=bEc29vVNLOc" TargetMode="External"/><Relationship Id="rId437" Type="http://schemas.openxmlformats.org/officeDocument/2006/relationships/hyperlink" Target="https://www.youtube.com/watch?v=o-395A-OrOQ" TargetMode="External"/><Relationship Id="rId479" Type="http://schemas.openxmlformats.org/officeDocument/2006/relationships/hyperlink" Target="https://www.youtube.com/watch?v=EMznloyYysU" TargetMode="External"/><Relationship Id="rId644" Type="http://schemas.openxmlformats.org/officeDocument/2006/relationships/hyperlink" Target="https://www.youtube.com/watch?v=1Gop0_4D5pE" TargetMode="External"/><Relationship Id="rId686" Type="http://schemas.openxmlformats.org/officeDocument/2006/relationships/hyperlink" Target="https://www.youtube.com/watch?v=4ZkNnR--tMY" TargetMode="External"/><Relationship Id="rId36" Type="http://schemas.openxmlformats.org/officeDocument/2006/relationships/hyperlink" Target="https://www.youtube.com/watch?v=ycnvyB8pDEM" TargetMode="External"/><Relationship Id="rId283" Type="http://schemas.openxmlformats.org/officeDocument/2006/relationships/hyperlink" Target="https://www.youtube.com/watch?v=O5i1SD7KFkI" TargetMode="External"/><Relationship Id="rId339" Type="http://schemas.openxmlformats.org/officeDocument/2006/relationships/hyperlink" Target="https://www.youtube.com/watch?v=LkTTH9gGQwA" TargetMode="External"/><Relationship Id="rId490" Type="http://schemas.openxmlformats.org/officeDocument/2006/relationships/hyperlink" Target="https://www.youtube.com/watch?v=ejkbEib1Otk" TargetMode="External"/><Relationship Id="rId504" Type="http://schemas.openxmlformats.org/officeDocument/2006/relationships/hyperlink" Target="https://www.youtube.com/watch?v=v2dy-2T9kRE" TargetMode="External"/><Relationship Id="rId546" Type="http://schemas.openxmlformats.org/officeDocument/2006/relationships/hyperlink" Target="https://www.youtube.com/watch?v=av1BWeMbl1Q" TargetMode="External"/><Relationship Id="rId711" Type="http://schemas.openxmlformats.org/officeDocument/2006/relationships/hyperlink" Target="https://www.youtube.com/watch?v=wKoUB00RmE0" TargetMode="External"/><Relationship Id="rId753" Type="http://schemas.openxmlformats.org/officeDocument/2006/relationships/hyperlink" Target="https://www.youtube.com/watch?v=ahKeSqFT0Nk" TargetMode="External"/><Relationship Id="rId78" Type="http://schemas.openxmlformats.org/officeDocument/2006/relationships/hyperlink" Target="https://www.youtube.com/watch?v=54lSHTtU68A" TargetMode="External"/><Relationship Id="rId101" Type="http://schemas.openxmlformats.org/officeDocument/2006/relationships/hyperlink" Target="https://www.youtube.com/watch?v=nmbYnYYpa6g" TargetMode="External"/><Relationship Id="rId143" Type="http://schemas.openxmlformats.org/officeDocument/2006/relationships/hyperlink" Target="https://www.youtube.com/watch?v=vdwHHPZwNEo" TargetMode="External"/><Relationship Id="rId185" Type="http://schemas.openxmlformats.org/officeDocument/2006/relationships/hyperlink" Target="https://www.youtube.com/watch?v=zqnotAbf-Cc" TargetMode="External"/><Relationship Id="rId350" Type="http://schemas.openxmlformats.org/officeDocument/2006/relationships/hyperlink" Target="https://www.youtube.com/watch?v=zKr-cYKprD8" TargetMode="External"/><Relationship Id="rId406" Type="http://schemas.openxmlformats.org/officeDocument/2006/relationships/hyperlink" Target="https://www.youtube.com/watch?v=AcHVZjv6cAs" TargetMode="External"/><Relationship Id="rId588" Type="http://schemas.openxmlformats.org/officeDocument/2006/relationships/hyperlink" Target="https://www.youtube.com/watch?v=6WJO3QlTEpg" TargetMode="External"/><Relationship Id="rId9" Type="http://schemas.openxmlformats.org/officeDocument/2006/relationships/hyperlink" Target="https://www.youtube.com/watch?v=0_EJXPWJN4E" TargetMode="External"/><Relationship Id="rId210" Type="http://schemas.openxmlformats.org/officeDocument/2006/relationships/hyperlink" Target="https://www.youtube.com/watch?v=zVH1ZOi2_yk" TargetMode="External"/><Relationship Id="rId392" Type="http://schemas.openxmlformats.org/officeDocument/2006/relationships/hyperlink" Target="https://www.youtube.com/watch?v=orOA4dPxE98" TargetMode="External"/><Relationship Id="rId448" Type="http://schemas.openxmlformats.org/officeDocument/2006/relationships/hyperlink" Target="https://www.youtube.com/watch?v=2U1DVGO8vo4" TargetMode="External"/><Relationship Id="rId613" Type="http://schemas.openxmlformats.org/officeDocument/2006/relationships/hyperlink" Target="https://www.youtube.com/watch?v=9hi4MG3BU0Y" TargetMode="External"/><Relationship Id="rId655" Type="http://schemas.openxmlformats.org/officeDocument/2006/relationships/hyperlink" Target="https://www.youtube.com/watch?v=N6IDjOR1OY0" TargetMode="External"/><Relationship Id="rId697" Type="http://schemas.openxmlformats.org/officeDocument/2006/relationships/hyperlink" Target="https://www.youtube.com/watch?v=vhlPSbFlxPI" TargetMode="External"/><Relationship Id="rId252" Type="http://schemas.openxmlformats.org/officeDocument/2006/relationships/hyperlink" Target="https://www.youtube.com/watch?v=JNg9hu1QURw" TargetMode="External"/><Relationship Id="rId294" Type="http://schemas.openxmlformats.org/officeDocument/2006/relationships/hyperlink" Target="https://www.youtube.com/watch?v=yZ08CJsgurU" TargetMode="External"/><Relationship Id="rId308" Type="http://schemas.openxmlformats.org/officeDocument/2006/relationships/hyperlink" Target="https://www.youtube.com/watch?v=2RlQdQoP4mE" TargetMode="External"/><Relationship Id="rId515" Type="http://schemas.openxmlformats.org/officeDocument/2006/relationships/hyperlink" Target="https://www.youtube.com/watch?v=wu_ONpNjikY" TargetMode="External"/><Relationship Id="rId722" Type="http://schemas.openxmlformats.org/officeDocument/2006/relationships/hyperlink" Target="https://www.youtube.com/watch?v=Ul-faWS75vA" TargetMode="External"/><Relationship Id="rId47" Type="http://schemas.openxmlformats.org/officeDocument/2006/relationships/hyperlink" Target="https://www.youtube.com/watch?v=K9s433rQloA" TargetMode="External"/><Relationship Id="rId89" Type="http://schemas.openxmlformats.org/officeDocument/2006/relationships/hyperlink" Target="https://www.youtube.com/watch?v=Wrs0XEoFHAM" TargetMode="External"/><Relationship Id="rId112" Type="http://schemas.openxmlformats.org/officeDocument/2006/relationships/hyperlink" Target="https://www.youtube.com/watch?v=nQhpJFt2KG8" TargetMode="External"/><Relationship Id="rId154" Type="http://schemas.openxmlformats.org/officeDocument/2006/relationships/hyperlink" Target="https://www.youtube.com/watch?v=R7mzbp-9vbk" TargetMode="External"/><Relationship Id="rId361" Type="http://schemas.openxmlformats.org/officeDocument/2006/relationships/hyperlink" Target="https://www.youtube.com/watch?v=QT3p6iGNrkU" TargetMode="External"/><Relationship Id="rId557" Type="http://schemas.openxmlformats.org/officeDocument/2006/relationships/hyperlink" Target="https://www.youtube.com/watch?v=07rLdtPRbEE" TargetMode="External"/><Relationship Id="rId599" Type="http://schemas.openxmlformats.org/officeDocument/2006/relationships/hyperlink" Target="https://www.youtube.com/watch?v=ZoDHsv06lNI" TargetMode="External"/><Relationship Id="rId196" Type="http://schemas.openxmlformats.org/officeDocument/2006/relationships/hyperlink" Target="https://www.youtube.com/watch?v=L2rJctVLi3M" TargetMode="External"/><Relationship Id="rId417" Type="http://schemas.openxmlformats.org/officeDocument/2006/relationships/hyperlink" Target="https://www.youtube.com/watch?v=bF-3L4O8Nq8" TargetMode="External"/><Relationship Id="rId459" Type="http://schemas.openxmlformats.org/officeDocument/2006/relationships/hyperlink" Target="https://www.youtube.com/watch?v=5HrBZvxcPmY" TargetMode="External"/><Relationship Id="rId624" Type="http://schemas.openxmlformats.org/officeDocument/2006/relationships/hyperlink" Target="https://www.youtube.com/watch?v=b96t52xbmO8" TargetMode="External"/><Relationship Id="rId666" Type="http://schemas.openxmlformats.org/officeDocument/2006/relationships/hyperlink" Target="https://www.youtube.com/watch?v=EXkq2inhXiw" TargetMode="External"/><Relationship Id="rId16" Type="http://schemas.openxmlformats.org/officeDocument/2006/relationships/hyperlink" Target="https://www.youtube.com/watch?v=NCOKqHoIW7M" TargetMode="External"/><Relationship Id="rId221" Type="http://schemas.openxmlformats.org/officeDocument/2006/relationships/hyperlink" Target="https://www.youtube.com/watch?v=mLEhBqCBBYE" TargetMode="External"/><Relationship Id="rId263" Type="http://schemas.openxmlformats.org/officeDocument/2006/relationships/hyperlink" Target="https://www.youtube.com/watch?v=ziCW-l-SXRM" TargetMode="External"/><Relationship Id="rId319" Type="http://schemas.openxmlformats.org/officeDocument/2006/relationships/hyperlink" Target="https://www.youtube.com/watch?v=fwbLw9W9GC8" TargetMode="External"/><Relationship Id="rId470" Type="http://schemas.openxmlformats.org/officeDocument/2006/relationships/hyperlink" Target="https://www.youtube.com/watch?v=GiNhw1WJNXc" TargetMode="External"/><Relationship Id="rId526" Type="http://schemas.openxmlformats.org/officeDocument/2006/relationships/hyperlink" Target="https://www.youtube.com/watch?v=aRzq_l_Rmcc" TargetMode="External"/><Relationship Id="rId58" Type="http://schemas.openxmlformats.org/officeDocument/2006/relationships/hyperlink" Target="https://www.youtube.com/watch?v=xtHzknvaS7s" TargetMode="External"/><Relationship Id="rId123" Type="http://schemas.openxmlformats.org/officeDocument/2006/relationships/hyperlink" Target="https://www.youtube.com/watch?v=qDcBHNXLxdc" TargetMode="External"/><Relationship Id="rId330" Type="http://schemas.openxmlformats.org/officeDocument/2006/relationships/hyperlink" Target="https://www.youtube.com/watch?v=322EiuTqg7w" TargetMode="External"/><Relationship Id="rId568" Type="http://schemas.openxmlformats.org/officeDocument/2006/relationships/hyperlink" Target="https://www.youtube.com/watch?v=aBwX_u__31I" TargetMode="External"/><Relationship Id="rId733" Type="http://schemas.openxmlformats.org/officeDocument/2006/relationships/hyperlink" Target="https://www.youtube.com/watch?v=h4ZgKKlmUl0&amp;t=481s" TargetMode="External"/><Relationship Id="rId165" Type="http://schemas.openxmlformats.org/officeDocument/2006/relationships/hyperlink" Target="https://www.youtube.com/watch?v=Um1LJAfSPoo" TargetMode="External"/><Relationship Id="rId372" Type="http://schemas.openxmlformats.org/officeDocument/2006/relationships/hyperlink" Target="https://www.youtube.com/watch?v=kKbQvD24QPY" TargetMode="External"/><Relationship Id="rId428" Type="http://schemas.openxmlformats.org/officeDocument/2006/relationships/hyperlink" Target="https://www.youtube.com/watch?v=aASsLwbe6kY" TargetMode="External"/><Relationship Id="rId635" Type="http://schemas.openxmlformats.org/officeDocument/2006/relationships/hyperlink" Target="https://www.youtube.com/watch?v=OdRuRzl5pwg" TargetMode="External"/><Relationship Id="rId677" Type="http://schemas.openxmlformats.org/officeDocument/2006/relationships/hyperlink" Target="https://www.youtube.com/watch?v=Lrh5zQHEIk4" TargetMode="External"/><Relationship Id="rId232" Type="http://schemas.openxmlformats.org/officeDocument/2006/relationships/hyperlink" Target="https://www.youtube.com/watch?v=QfYz6BBYpWg" TargetMode="External"/><Relationship Id="rId274" Type="http://schemas.openxmlformats.org/officeDocument/2006/relationships/hyperlink" Target="https://www.youtube.com/watch?v=m9xF54UZFuY" TargetMode="External"/><Relationship Id="rId481" Type="http://schemas.openxmlformats.org/officeDocument/2006/relationships/hyperlink" Target="https://www.youtube.com/watch?v=-HWLO-7d98U" TargetMode="External"/><Relationship Id="rId702" Type="http://schemas.openxmlformats.org/officeDocument/2006/relationships/hyperlink" Target="https://www.youtube.com/watch?v=g8GW7DlPr4g" TargetMode="External"/><Relationship Id="rId27" Type="http://schemas.openxmlformats.org/officeDocument/2006/relationships/hyperlink" Target="https://www.youtube.com/watch?v=WsjxXfklatk" TargetMode="External"/><Relationship Id="rId69" Type="http://schemas.openxmlformats.org/officeDocument/2006/relationships/hyperlink" Target="https://www.youtube.com/watch?v=M-zdPqtp9Kk" TargetMode="External"/><Relationship Id="rId134" Type="http://schemas.openxmlformats.org/officeDocument/2006/relationships/hyperlink" Target="https://www.youtube.com/watch?v=hWBzG7eVqVg" TargetMode="External"/><Relationship Id="rId537" Type="http://schemas.openxmlformats.org/officeDocument/2006/relationships/hyperlink" Target="https://www.youtube.com/watch?v=WzACbsbv3Mc" TargetMode="External"/><Relationship Id="rId579" Type="http://schemas.openxmlformats.org/officeDocument/2006/relationships/hyperlink" Target="https://www.youtube.com/watch?v=6PUBS8MXVzc" TargetMode="External"/><Relationship Id="rId744" Type="http://schemas.openxmlformats.org/officeDocument/2006/relationships/hyperlink" Target="https://www.youtube.com/watch?v=xCLLCYBg7Zc" TargetMode="External"/><Relationship Id="rId80" Type="http://schemas.openxmlformats.org/officeDocument/2006/relationships/hyperlink" Target="https://www.youtube.com/watch?v=aXm-YqwVmbs" TargetMode="External"/><Relationship Id="rId176" Type="http://schemas.openxmlformats.org/officeDocument/2006/relationships/hyperlink" Target="https://www.youtube.com/watch?v=pO9qCeA640E" TargetMode="External"/><Relationship Id="rId341" Type="http://schemas.openxmlformats.org/officeDocument/2006/relationships/hyperlink" Target="https://www.youtube.com/watch?v=oeJfmsvMRBs" TargetMode="External"/><Relationship Id="rId383" Type="http://schemas.openxmlformats.org/officeDocument/2006/relationships/hyperlink" Target="https://www.youtube.com/watch?v=4fTC0cZiBus" TargetMode="External"/><Relationship Id="rId439" Type="http://schemas.openxmlformats.org/officeDocument/2006/relationships/hyperlink" Target="https://www.youtube.com/watch?v=-JT1qlD0wPQ" TargetMode="External"/><Relationship Id="rId590" Type="http://schemas.openxmlformats.org/officeDocument/2006/relationships/hyperlink" Target="https://www.youtube.com/watch?v=k8zAYJDE01E" TargetMode="External"/><Relationship Id="rId604" Type="http://schemas.openxmlformats.org/officeDocument/2006/relationships/hyperlink" Target="https://www.youtube.com/watch?v=0gtyqapBB3A" TargetMode="External"/><Relationship Id="rId646" Type="http://schemas.openxmlformats.org/officeDocument/2006/relationships/hyperlink" Target="https://www.youtube.com/watch?v=1P_XO3xfTCs" TargetMode="External"/><Relationship Id="rId201" Type="http://schemas.openxmlformats.org/officeDocument/2006/relationships/hyperlink" Target="https://www.youtube.com/watch?v=9IzjjqFO5c8" TargetMode="External"/><Relationship Id="rId243" Type="http://schemas.openxmlformats.org/officeDocument/2006/relationships/hyperlink" Target="https://www.youtube.com/watch?v=3asYCknfoMo" TargetMode="External"/><Relationship Id="rId285" Type="http://schemas.openxmlformats.org/officeDocument/2006/relationships/hyperlink" Target="https://www.youtube.com/watch?v=JbxzX8kwig4" TargetMode="External"/><Relationship Id="rId450" Type="http://schemas.openxmlformats.org/officeDocument/2006/relationships/hyperlink" Target="https://www.youtube.com/watch?v=lJLoAHZxMWE" TargetMode="External"/><Relationship Id="rId506" Type="http://schemas.openxmlformats.org/officeDocument/2006/relationships/hyperlink" Target="https://www.youtube.com/watch?v=8Fyp5gw_HGc&amp;t=19s" TargetMode="External"/><Relationship Id="rId688" Type="http://schemas.openxmlformats.org/officeDocument/2006/relationships/hyperlink" Target="https://www.youtube.com/watch?v=xAicQnL_abA" TargetMode="External"/><Relationship Id="rId38" Type="http://schemas.openxmlformats.org/officeDocument/2006/relationships/hyperlink" Target="https://www.youtube.com/watch?v=VeR7IhIkDk0" TargetMode="External"/><Relationship Id="rId103" Type="http://schemas.openxmlformats.org/officeDocument/2006/relationships/hyperlink" Target="https://www.youtube.com/watch?v=8RSu4ymCgp4" TargetMode="External"/><Relationship Id="rId310" Type="http://schemas.openxmlformats.org/officeDocument/2006/relationships/hyperlink" Target="https://www.youtube.com/watch?v=t5AEphve0P8" TargetMode="External"/><Relationship Id="rId492" Type="http://schemas.openxmlformats.org/officeDocument/2006/relationships/hyperlink" Target="https://www.youtube.com/watch?v=9fu_xDvkBMk" TargetMode="External"/><Relationship Id="rId548" Type="http://schemas.openxmlformats.org/officeDocument/2006/relationships/hyperlink" Target="https://www.youtube.com/watch?v=joPLKP546hk" TargetMode="External"/><Relationship Id="rId713" Type="http://schemas.openxmlformats.org/officeDocument/2006/relationships/hyperlink" Target="https://www.youtube.com/watch?v=Ts09Fp7M53k" TargetMode="External"/><Relationship Id="rId755" Type="http://schemas.openxmlformats.org/officeDocument/2006/relationships/hyperlink" Target="https://www.youtube.com/watch?v=9jjsiAFVdXc" TargetMode="External"/><Relationship Id="rId91" Type="http://schemas.openxmlformats.org/officeDocument/2006/relationships/hyperlink" Target="https://www.youtube.com/watch?v=G3NpQQMh8jQ" TargetMode="External"/><Relationship Id="rId145" Type="http://schemas.openxmlformats.org/officeDocument/2006/relationships/hyperlink" Target="https://www.youtube.com/watch?v=75OFJ9IX4tI" TargetMode="External"/><Relationship Id="rId187" Type="http://schemas.openxmlformats.org/officeDocument/2006/relationships/hyperlink" Target="https://www.youtube.com/watch?v=NfO_yqDrGWs" TargetMode="External"/><Relationship Id="rId352" Type="http://schemas.openxmlformats.org/officeDocument/2006/relationships/hyperlink" Target="https://www.youtube.com/watch?v=8xbYHg11ROo" TargetMode="External"/><Relationship Id="rId394" Type="http://schemas.openxmlformats.org/officeDocument/2006/relationships/hyperlink" Target="https://www.youtube.com/watch?v=dlfE6JbvIYI" TargetMode="External"/><Relationship Id="rId408" Type="http://schemas.openxmlformats.org/officeDocument/2006/relationships/hyperlink" Target="https://www.youtube.com/watch?v=GDQ-FTObhak" TargetMode="External"/><Relationship Id="rId615" Type="http://schemas.openxmlformats.org/officeDocument/2006/relationships/hyperlink" Target="https://www.youtube.com/watch?v=XWeFa6jUiPw" TargetMode="External"/><Relationship Id="rId212" Type="http://schemas.openxmlformats.org/officeDocument/2006/relationships/hyperlink" Target="https://www.youtube.com/watch?v=AOQPqjRx-0c" TargetMode="External"/><Relationship Id="rId254" Type="http://schemas.openxmlformats.org/officeDocument/2006/relationships/hyperlink" Target="https://www.youtube.com/watch?v=xjZO-uNelDI" TargetMode="External"/><Relationship Id="rId657" Type="http://schemas.openxmlformats.org/officeDocument/2006/relationships/hyperlink" Target="https://www.youtube.com/watch?v=eQBirhrwc3E" TargetMode="External"/><Relationship Id="rId699" Type="http://schemas.openxmlformats.org/officeDocument/2006/relationships/hyperlink" Target="https://www.youtube.com/watch?v=WzgR7yTQNzY" TargetMode="External"/><Relationship Id="rId49" Type="http://schemas.openxmlformats.org/officeDocument/2006/relationships/hyperlink" Target="https://www.youtube.com/watch?v=Yhp3rFuo5Cw" TargetMode="External"/><Relationship Id="rId114" Type="http://schemas.openxmlformats.org/officeDocument/2006/relationships/hyperlink" Target="https://www.youtube.com/watch?v=iFLc0n8RSAA" TargetMode="External"/><Relationship Id="rId296" Type="http://schemas.openxmlformats.org/officeDocument/2006/relationships/hyperlink" Target="https://www.youtube.com/watch?v=p3i_mI87a3E" TargetMode="External"/><Relationship Id="rId461" Type="http://schemas.openxmlformats.org/officeDocument/2006/relationships/hyperlink" Target="https://www.youtube.com/watch?v=9Zummy0j6Ws" TargetMode="External"/><Relationship Id="rId517" Type="http://schemas.openxmlformats.org/officeDocument/2006/relationships/hyperlink" Target="https://www.youtube.com/watch?v=S9RImbEoWYA" TargetMode="External"/><Relationship Id="rId559" Type="http://schemas.openxmlformats.org/officeDocument/2006/relationships/hyperlink" Target="https://www.youtube.com/watch?v=Pe53dUS_mHE" TargetMode="External"/><Relationship Id="rId724" Type="http://schemas.openxmlformats.org/officeDocument/2006/relationships/hyperlink" Target="https://www.youtube.com/watch?v=4ej2lqB-kjM" TargetMode="External"/><Relationship Id="rId60" Type="http://schemas.openxmlformats.org/officeDocument/2006/relationships/hyperlink" Target="https://www.youtube.com/watch?v=sc4OOSLMiQQ" TargetMode="External"/><Relationship Id="rId156" Type="http://schemas.openxmlformats.org/officeDocument/2006/relationships/hyperlink" Target="https://www.youtube.com/watch?v=5bAuJCTjg8s" TargetMode="External"/><Relationship Id="rId198" Type="http://schemas.openxmlformats.org/officeDocument/2006/relationships/hyperlink" Target="https://www.youtube.com/watch?v=U37L8EPVc5s" TargetMode="External"/><Relationship Id="rId321" Type="http://schemas.openxmlformats.org/officeDocument/2006/relationships/hyperlink" Target="https://www.youtube.com/watch?v=tD7VxQAIPLM" TargetMode="External"/><Relationship Id="rId363" Type="http://schemas.openxmlformats.org/officeDocument/2006/relationships/hyperlink" Target="https://www.youtube.com/watch?v=Lg0JLlBHCgA" TargetMode="External"/><Relationship Id="rId419" Type="http://schemas.openxmlformats.org/officeDocument/2006/relationships/hyperlink" Target="https://www.youtube.com/watch?v=KXamV4OZjYs" TargetMode="External"/><Relationship Id="rId570" Type="http://schemas.openxmlformats.org/officeDocument/2006/relationships/hyperlink" Target="https://www.youtube.com/watch?v=KYhdz2LiDLA" TargetMode="External"/><Relationship Id="rId626" Type="http://schemas.openxmlformats.org/officeDocument/2006/relationships/hyperlink" Target="https://www.youtube.com/watch?v=LAZPY_rTJLU" TargetMode="External"/><Relationship Id="rId223" Type="http://schemas.openxmlformats.org/officeDocument/2006/relationships/hyperlink" Target="https://www.youtube.com/watch?v=kmJLZRzZhUA" TargetMode="External"/><Relationship Id="rId430" Type="http://schemas.openxmlformats.org/officeDocument/2006/relationships/hyperlink" Target="https://www.youtube.com/watch?v=PWZrF-TGsWo" TargetMode="External"/><Relationship Id="rId668" Type="http://schemas.openxmlformats.org/officeDocument/2006/relationships/hyperlink" Target="https://www.youtube.com/watch?v=D559dD7btfo" TargetMode="External"/><Relationship Id="rId18" Type="http://schemas.openxmlformats.org/officeDocument/2006/relationships/hyperlink" Target="https://www.youtube.com/watch?v=0Y3z-QStbk8" TargetMode="External"/><Relationship Id="rId265" Type="http://schemas.openxmlformats.org/officeDocument/2006/relationships/hyperlink" Target="https://www.youtube.com/watch?v=hH3jbt-s4aY" TargetMode="External"/><Relationship Id="rId472" Type="http://schemas.openxmlformats.org/officeDocument/2006/relationships/hyperlink" Target="https://www.youtube.com/watch?v=gF2CbaL7t6g" TargetMode="External"/><Relationship Id="rId528" Type="http://schemas.openxmlformats.org/officeDocument/2006/relationships/hyperlink" Target="https://www.youtube.com/watch?v=ozdJ_kTaZcc" TargetMode="External"/><Relationship Id="rId735" Type="http://schemas.openxmlformats.org/officeDocument/2006/relationships/hyperlink" Target="https://www.youtube.com/watch?v=aPfBxS4huSc" TargetMode="External"/><Relationship Id="rId125" Type="http://schemas.openxmlformats.org/officeDocument/2006/relationships/hyperlink" Target="https://www.youtube.com/watch?v=UrWQfScMALY" TargetMode="External"/><Relationship Id="rId167" Type="http://schemas.openxmlformats.org/officeDocument/2006/relationships/hyperlink" Target="https://www.youtube.com/watch?v=Z7B5IZZhoAI" TargetMode="External"/><Relationship Id="rId332" Type="http://schemas.openxmlformats.org/officeDocument/2006/relationships/hyperlink" Target="https://www.youtube.com/watch?v=3eTjsY7w5kM" TargetMode="External"/><Relationship Id="rId374" Type="http://schemas.openxmlformats.org/officeDocument/2006/relationships/hyperlink" Target="https://www.youtube.com/watch?v=wzPkggokfLg" TargetMode="External"/><Relationship Id="rId581" Type="http://schemas.openxmlformats.org/officeDocument/2006/relationships/hyperlink" Target="https://www.youtube.com/watch?v=vTz9mFEgYQU" TargetMode="External"/><Relationship Id="rId71" Type="http://schemas.openxmlformats.org/officeDocument/2006/relationships/hyperlink" Target="https://www.youtube.com/watch?v=OpsoPcAUMbw" TargetMode="External"/><Relationship Id="rId234" Type="http://schemas.openxmlformats.org/officeDocument/2006/relationships/hyperlink" Target="https://www.youtube.com/watch?v=iY88UCitwGY" TargetMode="External"/><Relationship Id="rId637" Type="http://schemas.openxmlformats.org/officeDocument/2006/relationships/hyperlink" Target="https://www.youtube.com/watch?v=p08RUDejFXs" TargetMode="External"/><Relationship Id="rId679" Type="http://schemas.openxmlformats.org/officeDocument/2006/relationships/hyperlink" Target="https://www.youtube.com/watch?v=RJSsEA6fpJE" TargetMode="External"/><Relationship Id="rId2" Type="http://schemas.openxmlformats.org/officeDocument/2006/relationships/hyperlink" Target="https://www.youtube.com/watch?v=jKuCWHsoXmQ" TargetMode="External"/><Relationship Id="rId29" Type="http://schemas.openxmlformats.org/officeDocument/2006/relationships/hyperlink" Target="https://www.youtube.com/watch?v=C3_6Ub1GnfA" TargetMode="External"/><Relationship Id="rId276" Type="http://schemas.openxmlformats.org/officeDocument/2006/relationships/hyperlink" Target="https://www.youtube.com/watch?v=w5KPpzfrQQY" TargetMode="External"/><Relationship Id="rId441" Type="http://schemas.openxmlformats.org/officeDocument/2006/relationships/hyperlink" Target="https://www.youtube.com/watch?v=adov37an6hU" TargetMode="External"/><Relationship Id="rId483" Type="http://schemas.openxmlformats.org/officeDocument/2006/relationships/hyperlink" Target="https://www.youtube.com/watch?v=pIn71L7Kv9Q" TargetMode="External"/><Relationship Id="rId539" Type="http://schemas.openxmlformats.org/officeDocument/2006/relationships/hyperlink" Target="https://www.youtube.com/watch?v=a30EnICYBUA" TargetMode="External"/><Relationship Id="rId690" Type="http://schemas.openxmlformats.org/officeDocument/2006/relationships/hyperlink" Target="https://www.youtube.com/watch?v=qqDl6coS7wg" TargetMode="External"/><Relationship Id="rId704" Type="http://schemas.openxmlformats.org/officeDocument/2006/relationships/hyperlink" Target="https://www.youtube.com/watch?v=DMReaVWJGFE" TargetMode="External"/><Relationship Id="rId746" Type="http://schemas.openxmlformats.org/officeDocument/2006/relationships/hyperlink" Target="https://www.youtube.com/watch?v=wfQX8QWcWgI" TargetMode="External"/><Relationship Id="rId40" Type="http://schemas.openxmlformats.org/officeDocument/2006/relationships/hyperlink" Target="https://www.youtube.com/watch?v=THua8SMPtK4" TargetMode="External"/><Relationship Id="rId136" Type="http://schemas.openxmlformats.org/officeDocument/2006/relationships/hyperlink" Target="https://www.youtube.com/watch?v=qd7yTtTb_Fc" TargetMode="External"/><Relationship Id="rId178" Type="http://schemas.openxmlformats.org/officeDocument/2006/relationships/hyperlink" Target="https://www.youtube.com/watch?v=cpZPvFvzNlc" TargetMode="External"/><Relationship Id="rId301" Type="http://schemas.openxmlformats.org/officeDocument/2006/relationships/hyperlink" Target="https://www.youtube.com/watch?v=tBf6vZKjL9w" TargetMode="External"/><Relationship Id="rId343" Type="http://schemas.openxmlformats.org/officeDocument/2006/relationships/hyperlink" Target="https://www.youtube.com/watch?v=Cv8kec-TugY" TargetMode="External"/><Relationship Id="rId550" Type="http://schemas.openxmlformats.org/officeDocument/2006/relationships/hyperlink" Target="https://www.youtube.com/watch?v=N1wkN3CKqHY" TargetMode="External"/><Relationship Id="rId82" Type="http://schemas.openxmlformats.org/officeDocument/2006/relationships/hyperlink" Target="https://www.youtube.com/watch?v=knJJGEYwaZw" TargetMode="External"/><Relationship Id="rId203" Type="http://schemas.openxmlformats.org/officeDocument/2006/relationships/hyperlink" Target="https://www.youtube.com/watch?v=XeCuvEX-tow" TargetMode="External"/><Relationship Id="rId385" Type="http://schemas.openxmlformats.org/officeDocument/2006/relationships/hyperlink" Target="https://www.youtube.com/watch?v=Ly_KKukp01g" TargetMode="External"/><Relationship Id="rId592" Type="http://schemas.openxmlformats.org/officeDocument/2006/relationships/hyperlink" Target="https://www.youtube.com/watch?v=B3K5KRgT0oE" TargetMode="External"/><Relationship Id="rId606" Type="http://schemas.openxmlformats.org/officeDocument/2006/relationships/hyperlink" Target="https://www.youtube.com/watch?v=DrTFGS7SoCg" TargetMode="External"/><Relationship Id="rId648" Type="http://schemas.openxmlformats.org/officeDocument/2006/relationships/hyperlink" Target="https://www.youtube.com/watch?v=F2WG7neA31s" TargetMode="External"/><Relationship Id="rId245" Type="http://schemas.openxmlformats.org/officeDocument/2006/relationships/hyperlink" Target="https://www.youtube.com/watch?v=TbQkh6axHEM" TargetMode="External"/><Relationship Id="rId287" Type="http://schemas.openxmlformats.org/officeDocument/2006/relationships/hyperlink" Target="https://www.youtube.com/watch?v=0-Ishanuvj8" TargetMode="External"/><Relationship Id="rId410" Type="http://schemas.openxmlformats.org/officeDocument/2006/relationships/hyperlink" Target="https://www.youtube.com/watch?v=OAcu0ZHtcXc" TargetMode="External"/><Relationship Id="rId452" Type="http://schemas.openxmlformats.org/officeDocument/2006/relationships/hyperlink" Target="https://www.youtube.com/watch?v=t5tjD9qq-98" TargetMode="External"/><Relationship Id="rId494" Type="http://schemas.openxmlformats.org/officeDocument/2006/relationships/hyperlink" Target="https://www.youtube.com/watch?v=C-AklzjB96w" TargetMode="External"/><Relationship Id="rId508" Type="http://schemas.openxmlformats.org/officeDocument/2006/relationships/hyperlink" Target="https://www.youtube.com/watch?v=ll-fhgVbj1I" TargetMode="External"/><Relationship Id="rId715" Type="http://schemas.openxmlformats.org/officeDocument/2006/relationships/hyperlink" Target="https://www.youtube.com/watch?v=1wYg5d-4aVg" TargetMode="External"/><Relationship Id="rId105" Type="http://schemas.openxmlformats.org/officeDocument/2006/relationships/hyperlink" Target="https://www.youtube.com/watch?v=k_PhmmAyLFg" TargetMode="External"/><Relationship Id="rId147" Type="http://schemas.openxmlformats.org/officeDocument/2006/relationships/hyperlink" Target="https://www.youtube.com/watch?v=cKIAV15AZcI" TargetMode="External"/><Relationship Id="rId312" Type="http://schemas.openxmlformats.org/officeDocument/2006/relationships/hyperlink" Target="https://www.youtube.com/watch?v=Iimv8qJijTE" TargetMode="External"/><Relationship Id="rId354" Type="http://schemas.openxmlformats.org/officeDocument/2006/relationships/hyperlink" Target="https://www.youtube.com/watch?v=JkoZriLo3fA" TargetMode="External"/><Relationship Id="rId757" Type="http://schemas.openxmlformats.org/officeDocument/2006/relationships/hyperlink" Target="https://www.youtube.com/watch?v=79r5KYH0nBI" TargetMode="External"/><Relationship Id="rId51" Type="http://schemas.openxmlformats.org/officeDocument/2006/relationships/hyperlink" Target="https://www.youtube.com/watch?v=vHWsmGyjOk0" TargetMode="External"/><Relationship Id="rId93" Type="http://schemas.openxmlformats.org/officeDocument/2006/relationships/hyperlink" Target="https://www.youtube.com/watch?v=0uPW7Jf9y7o" TargetMode="External"/><Relationship Id="rId189" Type="http://schemas.openxmlformats.org/officeDocument/2006/relationships/hyperlink" Target="https://www.youtube.com/watch?v=0-LZkVdXTnc" TargetMode="External"/><Relationship Id="rId396" Type="http://schemas.openxmlformats.org/officeDocument/2006/relationships/hyperlink" Target="https://www.youtube.com/watch?v=cUULt5zHp0k" TargetMode="External"/><Relationship Id="rId561" Type="http://schemas.openxmlformats.org/officeDocument/2006/relationships/hyperlink" Target="https://www.youtube.com/watch?v=NaCx35vC5wg" TargetMode="External"/><Relationship Id="rId617" Type="http://schemas.openxmlformats.org/officeDocument/2006/relationships/hyperlink" Target="https://www.youtube.com/watch?v=SNAHZpRl3go" TargetMode="External"/><Relationship Id="rId659" Type="http://schemas.openxmlformats.org/officeDocument/2006/relationships/hyperlink" Target="https://www.youtube.com/watch?v=JjtvU2xQpaQ" TargetMode="External"/><Relationship Id="rId214" Type="http://schemas.openxmlformats.org/officeDocument/2006/relationships/hyperlink" Target="https://www.youtube.com/watch?v=9ScY3DQ8lnM" TargetMode="External"/><Relationship Id="rId256" Type="http://schemas.openxmlformats.org/officeDocument/2006/relationships/hyperlink" Target="https://www.youtube.com/watch?v=_Anq0CTYGt8" TargetMode="External"/><Relationship Id="rId298" Type="http://schemas.openxmlformats.org/officeDocument/2006/relationships/hyperlink" Target="https://www.youtube.com/watch?v=kaJQx-nXg6M" TargetMode="External"/><Relationship Id="rId421" Type="http://schemas.openxmlformats.org/officeDocument/2006/relationships/hyperlink" Target="https://www.youtube.com/watch?v=G6rcMSQ1UVE" TargetMode="External"/><Relationship Id="rId463" Type="http://schemas.openxmlformats.org/officeDocument/2006/relationships/hyperlink" Target="https://www.youtube.com/watch?v=ZwiLQGKP--A" TargetMode="External"/><Relationship Id="rId519" Type="http://schemas.openxmlformats.org/officeDocument/2006/relationships/hyperlink" Target="https://www.youtube.com/watch?v=EfHkupTL5wU" TargetMode="External"/><Relationship Id="rId670" Type="http://schemas.openxmlformats.org/officeDocument/2006/relationships/hyperlink" Target="https://www.youtube.com/watch?v=kvEIBfEnwXM" TargetMode="External"/><Relationship Id="rId116" Type="http://schemas.openxmlformats.org/officeDocument/2006/relationships/hyperlink" Target="https://www.youtube.com/watch?v=vnw9dW2QgYk" TargetMode="External"/><Relationship Id="rId158" Type="http://schemas.openxmlformats.org/officeDocument/2006/relationships/hyperlink" Target="https://www.youtube.com/watch?v=4h6drLmYTr8" TargetMode="External"/><Relationship Id="rId323" Type="http://schemas.openxmlformats.org/officeDocument/2006/relationships/hyperlink" Target="https://www.youtube.com/watch?v=sdUuukDpj9s" TargetMode="External"/><Relationship Id="rId530" Type="http://schemas.openxmlformats.org/officeDocument/2006/relationships/hyperlink" Target="https://www.youtube.com/watch?v=_nyKGkDh6WM" TargetMode="External"/><Relationship Id="rId726" Type="http://schemas.openxmlformats.org/officeDocument/2006/relationships/hyperlink" Target="https://www.youtube.com/watch?v=5IYA6g6rNW0" TargetMode="External"/><Relationship Id="rId20" Type="http://schemas.openxmlformats.org/officeDocument/2006/relationships/hyperlink" Target="https://www.youtube.com/watch?v=_IcfDP-ezpo" TargetMode="External"/><Relationship Id="rId62" Type="http://schemas.openxmlformats.org/officeDocument/2006/relationships/hyperlink" Target="https://www.youtube.com/watch?v=s3LVHHEe2vc" TargetMode="External"/><Relationship Id="rId365" Type="http://schemas.openxmlformats.org/officeDocument/2006/relationships/hyperlink" Target="https://www.youtube.com/watch?v=xA9TKhOjY24" TargetMode="External"/><Relationship Id="rId572" Type="http://schemas.openxmlformats.org/officeDocument/2006/relationships/hyperlink" Target="https://www.youtube.com/watch?v=bGDeGR7DrFw" TargetMode="External"/><Relationship Id="rId628" Type="http://schemas.openxmlformats.org/officeDocument/2006/relationships/hyperlink" Target="https://www.youtube.com/watch?v=lnII4AH2rHw" TargetMode="External"/><Relationship Id="rId225" Type="http://schemas.openxmlformats.org/officeDocument/2006/relationships/hyperlink" Target="https://www.youtube.com/watch?v=v6x52noLJOo" TargetMode="External"/><Relationship Id="rId267" Type="http://schemas.openxmlformats.org/officeDocument/2006/relationships/hyperlink" Target="https://www.youtube.com/watch?v=yYhGJH2NjBA" TargetMode="External"/><Relationship Id="rId432" Type="http://schemas.openxmlformats.org/officeDocument/2006/relationships/hyperlink" Target="https://www.youtube.com/watch?v=6aJLKt2nXsg" TargetMode="External"/><Relationship Id="rId474" Type="http://schemas.openxmlformats.org/officeDocument/2006/relationships/hyperlink" Target="https://www.youtube.com/watch?v=AB0KeX_0T2I" TargetMode="External"/><Relationship Id="rId127" Type="http://schemas.openxmlformats.org/officeDocument/2006/relationships/hyperlink" Target="https://www.youtube.com/watch?v=08Xwx9vsy6w" TargetMode="External"/><Relationship Id="rId681" Type="http://schemas.openxmlformats.org/officeDocument/2006/relationships/hyperlink" Target="https://www.youtube.com/watch?v=_CKZQa18hcY" TargetMode="External"/><Relationship Id="rId737" Type="http://schemas.openxmlformats.org/officeDocument/2006/relationships/hyperlink" Target="https://www.youtube.com/watch?v=qIQN0DtO2Z8" TargetMode="External"/><Relationship Id="rId31" Type="http://schemas.openxmlformats.org/officeDocument/2006/relationships/hyperlink" Target="https://www.youtube.com/watch?v=elqL0Sr_sVU" TargetMode="External"/><Relationship Id="rId73" Type="http://schemas.openxmlformats.org/officeDocument/2006/relationships/hyperlink" Target="https://www.youtube.com/watch?v=4yz6ZL-TC94" TargetMode="External"/><Relationship Id="rId169" Type="http://schemas.openxmlformats.org/officeDocument/2006/relationships/hyperlink" Target="https://www.youtube.com/watch?v=fQxUVyFqzpA" TargetMode="External"/><Relationship Id="rId334" Type="http://schemas.openxmlformats.org/officeDocument/2006/relationships/hyperlink" Target="https://www.youtube.com/watch?v=gtDa8NLyc74" TargetMode="External"/><Relationship Id="rId376" Type="http://schemas.openxmlformats.org/officeDocument/2006/relationships/hyperlink" Target="https://www.youtube.com/watch?v=0DBc4TKwgDc" TargetMode="External"/><Relationship Id="rId541" Type="http://schemas.openxmlformats.org/officeDocument/2006/relationships/hyperlink" Target="https://www.youtube.com/watch?v=w1panKQ58dU" TargetMode="External"/><Relationship Id="rId583" Type="http://schemas.openxmlformats.org/officeDocument/2006/relationships/hyperlink" Target="https://www.youtube.com/watch?v=nUfn2eRsHgo" TargetMode="External"/><Relationship Id="rId639" Type="http://schemas.openxmlformats.org/officeDocument/2006/relationships/hyperlink" Target="https://www.youtube.com/watch?v=Iz3TO-dXkSI" TargetMode="External"/><Relationship Id="rId4" Type="http://schemas.openxmlformats.org/officeDocument/2006/relationships/hyperlink" Target="https://www.youtube.com/watch?v=FytdS2vMJfU" TargetMode="External"/><Relationship Id="rId180" Type="http://schemas.openxmlformats.org/officeDocument/2006/relationships/hyperlink" Target="https://www.youtube.com/watch?v=nCmJgIvSqfU" TargetMode="External"/><Relationship Id="rId215" Type="http://schemas.openxmlformats.org/officeDocument/2006/relationships/hyperlink" Target="https://www.youtube.com/watch?v=gKt4SG-pAmw" TargetMode="External"/><Relationship Id="rId236" Type="http://schemas.openxmlformats.org/officeDocument/2006/relationships/hyperlink" Target="https://www.youtube.com/watch?v=DoYL7K2djDY" TargetMode="External"/><Relationship Id="rId257" Type="http://schemas.openxmlformats.org/officeDocument/2006/relationships/hyperlink" Target="https://www.youtube.com/watch?v=_xIbCmTtK8s" TargetMode="External"/><Relationship Id="rId278" Type="http://schemas.openxmlformats.org/officeDocument/2006/relationships/hyperlink" Target="https://www.youtube.com/watch?v=1GLaXQ6Rgcg" TargetMode="External"/><Relationship Id="rId401" Type="http://schemas.openxmlformats.org/officeDocument/2006/relationships/hyperlink" Target="https://www.youtube.com/watch?v=JcNaFHIozC4" TargetMode="External"/><Relationship Id="rId422" Type="http://schemas.openxmlformats.org/officeDocument/2006/relationships/hyperlink" Target="https://www.youtube.com/watch?v=mK5DuxKw-I8" TargetMode="External"/><Relationship Id="rId443" Type="http://schemas.openxmlformats.org/officeDocument/2006/relationships/hyperlink" Target="https://www.youtube.com/watch?v=a_HGSrmF_8w" TargetMode="External"/><Relationship Id="rId464" Type="http://schemas.openxmlformats.org/officeDocument/2006/relationships/hyperlink" Target="https://www.youtube.com/watch?v=fmVDyQnLFe4" TargetMode="External"/><Relationship Id="rId650" Type="http://schemas.openxmlformats.org/officeDocument/2006/relationships/hyperlink" Target="https://www.youtube.com/watch?v=mcxquOK_mY8" TargetMode="External"/><Relationship Id="rId303" Type="http://schemas.openxmlformats.org/officeDocument/2006/relationships/hyperlink" Target="https://www.youtube.com/watch?v=0DzUUFbFZHs" TargetMode="External"/><Relationship Id="rId485" Type="http://schemas.openxmlformats.org/officeDocument/2006/relationships/hyperlink" Target="https://www.youtube.com/watch?v=ZhuUYD3QvB8" TargetMode="External"/><Relationship Id="rId692" Type="http://schemas.openxmlformats.org/officeDocument/2006/relationships/hyperlink" Target="https://www.youtube.com/watch?v=gtJ9OzJIB_c" TargetMode="External"/><Relationship Id="rId706" Type="http://schemas.openxmlformats.org/officeDocument/2006/relationships/hyperlink" Target="https://www.youtube.com/watch?v=KCUZ6hBgxc0" TargetMode="External"/><Relationship Id="rId748" Type="http://schemas.openxmlformats.org/officeDocument/2006/relationships/hyperlink" Target="https://www.youtube.com/watch?v=Bx9ffGtMMxo" TargetMode="External"/><Relationship Id="rId42" Type="http://schemas.openxmlformats.org/officeDocument/2006/relationships/hyperlink" Target="https://www.youtube.com/watch?v=LXrKKz7Mld8" TargetMode="External"/><Relationship Id="rId84" Type="http://schemas.openxmlformats.org/officeDocument/2006/relationships/hyperlink" Target="https://www.youtube.com/watch?v=TEUt7CVuFbI" TargetMode="External"/><Relationship Id="rId138" Type="http://schemas.openxmlformats.org/officeDocument/2006/relationships/hyperlink" Target="https://www.youtube.com/watch?v=agP31XI_FxA" TargetMode="External"/><Relationship Id="rId345" Type="http://schemas.openxmlformats.org/officeDocument/2006/relationships/hyperlink" Target="https://www.youtube.com/watch?v=spEEA-o1zlE" TargetMode="External"/><Relationship Id="rId387" Type="http://schemas.openxmlformats.org/officeDocument/2006/relationships/hyperlink" Target="https://www.youtube.com/watch?v=xjoBDX3u1Ys" TargetMode="External"/><Relationship Id="rId510" Type="http://schemas.openxmlformats.org/officeDocument/2006/relationships/hyperlink" Target="https://www.youtube.com/watch?v=NMCXHN1fW9k" TargetMode="External"/><Relationship Id="rId552" Type="http://schemas.openxmlformats.org/officeDocument/2006/relationships/hyperlink" Target="https://www.youtube.com/watch?v=eVhJjqlSE8s" TargetMode="External"/><Relationship Id="rId594" Type="http://schemas.openxmlformats.org/officeDocument/2006/relationships/hyperlink" Target="https://www.youtube.com/watch?v=SmB_GUlrfzk" TargetMode="External"/><Relationship Id="rId608" Type="http://schemas.openxmlformats.org/officeDocument/2006/relationships/hyperlink" Target="https://www.youtube.com/watch?v=1jVMegap8Ws" TargetMode="External"/><Relationship Id="rId191" Type="http://schemas.openxmlformats.org/officeDocument/2006/relationships/hyperlink" Target="https://www.youtube.com/watch?v=pAHRrR6eeDU" TargetMode="External"/><Relationship Id="rId205" Type="http://schemas.openxmlformats.org/officeDocument/2006/relationships/hyperlink" Target="https://www.youtube.com/watch?v=t63m6GCrKbw" TargetMode="External"/><Relationship Id="rId247" Type="http://schemas.openxmlformats.org/officeDocument/2006/relationships/hyperlink" Target="https://www.youtube.com/watch?v=jaw4U_s24zo" TargetMode="External"/><Relationship Id="rId412" Type="http://schemas.openxmlformats.org/officeDocument/2006/relationships/hyperlink" Target="https://www.youtube.com/watch?v=_VfaX30ncIU" TargetMode="External"/><Relationship Id="rId107" Type="http://schemas.openxmlformats.org/officeDocument/2006/relationships/hyperlink" Target="https://www.youtube.com/watch?v=Vf5BOYF0S3Y" TargetMode="External"/><Relationship Id="rId289" Type="http://schemas.openxmlformats.org/officeDocument/2006/relationships/hyperlink" Target="https://www.youtube.com/watch?v=NQUbNykwFG4" TargetMode="External"/><Relationship Id="rId454" Type="http://schemas.openxmlformats.org/officeDocument/2006/relationships/hyperlink" Target="https://www.youtube.com/watch?v=tpUBWJjtzrA" TargetMode="External"/><Relationship Id="rId496" Type="http://schemas.openxmlformats.org/officeDocument/2006/relationships/hyperlink" Target="https://www.youtube.com/watch?v=5XqO9FCH3Xk" TargetMode="External"/><Relationship Id="rId661" Type="http://schemas.openxmlformats.org/officeDocument/2006/relationships/hyperlink" Target="https://www.youtube.com/watch?v=strZVEaixcs" TargetMode="External"/><Relationship Id="rId717" Type="http://schemas.openxmlformats.org/officeDocument/2006/relationships/hyperlink" Target="https://www.youtube.com/watch?v=Owv0FewW5Bo" TargetMode="External"/><Relationship Id="rId759" Type="http://schemas.openxmlformats.org/officeDocument/2006/relationships/vmlDrawing" Target="../drawings/vmlDrawing1.vml"/><Relationship Id="rId11" Type="http://schemas.openxmlformats.org/officeDocument/2006/relationships/hyperlink" Target="https://www.youtube.com/watch?v=jMgGGixmfus" TargetMode="External"/><Relationship Id="rId53" Type="http://schemas.openxmlformats.org/officeDocument/2006/relationships/hyperlink" Target="https://www.youtube.com/watch?v=f-MLHIb4dFU" TargetMode="External"/><Relationship Id="rId149" Type="http://schemas.openxmlformats.org/officeDocument/2006/relationships/hyperlink" Target="https://www.youtube.com/watch?v=T0iutxik1Eg" TargetMode="External"/><Relationship Id="rId314" Type="http://schemas.openxmlformats.org/officeDocument/2006/relationships/hyperlink" Target="https://www.youtube.com/watch?v=jB9efRnouaI" TargetMode="External"/><Relationship Id="rId356" Type="http://schemas.openxmlformats.org/officeDocument/2006/relationships/hyperlink" Target="https://www.youtube.com/watch?v=wKE7d6nLsDM" TargetMode="External"/><Relationship Id="rId398" Type="http://schemas.openxmlformats.org/officeDocument/2006/relationships/hyperlink" Target="https://www.youtube.com/watch?v=C3knBzrgTTY" TargetMode="External"/><Relationship Id="rId521" Type="http://schemas.openxmlformats.org/officeDocument/2006/relationships/hyperlink" Target="https://www.youtube.com/watch?v=uTyoGVNa7FA" TargetMode="External"/><Relationship Id="rId563" Type="http://schemas.openxmlformats.org/officeDocument/2006/relationships/hyperlink" Target="https://www.youtube.com/watch?v=4VaCcFKHkSY" TargetMode="External"/><Relationship Id="rId619" Type="http://schemas.openxmlformats.org/officeDocument/2006/relationships/hyperlink" Target="https://www.youtube.com/watch?v=Vrv16kSoTLQ" TargetMode="External"/><Relationship Id="rId95" Type="http://schemas.openxmlformats.org/officeDocument/2006/relationships/hyperlink" Target="https://www.youtube.com/watch?v=iGpYgqX-p8c" TargetMode="External"/><Relationship Id="rId160" Type="http://schemas.openxmlformats.org/officeDocument/2006/relationships/hyperlink" Target="https://www.youtube.com/watch?v=Y1SUVA0PU1o" TargetMode="External"/><Relationship Id="rId216" Type="http://schemas.openxmlformats.org/officeDocument/2006/relationships/hyperlink" Target="https://www.youtube.com/watch?v=2p91-Fy5A6Q" TargetMode="External"/><Relationship Id="rId423" Type="http://schemas.openxmlformats.org/officeDocument/2006/relationships/hyperlink" Target="https://www.youtube.com/watch?v=zV5AbsAy5m4" TargetMode="External"/><Relationship Id="rId258" Type="http://schemas.openxmlformats.org/officeDocument/2006/relationships/hyperlink" Target="https://www.youtube.com/watch?v=qGie_-i1j6o" TargetMode="External"/><Relationship Id="rId465" Type="http://schemas.openxmlformats.org/officeDocument/2006/relationships/hyperlink" Target="https://www.youtube.com/watch?v=ohUG8LIy7Cs" TargetMode="External"/><Relationship Id="rId630" Type="http://schemas.openxmlformats.org/officeDocument/2006/relationships/hyperlink" Target="https://www.youtube.com/watch?v=_zmgXM40afU" TargetMode="External"/><Relationship Id="rId672" Type="http://schemas.openxmlformats.org/officeDocument/2006/relationships/hyperlink" Target="https://www.youtube.com/watch?v=vB9JqlUiYUk" TargetMode="External"/><Relationship Id="rId728" Type="http://schemas.openxmlformats.org/officeDocument/2006/relationships/hyperlink" Target="https://www.youtube.com/watch?v=s9g49kgd9ao" TargetMode="External"/><Relationship Id="rId22" Type="http://schemas.openxmlformats.org/officeDocument/2006/relationships/hyperlink" Target="https://www.youtube.com/watch?v=Uq2PJjcHiqI" TargetMode="External"/><Relationship Id="rId64" Type="http://schemas.openxmlformats.org/officeDocument/2006/relationships/hyperlink" Target="https://www.youtube.com/watch?v=ytrFjytVgtk" TargetMode="External"/><Relationship Id="rId118" Type="http://schemas.openxmlformats.org/officeDocument/2006/relationships/hyperlink" Target="https://www.youtube.com/watch?v=nbZhVwfCRMU" TargetMode="External"/><Relationship Id="rId325" Type="http://schemas.openxmlformats.org/officeDocument/2006/relationships/hyperlink" Target="https://www.youtube.com/watch?v=WkR5PD16sCg" TargetMode="External"/><Relationship Id="rId367" Type="http://schemas.openxmlformats.org/officeDocument/2006/relationships/hyperlink" Target="https://www.youtube.com/watch?v=qY5oQOirve4" TargetMode="External"/><Relationship Id="rId532" Type="http://schemas.openxmlformats.org/officeDocument/2006/relationships/hyperlink" Target="https://www.youtube.com/watch?v=74BW9K7eGtY&amp;t=21s" TargetMode="External"/><Relationship Id="rId574" Type="http://schemas.openxmlformats.org/officeDocument/2006/relationships/hyperlink" Target="https://www.youtube.com/watch?v=Kfvmj7QyAfQ" TargetMode="External"/><Relationship Id="rId171" Type="http://schemas.openxmlformats.org/officeDocument/2006/relationships/hyperlink" Target="https://www.youtube.com/watch?v=2Ew9deAuPwU" TargetMode="External"/><Relationship Id="rId227" Type="http://schemas.openxmlformats.org/officeDocument/2006/relationships/hyperlink" Target="https://www.youtube.com/watch?v=7RTlRYpr7o8" TargetMode="External"/><Relationship Id="rId269" Type="http://schemas.openxmlformats.org/officeDocument/2006/relationships/hyperlink" Target="https://www.youtube.com/watch?v=k6dsew1B6SE" TargetMode="External"/><Relationship Id="rId434" Type="http://schemas.openxmlformats.org/officeDocument/2006/relationships/hyperlink" Target="https://www.youtube.com/watch?v=txsij6WXt8s" TargetMode="External"/><Relationship Id="rId476" Type="http://schemas.openxmlformats.org/officeDocument/2006/relationships/hyperlink" Target="https://www.youtube.com/watch?v=Hqx5Pfe-4NI" TargetMode="External"/><Relationship Id="rId641" Type="http://schemas.openxmlformats.org/officeDocument/2006/relationships/hyperlink" Target="https://www.youtube.com/watch?v=0cvq3rbQ7Dw" TargetMode="External"/><Relationship Id="rId683" Type="http://schemas.openxmlformats.org/officeDocument/2006/relationships/hyperlink" Target="https://www.youtube.com/watch?v=lkO1JaN7BoQ" TargetMode="External"/><Relationship Id="rId739" Type="http://schemas.openxmlformats.org/officeDocument/2006/relationships/hyperlink" Target="https://www.youtube.com/watch?v=ZyApm_PJ-W8&amp;t=65s" TargetMode="External"/><Relationship Id="rId33" Type="http://schemas.openxmlformats.org/officeDocument/2006/relationships/hyperlink" Target="https://www.youtube.com/watch?v=BEz8X5SUwjY" TargetMode="External"/><Relationship Id="rId129" Type="http://schemas.openxmlformats.org/officeDocument/2006/relationships/hyperlink" Target="https://www.youtube.com/watch?v=SS0UQNsxhus" TargetMode="External"/><Relationship Id="rId280" Type="http://schemas.openxmlformats.org/officeDocument/2006/relationships/hyperlink" Target="https://www.youtube.com/watch?v=EHQ6eLHDs78" TargetMode="External"/><Relationship Id="rId336" Type="http://schemas.openxmlformats.org/officeDocument/2006/relationships/hyperlink" Target="https://www.youtube.com/watch?v=Xk3tQcQ1QcQ" TargetMode="External"/><Relationship Id="rId501" Type="http://schemas.openxmlformats.org/officeDocument/2006/relationships/hyperlink" Target="https://www.youtube.com/watch?v=JkMKDP2BOlw&amp;t=169s" TargetMode="External"/><Relationship Id="rId543" Type="http://schemas.openxmlformats.org/officeDocument/2006/relationships/hyperlink" Target="https://www.youtube.com/watch?v=mxQpJeckKaU" TargetMode="External"/><Relationship Id="rId75" Type="http://schemas.openxmlformats.org/officeDocument/2006/relationships/hyperlink" Target="https://www.youtube.com/watch?v=29-xoooHPaw" TargetMode="External"/><Relationship Id="rId140" Type="http://schemas.openxmlformats.org/officeDocument/2006/relationships/hyperlink" Target="https://www.youtube.com/watch?v=ANSSQQ6ZauM" TargetMode="External"/><Relationship Id="rId182" Type="http://schemas.openxmlformats.org/officeDocument/2006/relationships/hyperlink" Target="https://www.youtube.com/watch?v=r5r1yU9O2ag" TargetMode="External"/><Relationship Id="rId378" Type="http://schemas.openxmlformats.org/officeDocument/2006/relationships/hyperlink" Target="https://www.youtube.com/watch?v=FQmwAFcJSpw" TargetMode="External"/><Relationship Id="rId403" Type="http://schemas.openxmlformats.org/officeDocument/2006/relationships/hyperlink" Target="https://www.youtube.com/watch?v=QrVLpFoGRb4" TargetMode="External"/><Relationship Id="rId585" Type="http://schemas.openxmlformats.org/officeDocument/2006/relationships/hyperlink" Target="https://www.youtube.com/watch?v=Nattb-ZPK4g" TargetMode="External"/><Relationship Id="rId750" Type="http://schemas.openxmlformats.org/officeDocument/2006/relationships/hyperlink" Target="https://www.youtube.com/watch?v=dHQ-HMVdPyE" TargetMode="External"/><Relationship Id="rId6" Type="http://schemas.openxmlformats.org/officeDocument/2006/relationships/hyperlink" Target="https://www.youtube.com/watch?v=WU456HIXN5U" TargetMode="External"/><Relationship Id="rId238" Type="http://schemas.openxmlformats.org/officeDocument/2006/relationships/hyperlink" Target="https://www.youtube.com/watch?v=QPVDHJcsv5U" TargetMode="External"/><Relationship Id="rId445" Type="http://schemas.openxmlformats.org/officeDocument/2006/relationships/hyperlink" Target="https://www.youtube.com/watch?v=AgRVHML48XM" TargetMode="External"/><Relationship Id="rId487" Type="http://schemas.openxmlformats.org/officeDocument/2006/relationships/hyperlink" Target="https://www.youtube.com/watch?v=FTdLV7hcCvI" TargetMode="External"/><Relationship Id="rId610" Type="http://schemas.openxmlformats.org/officeDocument/2006/relationships/hyperlink" Target="https://www.youtube.com/watch?v=8usGAaPq-WY" TargetMode="External"/><Relationship Id="rId652" Type="http://schemas.openxmlformats.org/officeDocument/2006/relationships/hyperlink" Target="https://www.youtube.com/watch?v=DVcN5QXGA_w" TargetMode="External"/><Relationship Id="rId694" Type="http://schemas.openxmlformats.org/officeDocument/2006/relationships/hyperlink" Target="https://www.youtube.com/watch?v=4iGdwJ3nQcs&amp;t=38s" TargetMode="External"/><Relationship Id="rId708" Type="http://schemas.openxmlformats.org/officeDocument/2006/relationships/hyperlink" Target="https://www.youtube.com/watch?v=DBYSIkWsAOI" TargetMode="External"/><Relationship Id="rId291" Type="http://schemas.openxmlformats.org/officeDocument/2006/relationships/hyperlink" Target="https://www.youtube.com/watch?v=fzzIeVO7-qk" TargetMode="External"/><Relationship Id="rId305" Type="http://schemas.openxmlformats.org/officeDocument/2006/relationships/hyperlink" Target="https://www.youtube.com/watch?v=NhDs3OPqMQ4" TargetMode="External"/><Relationship Id="rId347" Type="http://schemas.openxmlformats.org/officeDocument/2006/relationships/hyperlink" Target="https://www.youtube.com/watch?v=M8Xez56Bg9c" TargetMode="External"/><Relationship Id="rId512" Type="http://schemas.openxmlformats.org/officeDocument/2006/relationships/hyperlink" Target="https://www.youtube.com/watch?v=3vhgcNKVRgY" TargetMode="External"/><Relationship Id="rId44" Type="http://schemas.openxmlformats.org/officeDocument/2006/relationships/hyperlink" Target="https://www.youtube.com/watch?v=rNhQIKC2jPM" TargetMode="External"/><Relationship Id="rId86" Type="http://schemas.openxmlformats.org/officeDocument/2006/relationships/hyperlink" Target="https://www.youtube.com/watch?v=f-XdG6v-RWk" TargetMode="External"/><Relationship Id="rId151" Type="http://schemas.openxmlformats.org/officeDocument/2006/relationships/hyperlink" Target="https://www.youtube.com/watch?v=HdBCunbR_jE" TargetMode="External"/><Relationship Id="rId389" Type="http://schemas.openxmlformats.org/officeDocument/2006/relationships/hyperlink" Target="https://www.youtube.com/watch?v=gL_j5YKKN38" TargetMode="External"/><Relationship Id="rId554" Type="http://schemas.openxmlformats.org/officeDocument/2006/relationships/hyperlink" Target="https://www.youtube.com/watch?v=WtWOT6Hj2vM" TargetMode="External"/><Relationship Id="rId596" Type="http://schemas.openxmlformats.org/officeDocument/2006/relationships/hyperlink" Target="https://www.youtube.com/watch?v=m1RnPcyk_e0" TargetMode="External"/><Relationship Id="rId193" Type="http://schemas.openxmlformats.org/officeDocument/2006/relationships/hyperlink" Target="https://www.youtube.com/watch?v=LI3VwCn-0WI" TargetMode="External"/><Relationship Id="rId207" Type="http://schemas.openxmlformats.org/officeDocument/2006/relationships/hyperlink" Target="https://www.youtube.com/watch?v=RKYffxIB9EM" TargetMode="External"/><Relationship Id="rId249" Type="http://schemas.openxmlformats.org/officeDocument/2006/relationships/hyperlink" Target="https://www.youtube.com/watch?v=d9iObjKR5yI" TargetMode="External"/><Relationship Id="rId414" Type="http://schemas.openxmlformats.org/officeDocument/2006/relationships/hyperlink" Target="https://www.youtube.com/watch?v=5tMCiwnQlXM" TargetMode="External"/><Relationship Id="rId456" Type="http://schemas.openxmlformats.org/officeDocument/2006/relationships/hyperlink" Target="https://www.youtube.com/watch?v=IQCY6tVgZ9s" TargetMode="External"/><Relationship Id="rId498" Type="http://schemas.openxmlformats.org/officeDocument/2006/relationships/hyperlink" Target="https://www.youtube.com/watch?v=KStzrk3h76o" TargetMode="External"/><Relationship Id="rId621" Type="http://schemas.openxmlformats.org/officeDocument/2006/relationships/hyperlink" Target="https://www.youtube.com/watch?v=JZ7LHVZfMwM" TargetMode="External"/><Relationship Id="rId663" Type="http://schemas.openxmlformats.org/officeDocument/2006/relationships/hyperlink" Target="https://www.youtube.com/watch?v=LIl0C87tzGE" TargetMode="External"/><Relationship Id="rId13" Type="http://schemas.openxmlformats.org/officeDocument/2006/relationships/hyperlink" Target="https://www.youtube.com/watch?v=KVDRl_wLqdM" TargetMode="External"/><Relationship Id="rId109" Type="http://schemas.openxmlformats.org/officeDocument/2006/relationships/hyperlink" Target="https://www.youtube.com/watch?v=apOba1F4MT4" TargetMode="External"/><Relationship Id="rId260" Type="http://schemas.openxmlformats.org/officeDocument/2006/relationships/hyperlink" Target="https://www.youtube.com/watch?v=WQObFfIG62Q" TargetMode="External"/><Relationship Id="rId316" Type="http://schemas.openxmlformats.org/officeDocument/2006/relationships/hyperlink" Target="https://www.youtube.com/watch?v=G-AjF_4Jc1I" TargetMode="External"/><Relationship Id="rId523" Type="http://schemas.openxmlformats.org/officeDocument/2006/relationships/hyperlink" Target="https://www.youtube.com/watch?v=VkyOIj4SQu4" TargetMode="External"/><Relationship Id="rId719" Type="http://schemas.openxmlformats.org/officeDocument/2006/relationships/hyperlink" Target="https://www.youtube.com/watch?v=tPgOVeqnOcc" TargetMode="External"/><Relationship Id="rId55" Type="http://schemas.openxmlformats.org/officeDocument/2006/relationships/hyperlink" Target="https://www.youtube.com/watch?v=QWaXqmcxm94" TargetMode="External"/><Relationship Id="rId97" Type="http://schemas.openxmlformats.org/officeDocument/2006/relationships/hyperlink" Target="https://www.youtube.com/watch?v=gmu_fBglk-A" TargetMode="External"/><Relationship Id="rId120" Type="http://schemas.openxmlformats.org/officeDocument/2006/relationships/hyperlink" Target="https://www.youtube.com/watch?v=v6It_CJ27bg" TargetMode="External"/><Relationship Id="rId358" Type="http://schemas.openxmlformats.org/officeDocument/2006/relationships/hyperlink" Target="https://www.youtube.com/watch?v=dgXtHzSngX0" TargetMode="External"/><Relationship Id="rId565" Type="http://schemas.openxmlformats.org/officeDocument/2006/relationships/hyperlink" Target="https://www.youtube.com/watch?v=Z8Wd8i754cU" TargetMode="External"/><Relationship Id="rId730" Type="http://schemas.openxmlformats.org/officeDocument/2006/relationships/hyperlink" Target="https://www.youtube.com/watch?v=1CJb6PuWDqk" TargetMode="External"/><Relationship Id="rId162" Type="http://schemas.openxmlformats.org/officeDocument/2006/relationships/hyperlink" Target="https://www.youtube.com/watch?v=hgdVPIrlSPU" TargetMode="External"/><Relationship Id="rId218" Type="http://schemas.openxmlformats.org/officeDocument/2006/relationships/hyperlink" Target="https://www.youtube.com/watch?v=nEEhdprZ-EE" TargetMode="External"/><Relationship Id="rId425" Type="http://schemas.openxmlformats.org/officeDocument/2006/relationships/hyperlink" Target="https://www.youtube.com/watch?v=5iT09vIaZOU" TargetMode="External"/><Relationship Id="rId467" Type="http://schemas.openxmlformats.org/officeDocument/2006/relationships/hyperlink" Target="https://www.youtube.com/watch?v=_vKbwIOfXy0" TargetMode="External"/><Relationship Id="rId632" Type="http://schemas.openxmlformats.org/officeDocument/2006/relationships/hyperlink" Target="https://www.youtube.com/watch?v=-c4KLljIDeo" TargetMode="External"/><Relationship Id="rId271" Type="http://schemas.openxmlformats.org/officeDocument/2006/relationships/hyperlink" Target="https://www.youtube.com/watch?v=_OWY_haNDNI" TargetMode="External"/><Relationship Id="rId674" Type="http://schemas.openxmlformats.org/officeDocument/2006/relationships/hyperlink" Target="https://www.youtube.com/watch?v=eKSuEJqn2NI" TargetMode="External"/><Relationship Id="rId24" Type="http://schemas.openxmlformats.org/officeDocument/2006/relationships/hyperlink" Target="https://www.youtube.com/watch?v=LdrmgXtd_rs" TargetMode="External"/><Relationship Id="rId66" Type="http://schemas.openxmlformats.org/officeDocument/2006/relationships/hyperlink" Target="https://www.youtube.com/watch?v=mhHQNrL_bkM" TargetMode="External"/><Relationship Id="rId131" Type="http://schemas.openxmlformats.org/officeDocument/2006/relationships/hyperlink" Target="https://www.youtube.com/watch?v=vHGejHQUoio" TargetMode="External"/><Relationship Id="rId327" Type="http://schemas.openxmlformats.org/officeDocument/2006/relationships/hyperlink" Target="https://www.youtube.com/watch?v=p4NkqPPh2fk" TargetMode="External"/><Relationship Id="rId369" Type="http://schemas.openxmlformats.org/officeDocument/2006/relationships/hyperlink" Target="https://www.youtube.com/watch?v=XCXsh2mfb3M" TargetMode="External"/><Relationship Id="rId534" Type="http://schemas.openxmlformats.org/officeDocument/2006/relationships/hyperlink" Target="https://www.youtube.com/watch?v=2yRygpW0RYY" TargetMode="External"/><Relationship Id="rId576" Type="http://schemas.openxmlformats.org/officeDocument/2006/relationships/hyperlink" Target="https://www.youtube.com/watch?v=ANDhhofT1w0" TargetMode="External"/><Relationship Id="rId741" Type="http://schemas.openxmlformats.org/officeDocument/2006/relationships/hyperlink" Target="https://www.youtube.com/watch?v=JlEmX46IYNY" TargetMode="External"/><Relationship Id="rId173" Type="http://schemas.openxmlformats.org/officeDocument/2006/relationships/hyperlink" Target="https://www.youtube.com/watch?v=t_J24YUQNK4" TargetMode="External"/><Relationship Id="rId229" Type="http://schemas.openxmlformats.org/officeDocument/2006/relationships/hyperlink" Target="https://www.youtube.com/watch?v=oYXPvuD_ejM" TargetMode="External"/><Relationship Id="rId380" Type="http://schemas.openxmlformats.org/officeDocument/2006/relationships/hyperlink" Target="https://www.youtube.com/watch?v=_OTzuNIDOOA" TargetMode="External"/><Relationship Id="rId436" Type="http://schemas.openxmlformats.org/officeDocument/2006/relationships/hyperlink" Target="https://www.youtube.com/watch?v=7gTT37SeSUc" TargetMode="External"/><Relationship Id="rId601" Type="http://schemas.openxmlformats.org/officeDocument/2006/relationships/hyperlink" Target="https://www.youtube.com/watch?v=ZI3BJk08OWI" TargetMode="External"/><Relationship Id="rId643" Type="http://schemas.openxmlformats.org/officeDocument/2006/relationships/hyperlink" Target="https://www.youtube.com/watch?v=Yb0AWtlb8-g" TargetMode="External"/><Relationship Id="rId240" Type="http://schemas.openxmlformats.org/officeDocument/2006/relationships/hyperlink" Target="https://www.youtube.com/watch?v=4H5piNrmsCU" TargetMode="External"/><Relationship Id="rId478" Type="http://schemas.openxmlformats.org/officeDocument/2006/relationships/hyperlink" Target="https://www.youtube.com/watch?v=47hxgUfQ8jo" TargetMode="External"/><Relationship Id="rId685" Type="http://schemas.openxmlformats.org/officeDocument/2006/relationships/hyperlink" Target="https://www.youtube.com/watch?v=qY_yQIrKwRk" TargetMode="External"/><Relationship Id="rId35" Type="http://schemas.openxmlformats.org/officeDocument/2006/relationships/hyperlink" Target="https://www.youtube.com/watch?v=qCG2vqnaUx4" TargetMode="External"/><Relationship Id="rId77" Type="http://schemas.openxmlformats.org/officeDocument/2006/relationships/hyperlink" Target="https://www.youtube.com/watch?v=FNqQxPkLmPI" TargetMode="External"/><Relationship Id="rId100" Type="http://schemas.openxmlformats.org/officeDocument/2006/relationships/hyperlink" Target="https://www.youtube.com/watch?v=SrCfhdoTLfg" TargetMode="External"/><Relationship Id="rId282" Type="http://schemas.openxmlformats.org/officeDocument/2006/relationships/hyperlink" Target="https://www.youtube.com/watch?v=dZCZp5udJeI" TargetMode="External"/><Relationship Id="rId338" Type="http://schemas.openxmlformats.org/officeDocument/2006/relationships/hyperlink" Target="https://www.youtube.com/watch?v=55sjF1l4Hu0" TargetMode="External"/><Relationship Id="rId503" Type="http://schemas.openxmlformats.org/officeDocument/2006/relationships/hyperlink" Target="https://www.youtube.com/watch?v=qEJJIhs02cI" TargetMode="External"/><Relationship Id="rId545" Type="http://schemas.openxmlformats.org/officeDocument/2006/relationships/hyperlink" Target="https://www.youtube.com/watch?v=Aivw6qVhabo" TargetMode="External"/><Relationship Id="rId587" Type="http://schemas.openxmlformats.org/officeDocument/2006/relationships/hyperlink" Target="https://www.youtube.com/watch?v=zNgyoAjVDhk" TargetMode="External"/><Relationship Id="rId710" Type="http://schemas.openxmlformats.org/officeDocument/2006/relationships/hyperlink" Target="https://www.youtube.com/watch?v=uaTb9-4kT2Y" TargetMode="External"/><Relationship Id="rId752" Type="http://schemas.openxmlformats.org/officeDocument/2006/relationships/hyperlink" Target="https://www.youtube.com/watch?v=dvcJI5yAd6M&amp;t=122s" TargetMode="External"/><Relationship Id="rId8" Type="http://schemas.openxmlformats.org/officeDocument/2006/relationships/hyperlink" Target="https://www.youtube.com/watch?v=mjFek0gF97s" TargetMode="External"/><Relationship Id="rId142" Type="http://schemas.openxmlformats.org/officeDocument/2006/relationships/hyperlink" Target="https://www.youtube.com/watch?v=k54XQ5I1Nzo" TargetMode="External"/><Relationship Id="rId184" Type="http://schemas.openxmlformats.org/officeDocument/2006/relationships/hyperlink" Target="https://www.youtube.com/watch?v=Wu9WbgwxgjI" TargetMode="External"/><Relationship Id="rId391" Type="http://schemas.openxmlformats.org/officeDocument/2006/relationships/hyperlink" Target="https://www.youtube.com/watch?v=ebsBucPcYoU" TargetMode="External"/><Relationship Id="rId405" Type="http://schemas.openxmlformats.org/officeDocument/2006/relationships/hyperlink" Target="https://www.youtube.com/watch?v=c0qRokhkADI" TargetMode="External"/><Relationship Id="rId447" Type="http://schemas.openxmlformats.org/officeDocument/2006/relationships/hyperlink" Target="https://www.youtube.com/watch?v=xuKnWRKpLyM" TargetMode="External"/><Relationship Id="rId612" Type="http://schemas.openxmlformats.org/officeDocument/2006/relationships/hyperlink" Target="https://www.youtube.com/watch?v=r0tSX3M-7oM&amp;t=41s" TargetMode="External"/><Relationship Id="rId251" Type="http://schemas.openxmlformats.org/officeDocument/2006/relationships/hyperlink" Target="https://www.youtube.com/watch?v=yr_-UHm07rM" TargetMode="External"/><Relationship Id="rId489" Type="http://schemas.openxmlformats.org/officeDocument/2006/relationships/hyperlink" Target="https://www.youtube.com/watch?v=iGqKIfGTc-s" TargetMode="External"/><Relationship Id="rId654" Type="http://schemas.openxmlformats.org/officeDocument/2006/relationships/hyperlink" Target="https://www.youtube.com/watch?v=7-JbRtATwHQ" TargetMode="External"/><Relationship Id="rId696" Type="http://schemas.openxmlformats.org/officeDocument/2006/relationships/hyperlink" Target="https://www.youtube.com/watch?v=_xxJKDZyRuE" TargetMode="External"/><Relationship Id="rId46" Type="http://schemas.openxmlformats.org/officeDocument/2006/relationships/hyperlink" Target="https://www.youtube.com/watch?v=20u8yHim1tM" TargetMode="External"/><Relationship Id="rId293" Type="http://schemas.openxmlformats.org/officeDocument/2006/relationships/hyperlink" Target="https://www.youtube.com/watch?v=OXYcMlprdL4" TargetMode="External"/><Relationship Id="rId307" Type="http://schemas.openxmlformats.org/officeDocument/2006/relationships/hyperlink" Target="https://www.youtube.com/watch?v=T-iBVjoTxpY" TargetMode="External"/><Relationship Id="rId349" Type="http://schemas.openxmlformats.org/officeDocument/2006/relationships/hyperlink" Target="https://www.youtube.com/watch?v=fKsfq4rFzbA" TargetMode="External"/><Relationship Id="rId514" Type="http://schemas.openxmlformats.org/officeDocument/2006/relationships/hyperlink" Target="https://www.youtube.com/watch?v=wYCmU0vaKvc" TargetMode="External"/><Relationship Id="rId556" Type="http://schemas.openxmlformats.org/officeDocument/2006/relationships/hyperlink" Target="https://www.youtube.com/watch?v=FgVpxhtCQdA" TargetMode="External"/><Relationship Id="rId721" Type="http://schemas.openxmlformats.org/officeDocument/2006/relationships/hyperlink" Target="https://www.youtube.com/watch?v=tmCFtpj6IZc" TargetMode="External"/><Relationship Id="rId88" Type="http://schemas.openxmlformats.org/officeDocument/2006/relationships/hyperlink" Target="https://www.youtube.com/watch?v=lXmhJr1LDyI" TargetMode="External"/><Relationship Id="rId111" Type="http://schemas.openxmlformats.org/officeDocument/2006/relationships/hyperlink" Target="https://www.youtube.com/watch?v=61LvuBJ6Ojs" TargetMode="External"/><Relationship Id="rId153" Type="http://schemas.openxmlformats.org/officeDocument/2006/relationships/hyperlink" Target="https://www.youtube.com/watch?v=5K-nmVDwXW0" TargetMode="External"/><Relationship Id="rId195" Type="http://schemas.openxmlformats.org/officeDocument/2006/relationships/hyperlink" Target="https://www.youtube.com/watch?v=Yf6-fJ-LcU8" TargetMode="External"/><Relationship Id="rId209" Type="http://schemas.openxmlformats.org/officeDocument/2006/relationships/hyperlink" Target="https://www.youtube.com/watch?v=y-v-Ijc7W3Y" TargetMode="External"/><Relationship Id="rId360" Type="http://schemas.openxmlformats.org/officeDocument/2006/relationships/hyperlink" Target="https://www.youtube.com/watch?v=I6Nwopg3FIw" TargetMode="External"/><Relationship Id="rId416" Type="http://schemas.openxmlformats.org/officeDocument/2006/relationships/hyperlink" Target="https://www.youtube.com/watch?v=o4_iAmYXDzg" TargetMode="External"/><Relationship Id="rId598" Type="http://schemas.openxmlformats.org/officeDocument/2006/relationships/hyperlink" Target="https://www.youtube.com/watch?v=ZkrWcJXqbGA" TargetMode="External"/><Relationship Id="rId220" Type="http://schemas.openxmlformats.org/officeDocument/2006/relationships/hyperlink" Target="https://www.youtube.com/watch?v=YD-IKZbbHeU" TargetMode="External"/><Relationship Id="rId458" Type="http://schemas.openxmlformats.org/officeDocument/2006/relationships/hyperlink" Target="https://www.youtube.com/watch?v=kZVT_WU4Pm4" TargetMode="External"/><Relationship Id="rId623" Type="http://schemas.openxmlformats.org/officeDocument/2006/relationships/hyperlink" Target="https://www.youtube.com/watch?v=HzuZ57Y3-VQ" TargetMode="External"/><Relationship Id="rId665" Type="http://schemas.openxmlformats.org/officeDocument/2006/relationships/hyperlink" Target="https://www.youtube.com/watch?v=MAt3aD51sUM" TargetMode="External"/><Relationship Id="rId15" Type="http://schemas.openxmlformats.org/officeDocument/2006/relationships/hyperlink" Target="https://www.youtube.com/watch?v=iBwpK4_JtEw" TargetMode="External"/><Relationship Id="rId57" Type="http://schemas.openxmlformats.org/officeDocument/2006/relationships/hyperlink" Target="https://www.youtube.com/watch?v=TGgYE0Ui0co" TargetMode="External"/><Relationship Id="rId262" Type="http://schemas.openxmlformats.org/officeDocument/2006/relationships/hyperlink" Target="https://www.youtube.com/watch?v=ZWkU2WQv4mM" TargetMode="External"/><Relationship Id="rId318" Type="http://schemas.openxmlformats.org/officeDocument/2006/relationships/hyperlink" Target="https://www.youtube.com/watch?v=olQlPZuEWLY" TargetMode="External"/><Relationship Id="rId525" Type="http://schemas.openxmlformats.org/officeDocument/2006/relationships/hyperlink" Target="https://www.youtube.com/watch?v=vOOkxcKaZEo" TargetMode="External"/><Relationship Id="rId567" Type="http://schemas.openxmlformats.org/officeDocument/2006/relationships/hyperlink" Target="https://www.youtube.com/watch?v=aEAK6N982oQ" TargetMode="External"/><Relationship Id="rId732" Type="http://schemas.openxmlformats.org/officeDocument/2006/relationships/hyperlink" Target="https://www.youtube.com/watch?v=lyiuoR-2E6I" TargetMode="External"/><Relationship Id="rId99" Type="http://schemas.openxmlformats.org/officeDocument/2006/relationships/hyperlink" Target="https://www.youtube.com/watch?v=91dtNzk71IA" TargetMode="External"/><Relationship Id="rId122" Type="http://schemas.openxmlformats.org/officeDocument/2006/relationships/hyperlink" Target="https://www.youtube.com/watch?v=67Y76FPHZ-g" TargetMode="External"/><Relationship Id="rId164" Type="http://schemas.openxmlformats.org/officeDocument/2006/relationships/hyperlink" Target="https://www.youtube.com/watch?v=wH8I0vSB-Os" TargetMode="External"/><Relationship Id="rId371" Type="http://schemas.openxmlformats.org/officeDocument/2006/relationships/hyperlink" Target="https://www.youtube.com/watch?v=VxI-y4zU4YE" TargetMode="External"/><Relationship Id="rId427" Type="http://schemas.openxmlformats.org/officeDocument/2006/relationships/hyperlink" Target="https://www.youtube.com/watch?v=wXoImJcJYxQ" TargetMode="External"/><Relationship Id="rId469" Type="http://schemas.openxmlformats.org/officeDocument/2006/relationships/hyperlink" Target="https://www.youtube.com/watch?v=Deab_JE4fv4" TargetMode="External"/><Relationship Id="rId634" Type="http://schemas.openxmlformats.org/officeDocument/2006/relationships/hyperlink" Target="https://www.youtube.com/watch?v=GP0JLpTLOWU" TargetMode="External"/><Relationship Id="rId676" Type="http://schemas.openxmlformats.org/officeDocument/2006/relationships/hyperlink" Target="https://www.youtube.com/watch?v=bD-uUsBgY-w" TargetMode="External"/><Relationship Id="rId26" Type="http://schemas.openxmlformats.org/officeDocument/2006/relationships/hyperlink" Target="https://www.youtube.com/watch?v=RdBz1kIwrqo" TargetMode="External"/><Relationship Id="rId231" Type="http://schemas.openxmlformats.org/officeDocument/2006/relationships/hyperlink" Target="https://www.youtube.com/watch?v=xGvABG6vfLg" TargetMode="External"/><Relationship Id="rId273" Type="http://schemas.openxmlformats.org/officeDocument/2006/relationships/hyperlink" Target="https://www.youtube.com/watch?v=NpqJHyWjh7A" TargetMode="External"/><Relationship Id="rId329" Type="http://schemas.openxmlformats.org/officeDocument/2006/relationships/hyperlink" Target="https://www.youtube.com/watch?v=GpEk4HU0r2Y" TargetMode="External"/><Relationship Id="rId480" Type="http://schemas.openxmlformats.org/officeDocument/2006/relationships/hyperlink" Target="https://www.youtube.com/watch?v=Xsq9jAEpAY8" TargetMode="External"/><Relationship Id="rId536" Type="http://schemas.openxmlformats.org/officeDocument/2006/relationships/hyperlink" Target="https://www.youtube.com/watch?v=bMOOUhzJreA" TargetMode="External"/><Relationship Id="rId701" Type="http://schemas.openxmlformats.org/officeDocument/2006/relationships/hyperlink" Target="https://www.youtube.com/watch?v=MC9pK4dCHAs" TargetMode="External"/><Relationship Id="rId68" Type="http://schemas.openxmlformats.org/officeDocument/2006/relationships/hyperlink" Target="https://www.youtube.com/watch?v=IAmXafhUmYc" TargetMode="External"/><Relationship Id="rId133" Type="http://schemas.openxmlformats.org/officeDocument/2006/relationships/hyperlink" Target="https://www.youtube.com/watch?v=kQP4pUPNjqs" TargetMode="External"/><Relationship Id="rId175" Type="http://schemas.openxmlformats.org/officeDocument/2006/relationships/hyperlink" Target="https://www.youtube.com/watch?v=57-MHC42i7g" TargetMode="External"/><Relationship Id="rId340" Type="http://schemas.openxmlformats.org/officeDocument/2006/relationships/hyperlink" Target="https://www.youtube.com/watch?v=cuauchPBFCY" TargetMode="External"/><Relationship Id="rId578" Type="http://schemas.openxmlformats.org/officeDocument/2006/relationships/hyperlink" Target="https://www.youtube.com/watch?v=wEalKzas5Ig" TargetMode="External"/><Relationship Id="rId743" Type="http://schemas.openxmlformats.org/officeDocument/2006/relationships/hyperlink" Target="https://www.youtube.com/watch?v=sy6xQyjX7qg" TargetMode="External"/><Relationship Id="rId200" Type="http://schemas.openxmlformats.org/officeDocument/2006/relationships/hyperlink" Target="https://www.youtube.com/watch?v=F95dqGlnggo" TargetMode="External"/><Relationship Id="rId382" Type="http://schemas.openxmlformats.org/officeDocument/2006/relationships/hyperlink" Target="https://www.youtube.com/watch?v=V-N1KdB7QTg" TargetMode="External"/><Relationship Id="rId438" Type="http://schemas.openxmlformats.org/officeDocument/2006/relationships/hyperlink" Target="https://www.youtube.com/watch?v=qYA9DVNkOCA" TargetMode="External"/><Relationship Id="rId603" Type="http://schemas.openxmlformats.org/officeDocument/2006/relationships/hyperlink" Target="https://www.youtube.com/watch?v=sLe31yV0Fb4" TargetMode="External"/><Relationship Id="rId645" Type="http://schemas.openxmlformats.org/officeDocument/2006/relationships/hyperlink" Target="https://www.youtube.com/watch?v=-pDxEjRprYM" TargetMode="External"/><Relationship Id="rId687" Type="http://schemas.openxmlformats.org/officeDocument/2006/relationships/hyperlink" Target="https://www.youtube.com/watch?v=Fb11XAvWeyE" TargetMode="External"/><Relationship Id="rId242" Type="http://schemas.openxmlformats.org/officeDocument/2006/relationships/hyperlink" Target="https://www.youtube.com/watch?v=7WA-8QBd5Tk" TargetMode="External"/><Relationship Id="rId284" Type="http://schemas.openxmlformats.org/officeDocument/2006/relationships/hyperlink" Target="https://www.youtube.com/watch?v=Q3ZGmGasWfc" TargetMode="External"/><Relationship Id="rId491" Type="http://schemas.openxmlformats.org/officeDocument/2006/relationships/hyperlink" Target="https://www.youtube.com/watch?v=4PxIlOKBbng" TargetMode="External"/><Relationship Id="rId505" Type="http://schemas.openxmlformats.org/officeDocument/2006/relationships/hyperlink" Target="https://www.youtube.com/watch?v=REfOblHmn6Q" TargetMode="External"/><Relationship Id="rId712" Type="http://schemas.openxmlformats.org/officeDocument/2006/relationships/hyperlink" Target="https://www.youtube.com/watch?v=sI2xSENomQY" TargetMode="External"/><Relationship Id="rId37" Type="http://schemas.openxmlformats.org/officeDocument/2006/relationships/hyperlink" Target="https://www.youtube.com/watch?v=xANxZaCCD70" TargetMode="External"/><Relationship Id="rId79" Type="http://schemas.openxmlformats.org/officeDocument/2006/relationships/hyperlink" Target="https://www.youtube.com/watch?v=uDANJcQm-So" TargetMode="External"/><Relationship Id="rId102" Type="http://schemas.openxmlformats.org/officeDocument/2006/relationships/hyperlink" Target="https://www.youtube.com/watch?v=NPNImjeRrF8" TargetMode="External"/><Relationship Id="rId144" Type="http://schemas.openxmlformats.org/officeDocument/2006/relationships/hyperlink" Target="https://www.youtube.com/watch?v=q1K9wPDzMjU" TargetMode="External"/><Relationship Id="rId547" Type="http://schemas.openxmlformats.org/officeDocument/2006/relationships/hyperlink" Target="https://www.youtube.com/watch?v=dLQSHM_T-jI" TargetMode="External"/><Relationship Id="rId589" Type="http://schemas.openxmlformats.org/officeDocument/2006/relationships/hyperlink" Target="https://www.youtube.com/watch?v=9qgkONu6nbk" TargetMode="External"/><Relationship Id="rId754" Type="http://schemas.openxmlformats.org/officeDocument/2006/relationships/hyperlink" Target="https://www.youtube.com/watch?v=JB_lc00AWIE" TargetMode="External"/><Relationship Id="rId90" Type="http://schemas.openxmlformats.org/officeDocument/2006/relationships/hyperlink" Target="https://www.youtube.com/watch?v=O0wEzvYOTJw" TargetMode="External"/><Relationship Id="rId186" Type="http://schemas.openxmlformats.org/officeDocument/2006/relationships/hyperlink" Target="https://www.youtube.com/watch?v=oeFU8Lk35BI" TargetMode="External"/><Relationship Id="rId351" Type="http://schemas.openxmlformats.org/officeDocument/2006/relationships/hyperlink" Target="https://www.youtube.com/watch?v=YHee5lF9yPc" TargetMode="External"/><Relationship Id="rId393" Type="http://schemas.openxmlformats.org/officeDocument/2006/relationships/hyperlink" Target="https://www.youtube.com/watch?v=go47jpA5M1A" TargetMode="External"/><Relationship Id="rId407" Type="http://schemas.openxmlformats.org/officeDocument/2006/relationships/hyperlink" Target="https://www.youtube.com/watch?v=P1Eurn7tEJM" TargetMode="External"/><Relationship Id="rId449" Type="http://schemas.openxmlformats.org/officeDocument/2006/relationships/hyperlink" Target="https://www.youtube.com/watch?v=xhcu0nbcfy0" TargetMode="External"/><Relationship Id="rId614" Type="http://schemas.openxmlformats.org/officeDocument/2006/relationships/hyperlink" Target="https://www.youtube.com/watch?v=uiJHx80DJcw" TargetMode="External"/><Relationship Id="rId656" Type="http://schemas.openxmlformats.org/officeDocument/2006/relationships/hyperlink" Target="https://www.youtube.com/watch?v=mScbp58xwJE" TargetMode="External"/><Relationship Id="rId211" Type="http://schemas.openxmlformats.org/officeDocument/2006/relationships/hyperlink" Target="https://www.youtube.com/watch?v=F-ZzB9uBQNs" TargetMode="External"/><Relationship Id="rId253" Type="http://schemas.openxmlformats.org/officeDocument/2006/relationships/hyperlink" Target="https://www.youtube.com/watch?v=11Ben3IvDQ0" TargetMode="External"/><Relationship Id="rId295" Type="http://schemas.openxmlformats.org/officeDocument/2006/relationships/hyperlink" Target="https://www.youtube.com/watch?v=c13ZN5rYckE" TargetMode="External"/><Relationship Id="rId309" Type="http://schemas.openxmlformats.org/officeDocument/2006/relationships/hyperlink" Target="https://www.youtube.com/watch?v=9eSzra79z-I" TargetMode="External"/><Relationship Id="rId460" Type="http://schemas.openxmlformats.org/officeDocument/2006/relationships/hyperlink" Target="https://www.youtube.com/watch?v=KdiEMEbTV1M" TargetMode="External"/><Relationship Id="rId516" Type="http://schemas.openxmlformats.org/officeDocument/2006/relationships/hyperlink" Target="https://www.youtube.com/watch?v=6ufhk6JL8x8" TargetMode="External"/><Relationship Id="rId698" Type="http://schemas.openxmlformats.org/officeDocument/2006/relationships/hyperlink" Target="https://www.youtube.com/watch?v=vmOlaD1O5rg" TargetMode="External"/><Relationship Id="rId48" Type="http://schemas.openxmlformats.org/officeDocument/2006/relationships/hyperlink" Target="https://www.youtube.com/watch?v=QEUeYDEFtsE" TargetMode="External"/><Relationship Id="rId113" Type="http://schemas.openxmlformats.org/officeDocument/2006/relationships/hyperlink" Target="https://www.youtube.com/watch?v=myZqody8PTw" TargetMode="External"/><Relationship Id="rId320" Type="http://schemas.openxmlformats.org/officeDocument/2006/relationships/hyperlink" Target="https://www.youtube.com/watch?v=XcIm7eWfJ_M" TargetMode="External"/><Relationship Id="rId558" Type="http://schemas.openxmlformats.org/officeDocument/2006/relationships/hyperlink" Target="https://www.youtube.com/watch?v=n0Ekb7yhf18" TargetMode="External"/><Relationship Id="rId723" Type="http://schemas.openxmlformats.org/officeDocument/2006/relationships/hyperlink" Target="https://www.youtube.com/watch?v=rP79c8rd-jE" TargetMode="External"/><Relationship Id="rId155" Type="http://schemas.openxmlformats.org/officeDocument/2006/relationships/hyperlink" Target="https://www.youtube.com/watch?v=ucgD3lqwZX0" TargetMode="External"/><Relationship Id="rId197" Type="http://schemas.openxmlformats.org/officeDocument/2006/relationships/hyperlink" Target="https://www.youtube.com/watch?v=wm8QHjKcDf8" TargetMode="External"/><Relationship Id="rId362" Type="http://schemas.openxmlformats.org/officeDocument/2006/relationships/hyperlink" Target="https://www.youtube.com/watch?v=DYtc95s7Kpc" TargetMode="External"/><Relationship Id="rId418" Type="http://schemas.openxmlformats.org/officeDocument/2006/relationships/hyperlink" Target="https://www.youtube.com/watch?v=5c75GXSIdlM" TargetMode="External"/><Relationship Id="rId625" Type="http://schemas.openxmlformats.org/officeDocument/2006/relationships/hyperlink" Target="https://www.youtube.com/watch?v=6M1Mp5tvk-E" TargetMode="External"/><Relationship Id="rId222" Type="http://schemas.openxmlformats.org/officeDocument/2006/relationships/hyperlink" Target="https://www.youtube.com/watch?v=cshbkDak_p0" TargetMode="External"/><Relationship Id="rId264" Type="http://schemas.openxmlformats.org/officeDocument/2006/relationships/hyperlink" Target="https://www.youtube.com/watch?v=mNRX-8C-RmY" TargetMode="External"/><Relationship Id="rId471" Type="http://schemas.openxmlformats.org/officeDocument/2006/relationships/hyperlink" Target="https://www.youtube.com/watch?v=NRep5rGd_FU" TargetMode="External"/><Relationship Id="rId667" Type="http://schemas.openxmlformats.org/officeDocument/2006/relationships/hyperlink" Target="https://www.youtube.com/watch?v=XfaMChybaCc" TargetMode="External"/><Relationship Id="rId17" Type="http://schemas.openxmlformats.org/officeDocument/2006/relationships/hyperlink" Target="https://www.youtube.com/watch?v=tkF_3Ixn02I" TargetMode="External"/><Relationship Id="rId59" Type="http://schemas.openxmlformats.org/officeDocument/2006/relationships/hyperlink" Target="https://www.youtube.com/watch?v=ByaheAphduQ" TargetMode="External"/><Relationship Id="rId124" Type="http://schemas.openxmlformats.org/officeDocument/2006/relationships/hyperlink" Target="https://www.youtube.com/watch?v=BF7tCmPOjs4" TargetMode="External"/><Relationship Id="rId527" Type="http://schemas.openxmlformats.org/officeDocument/2006/relationships/hyperlink" Target="https://www.youtube.com/watch?v=iZ6Xk9YCaaY" TargetMode="External"/><Relationship Id="rId569" Type="http://schemas.openxmlformats.org/officeDocument/2006/relationships/hyperlink" Target="https://www.youtube.com/watch?v=i24adZlRCZk" TargetMode="External"/><Relationship Id="rId734" Type="http://schemas.openxmlformats.org/officeDocument/2006/relationships/hyperlink" Target="https://www.youtube.com/watch?v=8gCMYZ-alVw" TargetMode="External"/><Relationship Id="rId70" Type="http://schemas.openxmlformats.org/officeDocument/2006/relationships/hyperlink" Target="https://www.youtube.com/watch?v=J5mYtIH7Pho" TargetMode="External"/><Relationship Id="rId166" Type="http://schemas.openxmlformats.org/officeDocument/2006/relationships/hyperlink" Target="https://www.youtube.com/watch?v=itgdRwuvtN0" TargetMode="External"/><Relationship Id="rId331" Type="http://schemas.openxmlformats.org/officeDocument/2006/relationships/hyperlink" Target="https://www.youtube.com/watch?v=liKAbE7beNI" TargetMode="External"/><Relationship Id="rId373" Type="http://schemas.openxmlformats.org/officeDocument/2006/relationships/hyperlink" Target="https://www.youtube.com/watch?v=A6j1KcojG0E" TargetMode="External"/><Relationship Id="rId429" Type="http://schemas.openxmlformats.org/officeDocument/2006/relationships/hyperlink" Target="https://www.youtube.com/watch?v=bFIqLn3c85c" TargetMode="External"/><Relationship Id="rId580" Type="http://schemas.openxmlformats.org/officeDocument/2006/relationships/hyperlink" Target="https://www.youtube.com/watch?v=HmKETjjGv0E" TargetMode="External"/><Relationship Id="rId636" Type="http://schemas.openxmlformats.org/officeDocument/2006/relationships/hyperlink" Target="https://www.youtube.com/watch?v=ImpfhngYCCA" TargetMode="External"/><Relationship Id="rId1" Type="http://schemas.openxmlformats.org/officeDocument/2006/relationships/hyperlink" Target="https://www.youtube.com/watch?v=RD7JpM4UrUA" TargetMode="External"/><Relationship Id="rId233" Type="http://schemas.openxmlformats.org/officeDocument/2006/relationships/hyperlink" Target="https://www.youtube.com/watch?v=-rJtFWVJpjA" TargetMode="External"/><Relationship Id="rId440" Type="http://schemas.openxmlformats.org/officeDocument/2006/relationships/hyperlink" Target="https://www.youtube.com/watch?v=kSNHRGhGt_Y" TargetMode="External"/><Relationship Id="rId678" Type="http://schemas.openxmlformats.org/officeDocument/2006/relationships/hyperlink" Target="https://www.youtube.com/watch?v=edQr4IJQuEg" TargetMode="External"/><Relationship Id="rId28" Type="http://schemas.openxmlformats.org/officeDocument/2006/relationships/hyperlink" Target="https://www.youtube.com/watch?v=N0PD3TuLvoo" TargetMode="External"/><Relationship Id="rId275" Type="http://schemas.openxmlformats.org/officeDocument/2006/relationships/hyperlink" Target="https://www.youtube.com/watch?v=srr9jTynwdo" TargetMode="External"/><Relationship Id="rId300" Type="http://schemas.openxmlformats.org/officeDocument/2006/relationships/hyperlink" Target="https://www.youtube.com/watch?v=OHn7cvWw5gE" TargetMode="External"/><Relationship Id="rId482" Type="http://schemas.openxmlformats.org/officeDocument/2006/relationships/hyperlink" Target="https://www.youtube.com/watch?v=xAx9rKxKjCk" TargetMode="External"/><Relationship Id="rId538" Type="http://schemas.openxmlformats.org/officeDocument/2006/relationships/hyperlink" Target="https://www.youtube.com/watch?v=0W0XxcsCH_0" TargetMode="External"/><Relationship Id="rId703" Type="http://schemas.openxmlformats.org/officeDocument/2006/relationships/hyperlink" Target="https://www.youtube.com/watch?v=lQph5joRdU8" TargetMode="External"/><Relationship Id="rId745" Type="http://schemas.openxmlformats.org/officeDocument/2006/relationships/hyperlink" Target="https://www.youtube.com/watch?v=s4vjcCAXvVI" TargetMode="External"/><Relationship Id="rId81" Type="http://schemas.openxmlformats.org/officeDocument/2006/relationships/hyperlink" Target="https://www.youtube.com/watch?v=4eM5V0OXNNU" TargetMode="External"/><Relationship Id="rId135" Type="http://schemas.openxmlformats.org/officeDocument/2006/relationships/hyperlink" Target="https://www.youtube.com/watch?v=7jIfpSOnmK8" TargetMode="External"/><Relationship Id="rId177" Type="http://schemas.openxmlformats.org/officeDocument/2006/relationships/hyperlink" Target="https://www.youtube.com/watch?v=17Jnr2hr0ro" TargetMode="External"/><Relationship Id="rId342" Type="http://schemas.openxmlformats.org/officeDocument/2006/relationships/hyperlink" Target="https://www.youtube.com/watch?v=vEdOCEkdY9Q" TargetMode="External"/><Relationship Id="rId384" Type="http://schemas.openxmlformats.org/officeDocument/2006/relationships/hyperlink" Target="https://www.youtube.com/watch?v=G1vj3YNYQYg" TargetMode="External"/><Relationship Id="rId591" Type="http://schemas.openxmlformats.org/officeDocument/2006/relationships/hyperlink" Target="https://www.youtube.com/watch?v=Qh0tc43apsI" TargetMode="External"/><Relationship Id="rId605" Type="http://schemas.openxmlformats.org/officeDocument/2006/relationships/hyperlink" Target="https://www.youtube.com/watch?v=EKyX0QsZVJc" TargetMode="External"/><Relationship Id="rId202" Type="http://schemas.openxmlformats.org/officeDocument/2006/relationships/hyperlink" Target="https://www.youtube.com/watch?v=5YuNKvTZtdM" TargetMode="External"/><Relationship Id="rId244" Type="http://schemas.openxmlformats.org/officeDocument/2006/relationships/hyperlink" Target="https://www.youtube.com/watch?v=4gAHt9ki2xY" TargetMode="External"/><Relationship Id="rId647" Type="http://schemas.openxmlformats.org/officeDocument/2006/relationships/hyperlink" Target="https://www.youtube.com/watch?v=Voaw-uef3Tw" TargetMode="External"/><Relationship Id="rId689" Type="http://schemas.openxmlformats.org/officeDocument/2006/relationships/hyperlink" Target="https://www.youtube.com/watch?v=kcbL1wC9PEg" TargetMode="External"/><Relationship Id="rId39" Type="http://schemas.openxmlformats.org/officeDocument/2006/relationships/hyperlink" Target="https://www.youtube.com/watch?v=iS7CE9mrtI4" TargetMode="External"/><Relationship Id="rId286" Type="http://schemas.openxmlformats.org/officeDocument/2006/relationships/hyperlink" Target="https://www.youtube.com/watch?v=Uxcvh2BQu1g" TargetMode="External"/><Relationship Id="rId451" Type="http://schemas.openxmlformats.org/officeDocument/2006/relationships/hyperlink" Target="https://www.youtube.com/watch?v=dSKwv3KOvN8" TargetMode="External"/><Relationship Id="rId493" Type="http://schemas.openxmlformats.org/officeDocument/2006/relationships/hyperlink" Target="https://www.youtube.com/watch?v=s_eR4_6kip8" TargetMode="External"/><Relationship Id="rId507" Type="http://schemas.openxmlformats.org/officeDocument/2006/relationships/hyperlink" Target="https://www.youtube.com/watch?v=xl6nyKVDNCQ" TargetMode="External"/><Relationship Id="rId549" Type="http://schemas.openxmlformats.org/officeDocument/2006/relationships/hyperlink" Target="https://www.youtube.com/watch?v=0ol6BUtHZu8" TargetMode="External"/><Relationship Id="rId714" Type="http://schemas.openxmlformats.org/officeDocument/2006/relationships/hyperlink" Target="https://www.youtube.com/watch?v=inDcB8LwlqI" TargetMode="External"/><Relationship Id="rId756" Type="http://schemas.openxmlformats.org/officeDocument/2006/relationships/hyperlink" Target="https://www.youtube.com/watch?v=9QSUsKZfoQA&amp;t=156s" TargetMode="External"/><Relationship Id="rId50" Type="http://schemas.openxmlformats.org/officeDocument/2006/relationships/hyperlink" Target="https://www.youtube.com/watch?v=8qjQH_-WzyE" TargetMode="External"/><Relationship Id="rId104" Type="http://schemas.openxmlformats.org/officeDocument/2006/relationships/hyperlink" Target="https://www.youtube.com/watch?v=MOkWSa69NKA" TargetMode="External"/><Relationship Id="rId146" Type="http://schemas.openxmlformats.org/officeDocument/2006/relationships/hyperlink" Target="https://www.youtube.com/watch?v=p6HgGSKj2m8" TargetMode="External"/><Relationship Id="rId188" Type="http://schemas.openxmlformats.org/officeDocument/2006/relationships/hyperlink" Target="https://www.youtube.com/watch?v=uNPifASaoFM" TargetMode="External"/><Relationship Id="rId311" Type="http://schemas.openxmlformats.org/officeDocument/2006/relationships/hyperlink" Target="https://www.youtube.com/watch?v=zm-fPGwlflY" TargetMode="External"/><Relationship Id="rId353" Type="http://schemas.openxmlformats.org/officeDocument/2006/relationships/hyperlink" Target="https://www.youtube.com/watch?v=yp1ZVELrxIA" TargetMode="External"/><Relationship Id="rId395" Type="http://schemas.openxmlformats.org/officeDocument/2006/relationships/hyperlink" Target="https://www.youtube.com/watch?v=1VZl4rtt2aU" TargetMode="External"/><Relationship Id="rId409" Type="http://schemas.openxmlformats.org/officeDocument/2006/relationships/hyperlink" Target="https://www.youtube.com/watch?v=5P0vjP1Hdvs" TargetMode="External"/><Relationship Id="rId560" Type="http://schemas.openxmlformats.org/officeDocument/2006/relationships/hyperlink" Target="https://www.youtube.com/watch?v=fZLoHeGF4XI" TargetMode="External"/><Relationship Id="rId92" Type="http://schemas.openxmlformats.org/officeDocument/2006/relationships/hyperlink" Target="https://www.youtube.com/watch?v=VP5gPVW3XDM" TargetMode="External"/><Relationship Id="rId213" Type="http://schemas.openxmlformats.org/officeDocument/2006/relationships/hyperlink" Target="https://www.youtube.com/watch?v=8ZJ9Ubv74Fc" TargetMode="External"/><Relationship Id="rId420" Type="http://schemas.openxmlformats.org/officeDocument/2006/relationships/hyperlink" Target="https://www.youtube.com/watch?v=rbrxzObExNc" TargetMode="External"/><Relationship Id="rId616" Type="http://schemas.openxmlformats.org/officeDocument/2006/relationships/hyperlink" Target="https://www.youtube.com/watch?v=Y5sHrOViVq0" TargetMode="External"/><Relationship Id="rId658" Type="http://schemas.openxmlformats.org/officeDocument/2006/relationships/hyperlink" Target="https://www.youtube.com/watch?v=qzXGb7RIXmc" TargetMode="External"/><Relationship Id="rId255" Type="http://schemas.openxmlformats.org/officeDocument/2006/relationships/hyperlink" Target="https://www.youtube.com/watch?v=6oKx_bFPSSA" TargetMode="External"/><Relationship Id="rId297" Type="http://schemas.openxmlformats.org/officeDocument/2006/relationships/hyperlink" Target="https://www.youtube.com/watch?v=FrXBeS9Vj40" TargetMode="External"/><Relationship Id="rId462" Type="http://schemas.openxmlformats.org/officeDocument/2006/relationships/hyperlink" Target="https://www.youtube.com/watch?v=9VsQzAI5PLo" TargetMode="External"/><Relationship Id="rId518" Type="http://schemas.openxmlformats.org/officeDocument/2006/relationships/hyperlink" Target="https://www.youtube.com/watch?v=D7yIybTWmmU" TargetMode="External"/><Relationship Id="rId725" Type="http://schemas.openxmlformats.org/officeDocument/2006/relationships/hyperlink" Target="https://www.youtube.com/watch?v=OmWUkxANoEk" TargetMode="External"/><Relationship Id="rId115" Type="http://schemas.openxmlformats.org/officeDocument/2006/relationships/hyperlink" Target="https://www.youtube.com/watch?v=eKtCOiQbVX0" TargetMode="External"/><Relationship Id="rId157" Type="http://schemas.openxmlformats.org/officeDocument/2006/relationships/hyperlink" Target="https://www.youtube.com/watch?v=d9KgrM48iGg" TargetMode="External"/><Relationship Id="rId322" Type="http://schemas.openxmlformats.org/officeDocument/2006/relationships/hyperlink" Target="https://www.youtube.com/watch?v=RaNpNJVvWDI" TargetMode="External"/><Relationship Id="rId364" Type="http://schemas.openxmlformats.org/officeDocument/2006/relationships/hyperlink" Target="https://www.youtube.com/watch?v=ZpdQsUkjwMc" TargetMode="External"/><Relationship Id="rId61" Type="http://schemas.openxmlformats.org/officeDocument/2006/relationships/hyperlink" Target="https://www.youtube.com/watch?v=QZxRsM9xvK4" TargetMode="External"/><Relationship Id="rId199" Type="http://schemas.openxmlformats.org/officeDocument/2006/relationships/hyperlink" Target="https://www.youtube.com/watch?v=ja-cxuo3ugc" TargetMode="External"/><Relationship Id="rId571" Type="http://schemas.openxmlformats.org/officeDocument/2006/relationships/hyperlink" Target="https://www.youtube.com/watch?v=BKG8mWyOvuw" TargetMode="External"/><Relationship Id="rId627" Type="http://schemas.openxmlformats.org/officeDocument/2006/relationships/hyperlink" Target="https://www.youtube.com/watch?v=13shkRG4RMc" TargetMode="External"/><Relationship Id="rId669" Type="http://schemas.openxmlformats.org/officeDocument/2006/relationships/hyperlink" Target="https://www.youtube.com/watch?v=rt5w2HzSWc0" TargetMode="External"/><Relationship Id="rId19" Type="http://schemas.openxmlformats.org/officeDocument/2006/relationships/hyperlink" Target="https://www.youtube.com/watch?v=Wpkt3HpzBTs" TargetMode="External"/><Relationship Id="rId224" Type="http://schemas.openxmlformats.org/officeDocument/2006/relationships/hyperlink" Target="https://www.youtube.com/watch?v=myyrtrylWQs" TargetMode="External"/><Relationship Id="rId266" Type="http://schemas.openxmlformats.org/officeDocument/2006/relationships/hyperlink" Target="https://www.youtube.com/watch?v=zyTsxv3NJzA" TargetMode="External"/><Relationship Id="rId431" Type="http://schemas.openxmlformats.org/officeDocument/2006/relationships/hyperlink" Target="https://www.youtube.com/watch?v=S2ePhtW_O5A" TargetMode="External"/><Relationship Id="rId473" Type="http://schemas.openxmlformats.org/officeDocument/2006/relationships/hyperlink" Target="https://www.youtube.com/watch?v=GB9g4sKWR0M" TargetMode="External"/><Relationship Id="rId529" Type="http://schemas.openxmlformats.org/officeDocument/2006/relationships/hyperlink" Target="https://www.youtube.com/watch?v=Q7TqlnXF3cA" TargetMode="External"/><Relationship Id="rId680" Type="http://schemas.openxmlformats.org/officeDocument/2006/relationships/hyperlink" Target="https://www.youtube.com/watch?v=BlNY-1vmqvA" TargetMode="External"/><Relationship Id="rId736" Type="http://schemas.openxmlformats.org/officeDocument/2006/relationships/hyperlink" Target="https://www.youtube.com/watch?v=HQK8u4lh7y0" TargetMode="External"/><Relationship Id="rId30" Type="http://schemas.openxmlformats.org/officeDocument/2006/relationships/hyperlink" Target="https://www.youtube.com/watch?v=dp7l5qmLHJI" TargetMode="External"/><Relationship Id="rId126" Type="http://schemas.openxmlformats.org/officeDocument/2006/relationships/hyperlink" Target="https://www.youtube.com/watch?v=6LOxjxiZ3NQ" TargetMode="External"/><Relationship Id="rId168" Type="http://schemas.openxmlformats.org/officeDocument/2006/relationships/hyperlink" Target="https://www.youtube.com/watch?v=UuJzHq-Ont4" TargetMode="External"/><Relationship Id="rId333" Type="http://schemas.openxmlformats.org/officeDocument/2006/relationships/hyperlink" Target="https://www.youtube.com/watch?v=afXofZLlzB4" TargetMode="External"/><Relationship Id="rId540" Type="http://schemas.openxmlformats.org/officeDocument/2006/relationships/hyperlink" Target="https://www.youtube.com/watch?v=Wr_CIMPuH3I" TargetMode="External"/><Relationship Id="rId72" Type="http://schemas.openxmlformats.org/officeDocument/2006/relationships/hyperlink" Target="https://www.youtube.com/watch?v=MlTxtaiX1xI" TargetMode="External"/><Relationship Id="rId375" Type="http://schemas.openxmlformats.org/officeDocument/2006/relationships/hyperlink" Target="https://www.youtube.com/watch?v=dJ9wpyiJSSI" TargetMode="External"/><Relationship Id="rId582" Type="http://schemas.openxmlformats.org/officeDocument/2006/relationships/hyperlink" Target="https://www.youtube.com/watch?v=B1KtIwSP4_U" TargetMode="External"/><Relationship Id="rId638" Type="http://schemas.openxmlformats.org/officeDocument/2006/relationships/hyperlink" Target="https://www.youtube.com/watch?v=NpCmOPhka6g" TargetMode="External"/><Relationship Id="rId3" Type="http://schemas.openxmlformats.org/officeDocument/2006/relationships/hyperlink" Target="https://www.youtube.com/watch?v=21ZKFBL-Yc0" TargetMode="External"/><Relationship Id="rId235" Type="http://schemas.openxmlformats.org/officeDocument/2006/relationships/hyperlink" Target="https://www.youtube.com/watch?v=KBA7GLExw3o" TargetMode="External"/><Relationship Id="rId277" Type="http://schemas.openxmlformats.org/officeDocument/2006/relationships/hyperlink" Target="https://www.youtube.com/watch?v=AuVaei10Du0" TargetMode="External"/><Relationship Id="rId400" Type="http://schemas.openxmlformats.org/officeDocument/2006/relationships/hyperlink" Target="https://www.youtube.com/watch?v=1-5q-Da6EHQ" TargetMode="External"/><Relationship Id="rId442" Type="http://schemas.openxmlformats.org/officeDocument/2006/relationships/hyperlink" Target="https://www.youtube.com/watch?v=glBt8I5y1b8" TargetMode="External"/><Relationship Id="rId484" Type="http://schemas.openxmlformats.org/officeDocument/2006/relationships/hyperlink" Target="https://www.youtube.com/watch?v=9oRLNbl-DxI" TargetMode="External"/><Relationship Id="rId705" Type="http://schemas.openxmlformats.org/officeDocument/2006/relationships/hyperlink" Target="https://www.youtube.com/watch?v=Zused4CGMw4" TargetMode="External"/><Relationship Id="rId137" Type="http://schemas.openxmlformats.org/officeDocument/2006/relationships/hyperlink" Target="https://www.youtube.com/watch?v=2WYZtS_LLog" TargetMode="External"/><Relationship Id="rId302" Type="http://schemas.openxmlformats.org/officeDocument/2006/relationships/hyperlink" Target="https://www.youtube.com/watch?v=tNKCTknE59M" TargetMode="External"/><Relationship Id="rId344" Type="http://schemas.openxmlformats.org/officeDocument/2006/relationships/hyperlink" Target="https://www.youtube.com/watch?v=Uk3mD3cAFXg" TargetMode="External"/><Relationship Id="rId691" Type="http://schemas.openxmlformats.org/officeDocument/2006/relationships/hyperlink" Target="https://www.youtube.com/watch?v=0RYS6V76lRQ" TargetMode="External"/><Relationship Id="rId747" Type="http://schemas.openxmlformats.org/officeDocument/2006/relationships/hyperlink" Target="https://www.youtube.com/watch?v=c50rfZlrNXU" TargetMode="External"/><Relationship Id="rId41" Type="http://schemas.openxmlformats.org/officeDocument/2006/relationships/hyperlink" Target="https://www.youtube.com/watch?v=6_9IYK6ZlyY" TargetMode="External"/><Relationship Id="rId83" Type="http://schemas.openxmlformats.org/officeDocument/2006/relationships/hyperlink" Target="https://www.youtube.com/watch?v=3pxgnl2fHZg" TargetMode="External"/><Relationship Id="rId179" Type="http://schemas.openxmlformats.org/officeDocument/2006/relationships/hyperlink" Target="https://www.youtube.com/watch?v=MBzty84VgRo" TargetMode="External"/><Relationship Id="rId386" Type="http://schemas.openxmlformats.org/officeDocument/2006/relationships/hyperlink" Target="https://www.youtube.com/watch?v=yB7P6V4_zUw" TargetMode="External"/><Relationship Id="rId551" Type="http://schemas.openxmlformats.org/officeDocument/2006/relationships/hyperlink" Target="https://www.youtube.com/watch?v=Zr29r9gnq6A" TargetMode="External"/><Relationship Id="rId593" Type="http://schemas.openxmlformats.org/officeDocument/2006/relationships/hyperlink" Target="https://www.youtube.com/watch?v=MqvZxu1TaSQ" TargetMode="External"/><Relationship Id="rId607" Type="http://schemas.openxmlformats.org/officeDocument/2006/relationships/hyperlink" Target="https://www.youtube.com/watch?v=J2Z6w1bXfYc" TargetMode="External"/><Relationship Id="rId649" Type="http://schemas.openxmlformats.org/officeDocument/2006/relationships/hyperlink" Target="https://www.youtube.com/watch?v=n5lHU4Qyfbk" TargetMode="External"/><Relationship Id="rId190" Type="http://schemas.openxmlformats.org/officeDocument/2006/relationships/hyperlink" Target="https://www.youtube.com/watch?v=yIUwgFjMrg8" TargetMode="External"/><Relationship Id="rId204" Type="http://schemas.openxmlformats.org/officeDocument/2006/relationships/hyperlink" Target="https://www.youtube.com/watch?v=182HueOxCaU" TargetMode="External"/><Relationship Id="rId246" Type="http://schemas.openxmlformats.org/officeDocument/2006/relationships/hyperlink" Target="https://www.youtube.com/watch?v=1_8y5fSSOlE" TargetMode="External"/><Relationship Id="rId288" Type="http://schemas.openxmlformats.org/officeDocument/2006/relationships/hyperlink" Target="https://www.youtube.com/watch?v=j84sUcOTBRM" TargetMode="External"/><Relationship Id="rId411" Type="http://schemas.openxmlformats.org/officeDocument/2006/relationships/hyperlink" Target="https://www.youtube.com/watch?v=F4X3ljkLFP8" TargetMode="External"/><Relationship Id="rId453" Type="http://schemas.openxmlformats.org/officeDocument/2006/relationships/hyperlink" Target="https://www.youtube.com/watch?v=LEotomBnsQk" TargetMode="External"/><Relationship Id="rId509" Type="http://schemas.openxmlformats.org/officeDocument/2006/relationships/hyperlink" Target="https://www.youtube.com/watch?v=1uNyxmccf1U" TargetMode="External"/><Relationship Id="rId660" Type="http://schemas.openxmlformats.org/officeDocument/2006/relationships/hyperlink" Target="https://www.youtube.com/watch?v=C6sAuCIhIzA" TargetMode="External"/><Relationship Id="rId106" Type="http://schemas.openxmlformats.org/officeDocument/2006/relationships/hyperlink" Target="https://www.youtube.com/watch?v=tUBrwCmKx8s" TargetMode="External"/><Relationship Id="rId313" Type="http://schemas.openxmlformats.org/officeDocument/2006/relationships/hyperlink" Target="https://www.youtube.com/watch?v=kpktr2ml8m8" TargetMode="External"/><Relationship Id="rId495" Type="http://schemas.openxmlformats.org/officeDocument/2006/relationships/hyperlink" Target="https://www.youtube.com/watch?v=CLCX0mlWjw0" TargetMode="External"/><Relationship Id="rId716" Type="http://schemas.openxmlformats.org/officeDocument/2006/relationships/hyperlink" Target="https://www.youtube.com/watch?v=oLCI7vQ7WFk" TargetMode="External"/><Relationship Id="rId758" Type="http://schemas.openxmlformats.org/officeDocument/2006/relationships/drawing" Target="../drawings/drawing1.xml"/><Relationship Id="rId10" Type="http://schemas.openxmlformats.org/officeDocument/2006/relationships/hyperlink" Target="https://www.youtube.com/watch?v=Kxuiy8OL30w" TargetMode="External"/><Relationship Id="rId52" Type="http://schemas.openxmlformats.org/officeDocument/2006/relationships/hyperlink" Target="https://www.youtube.com/watch?v=-udb2VYB5uo" TargetMode="External"/><Relationship Id="rId94" Type="http://schemas.openxmlformats.org/officeDocument/2006/relationships/hyperlink" Target="https://www.youtube.com/watch?v=fjD9BVlmPoA" TargetMode="External"/><Relationship Id="rId148" Type="http://schemas.openxmlformats.org/officeDocument/2006/relationships/hyperlink" Target="https://www.youtube.com/watch?v=sdhISUDYvX4" TargetMode="External"/><Relationship Id="rId355" Type="http://schemas.openxmlformats.org/officeDocument/2006/relationships/hyperlink" Target="https://www.youtube.com/watch?v=hPD7CW4JiSA" TargetMode="External"/><Relationship Id="rId397" Type="http://schemas.openxmlformats.org/officeDocument/2006/relationships/hyperlink" Target="https://www.youtube.com/watch?v=BNly0XIZX6c" TargetMode="External"/><Relationship Id="rId520" Type="http://schemas.openxmlformats.org/officeDocument/2006/relationships/hyperlink" Target="https://www.youtube.com/watch?v=4pkD8CkJiIQ" TargetMode="External"/><Relationship Id="rId562" Type="http://schemas.openxmlformats.org/officeDocument/2006/relationships/hyperlink" Target="https://www.youtube.com/watch?v=8M2LUwJGwHw" TargetMode="External"/><Relationship Id="rId618" Type="http://schemas.openxmlformats.org/officeDocument/2006/relationships/hyperlink" Target="https://www.youtube.com/watch?v=kDDNkLWPpUc"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FndfcBhZklU" TargetMode="External"/><Relationship Id="rId13" Type="http://schemas.openxmlformats.org/officeDocument/2006/relationships/hyperlink" Target="https://www.youtube.com/watch?v=4yz6ZL-TC94" TargetMode="External"/><Relationship Id="rId18" Type="http://schemas.openxmlformats.org/officeDocument/2006/relationships/hyperlink" Target="https://www.youtube.com/watch?v=4h6drLmYTr8" TargetMode="External"/><Relationship Id="rId26" Type="http://schemas.openxmlformats.org/officeDocument/2006/relationships/hyperlink" Target="https://www.youtube.com/watch?v=8RSu4ymCgp4" TargetMode="External"/><Relationship Id="rId3" Type="http://schemas.openxmlformats.org/officeDocument/2006/relationships/hyperlink" Target="https://www.youtube.com/watch?v=THua8SMPtK4" TargetMode="External"/><Relationship Id="rId21" Type="http://schemas.openxmlformats.org/officeDocument/2006/relationships/hyperlink" Target="https://www.youtube.com/watch?v=yaOVnZ7W-Qc" TargetMode="External"/><Relationship Id="rId34" Type="http://schemas.openxmlformats.org/officeDocument/2006/relationships/drawing" Target="../drawings/drawing2.xml"/><Relationship Id="rId7" Type="http://schemas.openxmlformats.org/officeDocument/2006/relationships/hyperlink" Target="https://www.youtube.com/watch?v=rNhQIKC2jPM" TargetMode="External"/><Relationship Id="rId12" Type="http://schemas.openxmlformats.org/officeDocument/2006/relationships/hyperlink" Target="https://www.youtube.com/watch?v=Yhp3rFuo5Cw" TargetMode="External"/><Relationship Id="rId17" Type="http://schemas.openxmlformats.org/officeDocument/2006/relationships/hyperlink" Target="https://www.youtube.com/watch?v=d9KgrM48iGg" TargetMode="External"/><Relationship Id="rId25" Type="http://schemas.openxmlformats.org/officeDocument/2006/relationships/hyperlink" Target="https://www.youtube.com/watch?v=y1fdkGgCt64" TargetMode="External"/><Relationship Id="rId33" Type="http://schemas.openxmlformats.org/officeDocument/2006/relationships/hyperlink" Target="https://www.youtube.com/watch?v=ZErxsCxSQsA" TargetMode="External"/><Relationship Id="rId2" Type="http://schemas.openxmlformats.org/officeDocument/2006/relationships/hyperlink" Target="https://www.youtube.com/watch?v=iS7CE9mrtI4" TargetMode="External"/><Relationship Id="rId16" Type="http://schemas.openxmlformats.org/officeDocument/2006/relationships/hyperlink" Target="https://www.youtube.com/watch?v=5bAuJCTjg8s" TargetMode="External"/><Relationship Id="rId20" Type="http://schemas.openxmlformats.org/officeDocument/2006/relationships/hyperlink" Target="https://www.youtube.com/watch?v=Y1SUVA0PU1o" TargetMode="External"/><Relationship Id="rId29" Type="http://schemas.openxmlformats.org/officeDocument/2006/relationships/hyperlink" Target="https://www.youtube.com/watch?v=JB_lc00AWIE" TargetMode="External"/><Relationship Id="rId1" Type="http://schemas.openxmlformats.org/officeDocument/2006/relationships/hyperlink" Target="https://www.youtube.com/watch?v=79r5KYH0nBI" TargetMode="External"/><Relationship Id="rId6" Type="http://schemas.openxmlformats.org/officeDocument/2006/relationships/hyperlink" Target="https://www.youtube.com/watch?v=ufZ1BZcZzKI" TargetMode="External"/><Relationship Id="rId11" Type="http://schemas.openxmlformats.org/officeDocument/2006/relationships/hyperlink" Target="https://www.youtube.com/watch?v=QEUeYDEFtsE" TargetMode="External"/><Relationship Id="rId24" Type="http://schemas.openxmlformats.org/officeDocument/2006/relationships/hyperlink" Target="https://www.youtube.com/watch?v=wH8I0vSB-Os" TargetMode="External"/><Relationship Id="rId32" Type="http://schemas.openxmlformats.org/officeDocument/2006/relationships/hyperlink" Target="https://www.youtube.com/watch?v=vmOlaD1O5rg" TargetMode="External"/><Relationship Id="rId5" Type="http://schemas.openxmlformats.org/officeDocument/2006/relationships/hyperlink" Target="https://www.youtube.com/watch?v=LXrKKz7Mld8" TargetMode="External"/><Relationship Id="rId15" Type="http://schemas.openxmlformats.org/officeDocument/2006/relationships/hyperlink" Target="https://www.youtube.com/watch?v=ucgD3lqwZX0" TargetMode="External"/><Relationship Id="rId23" Type="http://schemas.openxmlformats.org/officeDocument/2006/relationships/hyperlink" Target="https://www.youtube.com/watch?v=8iuVX1AkV_0" TargetMode="External"/><Relationship Id="rId28" Type="http://schemas.openxmlformats.org/officeDocument/2006/relationships/hyperlink" Target="https://www.youtube.com/watch?v=XWeFa6jUiPw" TargetMode="External"/><Relationship Id="rId36" Type="http://schemas.openxmlformats.org/officeDocument/2006/relationships/comments" Target="../comments2.xml"/><Relationship Id="rId10" Type="http://schemas.openxmlformats.org/officeDocument/2006/relationships/hyperlink" Target="https://www.youtube.com/watch?v=K9s433rQloA" TargetMode="External"/><Relationship Id="rId19" Type="http://schemas.openxmlformats.org/officeDocument/2006/relationships/hyperlink" Target="https://www.youtube.com/watch?v=2uOiM67vK6A" TargetMode="External"/><Relationship Id="rId31" Type="http://schemas.openxmlformats.org/officeDocument/2006/relationships/hyperlink" Target="https://www.youtube.com/watch?v=Ts09Fp7M53k" TargetMode="External"/><Relationship Id="rId4" Type="http://schemas.openxmlformats.org/officeDocument/2006/relationships/hyperlink" Target="https://www.youtube.com/watch?v=6_9IYK6ZlyY" TargetMode="External"/><Relationship Id="rId9" Type="http://schemas.openxmlformats.org/officeDocument/2006/relationships/hyperlink" Target="https://www.youtube.com/watch?v=20u8yHim1tM" TargetMode="External"/><Relationship Id="rId14" Type="http://schemas.openxmlformats.org/officeDocument/2006/relationships/hyperlink" Target="https://www.youtube.com/watch?v=T0iutxik1Eg" TargetMode="External"/><Relationship Id="rId22" Type="http://schemas.openxmlformats.org/officeDocument/2006/relationships/hyperlink" Target="https://www.youtube.com/watch?v=hgdVPIrlSPU" TargetMode="External"/><Relationship Id="rId27" Type="http://schemas.openxmlformats.org/officeDocument/2006/relationships/hyperlink" Target="https://www.youtube.com/watch?v=4W3kmjNG_K8" TargetMode="External"/><Relationship Id="rId30" Type="http://schemas.openxmlformats.org/officeDocument/2006/relationships/hyperlink" Target="https://www.youtube.com/watch?v=4ej2lqB-kjM" TargetMode="External"/><Relationship Id="rId35"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mjFek0gF97s" TargetMode="External"/><Relationship Id="rId13" Type="http://schemas.openxmlformats.org/officeDocument/2006/relationships/hyperlink" Target="https://www.youtube.com/watch?v=KVDRl_wLqdM" TargetMode="External"/><Relationship Id="rId18" Type="http://schemas.openxmlformats.org/officeDocument/2006/relationships/hyperlink" Target="https://www.youtube.com/watch?v=s3LVHHEe2vc" TargetMode="External"/><Relationship Id="rId26" Type="http://schemas.openxmlformats.org/officeDocument/2006/relationships/hyperlink" Target="https://www.youtube.com/watch?v=Wrs0XEoFHAM" TargetMode="External"/><Relationship Id="rId3" Type="http://schemas.openxmlformats.org/officeDocument/2006/relationships/hyperlink" Target="https://www.youtube.com/watch?v=21ZKFBL-Yc0" TargetMode="External"/><Relationship Id="rId21" Type="http://schemas.openxmlformats.org/officeDocument/2006/relationships/hyperlink" Target="https://www.youtube.com/watch?v=8RSu4ymCgp4" TargetMode="External"/><Relationship Id="rId7" Type="http://schemas.openxmlformats.org/officeDocument/2006/relationships/hyperlink" Target="https://www.youtube.com/watch?v=PcNDlU0LyJk" TargetMode="External"/><Relationship Id="rId12" Type="http://schemas.openxmlformats.org/officeDocument/2006/relationships/hyperlink" Target="https://www.youtube.com/watch?v=2UnJMns3fjs" TargetMode="External"/><Relationship Id="rId17" Type="http://schemas.openxmlformats.org/officeDocument/2006/relationships/hyperlink" Target="https://www.youtube.com/watch?v=ByaheAphduQ" TargetMode="External"/><Relationship Id="rId25" Type="http://schemas.openxmlformats.org/officeDocument/2006/relationships/hyperlink" Target="https://www.youtube.com/watch?v=cpZPvFvzNlc" TargetMode="External"/><Relationship Id="rId2" Type="http://schemas.openxmlformats.org/officeDocument/2006/relationships/hyperlink" Target="https://www.youtube.com/watch?v=jKuCWHsoXmQ" TargetMode="External"/><Relationship Id="rId16" Type="http://schemas.openxmlformats.org/officeDocument/2006/relationships/hyperlink" Target="https://www.youtube.com/watch?v=NCOKqHoIW7M" TargetMode="External"/><Relationship Id="rId20" Type="http://schemas.openxmlformats.org/officeDocument/2006/relationships/hyperlink" Target="https://www.youtube.com/watch?v=NPNImjeRrF8" TargetMode="External"/><Relationship Id="rId29" Type="http://schemas.openxmlformats.org/officeDocument/2006/relationships/comments" Target="../comments3.xml"/><Relationship Id="rId1" Type="http://schemas.openxmlformats.org/officeDocument/2006/relationships/hyperlink" Target="https://www.youtube.com/watch?v=RD7JpM4UrUA" TargetMode="External"/><Relationship Id="rId6" Type="http://schemas.openxmlformats.org/officeDocument/2006/relationships/hyperlink" Target="https://www.youtube.com/watch?v=WU456HIXN5U" TargetMode="External"/><Relationship Id="rId11" Type="http://schemas.openxmlformats.org/officeDocument/2006/relationships/hyperlink" Target="https://www.youtube.com/watch?v=jMgGGixmfus" TargetMode="External"/><Relationship Id="rId24" Type="http://schemas.openxmlformats.org/officeDocument/2006/relationships/hyperlink" Target="https://www.youtube.com/watch?v=fjD9BVlmPoA" TargetMode="External"/><Relationship Id="rId5" Type="http://schemas.openxmlformats.org/officeDocument/2006/relationships/hyperlink" Target="https://www.youtube.com/watch?v=7WsGnkGob7A" TargetMode="External"/><Relationship Id="rId15" Type="http://schemas.openxmlformats.org/officeDocument/2006/relationships/hyperlink" Target="https://www.youtube.com/watch?v=iBwpK4_JtEw" TargetMode="External"/><Relationship Id="rId23" Type="http://schemas.openxmlformats.org/officeDocument/2006/relationships/hyperlink" Target="https://www.youtube.com/watch?v=uDANJcQm-So" TargetMode="External"/><Relationship Id="rId28" Type="http://schemas.openxmlformats.org/officeDocument/2006/relationships/vmlDrawing" Target="../drawings/vmlDrawing3.vml"/><Relationship Id="rId10" Type="http://schemas.openxmlformats.org/officeDocument/2006/relationships/hyperlink" Target="https://www.youtube.com/watch?v=Kxuiy8OL30w" TargetMode="External"/><Relationship Id="rId19" Type="http://schemas.openxmlformats.org/officeDocument/2006/relationships/hyperlink" Target="https://www.youtube.com/watch?v=YFmL65VsWdk" TargetMode="External"/><Relationship Id="rId4" Type="http://schemas.openxmlformats.org/officeDocument/2006/relationships/hyperlink" Target="https://www.youtube.com/watch?v=FytdS2vMJfU" TargetMode="External"/><Relationship Id="rId9" Type="http://schemas.openxmlformats.org/officeDocument/2006/relationships/hyperlink" Target="https://www.youtube.com/watch?v=0_EJXPWJN4E" TargetMode="External"/><Relationship Id="rId14" Type="http://schemas.openxmlformats.org/officeDocument/2006/relationships/hyperlink" Target="https://www.youtube.com/watch?v=Smd_3o5vtLo" TargetMode="External"/><Relationship Id="rId22" Type="http://schemas.openxmlformats.org/officeDocument/2006/relationships/hyperlink" Target="https://www.youtube.com/watch?v=Vf5BOYF0S3Y" TargetMode="External"/><Relationship Id="rId27"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G3NpQQMh8jQ" TargetMode="External"/><Relationship Id="rId13" Type="http://schemas.openxmlformats.org/officeDocument/2006/relationships/hyperlink" Target="https://www.youtube.com/watch?v=qCG2vqnaUx4" TargetMode="External"/><Relationship Id="rId18" Type="http://schemas.openxmlformats.org/officeDocument/2006/relationships/hyperlink" Target="https://www.youtube.com/watch?v=vHWsmGyjOk0" TargetMode="External"/><Relationship Id="rId26" Type="http://schemas.openxmlformats.org/officeDocument/2006/relationships/hyperlink" Target="https://www.youtube.com/watch?v=08Xwx9vsy6w" TargetMode="External"/><Relationship Id="rId39" Type="http://schemas.openxmlformats.org/officeDocument/2006/relationships/drawing" Target="../drawings/drawing4.xml"/><Relationship Id="rId3" Type="http://schemas.openxmlformats.org/officeDocument/2006/relationships/hyperlink" Target="https://www.youtube.com/watch?v=5LJPOCxc3E8" TargetMode="External"/><Relationship Id="rId21" Type="http://schemas.openxmlformats.org/officeDocument/2006/relationships/hyperlink" Target="https://www.youtube.com/watch?v=VP5gPVW3XDM" TargetMode="External"/><Relationship Id="rId34" Type="http://schemas.openxmlformats.org/officeDocument/2006/relationships/hyperlink" Target="https://www.youtube.com/watch?v=3f7b_ZE5B1Y" TargetMode="External"/><Relationship Id="rId7" Type="http://schemas.openxmlformats.org/officeDocument/2006/relationships/hyperlink" Target="https://www.youtube.com/watch?v=C3_6Ub1GnfA" TargetMode="External"/><Relationship Id="rId12" Type="http://schemas.openxmlformats.org/officeDocument/2006/relationships/hyperlink" Target="https://www.youtube.com/watch?v=lzMEDrUFlpw" TargetMode="External"/><Relationship Id="rId17" Type="http://schemas.openxmlformats.org/officeDocument/2006/relationships/hyperlink" Target="https://www.youtube.com/watch?v=8qjQH_-WzyE" TargetMode="External"/><Relationship Id="rId25" Type="http://schemas.openxmlformats.org/officeDocument/2006/relationships/hyperlink" Target="https://www.youtube.com/watch?v=apOba1F4MT4" TargetMode="External"/><Relationship Id="rId33" Type="http://schemas.openxmlformats.org/officeDocument/2006/relationships/hyperlink" Target="https://www.youtube.com/watch?v=vHGejHQUoio" TargetMode="External"/><Relationship Id="rId38" Type="http://schemas.openxmlformats.org/officeDocument/2006/relationships/hyperlink" Target="https://www.youtube.com/watch?v=7ZD3D4mAoaE" TargetMode="External"/><Relationship Id="rId2" Type="http://schemas.openxmlformats.org/officeDocument/2006/relationships/hyperlink" Target="https://www.youtube.com/watch?v=Uq2PJjcHiqI" TargetMode="External"/><Relationship Id="rId16" Type="http://schemas.openxmlformats.org/officeDocument/2006/relationships/hyperlink" Target="https://www.youtube.com/watch?v=VeR7IhIkDk0" TargetMode="External"/><Relationship Id="rId20" Type="http://schemas.openxmlformats.org/officeDocument/2006/relationships/hyperlink" Target="https://www.youtube.com/watch?v=f-MLHIb4dFU" TargetMode="External"/><Relationship Id="rId29" Type="http://schemas.openxmlformats.org/officeDocument/2006/relationships/hyperlink" Target="https://www.youtube.com/watch?v=g-xyM5pVESg" TargetMode="External"/><Relationship Id="rId41" Type="http://schemas.openxmlformats.org/officeDocument/2006/relationships/comments" Target="../comments4.xml"/><Relationship Id="rId1" Type="http://schemas.openxmlformats.org/officeDocument/2006/relationships/hyperlink" Target="https://www.youtube.com/watch?v=_IcfDP-ezpo" TargetMode="External"/><Relationship Id="rId6" Type="http://schemas.openxmlformats.org/officeDocument/2006/relationships/hyperlink" Target="https://www.youtube.com/watch?v=N0PD3TuLvoo" TargetMode="External"/><Relationship Id="rId11" Type="http://schemas.openxmlformats.org/officeDocument/2006/relationships/hyperlink" Target="https://www.youtube.com/watch?v=BEz8X5SUwjY" TargetMode="External"/><Relationship Id="rId24" Type="http://schemas.openxmlformats.org/officeDocument/2006/relationships/hyperlink" Target="https://www.youtube.com/watch?v=k_PhmmAyLFg" TargetMode="External"/><Relationship Id="rId32" Type="http://schemas.openxmlformats.org/officeDocument/2006/relationships/hyperlink" Target="https://www.youtube.com/watch?v=7jIfpSOnmK8" TargetMode="External"/><Relationship Id="rId37" Type="http://schemas.openxmlformats.org/officeDocument/2006/relationships/hyperlink" Target="https://www.youtube.com/watch?v=2WYZtS_LLog" TargetMode="External"/><Relationship Id="rId40" Type="http://schemas.openxmlformats.org/officeDocument/2006/relationships/vmlDrawing" Target="../drawings/vmlDrawing4.vml"/><Relationship Id="rId5" Type="http://schemas.openxmlformats.org/officeDocument/2006/relationships/hyperlink" Target="https://www.youtube.com/watch?v=WsjxXfklatk" TargetMode="External"/><Relationship Id="rId15" Type="http://schemas.openxmlformats.org/officeDocument/2006/relationships/hyperlink" Target="https://www.youtube.com/watch?v=xANxZaCCD70" TargetMode="External"/><Relationship Id="rId23" Type="http://schemas.openxmlformats.org/officeDocument/2006/relationships/hyperlink" Target="https://www.youtube.com/watch?v=MOkWSa69NKA" TargetMode="External"/><Relationship Id="rId28" Type="http://schemas.openxmlformats.org/officeDocument/2006/relationships/hyperlink" Target="https://www.youtube.com/watch?v=SS0UQNsxhus" TargetMode="External"/><Relationship Id="rId36" Type="http://schemas.openxmlformats.org/officeDocument/2006/relationships/hyperlink" Target="https://www.youtube.com/watch?v=6LOxjxiZ3NQ" TargetMode="External"/><Relationship Id="rId10" Type="http://schemas.openxmlformats.org/officeDocument/2006/relationships/hyperlink" Target="https://www.youtube.com/watch?v=gbWoqwJKhbM" TargetMode="External"/><Relationship Id="rId19" Type="http://schemas.openxmlformats.org/officeDocument/2006/relationships/hyperlink" Target="https://www.youtube.com/watch?v=-udb2VYB5uo" TargetMode="External"/><Relationship Id="rId31" Type="http://schemas.openxmlformats.org/officeDocument/2006/relationships/hyperlink" Target="https://www.youtube.com/watch?v=hWBzG7eVqVg" TargetMode="External"/><Relationship Id="rId4" Type="http://schemas.openxmlformats.org/officeDocument/2006/relationships/hyperlink" Target="https://www.youtube.com/watch?v=RdBz1kIwrqo" TargetMode="External"/><Relationship Id="rId9" Type="http://schemas.openxmlformats.org/officeDocument/2006/relationships/hyperlink" Target="https://www.youtube.com/watch?v=LdrmgXtd_rs" TargetMode="External"/><Relationship Id="rId14" Type="http://schemas.openxmlformats.org/officeDocument/2006/relationships/hyperlink" Target="https://www.youtube.com/watch?v=ycnvyB8pDEM" TargetMode="External"/><Relationship Id="rId22" Type="http://schemas.openxmlformats.org/officeDocument/2006/relationships/hyperlink" Target="https://www.youtube.com/watch?v=0uPW7Jf9y7o" TargetMode="External"/><Relationship Id="rId27" Type="http://schemas.openxmlformats.org/officeDocument/2006/relationships/hyperlink" Target="https://www.youtube.com/watch?v=JErwMUETzvU" TargetMode="External"/><Relationship Id="rId30" Type="http://schemas.openxmlformats.org/officeDocument/2006/relationships/hyperlink" Target="https://www.youtube.com/watch?v=kQP4pUPNjqs" TargetMode="External"/><Relationship Id="rId35" Type="http://schemas.openxmlformats.org/officeDocument/2006/relationships/hyperlink" Target="https://www.youtube.com/watch?v=qd7yTtTb_Fc"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zgOMSgegwGk" TargetMode="External"/><Relationship Id="rId13" Type="http://schemas.openxmlformats.org/officeDocument/2006/relationships/hyperlink" Target="https://www.youtube.com/watch?v=LAZPY_rTJLU" TargetMode="External"/><Relationship Id="rId18" Type="http://schemas.openxmlformats.org/officeDocument/2006/relationships/hyperlink" Target="https://www.youtube.com/watch?v=c50rfZlrNXU" TargetMode="External"/><Relationship Id="rId3" Type="http://schemas.openxmlformats.org/officeDocument/2006/relationships/hyperlink" Target="https://www.youtube.com/watch?v=VFJFvcNogFU" TargetMode="External"/><Relationship Id="rId21" Type="http://schemas.openxmlformats.org/officeDocument/2006/relationships/hyperlink" Target="https://www.youtube.com/watch?v=9QSUsKZfoQA&amp;t=156s" TargetMode="External"/><Relationship Id="rId7" Type="http://schemas.openxmlformats.org/officeDocument/2006/relationships/hyperlink" Target="https://www.youtube.com/watch?v=TbQkh6axHEM" TargetMode="External"/><Relationship Id="rId12" Type="http://schemas.openxmlformats.org/officeDocument/2006/relationships/hyperlink" Target="https://www.youtube.com/watch?v=7JNUG5Lyals" TargetMode="External"/><Relationship Id="rId17" Type="http://schemas.openxmlformats.org/officeDocument/2006/relationships/hyperlink" Target="https://www.youtube.com/watch?v=ahKeSqFT0Nk" TargetMode="External"/><Relationship Id="rId25" Type="http://schemas.openxmlformats.org/officeDocument/2006/relationships/comments" Target="../comments5.xml"/><Relationship Id="rId2" Type="http://schemas.openxmlformats.org/officeDocument/2006/relationships/hyperlink" Target="https://www.youtube.com/watch?v=dHQ-HMVdPyE" TargetMode="External"/><Relationship Id="rId16" Type="http://schemas.openxmlformats.org/officeDocument/2006/relationships/hyperlink" Target="https://www.youtube.com/watch?v=WzgR7yTQNzY" TargetMode="External"/><Relationship Id="rId20" Type="http://schemas.openxmlformats.org/officeDocument/2006/relationships/hyperlink" Target="https://www.youtube.com/watch?v=9jjsiAFVdXc" TargetMode="External"/><Relationship Id="rId1" Type="http://schemas.openxmlformats.org/officeDocument/2006/relationships/hyperlink" Target="https://www.youtube.com/watch?v=7bZemcM70W0" TargetMode="External"/><Relationship Id="rId6" Type="http://schemas.openxmlformats.org/officeDocument/2006/relationships/hyperlink" Target="https://www.youtube.com/watch?v=WMf0Mau2TzE" TargetMode="External"/><Relationship Id="rId11" Type="http://schemas.openxmlformats.org/officeDocument/2006/relationships/hyperlink" Target="https://www.youtube.com/watch?v=b96t52xbmO8" TargetMode="External"/><Relationship Id="rId24" Type="http://schemas.openxmlformats.org/officeDocument/2006/relationships/table" Target="../tables/table1.xml"/><Relationship Id="rId5" Type="http://schemas.openxmlformats.org/officeDocument/2006/relationships/hyperlink" Target="https://www.youtube.com/watch?v=tUBrwCmKx8s" TargetMode="External"/><Relationship Id="rId15" Type="http://schemas.openxmlformats.org/officeDocument/2006/relationships/hyperlink" Target="https://www.youtube.com/watch?v=OI3nL5YCIO8" TargetMode="External"/><Relationship Id="rId23" Type="http://schemas.openxmlformats.org/officeDocument/2006/relationships/vmlDrawing" Target="../drawings/vmlDrawing5.vml"/><Relationship Id="rId10" Type="http://schemas.openxmlformats.org/officeDocument/2006/relationships/hyperlink" Target="https://www.youtube.com/watch?v=FgVpxhtCQdA" TargetMode="External"/><Relationship Id="rId19" Type="http://schemas.openxmlformats.org/officeDocument/2006/relationships/hyperlink" Target="https://www.youtube.com/watch?v=xCLLCYBg7Zc" TargetMode="External"/><Relationship Id="rId4" Type="http://schemas.openxmlformats.org/officeDocument/2006/relationships/hyperlink" Target="https://www.youtube.com/watch?v=SNpVBfgzPmo" TargetMode="External"/><Relationship Id="rId9" Type="http://schemas.openxmlformats.org/officeDocument/2006/relationships/hyperlink" Target="https://www.youtube.com/watch?v=AefxKKTqv5I" TargetMode="External"/><Relationship Id="rId14" Type="http://schemas.openxmlformats.org/officeDocument/2006/relationships/hyperlink" Target="https://www.youtube.com/watch?v=rt5w2HzSWc0" TargetMode="External"/><Relationship Id="rId22"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TGgYE0Ui0co" TargetMode="External"/><Relationship Id="rId13" Type="http://schemas.openxmlformats.org/officeDocument/2006/relationships/hyperlink" Target="https://www.youtube.com/watch?v=HZ6X5Xt1nS8" TargetMode="External"/><Relationship Id="rId18" Type="http://schemas.openxmlformats.org/officeDocument/2006/relationships/hyperlink" Target="https://www.youtube.com/watch?v=w5KPpzfrQQY" TargetMode="External"/><Relationship Id="rId3" Type="http://schemas.openxmlformats.org/officeDocument/2006/relationships/hyperlink" Target="https://www.youtube.com/watch?v=dp7l5qmLHJI" TargetMode="External"/><Relationship Id="rId21" Type="http://schemas.openxmlformats.org/officeDocument/2006/relationships/drawing" Target="../drawings/drawing6.xml"/><Relationship Id="rId7" Type="http://schemas.openxmlformats.org/officeDocument/2006/relationships/hyperlink" Target="https://www.youtube.com/watch?v=JXjMYvGqqDE" TargetMode="External"/><Relationship Id="rId12" Type="http://schemas.openxmlformats.org/officeDocument/2006/relationships/hyperlink" Target="https://www.youtube.com/watch?v=mhHQNrL_bkM" TargetMode="External"/><Relationship Id="rId17" Type="http://schemas.openxmlformats.org/officeDocument/2006/relationships/hyperlink" Target="https://www.youtube.com/watch?v=srr9jTynwdo" TargetMode="External"/><Relationship Id="rId2" Type="http://schemas.openxmlformats.org/officeDocument/2006/relationships/hyperlink" Target="https://www.youtube.com/watch?v=Wpkt3HpzBTs" TargetMode="External"/><Relationship Id="rId16" Type="http://schemas.openxmlformats.org/officeDocument/2006/relationships/hyperlink" Target="https://www.youtube.com/watch?v=m9xF54UZFuY" TargetMode="External"/><Relationship Id="rId20" Type="http://schemas.openxmlformats.org/officeDocument/2006/relationships/hyperlink" Target="https://www.youtube.com/watch?v=GtSbmTRia5Y" TargetMode="External"/><Relationship Id="rId1" Type="http://schemas.openxmlformats.org/officeDocument/2006/relationships/hyperlink" Target="https://www.youtube.com/watch?v=tkF_3Ixn02I" TargetMode="External"/><Relationship Id="rId6" Type="http://schemas.openxmlformats.org/officeDocument/2006/relationships/hyperlink" Target="https://www.youtube.com/watch?v=QWaXqmcxm94" TargetMode="External"/><Relationship Id="rId11" Type="http://schemas.openxmlformats.org/officeDocument/2006/relationships/hyperlink" Target="https://www.youtube.com/watch?v=QZxRsM9xvK4" TargetMode="External"/><Relationship Id="rId5" Type="http://schemas.openxmlformats.org/officeDocument/2006/relationships/hyperlink" Target="https://www.youtube.com/watch?v=m3jwqSSyVkg" TargetMode="External"/><Relationship Id="rId15" Type="http://schemas.openxmlformats.org/officeDocument/2006/relationships/hyperlink" Target="https://www.youtube.com/watch?v=NpqJHyWjh7A" TargetMode="External"/><Relationship Id="rId23" Type="http://schemas.openxmlformats.org/officeDocument/2006/relationships/comments" Target="../comments6.xml"/><Relationship Id="rId10" Type="http://schemas.openxmlformats.org/officeDocument/2006/relationships/hyperlink" Target="https://www.youtube.com/watch?v=sc4OOSLMiQQ" TargetMode="External"/><Relationship Id="rId19" Type="http://schemas.openxmlformats.org/officeDocument/2006/relationships/hyperlink" Target="https://www.youtube.com/watch?v=-HWLO-7d98U" TargetMode="External"/><Relationship Id="rId4" Type="http://schemas.openxmlformats.org/officeDocument/2006/relationships/hyperlink" Target="https://www.youtube.com/watch?v=ryQMb29oX3s" TargetMode="External"/><Relationship Id="rId9" Type="http://schemas.openxmlformats.org/officeDocument/2006/relationships/hyperlink" Target="https://www.youtube.com/watch?v=xtHzknvaS7s" TargetMode="External"/><Relationship Id="rId14" Type="http://schemas.openxmlformats.org/officeDocument/2006/relationships/hyperlink" Target="https://www.youtube.com/watch?v=_OWY_haNDNI" TargetMode="External"/><Relationship Id="rId22"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MlTxtaiX1xI" TargetMode="External"/><Relationship Id="rId13" Type="http://schemas.openxmlformats.org/officeDocument/2006/relationships/vmlDrawing" Target="../drawings/vmlDrawing7.vml"/><Relationship Id="rId3" Type="http://schemas.openxmlformats.org/officeDocument/2006/relationships/hyperlink" Target="https://www.youtube.com/watch?v=28dLjjiriJA" TargetMode="External"/><Relationship Id="rId7" Type="http://schemas.openxmlformats.org/officeDocument/2006/relationships/hyperlink" Target="https://www.youtube.com/watch?v=OpsoPcAUMbw" TargetMode="External"/><Relationship Id="rId12" Type="http://schemas.openxmlformats.org/officeDocument/2006/relationships/drawing" Target="../drawings/drawing7.xml"/><Relationship Id="rId2" Type="http://schemas.openxmlformats.org/officeDocument/2006/relationships/hyperlink" Target="https://www.youtube.com/watch?v=ytrFjytVgtk" TargetMode="External"/><Relationship Id="rId1" Type="http://schemas.openxmlformats.org/officeDocument/2006/relationships/hyperlink" Target="https://www.youtube.com/watch?v=-3rtVbNkNNQ" TargetMode="External"/><Relationship Id="rId6" Type="http://schemas.openxmlformats.org/officeDocument/2006/relationships/hyperlink" Target="https://www.youtube.com/watch?v=J5mYtIH7Pho" TargetMode="External"/><Relationship Id="rId11" Type="http://schemas.openxmlformats.org/officeDocument/2006/relationships/hyperlink" Target="https://www.youtube.com/watch?v=nmbYnYYpa6g" TargetMode="External"/><Relationship Id="rId5" Type="http://schemas.openxmlformats.org/officeDocument/2006/relationships/hyperlink" Target="https://www.youtube.com/watch?v=M-zdPqtp9Kk" TargetMode="External"/><Relationship Id="rId10" Type="http://schemas.openxmlformats.org/officeDocument/2006/relationships/hyperlink" Target="https://www.youtube.com/watch?v=29-xoooHPaw" TargetMode="External"/><Relationship Id="rId4" Type="http://schemas.openxmlformats.org/officeDocument/2006/relationships/hyperlink" Target="https://www.youtube.com/watch?v=IAmXafhUmYc" TargetMode="External"/><Relationship Id="rId9" Type="http://schemas.openxmlformats.org/officeDocument/2006/relationships/hyperlink" Target="https://www.youtube.com/watch?v=MlTxtaiX1xI" TargetMode="External"/><Relationship Id="rId1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hyperlink" Target="https://www.youtube.com/watch?v=SPD35eCSgDk" TargetMode="External"/><Relationship Id="rId2" Type="http://schemas.openxmlformats.org/officeDocument/2006/relationships/hyperlink" Target="https://www.youtube.com/watch?v=ZyApm_PJ-W8&amp;t=65s" TargetMode="External"/><Relationship Id="rId1" Type="http://schemas.openxmlformats.org/officeDocument/2006/relationships/hyperlink" Target="https://www.youtube.com/watch?v=9qgkONu6nbk" TargetMode="External"/><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youtube.com/watch?v=DL5cLBZou3I" TargetMode="External"/><Relationship Id="rId1" Type="http://schemas.openxmlformats.org/officeDocument/2006/relationships/hyperlink" Target="https://www.youtube.com/watch?v=SPD35eCSgDk"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17" Type="http://schemas.openxmlformats.org/officeDocument/2006/relationships/hyperlink" Target="https://www.youtube.com/watch?v=eKtCOiQbVX0" TargetMode="External"/><Relationship Id="rId299" Type="http://schemas.openxmlformats.org/officeDocument/2006/relationships/hyperlink" Target="https://www.youtube.com/watch?v=FrXBeS9Vj40" TargetMode="External"/><Relationship Id="rId671" Type="http://schemas.openxmlformats.org/officeDocument/2006/relationships/hyperlink" Target="https://www.youtube.com/watch?v=rt5w2HzSWc0" TargetMode="External"/><Relationship Id="rId727" Type="http://schemas.openxmlformats.org/officeDocument/2006/relationships/hyperlink" Target="https://www.youtube.com/watch?v=OmWUkxANoEk" TargetMode="External"/><Relationship Id="rId21" Type="http://schemas.openxmlformats.org/officeDocument/2006/relationships/hyperlink" Target="https://www.youtube.com/watch?v=DMG2XD9_nTI" TargetMode="External"/><Relationship Id="rId63" Type="http://schemas.openxmlformats.org/officeDocument/2006/relationships/hyperlink" Target="https://www.youtube.com/watch?v=-3rtVbNkNNQ" TargetMode="External"/><Relationship Id="rId159" Type="http://schemas.openxmlformats.org/officeDocument/2006/relationships/hyperlink" Target="https://www.youtube.com/watch?v=d9KgrM48iGg" TargetMode="External"/><Relationship Id="rId324" Type="http://schemas.openxmlformats.org/officeDocument/2006/relationships/hyperlink" Target="https://www.youtube.com/watch?v=RaNpNJVvWDI" TargetMode="External"/><Relationship Id="rId366" Type="http://schemas.openxmlformats.org/officeDocument/2006/relationships/hyperlink" Target="https://www.youtube.com/watch?v=ZpdQsUkjwMc" TargetMode="External"/><Relationship Id="rId531" Type="http://schemas.openxmlformats.org/officeDocument/2006/relationships/hyperlink" Target="https://www.youtube.com/watch?v=Q7TqlnXF3cA" TargetMode="External"/><Relationship Id="rId573" Type="http://schemas.openxmlformats.org/officeDocument/2006/relationships/hyperlink" Target="https://www.youtube.com/watch?v=BKG8mWyOvuw" TargetMode="External"/><Relationship Id="rId629" Type="http://schemas.openxmlformats.org/officeDocument/2006/relationships/hyperlink" Target="https://www.youtube.com/watch?v=13shkRG4RMc" TargetMode="External"/><Relationship Id="rId170" Type="http://schemas.openxmlformats.org/officeDocument/2006/relationships/hyperlink" Target="https://www.youtube.com/watch?v=UuJzHq-Ont4" TargetMode="External"/><Relationship Id="rId226" Type="http://schemas.openxmlformats.org/officeDocument/2006/relationships/hyperlink" Target="https://www.youtube.com/watch?v=myyrtrylWQs" TargetMode="External"/><Relationship Id="rId433" Type="http://schemas.openxmlformats.org/officeDocument/2006/relationships/hyperlink" Target="https://www.youtube.com/watch?v=S2ePhtW_O5A" TargetMode="External"/><Relationship Id="rId268" Type="http://schemas.openxmlformats.org/officeDocument/2006/relationships/hyperlink" Target="https://www.youtube.com/watch?v=zyTsxv3NJzA" TargetMode="External"/><Relationship Id="rId475" Type="http://schemas.openxmlformats.org/officeDocument/2006/relationships/hyperlink" Target="https://www.youtube.com/watch?v=GB9g4sKWR0M" TargetMode="External"/><Relationship Id="rId640" Type="http://schemas.openxmlformats.org/officeDocument/2006/relationships/hyperlink" Target="https://www.youtube.com/watch?v=NpCmOPhka6g" TargetMode="External"/><Relationship Id="rId682" Type="http://schemas.openxmlformats.org/officeDocument/2006/relationships/hyperlink" Target="https://www.youtube.com/watch?v=BlNY-1vmqvA" TargetMode="External"/><Relationship Id="rId738" Type="http://schemas.openxmlformats.org/officeDocument/2006/relationships/hyperlink" Target="https://www.youtube.com/watch?v=HQK8u4lh7y0" TargetMode="External"/><Relationship Id="rId32" Type="http://schemas.openxmlformats.org/officeDocument/2006/relationships/hyperlink" Target="https://www.youtube.com/watch?v=ryQMb29oX3s" TargetMode="External"/><Relationship Id="rId74" Type="http://schemas.openxmlformats.org/officeDocument/2006/relationships/hyperlink" Target="https://www.youtube.com/watch?v=4yz6ZL-TC94" TargetMode="External"/><Relationship Id="rId128" Type="http://schemas.openxmlformats.org/officeDocument/2006/relationships/hyperlink" Target="https://www.youtube.com/watch?v=6LOxjxiZ3NQ" TargetMode="External"/><Relationship Id="rId335" Type="http://schemas.openxmlformats.org/officeDocument/2006/relationships/hyperlink" Target="https://www.youtube.com/watch?v=afXofZLlzB4" TargetMode="External"/><Relationship Id="rId377" Type="http://schemas.openxmlformats.org/officeDocument/2006/relationships/hyperlink" Target="https://www.youtube.com/watch?v=dJ9wpyiJSSI" TargetMode="External"/><Relationship Id="rId500" Type="http://schemas.openxmlformats.org/officeDocument/2006/relationships/hyperlink" Target="https://www.youtube.com/watch?v=KStzrk3h76o" TargetMode="External"/><Relationship Id="rId542" Type="http://schemas.openxmlformats.org/officeDocument/2006/relationships/hyperlink" Target="https://www.youtube.com/watch?v=Wr_CIMPuH3I" TargetMode="External"/><Relationship Id="rId584" Type="http://schemas.openxmlformats.org/officeDocument/2006/relationships/hyperlink" Target="https://www.youtube.com/watch?v=B1KtIwSP4_U" TargetMode="External"/><Relationship Id="rId5" Type="http://schemas.openxmlformats.org/officeDocument/2006/relationships/hyperlink" Target="https://www.youtube.com/watch?v=7WsGnkGob7A" TargetMode="External"/><Relationship Id="rId181" Type="http://schemas.openxmlformats.org/officeDocument/2006/relationships/hyperlink" Target="https://www.youtube.com/watch?v=cpZPvFvzNlc" TargetMode="External"/><Relationship Id="rId237" Type="http://schemas.openxmlformats.org/officeDocument/2006/relationships/hyperlink" Target="https://www.youtube.com/watch?v=KBA7GLExw3o" TargetMode="External"/><Relationship Id="rId402" Type="http://schemas.openxmlformats.org/officeDocument/2006/relationships/hyperlink" Target="https://www.youtube.com/watch?v=1-5q-Da6EHQ" TargetMode="External"/><Relationship Id="rId279" Type="http://schemas.openxmlformats.org/officeDocument/2006/relationships/hyperlink" Target="https://www.youtube.com/watch?v=AuVaei10Du0" TargetMode="External"/><Relationship Id="rId444" Type="http://schemas.openxmlformats.org/officeDocument/2006/relationships/hyperlink" Target="https://www.youtube.com/watch?v=glBt8I5y1b8" TargetMode="External"/><Relationship Id="rId486" Type="http://schemas.openxmlformats.org/officeDocument/2006/relationships/hyperlink" Target="https://www.youtube.com/watch?v=9oRLNbl-DxI" TargetMode="External"/><Relationship Id="rId651" Type="http://schemas.openxmlformats.org/officeDocument/2006/relationships/hyperlink" Target="https://www.youtube.com/watch?v=n5lHU4Qyfbk" TargetMode="External"/><Relationship Id="rId693" Type="http://schemas.openxmlformats.org/officeDocument/2006/relationships/hyperlink" Target="https://www.youtube.com/watch?v=0RYS6V76lRQ" TargetMode="External"/><Relationship Id="rId707" Type="http://schemas.openxmlformats.org/officeDocument/2006/relationships/hyperlink" Target="https://www.youtube.com/watch?v=Zused4CGMw4" TargetMode="External"/><Relationship Id="rId749" Type="http://schemas.openxmlformats.org/officeDocument/2006/relationships/hyperlink" Target="https://www.youtube.com/watch?v=c50rfZlrNXU" TargetMode="External"/><Relationship Id="rId43" Type="http://schemas.openxmlformats.org/officeDocument/2006/relationships/hyperlink" Target="https://www.youtube.com/watch?v=ufZ1BZcZzKI" TargetMode="External"/><Relationship Id="rId139" Type="http://schemas.openxmlformats.org/officeDocument/2006/relationships/hyperlink" Target="https://www.youtube.com/watch?v=2WYZtS_LLog" TargetMode="External"/><Relationship Id="rId290" Type="http://schemas.openxmlformats.org/officeDocument/2006/relationships/hyperlink" Target="https://www.youtube.com/watch?v=j84sUcOTBRM" TargetMode="External"/><Relationship Id="rId304" Type="http://schemas.openxmlformats.org/officeDocument/2006/relationships/hyperlink" Target="https://www.youtube.com/watch?v=tNKCTknE59M" TargetMode="External"/><Relationship Id="rId346" Type="http://schemas.openxmlformats.org/officeDocument/2006/relationships/hyperlink" Target="https://www.youtube.com/watch?v=Uk3mD3cAFXg" TargetMode="External"/><Relationship Id="rId388" Type="http://schemas.openxmlformats.org/officeDocument/2006/relationships/hyperlink" Target="https://www.youtube.com/watch?v=yB7P6V4_zUw" TargetMode="External"/><Relationship Id="rId511" Type="http://schemas.openxmlformats.org/officeDocument/2006/relationships/hyperlink" Target="https://www.youtube.com/watch?v=1uNyxmccf1U" TargetMode="External"/><Relationship Id="rId553" Type="http://schemas.openxmlformats.org/officeDocument/2006/relationships/hyperlink" Target="https://www.youtube.com/watch?v=Zr29r9gnq6A" TargetMode="External"/><Relationship Id="rId609" Type="http://schemas.openxmlformats.org/officeDocument/2006/relationships/hyperlink" Target="https://www.youtube.com/watch?v=J2Z6w1bXfYc" TargetMode="External"/><Relationship Id="rId760" Type="http://schemas.openxmlformats.org/officeDocument/2006/relationships/printerSettings" Target="../printerSettings/printerSettings1.bin"/><Relationship Id="rId85" Type="http://schemas.openxmlformats.org/officeDocument/2006/relationships/hyperlink" Target="https://www.youtube.com/watch?v=TEUt7CVuFbI" TargetMode="External"/><Relationship Id="rId150" Type="http://schemas.openxmlformats.org/officeDocument/2006/relationships/hyperlink" Target="https://www.youtube.com/watch?v=sdhISUDYvX4" TargetMode="External"/><Relationship Id="rId192" Type="http://schemas.openxmlformats.org/officeDocument/2006/relationships/hyperlink" Target="https://www.youtube.com/watch?v=yIUwgFjMrg8" TargetMode="External"/><Relationship Id="rId206" Type="http://schemas.openxmlformats.org/officeDocument/2006/relationships/hyperlink" Target="https://www.youtube.com/watch?v=182HueOxCaU" TargetMode="External"/><Relationship Id="rId413" Type="http://schemas.openxmlformats.org/officeDocument/2006/relationships/hyperlink" Target="https://www.youtube.com/watch?v=F4X3ljkLFP8" TargetMode="External"/><Relationship Id="rId595" Type="http://schemas.openxmlformats.org/officeDocument/2006/relationships/hyperlink" Target="https://www.youtube.com/watch?v=MqvZxu1TaSQ" TargetMode="External"/><Relationship Id="rId248" Type="http://schemas.openxmlformats.org/officeDocument/2006/relationships/hyperlink" Target="https://www.youtube.com/watch?v=1_8y5fSSOlE" TargetMode="External"/><Relationship Id="rId455" Type="http://schemas.openxmlformats.org/officeDocument/2006/relationships/hyperlink" Target="https://www.youtube.com/watch?v=LEotomBnsQk" TargetMode="External"/><Relationship Id="rId497" Type="http://schemas.openxmlformats.org/officeDocument/2006/relationships/hyperlink" Target="https://www.youtube.com/watch?v=CLCX0mlWjw0" TargetMode="External"/><Relationship Id="rId620" Type="http://schemas.openxmlformats.org/officeDocument/2006/relationships/hyperlink" Target="https://www.youtube.com/watch?v=kDDNkLWPpUc" TargetMode="External"/><Relationship Id="rId662" Type="http://schemas.openxmlformats.org/officeDocument/2006/relationships/hyperlink" Target="https://www.youtube.com/watch?v=C6sAuCIhIzA" TargetMode="External"/><Relationship Id="rId718" Type="http://schemas.openxmlformats.org/officeDocument/2006/relationships/hyperlink" Target="https://www.youtube.com/watch?v=oLCI7vQ7WFk" TargetMode="External"/><Relationship Id="rId12" Type="http://schemas.openxmlformats.org/officeDocument/2006/relationships/hyperlink" Target="https://www.youtube.com/watch?v=2UnJMns3fjs" TargetMode="External"/><Relationship Id="rId108" Type="http://schemas.openxmlformats.org/officeDocument/2006/relationships/hyperlink" Target="https://www.youtube.com/watch?v=tUBrwCmKx8s" TargetMode="External"/><Relationship Id="rId315" Type="http://schemas.openxmlformats.org/officeDocument/2006/relationships/hyperlink" Target="https://www.youtube.com/watch?v=kpktr2ml8m8" TargetMode="External"/><Relationship Id="rId357" Type="http://schemas.openxmlformats.org/officeDocument/2006/relationships/hyperlink" Target="https://www.youtube.com/watch?v=hPD7CW4JiSA" TargetMode="External"/><Relationship Id="rId522" Type="http://schemas.openxmlformats.org/officeDocument/2006/relationships/hyperlink" Target="https://www.youtube.com/watch?v=4pkD8CkJiIQ" TargetMode="External"/><Relationship Id="rId54" Type="http://schemas.openxmlformats.org/officeDocument/2006/relationships/hyperlink" Target="https://www.youtube.com/watch?v=m3jwqSSyVkg" TargetMode="External"/><Relationship Id="rId96" Type="http://schemas.openxmlformats.org/officeDocument/2006/relationships/hyperlink" Target="https://www.youtube.com/watch?v=iGpYgqX-p8c" TargetMode="External"/><Relationship Id="rId161" Type="http://schemas.openxmlformats.org/officeDocument/2006/relationships/hyperlink" Target="https://www.youtube.com/watch?v=2uOiM67vK6A" TargetMode="External"/><Relationship Id="rId217" Type="http://schemas.openxmlformats.org/officeDocument/2006/relationships/hyperlink" Target="https://www.youtube.com/watch?v=gKt4SG-pAmw" TargetMode="External"/><Relationship Id="rId399" Type="http://schemas.openxmlformats.org/officeDocument/2006/relationships/hyperlink" Target="https://www.youtube.com/watch?v=BNly0XIZX6c" TargetMode="External"/><Relationship Id="rId564" Type="http://schemas.openxmlformats.org/officeDocument/2006/relationships/hyperlink" Target="https://www.youtube.com/watch?v=8M2LUwJGwHw" TargetMode="External"/><Relationship Id="rId259" Type="http://schemas.openxmlformats.org/officeDocument/2006/relationships/hyperlink" Target="https://www.youtube.com/watch?v=_xIbCmTtK8s" TargetMode="External"/><Relationship Id="rId424" Type="http://schemas.openxmlformats.org/officeDocument/2006/relationships/hyperlink" Target="https://www.youtube.com/watch?v=mK5DuxKw-I8" TargetMode="External"/><Relationship Id="rId466" Type="http://schemas.openxmlformats.org/officeDocument/2006/relationships/hyperlink" Target="https://www.youtube.com/watch?v=fmVDyQnLFe4" TargetMode="External"/><Relationship Id="rId631" Type="http://schemas.openxmlformats.org/officeDocument/2006/relationships/hyperlink" Target="https://www.youtube.com/watch?v=az7GJp1YAXw" TargetMode="External"/><Relationship Id="rId673" Type="http://schemas.openxmlformats.org/officeDocument/2006/relationships/hyperlink" Target="https://www.youtube.com/watch?v=lkDfIrZy2VY" TargetMode="External"/><Relationship Id="rId729" Type="http://schemas.openxmlformats.org/officeDocument/2006/relationships/hyperlink" Target="https://www.youtube.com/watch?v=zEXu5K5eyCY" TargetMode="External"/><Relationship Id="rId23" Type="http://schemas.openxmlformats.org/officeDocument/2006/relationships/hyperlink" Target="https://www.youtube.com/watch?v=5LJPOCxc3E8" TargetMode="External"/><Relationship Id="rId119" Type="http://schemas.openxmlformats.org/officeDocument/2006/relationships/hyperlink" Target="https://www.youtube.com/watch?v=TxC_8Xllf-M" TargetMode="External"/><Relationship Id="rId270" Type="http://schemas.openxmlformats.org/officeDocument/2006/relationships/hyperlink" Target="https://www.youtube.com/watch?v=R_G2Gd70LiY" TargetMode="External"/><Relationship Id="rId326" Type="http://schemas.openxmlformats.org/officeDocument/2006/relationships/hyperlink" Target="https://www.youtube.com/watch?v=jQ47l4DT1BY" TargetMode="External"/><Relationship Id="rId533" Type="http://schemas.openxmlformats.org/officeDocument/2006/relationships/hyperlink" Target="https://www.youtube.com/watch?v=log0y9fRklc" TargetMode="External"/><Relationship Id="rId65" Type="http://schemas.openxmlformats.org/officeDocument/2006/relationships/hyperlink" Target="https://www.youtube.com/watch?v=28dLjjiriJA" TargetMode="External"/><Relationship Id="rId130" Type="http://schemas.openxmlformats.org/officeDocument/2006/relationships/hyperlink" Target="https://www.youtube.com/watch?v=JErwMUETzvU" TargetMode="External"/><Relationship Id="rId368" Type="http://schemas.openxmlformats.org/officeDocument/2006/relationships/hyperlink" Target="https://www.youtube.com/watch?v=w2e5eqI49cE" TargetMode="External"/><Relationship Id="rId575" Type="http://schemas.openxmlformats.org/officeDocument/2006/relationships/hyperlink" Target="https://www.youtube.com/watch?v=BsEY7XJTv70" TargetMode="External"/><Relationship Id="rId740" Type="http://schemas.openxmlformats.org/officeDocument/2006/relationships/hyperlink" Target="https://www.youtube.com/watch?v=ZErxsCxSQsA" TargetMode="External"/><Relationship Id="rId172" Type="http://schemas.openxmlformats.org/officeDocument/2006/relationships/hyperlink" Target="https://www.youtube.com/watch?v=wgud4Fi47XA" TargetMode="External"/><Relationship Id="rId228" Type="http://schemas.openxmlformats.org/officeDocument/2006/relationships/hyperlink" Target="https://www.youtube.com/watch?v=7zvf9bnLgs8" TargetMode="External"/><Relationship Id="rId435" Type="http://schemas.openxmlformats.org/officeDocument/2006/relationships/hyperlink" Target="https://www.youtube.com/watch?v=tRgTeYpgv8c" TargetMode="External"/><Relationship Id="rId477" Type="http://schemas.openxmlformats.org/officeDocument/2006/relationships/hyperlink" Target="https://www.youtube.com/watch?v=VDqAX3plBww" TargetMode="External"/><Relationship Id="rId600" Type="http://schemas.openxmlformats.org/officeDocument/2006/relationships/hyperlink" Target="https://www.youtube.com/watch?v=ZkrWcJXqbGA" TargetMode="External"/><Relationship Id="rId642" Type="http://schemas.openxmlformats.org/officeDocument/2006/relationships/hyperlink" Target="https://www.youtube.com/watch?v=5Qbkf3waru8" TargetMode="External"/><Relationship Id="rId684" Type="http://schemas.openxmlformats.org/officeDocument/2006/relationships/hyperlink" Target="https://www.youtube.com/watch?v=iwaHs0-q9l8" TargetMode="External"/><Relationship Id="rId281" Type="http://schemas.openxmlformats.org/officeDocument/2006/relationships/hyperlink" Target="https://www.youtube.com/watch?v=FKg_FjS3qZw" TargetMode="External"/><Relationship Id="rId337" Type="http://schemas.openxmlformats.org/officeDocument/2006/relationships/hyperlink" Target="https://www.youtube.com/watch?v=zgOMSgegwGk" TargetMode="External"/><Relationship Id="rId502" Type="http://schemas.openxmlformats.org/officeDocument/2006/relationships/hyperlink" Target="https://www.youtube.com/watch?v=1UT4aCq24wA" TargetMode="External"/><Relationship Id="rId34" Type="http://schemas.openxmlformats.org/officeDocument/2006/relationships/hyperlink" Target="https://www.youtube.com/watch?v=lzMEDrUFlpw" TargetMode="External"/><Relationship Id="rId76" Type="http://schemas.openxmlformats.org/officeDocument/2006/relationships/hyperlink" Target="https://www.youtube.com/watch?v=29-xoooHPaw" TargetMode="External"/><Relationship Id="rId141" Type="http://schemas.openxmlformats.org/officeDocument/2006/relationships/hyperlink" Target="https://www.youtube.com/watch?v=7ZD3D4mAoaE" TargetMode="External"/><Relationship Id="rId379" Type="http://schemas.openxmlformats.org/officeDocument/2006/relationships/hyperlink" Target="https://www.youtube.com/watch?v=AjEKOFHh4yM" TargetMode="External"/><Relationship Id="rId544" Type="http://schemas.openxmlformats.org/officeDocument/2006/relationships/hyperlink" Target="https://www.youtube.com/watch?v=N20dY0-9Nio" TargetMode="External"/><Relationship Id="rId586" Type="http://schemas.openxmlformats.org/officeDocument/2006/relationships/hyperlink" Target="https://www.youtube.com/watch?v=sGXLoCpynsU" TargetMode="External"/><Relationship Id="rId751" Type="http://schemas.openxmlformats.org/officeDocument/2006/relationships/hyperlink" Target="https://www.youtube.com/watch?v=DL5cLBZou3I" TargetMode="External"/><Relationship Id="rId7" Type="http://schemas.openxmlformats.org/officeDocument/2006/relationships/hyperlink" Target="https://www.youtube.com/watch?v=PcNDlU0LyJk" TargetMode="External"/><Relationship Id="rId183" Type="http://schemas.openxmlformats.org/officeDocument/2006/relationships/hyperlink" Target="https://www.youtube.com/watch?v=qsCWK-TQVsk" TargetMode="External"/><Relationship Id="rId239" Type="http://schemas.openxmlformats.org/officeDocument/2006/relationships/hyperlink" Target="https://www.youtube.com/watch?v=GajqTVRZzfE" TargetMode="External"/><Relationship Id="rId390" Type="http://schemas.openxmlformats.org/officeDocument/2006/relationships/hyperlink" Target="https://www.youtube.com/watch?v=hFK3wIxZt3g" TargetMode="External"/><Relationship Id="rId404" Type="http://schemas.openxmlformats.org/officeDocument/2006/relationships/hyperlink" Target="https://www.youtube.com/watch?v=3zpg3MGhmyI" TargetMode="External"/><Relationship Id="rId446" Type="http://schemas.openxmlformats.org/officeDocument/2006/relationships/hyperlink" Target="https://www.youtube.com/watch?v=Kfqplhug-eA" TargetMode="External"/><Relationship Id="rId611" Type="http://schemas.openxmlformats.org/officeDocument/2006/relationships/hyperlink" Target="https://www.youtube.com/watch?v=4W3kmjNG_K8" TargetMode="External"/><Relationship Id="rId653" Type="http://schemas.openxmlformats.org/officeDocument/2006/relationships/hyperlink" Target="https://www.youtube.com/watch?v=9FgUTz996bs" TargetMode="External"/><Relationship Id="rId250" Type="http://schemas.openxmlformats.org/officeDocument/2006/relationships/hyperlink" Target="https://www.youtube.com/watch?v=R2XPp4eJXLk" TargetMode="External"/><Relationship Id="rId292" Type="http://schemas.openxmlformats.org/officeDocument/2006/relationships/hyperlink" Target="https://www.youtube.com/watch?v=zILqg37PouM" TargetMode="External"/><Relationship Id="rId306" Type="http://schemas.openxmlformats.org/officeDocument/2006/relationships/hyperlink" Target="https://www.youtube.com/watch?v=59-D2X_vmlA" TargetMode="External"/><Relationship Id="rId488" Type="http://schemas.openxmlformats.org/officeDocument/2006/relationships/hyperlink" Target="https://www.youtube.com/watch?v=G2ke7Higm-Y" TargetMode="External"/><Relationship Id="rId695" Type="http://schemas.openxmlformats.org/officeDocument/2006/relationships/hyperlink" Target="https://www.youtube.com/watch?v=7AYmPqY5iF4" TargetMode="External"/><Relationship Id="rId709" Type="http://schemas.openxmlformats.org/officeDocument/2006/relationships/hyperlink" Target="https://www.youtube.com/watch?v=k0FNC9LuJoo&amp;t=4s" TargetMode="External"/><Relationship Id="rId45" Type="http://schemas.openxmlformats.org/officeDocument/2006/relationships/hyperlink" Target="https://www.youtube.com/watch?v=FndfcBhZklU" TargetMode="External"/><Relationship Id="rId87" Type="http://schemas.openxmlformats.org/officeDocument/2006/relationships/hyperlink" Target="https://www.youtube.com/watch?v=f-XdG6v-RWk" TargetMode="External"/><Relationship Id="rId110" Type="http://schemas.openxmlformats.org/officeDocument/2006/relationships/hyperlink" Target="https://www.youtube.com/watch?v=WMf0Mau2TzE" TargetMode="External"/><Relationship Id="rId348" Type="http://schemas.openxmlformats.org/officeDocument/2006/relationships/hyperlink" Target="https://www.youtube.com/watch?v=7cA62ZHlWx0" TargetMode="External"/><Relationship Id="rId513" Type="http://schemas.openxmlformats.org/officeDocument/2006/relationships/hyperlink" Target="https://www.youtube.com/watch?v=NeCQOUox8zc" TargetMode="External"/><Relationship Id="rId555" Type="http://schemas.openxmlformats.org/officeDocument/2006/relationships/hyperlink" Target="https://www.youtube.com/watch?v=R6bvpvI1_uY" TargetMode="External"/><Relationship Id="rId597" Type="http://schemas.openxmlformats.org/officeDocument/2006/relationships/hyperlink" Target="https://www.youtube.com/watch?v=YtD-Ro9OJRQ" TargetMode="External"/><Relationship Id="rId720" Type="http://schemas.openxmlformats.org/officeDocument/2006/relationships/hyperlink" Target="https://www.youtube.com/watch?v=3ytmTvor21A" TargetMode="External"/><Relationship Id="rId762" Type="http://schemas.openxmlformats.org/officeDocument/2006/relationships/vmlDrawing" Target="../drawings/vmlDrawing12.vml"/><Relationship Id="rId152" Type="http://schemas.openxmlformats.org/officeDocument/2006/relationships/hyperlink" Target="https://www.youtube.com/watch?v=PjvzuUMMZs4" TargetMode="External"/><Relationship Id="rId194" Type="http://schemas.openxmlformats.org/officeDocument/2006/relationships/hyperlink" Target="https://www.youtube.com/watch?v=EWnc9FdyP7s" TargetMode="External"/><Relationship Id="rId208" Type="http://schemas.openxmlformats.org/officeDocument/2006/relationships/hyperlink" Target="https://www.youtube.com/watch?v=Dymxd9hAemA" TargetMode="External"/><Relationship Id="rId415" Type="http://schemas.openxmlformats.org/officeDocument/2006/relationships/hyperlink" Target="https://www.youtube.com/watch?v=JDOBTQ94-S4" TargetMode="External"/><Relationship Id="rId457" Type="http://schemas.openxmlformats.org/officeDocument/2006/relationships/hyperlink" Target="https://www.youtube.com/watch?v=Cuelsn9VyZQ" TargetMode="External"/><Relationship Id="rId622" Type="http://schemas.openxmlformats.org/officeDocument/2006/relationships/hyperlink" Target="https://www.youtube.com/watch?v=1k_PbRxkEqo" TargetMode="External"/><Relationship Id="rId261" Type="http://schemas.openxmlformats.org/officeDocument/2006/relationships/hyperlink" Target="https://www.youtube.com/watch?v=VwTbkm1NN4Y" TargetMode="External"/><Relationship Id="rId499" Type="http://schemas.openxmlformats.org/officeDocument/2006/relationships/hyperlink" Target="https://www.youtube.com/watch?v=4xWwhXcAjhU" TargetMode="External"/><Relationship Id="rId664" Type="http://schemas.openxmlformats.org/officeDocument/2006/relationships/hyperlink" Target="https://www.youtube.com/watch?v=Ih4StVOa0Qs" TargetMode="External"/><Relationship Id="rId14" Type="http://schemas.openxmlformats.org/officeDocument/2006/relationships/hyperlink" Target="https://www.youtube.com/watch?v=Smd_3o5vtLo" TargetMode="External"/><Relationship Id="rId56" Type="http://schemas.openxmlformats.org/officeDocument/2006/relationships/hyperlink" Target="https://www.youtube.com/watch?v=JXjMYvGqqDE" TargetMode="External"/><Relationship Id="rId317" Type="http://schemas.openxmlformats.org/officeDocument/2006/relationships/hyperlink" Target="https://www.youtube.com/watch?v=r2uhf3x6oH8" TargetMode="External"/><Relationship Id="rId359" Type="http://schemas.openxmlformats.org/officeDocument/2006/relationships/hyperlink" Target="https://www.youtube.com/watch?v=dlQfycnk550" TargetMode="External"/><Relationship Id="rId524" Type="http://schemas.openxmlformats.org/officeDocument/2006/relationships/hyperlink" Target="https://www.youtube.com/watch?v=xkyySDtO5HU" TargetMode="External"/><Relationship Id="rId566" Type="http://schemas.openxmlformats.org/officeDocument/2006/relationships/hyperlink" Target="https://www.youtube.com/watch?v=udkwSpjJnGk" TargetMode="External"/><Relationship Id="rId731" Type="http://schemas.openxmlformats.org/officeDocument/2006/relationships/hyperlink" Target="https://www.youtube.com/watch?v=7IXp156RgtQ" TargetMode="External"/><Relationship Id="rId98" Type="http://schemas.openxmlformats.org/officeDocument/2006/relationships/hyperlink" Target="https://www.youtube.com/watch?v=gmu_fBglk-A" TargetMode="External"/><Relationship Id="rId121" Type="http://schemas.openxmlformats.org/officeDocument/2006/relationships/hyperlink" Target="https://www.youtube.com/watch?v=rdyZwjy8Wko" TargetMode="External"/><Relationship Id="rId163" Type="http://schemas.openxmlformats.org/officeDocument/2006/relationships/hyperlink" Target="https://www.youtube.com/watch?v=yaOVnZ7W-Qc" TargetMode="External"/><Relationship Id="rId219" Type="http://schemas.openxmlformats.org/officeDocument/2006/relationships/hyperlink" Target="https://www.youtube.com/watch?v=30958J1ez4k" TargetMode="External"/><Relationship Id="rId370" Type="http://schemas.openxmlformats.org/officeDocument/2006/relationships/hyperlink" Target="https://www.youtube.com/watch?v=yMRw4TF7CAk" TargetMode="External"/><Relationship Id="rId426" Type="http://schemas.openxmlformats.org/officeDocument/2006/relationships/hyperlink" Target="https://www.youtube.com/watch?v=dzUx3zUv_yw" TargetMode="External"/><Relationship Id="rId633" Type="http://schemas.openxmlformats.org/officeDocument/2006/relationships/hyperlink" Target="https://www.youtube.com/watch?v=IS6hRiM7WuU" TargetMode="External"/><Relationship Id="rId230" Type="http://schemas.openxmlformats.org/officeDocument/2006/relationships/hyperlink" Target="https://www.youtube.com/watch?v=Th1s8XrKhnk" TargetMode="External"/><Relationship Id="rId468" Type="http://schemas.openxmlformats.org/officeDocument/2006/relationships/hyperlink" Target="https://www.youtube.com/watch?v=WfJvOgXp9SM" TargetMode="External"/><Relationship Id="rId675" Type="http://schemas.openxmlformats.org/officeDocument/2006/relationships/hyperlink" Target="https://www.youtube.com/watch?v=vzoIHUTieE0" TargetMode="External"/><Relationship Id="rId25" Type="http://schemas.openxmlformats.org/officeDocument/2006/relationships/hyperlink" Target="https://www.youtube.com/watch?v=gbWoqwJKhbM" TargetMode="External"/><Relationship Id="rId67" Type="http://schemas.openxmlformats.org/officeDocument/2006/relationships/hyperlink" Target="https://www.youtube.com/watch?v=HZ6X5Xt1nS8" TargetMode="External"/><Relationship Id="rId272" Type="http://schemas.openxmlformats.org/officeDocument/2006/relationships/hyperlink" Target="https://www.youtube.com/watch?v=X4TDNzwe3s4" TargetMode="External"/><Relationship Id="rId328" Type="http://schemas.openxmlformats.org/officeDocument/2006/relationships/hyperlink" Target="https://www.youtube.com/watch?v=wXSD2PQznXI" TargetMode="External"/><Relationship Id="rId535" Type="http://schemas.openxmlformats.org/officeDocument/2006/relationships/hyperlink" Target="https://www.youtube.com/watch?v=gzOZ5Lo3n9Y" TargetMode="External"/><Relationship Id="rId577" Type="http://schemas.openxmlformats.org/officeDocument/2006/relationships/hyperlink" Target="https://www.youtube.com/watch?v=C6XbkLOcyVs" TargetMode="External"/><Relationship Id="rId700" Type="http://schemas.openxmlformats.org/officeDocument/2006/relationships/hyperlink" Target="https://www.youtube.com/watch?v=vmOlaD1O5rg" TargetMode="External"/><Relationship Id="rId742" Type="http://schemas.openxmlformats.org/officeDocument/2006/relationships/hyperlink" Target="https://www.youtube.com/watch?v=VFJFvcNogFU" TargetMode="External"/><Relationship Id="rId132" Type="http://schemas.openxmlformats.org/officeDocument/2006/relationships/hyperlink" Target="https://www.youtube.com/watch?v=g-xyM5pVESg" TargetMode="External"/><Relationship Id="rId174" Type="http://schemas.openxmlformats.org/officeDocument/2006/relationships/hyperlink" Target="https://www.youtube.com/watch?v=Au_HvuB2IQc" TargetMode="External"/><Relationship Id="rId381" Type="http://schemas.openxmlformats.org/officeDocument/2006/relationships/hyperlink" Target="https://www.youtube.com/watch?v=Kg7UNGe9lik" TargetMode="External"/><Relationship Id="rId602" Type="http://schemas.openxmlformats.org/officeDocument/2006/relationships/hyperlink" Target="https://www.youtube.com/watch?v=j53ZVDx4pYc" TargetMode="External"/><Relationship Id="rId241" Type="http://schemas.openxmlformats.org/officeDocument/2006/relationships/hyperlink" Target="https://www.youtube.com/watch?v=pfw-rEK12IA" TargetMode="External"/><Relationship Id="rId437" Type="http://schemas.openxmlformats.org/officeDocument/2006/relationships/hyperlink" Target="https://www.youtube.com/watch?v=AefxKKTqv5I" TargetMode="External"/><Relationship Id="rId479" Type="http://schemas.openxmlformats.org/officeDocument/2006/relationships/hyperlink" Target="https://www.youtube.com/watch?v=rAWCL2ENS90" TargetMode="External"/><Relationship Id="rId644" Type="http://schemas.openxmlformats.org/officeDocument/2006/relationships/hyperlink" Target="https://www.youtube.com/watch?v=69M5XJQEYX4" TargetMode="External"/><Relationship Id="rId686" Type="http://schemas.openxmlformats.org/officeDocument/2006/relationships/hyperlink" Target="https://www.youtube.com/watch?v=vaRCmUwpmNk" TargetMode="External"/><Relationship Id="rId36" Type="http://schemas.openxmlformats.org/officeDocument/2006/relationships/hyperlink" Target="https://www.youtube.com/watch?v=ycnvyB8pDEM" TargetMode="External"/><Relationship Id="rId283" Type="http://schemas.openxmlformats.org/officeDocument/2006/relationships/hyperlink" Target="https://www.youtube.com/watch?v=-cC-ErXYdnI" TargetMode="External"/><Relationship Id="rId339" Type="http://schemas.openxmlformats.org/officeDocument/2006/relationships/hyperlink" Target="https://www.youtube.com/watch?v=MP4mGKSR2-0" TargetMode="External"/><Relationship Id="rId490" Type="http://schemas.openxmlformats.org/officeDocument/2006/relationships/hyperlink" Target="https://www.youtube.com/watch?v=FQ3dpY5j5y8" TargetMode="External"/><Relationship Id="rId504" Type="http://schemas.openxmlformats.org/officeDocument/2006/relationships/hyperlink" Target="https://www.youtube.com/watch?v=a6bj2Qddmzk" TargetMode="External"/><Relationship Id="rId546" Type="http://schemas.openxmlformats.org/officeDocument/2006/relationships/hyperlink" Target="https://www.youtube.com/watch?v=3dgPn1KOovw" TargetMode="External"/><Relationship Id="rId711" Type="http://schemas.openxmlformats.org/officeDocument/2006/relationships/hyperlink" Target="https://www.youtube.com/watch?v=VKbVHIgKbbo" TargetMode="External"/><Relationship Id="rId753" Type="http://schemas.openxmlformats.org/officeDocument/2006/relationships/hyperlink" Target="https://www.youtube.com/watch?v=GtSbmTRia5Y" TargetMode="External"/><Relationship Id="rId78" Type="http://schemas.openxmlformats.org/officeDocument/2006/relationships/hyperlink" Target="https://www.youtube.com/watch?v=FNqQxPkLmPI" TargetMode="External"/><Relationship Id="rId101" Type="http://schemas.openxmlformats.org/officeDocument/2006/relationships/hyperlink" Target="https://www.youtube.com/watch?v=SrCfhdoTLfg" TargetMode="External"/><Relationship Id="rId143" Type="http://schemas.openxmlformats.org/officeDocument/2006/relationships/hyperlink" Target="https://www.youtube.com/watch?v=OBViSvvLu-s" TargetMode="External"/><Relationship Id="rId185" Type="http://schemas.openxmlformats.org/officeDocument/2006/relationships/hyperlink" Target="https://www.youtube.com/watch?v=MFVzVjuj90E" TargetMode="External"/><Relationship Id="rId350" Type="http://schemas.openxmlformats.org/officeDocument/2006/relationships/hyperlink" Target="https://www.youtube.com/watch?v=5U64D5B9-O0" TargetMode="External"/><Relationship Id="rId406" Type="http://schemas.openxmlformats.org/officeDocument/2006/relationships/hyperlink" Target="https://www.youtube.com/watch?v=yCrftsxElf8" TargetMode="External"/><Relationship Id="rId588" Type="http://schemas.openxmlformats.org/officeDocument/2006/relationships/hyperlink" Target="https://www.youtube.com/watch?v=EfQbirNpLM8" TargetMode="External"/><Relationship Id="rId9" Type="http://schemas.openxmlformats.org/officeDocument/2006/relationships/hyperlink" Target="https://www.youtube.com/watch?v=0_EJXPWJN4E" TargetMode="External"/><Relationship Id="rId210" Type="http://schemas.openxmlformats.org/officeDocument/2006/relationships/hyperlink" Target="https://www.youtube.com/watch?v=gU4jkSa9phY" TargetMode="External"/><Relationship Id="rId392" Type="http://schemas.openxmlformats.org/officeDocument/2006/relationships/hyperlink" Target="https://www.youtube.com/watch?v=J2klGHwzFFo" TargetMode="External"/><Relationship Id="rId448" Type="http://schemas.openxmlformats.org/officeDocument/2006/relationships/hyperlink" Target="https://www.youtube.com/watch?v=2Hmcjz_IH8I" TargetMode="External"/><Relationship Id="rId613" Type="http://schemas.openxmlformats.org/officeDocument/2006/relationships/hyperlink" Target="https://www.youtube.com/watch?v=RfiT3REVHxQ" TargetMode="External"/><Relationship Id="rId655" Type="http://schemas.openxmlformats.org/officeDocument/2006/relationships/hyperlink" Target="https://www.youtube.com/watch?v=_D2sWZSHDqg&amp;t=834s" TargetMode="External"/><Relationship Id="rId697" Type="http://schemas.openxmlformats.org/officeDocument/2006/relationships/hyperlink" Target="https://www.youtube.com/watch?v=OI3nL5YCIO8" TargetMode="External"/><Relationship Id="rId252" Type="http://schemas.openxmlformats.org/officeDocument/2006/relationships/hyperlink" Target="https://www.youtube.com/watch?v=Ow3nJA8fhhQ" TargetMode="External"/><Relationship Id="rId294" Type="http://schemas.openxmlformats.org/officeDocument/2006/relationships/hyperlink" Target="https://www.youtube.com/watch?v=-fhrU0xoCgk" TargetMode="External"/><Relationship Id="rId308" Type="http://schemas.openxmlformats.org/officeDocument/2006/relationships/hyperlink" Target="https://www.youtube.com/watch?v=7JNUG5Lyals" TargetMode="External"/><Relationship Id="rId515" Type="http://schemas.openxmlformats.org/officeDocument/2006/relationships/hyperlink" Target="https://www.youtube.com/watch?v=gPdm-EF13GU" TargetMode="External"/><Relationship Id="rId722" Type="http://schemas.openxmlformats.org/officeDocument/2006/relationships/hyperlink" Target="https://www.youtube.com/watch?v=sEg8fP2ckhI" TargetMode="External"/><Relationship Id="rId47" Type="http://schemas.openxmlformats.org/officeDocument/2006/relationships/hyperlink" Target="https://www.youtube.com/watch?v=K9s433rQloA" TargetMode="External"/><Relationship Id="rId89" Type="http://schemas.openxmlformats.org/officeDocument/2006/relationships/hyperlink" Target="https://www.youtube.com/watch?v=lXmhJr1LDyI" TargetMode="External"/><Relationship Id="rId112" Type="http://schemas.openxmlformats.org/officeDocument/2006/relationships/hyperlink" Target="https://www.youtube.com/watch?v=CtiARMXwI0Q" TargetMode="External"/><Relationship Id="rId154" Type="http://schemas.openxmlformats.org/officeDocument/2006/relationships/hyperlink" Target="https://www.youtube.com/watch?v=vKGL9b0x_K8" TargetMode="External"/><Relationship Id="rId361" Type="http://schemas.openxmlformats.org/officeDocument/2006/relationships/hyperlink" Target="https://www.youtube.com/watch?v=Xml5nVm8bg0" TargetMode="External"/><Relationship Id="rId557" Type="http://schemas.openxmlformats.org/officeDocument/2006/relationships/hyperlink" Target="https://www.youtube.com/watch?v=3dYP3FhD3Po" TargetMode="External"/><Relationship Id="rId599" Type="http://schemas.openxmlformats.org/officeDocument/2006/relationships/hyperlink" Target="https://www.youtube.com/watch?v=MFeGLeUGf6Q" TargetMode="External"/><Relationship Id="rId764" Type="http://schemas.openxmlformats.org/officeDocument/2006/relationships/comments" Target="../comments12.xml"/><Relationship Id="rId196" Type="http://schemas.openxmlformats.org/officeDocument/2006/relationships/hyperlink" Target="https://www.youtube.com/watch?v=yVdcSMOWtxM" TargetMode="External"/><Relationship Id="rId417" Type="http://schemas.openxmlformats.org/officeDocument/2006/relationships/hyperlink" Target="https://www.youtube.com/watch?v=61VsCIaQhX4" TargetMode="External"/><Relationship Id="rId459" Type="http://schemas.openxmlformats.org/officeDocument/2006/relationships/hyperlink" Target="https://www.youtube.com/watch?v=xVrbpqr1LEE" TargetMode="External"/><Relationship Id="rId624" Type="http://schemas.openxmlformats.org/officeDocument/2006/relationships/hyperlink" Target="https://www.youtube.com/watch?v=-pTe3fDFF7U" TargetMode="External"/><Relationship Id="rId666" Type="http://schemas.openxmlformats.org/officeDocument/2006/relationships/hyperlink" Target="https://www.youtube.com/watch?v=sZGlmV--sG4" TargetMode="External"/><Relationship Id="rId16" Type="http://schemas.openxmlformats.org/officeDocument/2006/relationships/hyperlink" Target="https://www.youtube.com/watch?v=NCOKqHoIW7M" TargetMode="External"/><Relationship Id="rId221" Type="http://schemas.openxmlformats.org/officeDocument/2006/relationships/hyperlink" Target="https://www.youtube.com/watch?v=dXkhbNnOMy0" TargetMode="External"/><Relationship Id="rId263" Type="http://schemas.openxmlformats.org/officeDocument/2006/relationships/hyperlink" Target="https://www.youtube.com/watch?v=CouNRYMLDmY" TargetMode="External"/><Relationship Id="rId319" Type="http://schemas.openxmlformats.org/officeDocument/2006/relationships/hyperlink" Target="https://www.youtube.com/watch?v=hbcWYVaowqI" TargetMode="External"/><Relationship Id="rId470" Type="http://schemas.openxmlformats.org/officeDocument/2006/relationships/hyperlink" Target="https://www.youtube.com/watch?v=NNu6sJz2cPI" TargetMode="External"/><Relationship Id="rId526" Type="http://schemas.openxmlformats.org/officeDocument/2006/relationships/hyperlink" Target="https://www.youtube.com/watch?v=GCo89ggyUKw" TargetMode="External"/><Relationship Id="rId58" Type="http://schemas.openxmlformats.org/officeDocument/2006/relationships/hyperlink" Target="https://www.youtube.com/watch?v=xtHzknvaS7s" TargetMode="External"/><Relationship Id="rId123" Type="http://schemas.openxmlformats.org/officeDocument/2006/relationships/hyperlink" Target="https://www.youtube.com/watch?v=vSLKEwGRgbY" TargetMode="External"/><Relationship Id="rId330" Type="http://schemas.openxmlformats.org/officeDocument/2006/relationships/hyperlink" Target="https://www.youtube.com/watch?v=7bZemcM70W0" TargetMode="External"/><Relationship Id="rId568" Type="http://schemas.openxmlformats.org/officeDocument/2006/relationships/hyperlink" Target="https://www.youtube.com/watch?v=tlCqUXsDwDc" TargetMode="External"/><Relationship Id="rId733" Type="http://schemas.openxmlformats.org/officeDocument/2006/relationships/hyperlink" Target="https://www.youtube.com/watch?v=3Pat7agSMJU&amp;t=22s" TargetMode="External"/><Relationship Id="rId165" Type="http://schemas.openxmlformats.org/officeDocument/2006/relationships/hyperlink" Target="https://www.youtube.com/watch?v=8iuVX1AkV_0" TargetMode="External"/><Relationship Id="rId372" Type="http://schemas.openxmlformats.org/officeDocument/2006/relationships/hyperlink" Target="https://www.youtube.com/watch?v=sTYcLqa56Z4" TargetMode="External"/><Relationship Id="rId428" Type="http://schemas.openxmlformats.org/officeDocument/2006/relationships/hyperlink" Target="https://www.youtube.com/watch?v=inpmzGJn2LU" TargetMode="External"/><Relationship Id="rId635" Type="http://schemas.openxmlformats.org/officeDocument/2006/relationships/hyperlink" Target="https://www.youtube.com/watch?v=6KN0GnYv6xQ" TargetMode="External"/><Relationship Id="rId677" Type="http://schemas.openxmlformats.org/officeDocument/2006/relationships/hyperlink" Target="https://www.youtube.com/watch?v=1UnsEQPK3PQ" TargetMode="External"/><Relationship Id="rId232" Type="http://schemas.openxmlformats.org/officeDocument/2006/relationships/hyperlink" Target="https://www.youtube.com/watch?v=Cs9JbmZ0poM" TargetMode="External"/><Relationship Id="rId274" Type="http://schemas.openxmlformats.org/officeDocument/2006/relationships/hyperlink" Target="https://www.youtube.com/watch?v=s1VIjn0qPQg" TargetMode="External"/><Relationship Id="rId481" Type="http://schemas.openxmlformats.org/officeDocument/2006/relationships/hyperlink" Target="https://www.youtube.com/watch?v=EMznloyYysU" TargetMode="External"/><Relationship Id="rId702" Type="http://schemas.openxmlformats.org/officeDocument/2006/relationships/hyperlink" Target="https://www.youtube.com/watch?v=SNpVBfgzPmo" TargetMode="External"/><Relationship Id="rId27" Type="http://schemas.openxmlformats.org/officeDocument/2006/relationships/hyperlink" Target="https://www.youtube.com/watch?v=WsjxXfklatk" TargetMode="External"/><Relationship Id="rId69" Type="http://schemas.openxmlformats.org/officeDocument/2006/relationships/hyperlink" Target="https://www.youtube.com/watch?v=M-zdPqtp9Kk" TargetMode="External"/><Relationship Id="rId134" Type="http://schemas.openxmlformats.org/officeDocument/2006/relationships/hyperlink" Target="https://www.youtube.com/watch?v=3f7b_ZE5B1Y" TargetMode="External"/><Relationship Id="rId537" Type="http://schemas.openxmlformats.org/officeDocument/2006/relationships/hyperlink" Target="https://www.youtube.com/watch?v=Y3j3g76ggFE" TargetMode="External"/><Relationship Id="rId579" Type="http://schemas.openxmlformats.org/officeDocument/2006/relationships/hyperlink" Target="https://www.youtube.com/watch?v=qiir-ZWT6yI" TargetMode="External"/><Relationship Id="rId744" Type="http://schemas.openxmlformats.org/officeDocument/2006/relationships/hyperlink" Target="https://www.youtube.com/watch?v=SPD35eCSgDk" TargetMode="External"/><Relationship Id="rId80" Type="http://schemas.openxmlformats.org/officeDocument/2006/relationships/hyperlink" Target="https://www.youtube.com/watch?v=uDANJcQm-So" TargetMode="External"/><Relationship Id="rId176" Type="http://schemas.openxmlformats.org/officeDocument/2006/relationships/hyperlink" Target="https://www.youtube.com/watch?v=MfzPrOKKZVo" TargetMode="External"/><Relationship Id="rId341" Type="http://schemas.openxmlformats.org/officeDocument/2006/relationships/hyperlink" Target="https://www.youtube.com/watch?v=LkTTH9gGQwA" TargetMode="External"/><Relationship Id="rId383" Type="http://schemas.openxmlformats.org/officeDocument/2006/relationships/hyperlink" Target="https://www.youtube.com/watch?v=VJZ4LARPMJU&amp;t=79s" TargetMode="External"/><Relationship Id="rId439" Type="http://schemas.openxmlformats.org/officeDocument/2006/relationships/hyperlink" Target="https://www.youtube.com/watch?v=o-395A-OrOQ" TargetMode="External"/><Relationship Id="rId590" Type="http://schemas.openxmlformats.org/officeDocument/2006/relationships/hyperlink" Target="https://www.youtube.com/watch?v=6WJO3QlTEpg" TargetMode="External"/><Relationship Id="rId604" Type="http://schemas.openxmlformats.org/officeDocument/2006/relationships/hyperlink" Target="https://www.youtube.com/watch?v=84agoVdaycE" TargetMode="External"/><Relationship Id="rId646" Type="http://schemas.openxmlformats.org/officeDocument/2006/relationships/hyperlink" Target="https://www.youtube.com/watch?v=1Gop0_4D5pE" TargetMode="External"/><Relationship Id="rId201" Type="http://schemas.openxmlformats.org/officeDocument/2006/relationships/hyperlink" Target="https://www.youtube.com/watch?v=ja-cxuo3ugc" TargetMode="External"/><Relationship Id="rId243" Type="http://schemas.openxmlformats.org/officeDocument/2006/relationships/hyperlink" Target="https://www.youtube.com/watch?v=bEc29vVNLOc" TargetMode="External"/><Relationship Id="rId285" Type="http://schemas.openxmlformats.org/officeDocument/2006/relationships/hyperlink" Target="https://www.youtube.com/watch?v=O5i1SD7KFkI" TargetMode="External"/><Relationship Id="rId450" Type="http://schemas.openxmlformats.org/officeDocument/2006/relationships/hyperlink" Target="https://www.youtube.com/watch?v=2U1DVGO8vo4" TargetMode="External"/><Relationship Id="rId506" Type="http://schemas.openxmlformats.org/officeDocument/2006/relationships/hyperlink" Target="https://www.youtube.com/watch?v=v2dy-2T9kRE" TargetMode="External"/><Relationship Id="rId688" Type="http://schemas.openxmlformats.org/officeDocument/2006/relationships/hyperlink" Target="https://www.youtube.com/watch?v=4ZkNnR--tMY" TargetMode="External"/><Relationship Id="rId38" Type="http://schemas.openxmlformats.org/officeDocument/2006/relationships/hyperlink" Target="https://www.youtube.com/watch?v=VeR7IhIkDk0" TargetMode="External"/><Relationship Id="rId103" Type="http://schemas.openxmlformats.org/officeDocument/2006/relationships/hyperlink" Target="https://www.youtube.com/watch?v=NPNImjeRrF8" TargetMode="External"/><Relationship Id="rId310" Type="http://schemas.openxmlformats.org/officeDocument/2006/relationships/hyperlink" Target="https://www.youtube.com/watch?v=2RlQdQoP4mE" TargetMode="External"/><Relationship Id="rId492" Type="http://schemas.openxmlformats.org/officeDocument/2006/relationships/hyperlink" Target="https://www.youtube.com/watch?v=ejkbEib1Otk" TargetMode="External"/><Relationship Id="rId548" Type="http://schemas.openxmlformats.org/officeDocument/2006/relationships/hyperlink" Target="https://www.youtube.com/watch?v=av1BWeMbl1Q" TargetMode="External"/><Relationship Id="rId713" Type="http://schemas.openxmlformats.org/officeDocument/2006/relationships/hyperlink" Target="https://www.youtube.com/watch?v=wKoUB00RmE0" TargetMode="External"/><Relationship Id="rId755" Type="http://schemas.openxmlformats.org/officeDocument/2006/relationships/hyperlink" Target="https://www.youtube.com/watch?v=ahKeSqFT0Nk" TargetMode="External"/><Relationship Id="rId91" Type="http://schemas.openxmlformats.org/officeDocument/2006/relationships/hyperlink" Target="https://www.youtube.com/watch?v=O0wEzvYOTJw" TargetMode="External"/><Relationship Id="rId145" Type="http://schemas.openxmlformats.org/officeDocument/2006/relationships/hyperlink" Target="https://www.youtube.com/watch?v=vdwHHPZwNEo" TargetMode="External"/><Relationship Id="rId187" Type="http://schemas.openxmlformats.org/officeDocument/2006/relationships/hyperlink" Target="https://www.youtube.com/watch?v=zqnotAbf-Cc" TargetMode="External"/><Relationship Id="rId352" Type="http://schemas.openxmlformats.org/officeDocument/2006/relationships/hyperlink" Target="https://www.youtube.com/watch?v=zKr-cYKprD8" TargetMode="External"/><Relationship Id="rId394" Type="http://schemas.openxmlformats.org/officeDocument/2006/relationships/hyperlink" Target="https://www.youtube.com/watch?v=orOA4dPxE98" TargetMode="External"/><Relationship Id="rId408" Type="http://schemas.openxmlformats.org/officeDocument/2006/relationships/hyperlink" Target="https://www.youtube.com/watch?v=AcHVZjv6cAs" TargetMode="External"/><Relationship Id="rId615" Type="http://schemas.openxmlformats.org/officeDocument/2006/relationships/hyperlink" Target="https://www.youtube.com/watch?v=9hi4MG3BU0Y" TargetMode="External"/><Relationship Id="rId212" Type="http://schemas.openxmlformats.org/officeDocument/2006/relationships/hyperlink" Target="https://www.youtube.com/watch?v=zVH1ZOi2_yk" TargetMode="External"/><Relationship Id="rId254" Type="http://schemas.openxmlformats.org/officeDocument/2006/relationships/hyperlink" Target="https://www.youtube.com/watch?v=JNg9hu1QURw" TargetMode="External"/><Relationship Id="rId657" Type="http://schemas.openxmlformats.org/officeDocument/2006/relationships/hyperlink" Target="https://www.youtube.com/watch?v=N6IDjOR1OY0" TargetMode="External"/><Relationship Id="rId699" Type="http://schemas.openxmlformats.org/officeDocument/2006/relationships/hyperlink" Target="https://www.youtube.com/watch?v=vhlPSbFlxPI" TargetMode="External"/><Relationship Id="rId49" Type="http://schemas.openxmlformats.org/officeDocument/2006/relationships/hyperlink" Target="https://www.youtube.com/watch?v=Yhp3rFuo5Cw" TargetMode="External"/><Relationship Id="rId114" Type="http://schemas.openxmlformats.org/officeDocument/2006/relationships/hyperlink" Target="https://www.youtube.com/watch?v=nQhpJFt2KG8" TargetMode="External"/><Relationship Id="rId296" Type="http://schemas.openxmlformats.org/officeDocument/2006/relationships/hyperlink" Target="https://www.youtube.com/watch?v=yZ08CJsgurU" TargetMode="External"/><Relationship Id="rId461" Type="http://schemas.openxmlformats.org/officeDocument/2006/relationships/hyperlink" Target="https://www.youtube.com/watch?v=5HrBZvxcPmY" TargetMode="External"/><Relationship Id="rId517" Type="http://schemas.openxmlformats.org/officeDocument/2006/relationships/hyperlink" Target="https://www.youtube.com/watch?v=wu_ONpNjikY" TargetMode="External"/><Relationship Id="rId559" Type="http://schemas.openxmlformats.org/officeDocument/2006/relationships/hyperlink" Target="https://www.youtube.com/watch?v=07rLdtPRbEE" TargetMode="External"/><Relationship Id="rId724" Type="http://schemas.openxmlformats.org/officeDocument/2006/relationships/hyperlink" Target="https://www.youtube.com/watch?v=Ul-faWS75vA" TargetMode="External"/><Relationship Id="rId60" Type="http://schemas.openxmlformats.org/officeDocument/2006/relationships/hyperlink" Target="https://www.youtube.com/watch?v=sc4OOSLMiQQ" TargetMode="External"/><Relationship Id="rId156" Type="http://schemas.openxmlformats.org/officeDocument/2006/relationships/hyperlink" Target="https://www.youtube.com/watch?v=R7mzbp-9vbk" TargetMode="External"/><Relationship Id="rId198" Type="http://schemas.openxmlformats.org/officeDocument/2006/relationships/hyperlink" Target="https://www.youtube.com/watch?v=L2rJctVLi3M" TargetMode="External"/><Relationship Id="rId321" Type="http://schemas.openxmlformats.org/officeDocument/2006/relationships/hyperlink" Target="https://www.youtube.com/watch?v=fwbLw9W9GC8" TargetMode="External"/><Relationship Id="rId363" Type="http://schemas.openxmlformats.org/officeDocument/2006/relationships/hyperlink" Target="https://www.youtube.com/watch?v=QT3p6iGNrkU" TargetMode="External"/><Relationship Id="rId419" Type="http://schemas.openxmlformats.org/officeDocument/2006/relationships/hyperlink" Target="https://www.youtube.com/watch?v=bF-3L4O8Nq8" TargetMode="External"/><Relationship Id="rId570" Type="http://schemas.openxmlformats.org/officeDocument/2006/relationships/hyperlink" Target="https://www.youtube.com/watch?v=aBwX_u__31I" TargetMode="External"/><Relationship Id="rId626" Type="http://schemas.openxmlformats.org/officeDocument/2006/relationships/hyperlink" Target="https://www.youtube.com/watch?v=b96t52xbmO8" TargetMode="External"/><Relationship Id="rId223" Type="http://schemas.openxmlformats.org/officeDocument/2006/relationships/hyperlink" Target="https://www.youtube.com/watch?v=mLEhBqCBBYE" TargetMode="External"/><Relationship Id="rId430" Type="http://schemas.openxmlformats.org/officeDocument/2006/relationships/hyperlink" Target="https://www.youtube.com/watch?v=aASsLwbe6kY" TargetMode="External"/><Relationship Id="rId668" Type="http://schemas.openxmlformats.org/officeDocument/2006/relationships/hyperlink" Target="https://www.youtube.com/watch?v=EXkq2inhXiw" TargetMode="External"/><Relationship Id="rId18" Type="http://schemas.openxmlformats.org/officeDocument/2006/relationships/hyperlink" Target="https://www.youtube.com/watch?v=0Y3z-QStbk8" TargetMode="External"/><Relationship Id="rId265" Type="http://schemas.openxmlformats.org/officeDocument/2006/relationships/hyperlink" Target="https://www.youtube.com/watch?v=ziCW-l-SXRM" TargetMode="External"/><Relationship Id="rId472" Type="http://schemas.openxmlformats.org/officeDocument/2006/relationships/hyperlink" Target="https://www.youtube.com/watch?v=GiNhw1WJNXc" TargetMode="External"/><Relationship Id="rId528" Type="http://schemas.openxmlformats.org/officeDocument/2006/relationships/hyperlink" Target="https://www.youtube.com/watch?v=aRzq_l_Rmcc" TargetMode="External"/><Relationship Id="rId735" Type="http://schemas.openxmlformats.org/officeDocument/2006/relationships/hyperlink" Target="https://www.youtube.com/watch?v=h4ZgKKlmUl0&amp;t=481s" TargetMode="External"/><Relationship Id="rId125" Type="http://schemas.openxmlformats.org/officeDocument/2006/relationships/hyperlink" Target="https://www.youtube.com/watch?v=qDcBHNXLxdc" TargetMode="External"/><Relationship Id="rId167" Type="http://schemas.openxmlformats.org/officeDocument/2006/relationships/hyperlink" Target="https://www.youtube.com/watch?v=Um1LJAfSPoo" TargetMode="External"/><Relationship Id="rId332" Type="http://schemas.openxmlformats.org/officeDocument/2006/relationships/hyperlink" Target="https://www.youtube.com/watch?v=322EiuTqg7w" TargetMode="External"/><Relationship Id="rId374" Type="http://schemas.openxmlformats.org/officeDocument/2006/relationships/hyperlink" Target="https://www.youtube.com/watch?v=kKbQvD24QPY" TargetMode="External"/><Relationship Id="rId581" Type="http://schemas.openxmlformats.org/officeDocument/2006/relationships/hyperlink" Target="https://www.youtube.com/watch?v=6PUBS8MXVzc" TargetMode="External"/><Relationship Id="rId71" Type="http://schemas.openxmlformats.org/officeDocument/2006/relationships/hyperlink" Target="https://www.youtube.com/watch?v=OpsoPcAUMbw" TargetMode="External"/><Relationship Id="rId234" Type="http://schemas.openxmlformats.org/officeDocument/2006/relationships/hyperlink" Target="https://www.youtube.com/watch?v=QfYz6BBYpWg" TargetMode="External"/><Relationship Id="rId637" Type="http://schemas.openxmlformats.org/officeDocument/2006/relationships/hyperlink" Target="https://www.youtube.com/watch?v=OdRuRzl5pwg" TargetMode="External"/><Relationship Id="rId679" Type="http://schemas.openxmlformats.org/officeDocument/2006/relationships/hyperlink" Target="https://www.youtube.com/watch?v=Lrh5zQHEIk4" TargetMode="External"/><Relationship Id="rId2" Type="http://schemas.openxmlformats.org/officeDocument/2006/relationships/hyperlink" Target="https://www.youtube.com/watch?v=jKuCWHsoXmQ" TargetMode="External"/><Relationship Id="rId29" Type="http://schemas.openxmlformats.org/officeDocument/2006/relationships/hyperlink" Target="https://www.youtube.com/watch?v=C3_6Ub1GnfA" TargetMode="External"/><Relationship Id="rId276" Type="http://schemas.openxmlformats.org/officeDocument/2006/relationships/hyperlink" Target="https://www.youtube.com/watch?v=m9xF54UZFuY" TargetMode="External"/><Relationship Id="rId441" Type="http://schemas.openxmlformats.org/officeDocument/2006/relationships/hyperlink" Target="https://www.youtube.com/watch?v=-JT1qlD0wPQ" TargetMode="External"/><Relationship Id="rId483" Type="http://schemas.openxmlformats.org/officeDocument/2006/relationships/hyperlink" Target="https://www.youtube.com/watch?v=-HWLO-7d98U" TargetMode="External"/><Relationship Id="rId539" Type="http://schemas.openxmlformats.org/officeDocument/2006/relationships/hyperlink" Target="https://www.youtube.com/watch?v=WzACbsbv3Mc" TargetMode="External"/><Relationship Id="rId690" Type="http://schemas.openxmlformats.org/officeDocument/2006/relationships/hyperlink" Target="https://www.youtube.com/watch?v=xAicQnL_abA" TargetMode="External"/><Relationship Id="rId704" Type="http://schemas.openxmlformats.org/officeDocument/2006/relationships/hyperlink" Target="https://www.youtube.com/watch?v=g8GW7DlPr4g" TargetMode="External"/><Relationship Id="rId746" Type="http://schemas.openxmlformats.org/officeDocument/2006/relationships/hyperlink" Target="https://www.youtube.com/watch?v=xCLLCYBg7Zc" TargetMode="External"/><Relationship Id="rId40" Type="http://schemas.openxmlformats.org/officeDocument/2006/relationships/hyperlink" Target="https://www.youtube.com/watch?v=THua8SMPtK4" TargetMode="External"/><Relationship Id="rId136" Type="http://schemas.openxmlformats.org/officeDocument/2006/relationships/hyperlink" Target="https://www.youtube.com/watch?v=hWBzG7eVqVg" TargetMode="External"/><Relationship Id="rId178" Type="http://schemas.openxmlformats.org/officeDocument/2006/relationships/hyperlink" Target="https://www.youtube.com/watch?v=pO9qCeA640E" TargetMode="External"/><Relationship Id="rId301" Type="http://schemas.openxmlformats.org/officeDocument/2006/relationships/hyperlink" Target="https://www.youtube.com/watch?v=fyMRRD_YeRI" TargetMode="External"/><Relationship Id="rId343" Type="http://schemas.openxmlformats.org/officeDocument/2006/relationships/hyperlink" Target="https://www.youtube.com/watch?v=oeJfmsvMRBs" TargetMode="External"/><Relationship Id="rId550" Type="http://schemas.openxmlformats.org/officeDocument/2006/relationships/hyperlink" Target="https://www.youtube.com/watch?v=joPLKP546hk" TargetMode="External"/><Relationship Id="rId82" Type="http://schemas.openxmlformats.org/officeDocument/2006/relationships/hyperlink" Target="https://www.youtube.com/watch?v=4eM5V0OXNNU" TargetMode="External"/><Relationship Id="rId203" Type="http://schemas.openxmlformats.org/officeDocument/2006/relationships/hyperlink" Target="https://www.youtube.com/watch?v=9IzjjqFO5c8" TargetMode="External"/><Relationship Id="rId385" Type="http://schemas.openxmlformats.org/officeDocument/2006/relationships/hyperlink" Target="https://www.youtube.com/watch?v=4fTC0cZiBus" TargetMode="External"/><Relationship Id="rId592" Type="http://schemas.openxmlformats.org/officeDocument/2006/relationships/hyperlink" Target="https://www.youtube.com/watch?v=k8zAYJDE01E" TargetMode="External"/><Relationship Id="rId606" Type="http://schemas.openxmlformats.org/officeDocument/2006/relationships/hyperlink" Target="https://www.youtube.com/watch?v=0gtyqapBB3A" TargetMode="External"/><Relationship Id="rId648" Type="http://schemas.openxmlformats.org/officeDocument/2006/relationships/hyperlink" Target="https://www.youtube.com/watch?v=1P_XO3xfTCs" TargetMode="External"/><Relationship Id="rId245" Type="http://schemas.openxmlformats.org/officeDocument/2006/relationships/hyperlink" Target="https://www.youtube.com/watch?v=3asYCknfoMo" TargetMode="External"/><Relationship Id="rId287" Type="http://schemas.openxmlformats.org/officeDocument/2006/relationships/hyperlink" Target="https://www.youtube.com/watch?v=JbxzX8kwig4" TargetMode="External"/><Relationship Id="rId410" Type="http://schemas.openxmlformats.org/officeDocument/2006/relationships/hyperlink" Target="https://www.youtube.com/watch?v=GDQ-FTObhak" TargetMode="External"/><Relationship Id="rId452" Type="http://schemas.openxmlformats.org/officeDocument/2006/relationships/hyperlink" Target="https://www.youtube.com/watch?v=lJLoAHZxMWE" TargetMode="External"/><Relationship Id="rId494" Type="http://schemas.openxmlformats.org/officeDocument/2006/relationships/hyperlink" Target="https://www.youtube.com/watch?v=9fu_xDvkBMk" TargetMode="External"/><Relationship Id="rId508" Type="http://schemas.openxmlformats.org/officeDocument/2006/relationships/hyperlink" Target="https://www.youtube.com/watch?v=8Fyp5gw_HGc&amp;t=19s" TargetMode="External"/><Relationship Id="rId715" Type="http://schemas.openxmlformats.org/officeDocument/2006/relationships/hyperlink" Target="https://www.youtube.com/watch?v=Ts09Fp7M53k" TargetMode="External"/><Relationship Id="rId105" Type="http://schemas.openxmlformats.org/officeDocument/2006/relationships/hyperlink" Target="https://www.youtube.com/watch?v=8RSu4ymCgp4" TargetMode="External"/><Relationship Id="rId147" Type="http://schemas.openxmlformats.org/officeDocument/2006/relationships/hyperlink" Target="https://www.youtube.com/watch?v=75OFJ9IX4tI" TargetMode="External"/><Relationship Id="rId312" Type="http://schemas.openxmlformats.org/officeDocument/2006/relationships/hyperlink" Target="https://www.youtube.com/watch?v=t5AEphve0P8" TargetMode="External"/><Relationship Id="rId354" Type="http://schemas.openxmlformats.org/officeDocument/2006/relationships/hyperlink" Target="https://www.youtube.com/watch?v=8xbYHg11ROo" TargetMode="External"/><Relationship Id="rId757" Type="http://schemas.openxmlformats.org/officeDocument/2006/relationships/hyperlink" Target="https://www.youtube.com/watch?v=9jjsiAFVdXc" TargetMode="External"/><Relationship Id="rId51" Type="http://schemas.openxmlformats.org/officeDocument/2006/relationships/hyperlink" Target="https://www.youtube.com/watch?v=vHWsmGyjOk0" TargetMode="External"/><Relationship Id="rId93" Type="http://schemas.openxmlformats.org/officeDocument/2006/relationships/hyperlink" Target="https://www.youtube.com/watch?v=VP5gPVW3XDM" TargetMode="External"/><Relationship Id="rId189" Type="http://schemas.openxmlformats.org/officeDocument/2006/relationships/hyperlink" Target="https://www.youtube.com/watch?v=NfO_yqDrGWs" TargetMode="External"/><Relationship Id="rId396" Type="http://schemas.openxmlformats.org/officeDocument/2006/relationships/hyperlink" Target="https://www.youtube.com/watch?v=dlfE6JbvIYI" TargetMode="External"/><Relationship Id="rId561" Type="http://schemas.openxmlformats.org/officeDocument/2006/relationships/hyperlink" Target="https://www.youtube.com/watch?v=Pe53dUS_mHE" TargetMode="External"/><Relationship Id="rId617" Type="http://schemas.openxmlformats.org/officeDocument/2006/relationships/hyperlink" Target="https://www.youtube.com/watch?v=XWeFa6jUiPw" TargetMode="External"/><Relationship Id="rId659" Type="http://schemas.openxmlformats.org/officeDocument/2006/relationships/hyperlink" Target="https://www.youtube.com/watch?v=eQBirhrwc3E" TargetMode="External"/><Relationship Id="rId214" Type="http://schemas.openxmlformats.org/officeDocument/2006/relationships/hyperlink" Target="https://www.youtube.com/watch?v=AOQPqjRx-0c" TargetMode="External"/><Relationship Id="rId256" Type="http://schemas.openxmlformats.org/officeDocument/2006/relationships/hyperlink" Target="https://www.youtube.com/watch?v=xjZO-uNelDI" TargetMode="External"/><Relationship Id="rId298" Type="http://schemas.openxmlformats.org/officeDocument/2006/relationships/hyperlink" Target="https://www.youtube.com/watch?v=p3i_mI87a3E" TargetMode="External"/><Relationship Id="rId421" Type="http://schemas.openxmlformats.org/officeDocument/2006/relationships/hyperlink" Target="https://www.youtube.com/watch?v=KXamV4OZjYs" TargetMode="External"/><Relationship Id="rId463" Type="http://schemas.openxmlformats.org/officeDocument/2006/relationships/hyperlink" Target="https://www.youtube.com/watch?v=9Zummy0j6Ws" TargetMode="External"/><Relationship Id="rId519" Type="http://schemas.openxmlformats.org/officeDocument/2006/relationships/hyperlink" Target="https://www.youtube.com/watch?v=S9RImbEoWYA" TargetMode="External"/><Relationship Id="rId670" Type="http://schemas.openxmlformats.org/officeDocument/2006/relationships/hyperlink" Target="https://www.youtube.com/watch?v=D559dD7btfo" TargetMode="External"/><Relationship Id="rId116" Type="http://schemas.openxmlformats.org/officeDocument/2006/relationships/hyperlink" Target="https://www.youtube.com/watch?v=iFLc0n8RSAA" TargetMode="External"/><Relationship Id="rId158" Type="http://schemas.openxmlformats.org/officeDocument/2006/relationships/hyperlink" Target="https://www.youtube.com/watch?v=5bAuJCTjg8s" TargetMode="External"/><Relationship Id="rId323" Type="http://schemas.openxmlformats.org/officeDocument/2006/relationships/hyperlink" Target="https://www.youtube.com/watch?v=tD7VxQAIPLM" TargetMode="External"/><Relationship Id="rId530" Type="http://schemas.openxmlformats.org/officeDocument/2006/relationships/hyperlink" Target="https://www.youtube.com/watch?v=ozdJ_kTaZcc" TargetMode="External"/><Relationship Id="rId726" Type="http://schemas.openxmlformats.org/officeDocument/2006/relationships/hyperlink" Target="https://www.youtube.com/watch?v=4ej2lqB-kjM" TargetMode="External"/><Relationship Id="rId20" Type="http://schemas.openxmlformats.org/officeDocument/2006/relationships/hyperlink" Target="https://www.youtube.com/watch?v=_IcfDP-ezpo" TargetMode="External"/><Relationship Id="rId62" Type="http://schemas.openxmlformats.org/officeDocument/2006/relationships/hyperlink" Target="https://www.youtube.com/watch?v=s3LVHHEe2vc" TargetMode="External"/><Relationship Id="rId365" Type="http://schemas.openxmlformats.org/officeDocument/2006/relationships/hyperlink" Target="https://www.youtube.com/watch?v=Lg0JLlBHCgA" TargetMode="External"/><Relationship Id="rId572" Type="http://schemas.openxmlformats.org/officeDocument/2006/relationships/hyperlink" Target="https://www.youtube.com/watch?v=KYhdz2LiDLA" TargetMode="External"/><Relationship Id="rId628" Type="http://schemas.openxmlformats.org/officeDocument/2006/relationships/hyperlink" Target="https://www.youtube.com/watch?v=LAZPY_rTJLU" TargetMode="External"/><Relationship Id="rId225" Type="http://schemas.openxmlformats.org/officeDocument/2006/relationships/hyperlink" Target="https://www.youtube.com/watch?v=kmJLZRzZhUA" TargetMode="External"/><Relationship Id="rId267" Type="http://schemas.openxmlformats.org/officeDocument/2006/relationships/hyperlink" Target="https://www.youtube.com/watch?v=hH3jbt-s4aY" TargetMode="External"/><Relationship Id="rId432" Type="http://schemas.openxmlformats.org/officeDocument/2006/relationships/hyperlink" Target="https://www.youtube.com/watch?v=PWZrF-TGsWo" TargetMode="External"/><Relationship Id="rId474" Type="http://schemas.openxmlformats.org/officeDocument/2006/relationships/hyperlink" Target="https://www.youtube.com/watch?v=gF2CbaL7t6g" TargetMode="External"/><Relationship Id="rId127" Type="http://schemas.openxmlformats.org/officeDocument/2006/relationships/hyperlink" Target="https://www.youtube.com/watch?v=UrWQfScMALY" TargetMode="External"/><Relationship Id="rId681" Type="http://schemas.openxmlformats.org/officeDocument/2006/relationships/hyperlink" Target="https://www.youtube.com/watch?v=RJSsEA6fpJE" TargetMode="External"/><Relationship Id="rId737" Type="http://schemas.openxmlformats.org/officeDocument/2006/relationships/hyperlink" Target="https://www.youtube.com/watch?v=aPfBxS4huSc" TargetMode="External"/><Relationship Id="rId31" Type="http://schemas.openxmlformats.org/officeDocument/2006/relationships/hyperlink" Target="https://www.youtube.com/watch?v=elqL0Sr_sVU" TargetMode="External"/><Relationship Id="rId73" Type="http://schemas.openxmlformats.org/officeDocument/2006/relationships/hyperlink" Target="https://www.youtube.com/watch?v=MlTxtaiX1xI" TargetMode="External"/><Relationship Id="rId169" Type="http://schemas.openxmlformats.org/officeDocument/2006/relationships/hyperlink" Target="https://www.youtube.com/watch?v=Z7B5IZZhoAI" TargetMode="External"/><Relationship Id="rId334" Type="http://schemas.openxmlformats.org/officeDocument/2006/relationships/hyperlink" Target="https://www.youtube.com/watch?v=3eTjsY7w5kM" TargetMode="External"/><Relationship Id="rId376" Type="http://schemas.openxmlformats.org/officeDocument/2006/relationships/hyperlink" Target="https://www.youtube.com/watch?v=wzPkggokfLg" TargetMode="External"/><Relationship Id="rId541" Type="http://schemas.openxmlformats.org/officeDocument/2006/relationships/hyperlink" Target="https://www.youtube.com/watch?v=a30EnICYBUA" TargetMode="External"/><Relationship Id="rId583" Type="http://schemas.openxmlformats.org/officeDocument/2006/relationships/hyperlink" Target="https://www.youtube.com/watch?v=vTz9mFEgYQU" TargetMode="External"/><Relationship Id="rId639" Type="http://schemas.openxmlformats.org/officeDocument/2006/relationships/hyperlink" Target="https://www.youtube.com/watch?v=p08RUDejFXs" TargetMode="External"/><Relationship Id="rId4" Type="http://schemas.openxmlformats.org/officeDocument/2006/relationships/hyperlink" Target="https://www.youtube.com/watch?v=FytdS2vMJfU" TargetMode="External"/><Relationship Id="rId180" Type="http://schemas.openxmlformats.org/officeDocument/2006/relationships/hyperlink" Target="https://www.youtube.com/watch?v=MBzty84VgRo" TargetMode="External"/><Relationship Id="rId236" Type="http://schemas.openxmlformats.org/officeDocument/2006/relationships/hyperlink" Target="https://www.youtube.com/watch?v=iY88UCitwGY" TargetMode="External"/><Relationship Id="rId278" Type="http://schemas.openxmlformats.org/officeDocument/2006/relationships/hyperlink" Target="https://www.youtube.com/watch?v=w5KPpzfrQQY" TargetMode="External"/><Relationship Id="rId401" Type="http://schemas.openxmlformats.org/officeDocument/2006/relationships/hyperlink" Target="https://www.youtube.com/watch?v=w1UAQGgnz4A" TargetMode="External"/><Relationship Id="rId443" Type="http://schemas.openxmlformats.org/officeDocument/2006/relationships/hyperlink" Target="https://www.youtube.com/watch?v=adov37an6hU" TargetMode="External"/><Relationship Id="rId650" Type="http://schemas.openxmlformats.org/officeDocument/2006/relationships/hyperlink" Target="https://www.youtube.com/watch?v=F2WG7neA31s" TargetMode="External"/><Relationship Id="rId303" Type="http://schemas.openxmlformats.org/officeDocument/2006/relationships/hyperlink" Target="https://www.youtube.com/watch?v=tBf6vZKjL9w" TargetMode="External"/><Relationship Id="rId485" Type="http://schemas.openxmlformats.org/officeDocument/2006/relationships/hyperlink" Target="https://www.youtube.com/watch?v=pIn71L7Kv9Q" TargetMode="External"/><Relationship Id="rId692" Type="http://schemas.openxmlformats.org/officeDocument/2006/relationships/hyperlink" Target="https://www.youtube.com/watch?v=qqDl6coS7wg" TargetMode="External"/><Relationship Id="rId706" Type="http://schemas.openxmlformats.org/officeDocument/2006/relationships/hyperlink" Target="https://www.youtube.com/watch?v=DMReaVWJGFE" TargetMode="External"/><Relationship Id="rId748" Type="http://schemas.openxmlformats.org/officeDocument/2006/relationships/hyperlink" Target="https://www.youtube.com/watch?v=wfQX8QWcWgI" TargetMode="External"/><Relationship Id="rId42" Type="http://schemas.openxmlformats.org/officeDocument/2006/relationships/hyperlink" Target="https://www.youtube.com/watch?v=LXrKKz7Mld8" TargetMode="External"/><Relationship Id="rId84" Type="http://schemas.openxmlformats.org/officeDocument/2006/relationships/hyperlink" Target="https://www.youtube.com/watch?v=3pxgnl2fHZg" TargetMode="External"/><Relationship Id="rId138" Type="http://schemas.openxmlformats.org/officeDocument/2006/relationships/hyperlink" Target="https://www.youtube.com/watch?v=qd7yTtTb_Fc" TargetMode="External"/><Relationship Id="rId345" Type="http://schemas.openxmlformats.org/officeDocument/2006/relationships/hyperlink" Target="https://www.youtube.com/watch?v=Cv8kec-TugY" TargetMode="External"/><Relationship Id="rId387" Type="http://schemas.openxmlformats.org/officeDocument/2006/relationships/hyperlink" Target="https://www.youtube.com/watch?v=Ly_KKukp01g" TargetMode="External"/><Relationship Id="rId510" Type="http://schemas.openxmlformats.org/officeDocument/2006/relationships/hyperlink" Target="https://www.youtube.com/watch?v=ll-fhgVbj1I" TargetMode="External"/><Relationship Id="rId552" Type="http://schemas.openxmlformats.org/officeDocument/2006/relationships/hyperlink" Target="https://www.youtube.com/watch?v=N1wkN3CKqHY" TargetMode="External"/><Relationship Id="rId594" Type="http://schemas.openxmlformats.org/officeDocument/2006/relationships/hyperlink" Target="https://www.youtube.com/watch?v=B3K5KRgT0oE" TargetMode="External"/><Relationship Id="rId608" Type="http://schemas.openxmlformats.org/officeDocument/2006/relationships/hyperlink" Target="https://www.youtube.com/watch?v=DrTFGS7SoCg" TargetMode="External"/><Relationship Id="rId191" Type="http://schemas.openxmlformats.org/officeDocument/2006/relationships/hyperlink" Target="https://www.youtube.com/watch?v=0-LZkVdXTnc" TargetMode="External"/><Relationship Id="rId205" Type="http://schemas.openxmlformats.org/officeDocument/2006/relationships/hyperlink" Target="https://www.youtube.com/watch?v=XeCuvEX-tow" TargetMode="External"/><Relationship Id="rId247" Type="http://schemas.openxmlformats.org/officeDocument/2006/relationships/hyperlink" Target="https://www.youtube.com/watch?v=TbQkh6axHEM" TargetMode="External"/><Relationship Id="rId412" Type="http://schemas.openxmlformats.org/officeDocument/2006/relationships/hyperlink" Target="https://www.youtube.com/watch?v=OAcu0ZHtcXc" TargetMode="External"/><Relationship Id="rId107" Type="http://schemas.openxmlformats.org/officeDocument/2006/relationships/hyperlink" Target="https://www.youtube.com/watch?v=k_PhmmAyLFg" TargetMode="External"/><Relationship Id="rId289" Type="http://schemas.openxmlformats.org/officeDocument/2006/relationships/hyperlink" Target="https://www.youtube.com/watch?v=0-Ishanuvj8" TargetMode="External"/><Relationship Id="rId454" Type="http://schemas.openxmlformats.org/officeDocument/2006/relationships/hyperlink" Target="https://www.youtube.com/watch?v=t5tjD9qq-98" TargetMode="External"/><Relationship Id="rId496" Type="http://schemas.openxmlformats.org/officeDocument/2006/relationships/hyperlink" Target="https://www.youtube.com/watch?v=C-AklzjB96w" TargetMode="External"/><Relationship Id="rId661" Type="http://schemas.openxmlformats.org/officeDocument/2006/relationships/hyperlink" Target="https://www.youtube.com/watch?v=JjtvU2xQpaQ" TargetMode="External"/><Relationship Id="rId717" Type="http://schemas.openxmlformats.org/officeDocument/2006/relationships/hyperlink" Target="https://www.youtube.com/watch?v=1wYg5d-4aVg" TargetMode="External"/><Relationship Id="rId759" Type="http://schemas.openxmlformats.org/officeDocument/2006/relationships/hyperlink" Target="https://www.youtube.com/watch?v=79r5KYH0nBI" TargetMode="External"/><Relationship Id="rId11" Type="http://schemas.openxmlformats.org/officeDocument/2006/relationships/hyperlink" Target="https://www.youtube.com/watch?v=jMgGGixmfus" TargetMode="External"/><Relationship Id="rId53" Type="http://schemas.openxmlformats.org/officeDocument/2006/relationships/hyperlink" Target="https://www.youtube.com/watch?v=f-MLHIb4dFU" TargetMode="External"/><Relationship Id="rId149" Type="http://schemas.openxmlformats.org/officeDocument/2006/relationships/hyperlink" Target="https://www.youtube.com/watch?v=cKIAV15AZcI" TargetMode="External"/><Relationship Id="rId314" Type="http://schemas.openxmlformats.org/officeDocument/2006/relationships/hyperlink" Target="https://www.youtube.com/watch?v=Iimv8qJijTE" TargetMode="External"/><Relationship Id="rId356" Type="http://schemas.openxmlformats.org/officeDocument/2006/relationships/hyperlink" Target="https://www.youtube.com/watch?v=JkoZriLo3fA" TargetMode="External"/><Relationship Id="rId398" Type="http://schemas.openxmlformats.org/officeDocument/2006/relationships/hyperlink" Target="https://www.youtube.com/watch?v=cUULt5zHp0k" TargetMode="External"/><Relationship Id="rId521" Type="http://schemas.openxmlformats.org/officeDocument/2006/relationships/hyperlink" Target="https://www.youtube.com/watch?v=EfHkupTL5wU" TargetMode="External"/><Relationship Id="rId563" Type="http://schemas.openxmlformats.org/officeDocument/2006/relationships/hyperlink" Target="https://www.youtube.com/watch?v=NaCx35vC5wg" TargetMode="External"/><Relationship Id="rId619" Type="http://schemas.openxmlformats.org/officeDocument/2006/relationships/hyperlink" Target="https://www.youtube.com/watch?v=SNAHZpRl3go" TargetMode="External"/><Relationship Id="rId95" Type="http://schemas.openxmlformats.org/officeDocument/2006/relationships/hyperlink" Target="https://www.youtube.com/watch?v=fjD9BVlmPoA" TargetMode="External"/><Relationship Id="rId160" Type="http://schemas.openxmlformats.org/officeDocument/2006/relationships/hyperlink" Target="https://www.youtube.com/watch?v=4h6drLmYTr8" TargetMode="External"/><Relationship Id="rId216" Type="http://schemas.openxmlformats.org/officeDocument/2006/relationships/hyperlink" Target="https://www.youtube.com/watch?v=9ScY3DQ8lnM" TargetMode="External"/><Relationship Id="rId423" Type="http://schemas.openxmlformats.org/officeDocument/2006/relationships/hyperlink" Target="https://www.youtube.com/watch?v=G6rcMSQ1UVE" TargetMode="External"/><Relationship Id="rId258" Type="http://schemas.openxmlformats.org/officeDocument/2006/relationships/hyperlink" Target="https://www.youtube.com/watch?v=_Anq0CTYGt8" TargetMode="External"/><Relationship Id="rId465" Type="http://schemas.openxmlformats.org/officeDocument/2006/relationships/hyperlink" Target="https://www.youtube.com/watch?v=ZwiLQGKP--A" TargetMode="External"/><Relationship Id="rId630" Type="http://schemas.openxmlformats.org/officeDocument/2006/relationships/hyperlink" Target="https://www.youtube.com/watch?v=lnII4AH2rHw" TargetMode="External"/><Relationship Id="rId672" Type="http://schemas.openxmlformats.org/officeDocument/2006/relationships/hyperlink" Target="https://www.youtube.com/watch?v=kvEIBfEnwXM" TargetMode="External"/><Relationship Id="rId728" Type="http://schemas.openxmlformats.org/officeDocument/2006/relationships/hyperlink" Target="https://www.youtube.com/watch?v=5IYA6g6rNW0" TargetMode="External"/><Relationship Id="rId22" Type="http://schemas.openxmlformats.org/officeDocument/2006/relationships/hyperlink" Target="https://www.youtube.com/watch?v=Uq2PJjcHiqI" TargetMode="External"/><Relationship Id="rId64" Type="http://schemas.openxmlformats.org/officeDocument/2006/relationships/hyperlink" Target="https://www.youtube.com/watch?v=ytrFjytVgtk" TargetMode="External"/><Relationship Id="rId118" Type="http://schemas.openxmlformats.org/officeDocument/2006/relationships/hyperlink" Target="https://www.youtube.com/watch?v=vnw9dW2QgYk" TargetMode="External"/><Relationship Id="rId325" Type="http://schemas.openxmlformats.org/officeDocument/2006/relationships/hyperlink" Target="https://www.youtube.com/watch?v=sdUuukDpj9s" TargetMode="External"/><Relationship Id="rId367" Type="http://schemas.openxmlformats.org/officeDocument/2006/relationships/hyperlink" Target="https://www.youtube.com/watch?v=xA9TKhOjY24" TargetMode="External"/><Relationship Id="rId532" Type="http://schemas.openxmlformats.org/officeDocument/2006/relationships/hyperlink" Target="https://www.youtube.com/watch?v=_nyKGkDh6WM" TargetMode="External"/><Relationship Id="rId574" Type="http://schemas.openxmlformats.org/officeDocument/2006/relationships/hyperlink" Target="https://www.youtube.com/watch?v=bGDeGR7DrFw" TargetMode="External"/><Relationship Id="rId171" Type="http://schemas.openxmlformats.org/officeDocument/2006/relationships/hyperlink" Target="https://www.youtube.com/watch?v=fQxUVyFqzpA" TargetMode="External"/><Relationship Id="rId227" Type="http://schemas.openxmlformats.org/officeDocument/2006/relationships/hyperlink" Target="https://www.youtube.com/watch?v=v6x52noLJOo" TargetMode="External"/><Relationship Id="rId269" Type="http://schemas.openxmlformats.org/officeDocument/2006/relationships/hyperlink" Target="https://www.youtube.com/watch?v=yYhGJH2NjBA" TargetMode="External"/><Relationship Id="rId434" Type="http://schemas.openxmlformats.org/officeDocument/2006/relationships/hyperlink" Target="https://www.youtube.com/watch?v=6aJLKt2nXsg" TargetMode="External"/><Relationship Id="rId476" Type="http://schemas.openxmlformats.org/officeDocument/2006/relationships/hyperlink" Target="https://www.youtube.com/watch?v=AB0KeX_0T2I" TargetMode="External"/><Relationship Id="rId641" Type="http://schemas.openxmlformats.org/officeDocument/2006/relationships/hyperlink" Target="https://www.youtube.com/watch?v=Iz3TO-dXkSI" TargetMode="External"/><Relationship Id="rId683" Type="http://schemas.openxmlformats.org/officeDocument/2006/relationships/hyperlink" Target="https://www.youtube.com/watch?v=_CKZQa18hcY" TargetMode="External"/><Relationship Id="rId739" Type="http://schemas.openxmlformats.org/officeDocument/2006/relationships/hyperlink" Target="https://www.youtube.com/watch?v=qIQN0DtO2Z8" TargetMode="External"/><Relationship Id="rId33" Type="http://schemas.openxmlformats.org/officeDocument/2006/relationships/hyperlink" Target="https://www.youtube.com/watch?v=BEz8X5SUwjY" TargetMode="External"/><Relationship Id="rId129" Type="http://schemas.openxmlformats.org/officeDocument/2006/relationships/hyperlink" Target="https://www.youtube.com/watch?v=08Xwx9vsy6w" TargetMode="External"/><Relationship Id="rId280" Type="http://schemas.openxmlformats.org/officeDocument/2006/relationships/hyperlink" Target="https://www.youtube.com/watch?v=1GLaXQ6Rgcg" TargetMode="External"/><Relationship Id="rId336" Type="http://schemas.openxmlformats.org/officeDocument/2006/relationships/hyperlink" Target="https://www.youtube.com/watch?v=gtDa8NLyc74" TargetMode="External"/><Relationship Id="rId501" Type="http://schemas.openxmlformats.org/officeDocument/2006/relationships/hyperlink" Target="https://www.youtube.com/watch?v=udY03G3fVJQ" TargetMode="External"/><Relationship Id="rId543" Type="http://schemas.openxmlformats.org/officeDocument/2006/relationships/hyperlink" Target="https://www.youtube.com/watch?v=w1panKQ58dU" TargetMode="External"/><Relationship Id="rId75" Type="http://schemas.openxmlformats.org/officeDocument/2006/relationships/hyperlink" Target="https://www.youtube.com/watch?v=YFmL65VsWdk" TargetMode="External"/><Relationship Id="rId140" Type="http://schemas.openxmlformats.org/officeDocument/2006/relationships/hyperlink" Target="https://www.youtube.com/watch?v=agP31XI_FxA" TargetMode="External"/><Relationship Id="rId182" Type="http://schemas.openxmlformats.org/officeDocument/2006/relationships/hyperlink" Target="https://www.youtube.com/watch?v=nCmJgIvSqfU" TargetMode="External"/><Relationship Id="rId378" Type="http://schemas.openxmlformats.org/officeDocument/2006/relationships/hyperlink" Target="https://www.youtube.com/watch?v=0DBc4TKwgDc" TargetMode="External"/><Relationship Id="rId403" Type="http://schemas.openxmlformats.org/officeDocument/2006/relationships/hyperlink" Target="https://www.youtube.com/watch?v=JcNaFHIozC4" TargetMode="External"/><Relationship Id="rId585" Type="http://schemas.openxmlformats.org/officeDocument/2006/relationships/hyperlink" Target="https://www.youtube.com/watch?v=nUfn2eRsHgo" TargetMode="External"/><Relationship Id="rId750" Type="http://schemas.openxmlformats.org/officeDocument/2006/relationships/hyperlink" Target="https://www.youtube.com/watch?v=Bx9ffGtMMxo" TargetMode="External"/><Relationship Id="rId6" Type="http://schemas.openxmlformats.org/officeDocument/2006/relationships/hyperlink" Target="https://www.youtube.com/watch?v=WU456HIXN5U" TargetMode="External"/><Relationship Id="rId238" Type="http://schemas.openxmlformats.org/officeDocument/2006/relationships/hyperlink" Target="https://www.youtube.com/watch?v=DoYL7K2djDY" TargetMode="External"/><Relationship Id="rId445" Type="http://schemas.openxmlformats.org/officeDocument/2006/relationships/hyperlink" Target="https://www.youtube.com/watch?v=a_HGSrmF_8w" TargetMode="External"/><Relationship Id="rId487" Type="http://schemas.openxmlformats.org/officeDocument/2006/relationships/hyperlink" Target="https://www.youtube.com/watch?v=ZhuUYD3QvB8" TargetMode="External"/><Relationship Id="rId610" Type="http://schemas.openxmlformats.org/officeDocument/2006/relationships/hyperlink" Target="https://www.youtube.com/watch?v=1jVMegap8Ws" TargetMode="External"/><Relationship Id="rId652" Type="http://schemas.openxmlformats.org/officeDocument/2006/relationships/hyperlink" Target="https://www.youtube.com/watch?v=mcxquOK_mY8" TargetMode="External"/><Relationship Id="rId694" Type="http://schemas.openxmlformats.org/officeDocument/2006/relationships/hyperlink" Target="https://www.youtube.com/watch?v=gtJ9OzJIB_c" TargetMode="External"/><Relationship Id="rId708" Type="http://schemas.openxmlformats.org/officeDocument/2006/relationships/hyperlink" Target="https://www.youtube.com/watch?v=KCUZ6hBgxc0" TargetMode="External"/><Relationship Id="rId291" Type="http://schemas.openxmlformats.org/officeDocument/2006/relationships/hyperlink" Target="https://www.youtube.com/watch?v=NQUbNykwFG4" TargetMode="External"/><Relationship Id="rId305" Type="http://schemas.openxmlformats.org/officeDocument/2006/relationships/hyperlink" Target="https://www.youtube.com/watch?v=0DzUUFbFZHs" TargetMode="External"/><Relationship Id="rId347" Type="http://schemas.openxmlformats.org/officeDocument/2006/relationships/hyperlink" Target="https://www.youtube.com/watch?v=spEEA-o1zlE" TargetMode="External"/><Relationship Id="rId512" Type="http://schemas.openxmlformats.org/officeDocument/2006/relationships/hyperlink" Target="https://www.youtube.com/watch?v=NMCXHN1fW9k" TargetMode="External"/><Relationship Id="rId44" Type="http://schemas.openxmlformats.org/officeDocument/2006/relationships/hyperlink" Target="https://www.youtube.com/watch?v=rNhQIKC2jPM" TargetMode="External"/><Relationship Id="rId86" Type="http://schemas.openxmlformats.org/officeDocument/2006/relationships/hyperlink" Target="https://www.youtube.com/watch?v=z1wT-GurohQ" TargetMode="External"/><Relationship Id="rId151" Type="http://schemas.openxmlformats.org/officeDocument/2006/relationships/hyperlink" Target="https://www.youtube.com/watch?v=T0iutxik1Eg" TargetMode="External"/><Relationship Id="rId389" Type="http://schemas.openxmlformats.org/officeDocument/2006/relationships/hyperlink" Target="https://www.youtube.com/watch?v=xjoBDX3u1Ys" TargetMode="External"/><Relationship Id="rId554" Type="http://schemas.openxmlformats.org/officeDocument/2006/relationships/hyperlink" Target="https://www.youtube.com/watch?v=eVhJjqlSE8s" TargetMode="External"/><Relationship Id="rId596" Type="http://schemas.openxmlformats.org/officeDocument/2006/relationships/hyperlink" Target="https://www.youtube.com/watch?v=SmB_GUlrfzk" TargetMode="External"/><Relationship Id="rId761" Type="http://schemas.openxmlformats.org/officeDocument/2006/relationships/drawing" Target="../drawings/drawing12.xml"/><Relationship Id="rId193" Type="http://schemas.openxmlformats.org/officeDocument/2006/relationships/hyperlink" Target="https://www.youtube.com/watch?v=pAHRrR6eeDU" TargetMode="External"/><Relationship Id="rId207" Type="http://schemas.openxmlformats.org/officeDocument/2006/relationships/hyperlink" Target="https://www.youtube.com/watch?v=t63m6GCrKbw" TargetMode="External"/><Relationship Id="rId249" Type="http://schemas.openxmlformats.org/officeDocument/2006/relationships/hyperlink" Target="https://www.youtube.com/watch?v=jaw4U_s24zo" TargetMode="External"/><Relationship Id="rId414" Type="http://schemas.openxmlformats.org/officeDocument/2006/relationships/hyperlink" Target="https://www.youtube.com/watch?v=_VfaX30ncIU" TargetMode="External"/><Relationship Id="rId456" Type="http://schemas.openxmlformats.org/officeDocument/2006/relationships/hyperlink" Target="https://www.youtube.com/watch?v=tpUBWJjtzrA" TargetMode="External"/><Relationship Id="rId498" Type="http://schemas.openxmlformats.org/officeDocument/2006/relationships/hyperlink" Target="https://www.youtube.com/watch?v=5XqO9FCH3Xk" TargetMode="External"/><Relationship Id="rId621" Type="http://schemas.openxmlformats.org/officeDocument/2006/relationships/hyperlink" Target="https://www.youtube.com/watch?v=Vrv16kSoTLQ" TargetMode="External"/><Relationship Id="rId663" Type="http://schemas.openxmlformats.org/officeDocument/2006/relationships/hyperlink" Target="https://www.youtube.com/watch?v=strZVEaixcs" TargetMode="External"/><Relationship Id="rId13" Type="http://schemas.openxmlformats.org/officeDocument/2006/relationships/hyperlink" Target="https://www.youtube.com/watch?v=KVDRl_wLqdM" TargetMode="External"/><Relationship Id="rId109" Type="http://schemas.openxmlformats.org/officeDocument/2006/relationships/hyperlink" Target="https://www.youtube.com/watch?v=Vf5BOYF0S3Y" TargetMode="External"/><Relationship Id="rId260" Type="http://schemas.openxmlformats.org/officeDocument/2006/relationships/hyperlink" Target="https://www.youtube.com/watch?v=qGie_-i1j6o" TargetMode="External"/><Relationship Id="rId316" Type="http://schemas.openxmlformats.org/officeDocument/2006/relationships/hyperlink" Target="https://www.youtube.com/watch?v=jB9efRnouaI" TargetMode="External"/><Relationship Id="rId523" Type="http://schemas.openxmlformats.org/officeDocument/2006/relationships/hyperlink" Target="https://www.youtube.com/watch?v=uTyoGVNa7FA" TargetMode="External"/><Relationship Id="rId719" Type="http://schemas.openxmlformats.org/officeDocument/2006/relationships/hyperlink" Target="https://www.youtube.com/watch?v=Owv0FewW5Bo" TargetMode="External"/><Relationship Id="rId55" Type="http://schemas.openxmlformats.org/officeDocument/2006/relationships/hyperlink" Target="https://www.youtube.com/watch?v=QWaXqmcxm94" TargetMode="External"/><Relationship Id="rId97" Type="http://schemas.openxmlformats.org/officeDocument/2006/relationships/hyperlink" Target="https://www.youtube.com/watch?v=schP-IZS5Sw" TargetMode="External"/><Relationship Id="rId120" Type="http://schemas.openxmlformats.org/officeDocument/2006/relationships/hyperlink" Target="https://www.youtube.com/watch?v=nbZhVwfCRMU" TargetMode="External"/><Relationship Id="rId358" Type="http://schemas.openxmlformats.org/officeDocument/2006/relationships/hyperlink" Target="https://www.youtube.com/watch?v=wKE7d6nLsDM" TargetMode="External"/><Relationship Id="rId565" Type="http://schemas.openxmlformats.org/officeDocument/2006/relationships/hyperlink" Target="https://www.youtube.com/watch?v=4VaCcFKHkSY" TargetMode="External"/><Relationship Id="rId730" Type="http://schemas.openxmlformats.org/officeDocument/2006/relationships/hyperlink" Target="https://www.youtube.com/watch?v=s9g49kgd9ao" TargetMode="External"/><Relationship Id="rId162" Type="http://schemas.openxmlformats.org/officeDocument/2006/relationships/hyperlink" Target="https://www.youtube.com/watch?v=Y1SUVA0PU1o" TargetMode="External"/><Relationship Id="rId218" Type="http://schemas.openxmlformats.org/officeDocument/2006/relationships/hyperlink" Target="https://www.youtube.com/watch?v=2p91-Fy5A6Q" TargetMode="External"/><Relationship Id="rId425" Type="http://schemas.openxmlformats.org/officeDocument/2006/relationships/hyperlink" Target="https://www.youtube.com/watch?v=zV5AbsAy5m4" TargetMode="External"/><Relationship Id="rId467" Type="http://schemas.openxmlformats.org/officeDocument/2006/relationships/hyperlink" Target="https://www.youtube.com/watch?v=ohUG8LIy7Cs" TargetMode="External"/><Relationship Id="rId632" Type="http://schemas.openxmlformats.org/officeDocument/2006/relationships/hyperlink" Target="https://www.youtube.com/watch?v=_zmgXM40afU" TargetMode="External"/><Relationship Id="rId271" Type="http://schemas.openxmlformats.org/officeDocument/2006/relationships/hyperlink" Target="https://www.youtube.com/watch?v=k6dsew1B6SE" TargetMode="External"/><Relationship Id="rId674" Type="http://schemas.openxmlformats.org/officeDocument/2006/relationships/hyperlink" Target="https://www.youtube.com/watch?v=vB9JqlUiYUk" TargetMode="External"/><Relationship Id="rId24" Type="http://schemas.openxmlformats.org/officeDocument/2006/relationships/hyperlink" Target="https://www.youtube.com/watch?v=LdrmgXtd_rs" TargetMode="External"/><Relationship Id="rId66" Type="http://schemas.openxmlformats.org/officeDocument/2006/relationships/hyperlink" Target="https://www.youtube.com/watch?v=mhHQNrL_bkM" TargetMode="External"/><Relationship Id="rId131" Type="http://schemas.openxmlformats.org/officeDocument/2006/relationships/hyperlink" Target="https://www.youtube.com/watch?v=SS0UQNsxhus" TargetMode="External"/><Relationship Id="rId327" Type="http://schemas.openxmlformats.org/officeDocument/2006/relationships/hyperlink" Target="https://www.youtube.com/watch?v=WkR5PD16sCg" TargetMode="External"/><Relationship Id="rId369" Type="http://schemas.openxmlformats.org/officeDocument/2006/relationships/hyperlink" Target="https://www.youtube.com/watch?v=qY5oQOirve4" TargetMode="External"/><Relationship Id="rId534" Type="http://schemas.openxmlformats.org/officeDocument/2006/relationships/hyperlink" Target="https://www.youtube.com/watch?v=74BW9K7eGtY&amp;t=21s" TargetMode="External"/><Relationship Id="rId576" Type="http://schemas.openxmlformats.org/officeDocument/2006/relationships/hyperlink" Target="https://www.youtube.com/watch?v=Kfvmj7QyAfQ" TargetMode="External"/><Relationship Id="rId741" Type="http://schemas.openxmlformats.org/officeDocument/2006/relationships/hyperlink" Target="https://www.youtube.com/watch?v=ZyApm_PJ-W8&amp;t=65s" TargetMode="External"/><Relationship Id="rId173" Type="http://schemas.openxmlformats.org/officeDocument/2006/relationships/hyperlink" Target="https://www.youtube.com/watch?v=2Ew9deAuPwU" TargetMode="External"/><Relationship Id="rId229" Type="http://schemas.openxmlformats.org/officeDocument/2006/relationships/hyperlink" Target="https://www.youtube.com/watch?v=7RTlRYpr7o8" TargetMode="External"/><Relationship Id="rId380" Type="http://schemas.openxmlformats.org/officeDocument/2006/relationships/hyperlink" Target="https://www.youtube.com/watch?v=FQmwAFcJSpw" TargetMode="External"/><Relationship Id="rId436" Type="http://schemas.openxmlformats.org/officeDocument/2006/relationships/hyperlink" Target="https://www.youtube.com/watch?v=txsij6WXt8s" TargetMode="External"/><Relationship Id="rId601" Type="http://schemas.openxmlformats.org/officeDocument/2006/relationships/hyperlink" Target="https://www.youtube.com/watch?v=ZoDHsv06lNI" TargetMode="External"/><Relationship Id="rId643" Type="http://schemas.openxmlformats.org/officeDocument/2006/relationships/hyperlink" Target="https://www.youtube.com/watch?v=0cvq3rbQ7Dw" TargetMode="External"/><Relationship Id="rId240" Type="http://schemas.openxmlformats.org/officeDocument/2006/relationships/hyperlink" Target="https://www.youtube.com/watch?v=QPVDHJcsv5U" TargetMode="External"/><Relationship Id="rId478" Type="http://schemas.openxmlformats.org/officeDocument/2006/relationships/hyperlink" Target="https://www.youtube.com/watch?v=Hqx5Pfe-4NI" TargetMode="External"/><Relationship Id="rId685" Type="http://schemas.openxmlformats.org/officeDocument/2006/relationships/hyperlink" Target="https://www.youtube.com/watch?v=lkO1JaN7BoQ" TargetMode="External"/><Relationship Id="rId35" Type="http://schemas.openxmlformats.org/officeDocument/2006/relationships/hyperlink" Target="https://www.youtube.com/watch?v=qCG2vqnaUx4" TargetMode="External"/><Relationship Id="rId77" Type="http://schemas.openxmlformats.org/officeDocument/2006/relationships/hyperlink" Target="https://www.youtube.com/watch?v=y1fdkGgCt64" TargetMode="External"/><Relationship Id="rId100" Type="http://schemas.openxmlformats.org/officeDocument/2006/relationships/hyperlink" Target="https://www.youtube.com/watch?v=91dtNzk71IA" TargetMode="External"/><Relationship Id="rId282" Type="http://schemas.openxmlformats.org/officeDocument/2006/relationships/hyperlink" Target="https://www.youtube.com/watch?v=EHQ6eLHDs78" TargetMode="External"/><Relationship Id="rId338" Type="http://schemas.openxmlformats.org/officeDocument/2006/relationships/hyperlink" Target="https://www.youtube.com/watch?v=Xk3tQcQ1QcQ" TargetMode="External"/><Relationship Id="rId503" Type="http://schemas.openxmlformats.org/officeDocument/2006/relationships/hyperlink" Target="https://www.youtube.com/watch?v=JkMKDP2BOlw&amp;t=169s" TargetMode="External"/><Relationship Id="rId545" Type="http://schemas.openxmlformats.org/officeDocument/2006/relationships/hyperlink" Target="https://www.youtube.com/watch?v=mxQpJeckKaU" TargetMode="External"/><Relationship Id="rId587" Type="http://schemas.openxmlformats.org/officeDocument/2006/relationships/hyperlink" Target="https://www.youtube.com/watch?v=Nattb-ZPK4g" TargetMode="External"/><Relationship Id="rId710" Type="http://schemas.openxmlformats.org/officeDocument/2006/relationships/hyperlink" Target="https://www.youtube.com/watch?v=DBYSIkWsAOI" TargetMode="External"/><Relationship Id="rId752" Type="http://schemas.openxmlformats.org/officeDocument/2006/relationships/hyperlink" Target="https://www.youtube.com/watch?v=dHQ-HMVdPyE" TargetMode="External"/><Relationship Id="rId8" Type="http://schemas.openxmlformats.org/officeDocument/2006/relationships/hyperlink" Target="https://www.youtube.com/watch?v=mjFek0gF97s" TargetMode="External"/><Relationship Id="rId142" Type="http://schemas.openxmlformats.org/officeDocument/2006/relationships/hyperlink" Target="https://www.youtube.com/watch?v=ANSSQQ6ZauM" TargetMode="External"/><Relationship Id="rId184" Type="http://schemas.openxmlformats.org/officeDocument/2006/relationships/hyperlink" Target="https://www.youtube.com/watch?v=r5r1yU9O2ag" TargetMode="External"/><Relationship Id="rId391" Type="http://schemas.openxmlformats.org/officeDocument/2006/relationships/hyperlink" Target="https://www.youtube.com/watch?v=gL_j5YKKN38" TargetMode="External"/><Relationship Id="rId405" Type="http://schemas.openxmlformats.org/officeDocument/2006/relationships/hyperlink" Target="https://www.youtube.com/watch?v=QrVLpFoGRb4" TargetMode="External"/><Relationship Id="rId447" Type="http://schemas.openxmlformats.org/officeDocument/2006/relationships/hyperlink" Target="https://www.youtube.com/watch?v=AgRVHML48XM" TargetMode="External"/><Relationship Id="rId612" Type="http://schemas.openxmlformats.org/officeDocument/2006/relationships/hyperlink" Target="https://www.youtube.com/watch?v=8usGAaPq-WY" TargetMode="External"/><Relationship Id="rId251" Type="http://schemas.openxmlformats.org/officeDocument/2006/relationships/hyperlink" Target="https://www.youtube.com/watch?v=d9iObjKR5yI" TargetMode="External"/><Relationship Id="rId489" Type="http://schemas.openxmlformats.org/officeDocument/2006/relationships/hyperlink" Target="https://www.youtube.com/watch?v=FTdLV7hcCvI" TargetMode="External"/><Relationship Id="rId654" Type="http://schemas.openxmlformats.org/officeDocument/2006/relationships/hyperlink" Target="https://www.youtube.com/watch?v=DVcN5QXGA_w" TargetMode="External"/><Relationship Id="rId696" Type="http://schemas.openxmlformats.org/officeDocument/2006/relationships/hyperlink" Target="https://www.youtube.com/watch?v=4iGdwJ3nQcs&amp;t=38s" TargetMode="External"/><Relationship Id="rId46" Type="http://schemas.openxmlformats.org/officeDocument/2006/relationships/hyperlink" Target="https://www.youtube.com/watch?v=20u8yHim1tM" TargetMode="External"/><Relationship Id="rId293" Type="http://schemas.openxmlformats.org/officeDocument/2006/relationships/hyperlink" Target="https://www.youtube.com/watch?v=fzzIeVO7-qk" TargetMode="External"/><Relationship Id="rId307" Type="http://schemas.openxmlformats.org/officeDocument/2006/relationships/hyperlink" Target="https://www.youtube.com/watch?v=NhDs3OPqMQ4" TargetMode="External"/><Relationship Id="rId349" Type="http://schemas.openxmlformats.org/officeDocument/2006/relationships/hyperlink" Target="https://www.youtube.com/watch?v=M8Xez56Bg9c" TargetMode="External"/><Relationship Id="rId514" Type="http://schemas.openxmlformats.org/officeDocument/2006/relationships/hyperlink" Target="https://www.youtube.com/watch?v=3vhgcNKVRgY" TargetMode="External"/><Relationship Id="rId556" Type="http://schemas.openxmlformats.org/officeDocument/2006/relationships/hyperlink" Target="https://www.youtube.com/watch?v=WtWOT6Hj2vM" TargetMode="External"/><Relationship Id="rId721" Type="http://schemas.openxmlformats.org/officeDocument/2006/relationships/hyperlink" Target="https://www.youtube.com/watch?v=tPgOVeqnOcc" TargetMode="External"/><Relationship Id="rId763" Type="http://schemas.openxmlformats.org/officeDocument/2006/relationships/table" Target="../tables/table2.xml"/><Relationship Id="rId88" Type="http://schemas.openxmlformats.org/officeDocument/2006/relationships/hyperlink" Target="https://www.youtube.com/watch?v=BcDC-Op1hJc" TargetMode="External"/><Relationship Id="rId111" Type="http://schemas.openxmlformats.org/officeDocument/2006/relationships/hyperlink" Target="https://www.youtube.com/watch?v=apOba1F4MT4" TargetMode="External"/><Relationship Id="rId153" Type="http://schemas.openxmlformats.org/officeDocument/2006/relationships/hyperlink" Target="https://www.youtube.com/watch?v=HdBCunbR_jE" TargetMode="External"/><Relationship Id="rId195" Type="http://schemas.openxmlformats.org/officeDocument/2006/relationships/hyperlink" Target="https://www.youtube.com/watch?v=LI3VwCn-0WI" TargetMode="External"/><Relationship Id="rId209" Type="http://schemas.openxmlformats.org/officeDocument/2006/relationships/hyperlink" Target="https://www.youtube.com/watch?v=RKYffxIB9EM" TargetMode="External"/><Relationship Id="rId360" Type="http://schemas.openxmlformats.org/officeDocument/2006/relationships/hyperlink" Target="https://www.youtube.com/watch?v=dgXtHzSngX0" TargetMode="External"/><Relationship Id="rId416" Type="http://schemas.openxmlformats.org/officeDocument/2006/relationships/hyperlink" Target="https://www.youtube.com/watch?v=5tMCiwnQlXM" TargetMode="External"/><Relationship Id="rId598" Type="http://schemas.openxmlformats.org/officeDocument/2006/relationships/hyperlink" Target="https://www.youtube.com/watch?v=m1RnPcyk_e0" TargetMode="External"/><Relationship Id="rId220" Type="http://schemas.openxmlformats.org/officeDocument/2006/relationships/hyperlink" Target="https://www.youtube.com/watch?v=nEEhdprZ-EE" TargetMode="External"/><Relationship Id="rId458" Type="http://schemas.openxmlformats.org/officeDocument/2006/relationships/hyperlink" Target="https://www.youtube.com/watch?v=IQCY6tVgZ9s" TargetMode="External"/><Relationship Id="rId623" Type="http://schemas.openxmlformats.org/officeDocument/2006/relationships/hyperlink" Target="https://www.youtube.com/watch?v=JZ7LHVZfMwM" TargetMode="External"/><Relationship Id="rId665" Type="http://schemas.openxmlformats.org/officeDocument/2006/relationships/hyperlink" Target="https://www.youtube.com/watch?v=LIl0C87tzGE" TargetMode="External"/><Relationship Id="rId15" Type="http://schemas.openxmlformats.org/officeDocument/2006/relationships/hyperlink" Target="https://www.youtube.com/watch?v=iBwpK4_JtEw" TargetMode="External"/><Relationship Id="rId57" Type="http://schemas.openxmlformats.org/officeDocument/2006/relationships/hyperlink" Target="https://www.youtube.com/watch?v=TGgYE0Ui0co" TargetMode="External"/><Relationship Id="rId262" Type="http://schemas.openxmlformats.org/officeDocument/2006/relationships/hyperlink" Target="https://www.youtube.com/watch?v=WQObFfIG62Q" TargetMode="External"/><Relationship Id="rId318" Type="http://schemas.openxmlformats.org/officeDocument/2006/relationships/hyperlink" Target="https://www.youtube.com/watch?v=G-AjF_4Jc1I" TargetMode="External"/><Relationship Id="rId525" Type="http://schemas.openxmlformats.org/officeDocument/2006/relationships/hyperlink" Target="https://www.youtube.com/watch?v=VkyOIj4SQu4" TargetMode="External"/><Relationship Id="rId567" Type="http://schemas.openxmlformats.org/officeDocument/2006/relationships/hyperlink" Target="https://www.youtube.com/watch?v=Z8Wd8i754cU" TargetMode="External"/><Relationship Id="rId732" Type="http://schemas.openxmlformats.org/officeDocument/2006/relationships/hyperlink" Target="https://www.youtube.com/watch?v=1CJb6PuWDqk" TargetMode="External"/><Relationship Id="rId99" Type="http://schemas.openxmlformats.org/officeDocument/2006/relationships/hyperlink" Target="https://www.youtube.com/watch?v=-WPYCv8jdJc" TargetMode="External"/><Relationship Id="rId122" Type="http://schemas.openxmlformats.org/officeDocument/2006/relationships/hyperlink" Target="https://www.youtube.com/watch?v=v6It_CJ27bg" TargetMode="External"/><Relationship Id="rId164" Type="http://schemas.openxmlformats.org/officeDocument/2006/relationships/hyperlink" Target="https://www.youtube.com/watch?v=hgdVPIrlSPU" TargetMode="External"/><Relationship Id="rId371" Type="http://schemas.openxmlformats.org/officeDocument/2006/relationships/hyperlink" Target="https://www.youtube.com/watch?v=XCXsh2mfb3M" TargetMode="External"/><Relationship Id="rId427" Type="http://schemas.openxmlformats.org/officeDocument/2006/relationships/hyperlink" Target="https://www.youtube.com/watch?v=5iT09vIaZOU" TargetMode="External"/><Relationship Id="rId469" Type="http://schemas.openxmlformats.org/officeDocument/2006/relationships/hyperlink" Target="https://www.youtube.com/watch?v=_vKbwIOfXy0" TargetMode="External"/><Relationship Id="rId634" Type="http://schemas.openxmlformats.org/officeDocument/2006/relationships/hyperlink" Target="https://www.youtube.com/watch?v=-c4KLljIDeo" TargetMode="External"/><Relationship Id="rId676" Type="http://schemas.openxmlformats.org/officeDocument/2006/relationships/hyperlink" Target="https://www.youtube.com/watch?v=eKSuEJqn2NI" TargetMode="External"/><Relationship Id="rId26" Type="http://schemas.openxmlformats.org/officeDocument/2006/relationships/hyperlink" Target="https://www.youtube.com/watch?v=RdBz1kIwrqo" TargetMode="External"/><Relationship Id="rId231" Type="http://schemas.openxmlformats.org/officeDocument/2006/relationships/hyperlink" Target="https://www.youtube.com/watch?v=oYXPvuD_ejM" TargetMode="External"/><Relationship Id="rId273" Type="http://schemas.openxmlformats.org/officeDocument/2006/relationships/hyperlink" Target="https://www.youtube.com/watch?v=_OWY_haNDNI" TargetMode="External"/><Relationship Id="rId329" Type="http://schemas.openxmlformats.org/officeDocument/2006/relationships/hyperlink" Target="https://www.youtube.com/watch?v=p4NkqPPh2fk" TargetMode="External"/><Relationship Id="rId480" Type="http://schemas.openxmlformats.org/officeDocument/2006/relationships/hyperlink" Target="https://www.youtube.com/watch?v=47hxgUfQ8jo" TargetMode="External"/><Relationship Id="rId536" Type="http://schemas.openxmlformats.org/officeDocument/2006/relationships/hyperlink" Target="https://www.youtube.com/watch?v=2yRygpW0RYY" TargetMode="External"/><Relationship Id="rId701" Type="http://schemas.openxmlformats.org/officeDocument/2006/relationships/hyperlink" Target="https://www.youtube.com/watch?v=WzgR7yTQNzY" TargetMode="External"/><Relationship Id="rId68" Type="http://schemas.openxmlformats.org/officeDocument/2006/relationships/hyperlink" Target="https://www.youtube.com/watch?v=IAmXafhUmYc" TargetMode="External"/><Relationship Id="rId133" Type="http://schemas.openxmlformats.org/officeDocument/2006/relationships/hyperlink" Target="https://www.youtube.com/watch?v=vHGejHQUoio" TargetMode="External"/><Relationship Id="rId175" Type="http://schemas.openxmlformats.org/officeDocument/2006/relationships/hyperlink" Target="https://www.youtube.com/watch?v=t_J24YUQNK4" TargetMode="External"/><Relationship Id="rId340" Type="http://schemas.openxmlformats.org/officeDocument/2006/relationships/hyperlink" Target="https://www.youtube.com/watch?v=55sjF1l4Hu0" TargetMode="External"/><Relationship Id="rId578" Type="http://schemas.openxmlformats.org/officeDocument/2006/relationships/hyperlink" Target="https://www.youtube.com/watch?v=ANDhhofT1w0" TargetMode="External"/><Relationship Id="rId743" Type="http://schemas.openxmlformats.org/officeDocument/2006/relationships/hyperlink" Target="https://www.youtube.com/watch?v=JlEmX46IYNY" TargetMode="External"/><Relationship Id="rId200" Type="http://schemas.openxmlformats.org/officeDocument/2006/relationships/hyperlink" Target="https://www.youtube.com/watch?v=U37L8EPVc5s" TargetMode="External"/><Relationship Id="rId382" Type="http://schemas.openxmlformats.org/officeDocument/2006/relationships/hyperlink" Target="https://www.youtube.com/watch?v=_OTzuNIDOOA" TargetMode="External"/><Relationship Id="rId438" Type="http://schemas.openxmlformats.org/officeDocument/2006/relationships/hyperlink" Target="https://www.youtube.com/watch?v=7gTT37SeSUc" TargetMode="External"/><Relationship Id="rId603" Type="http://schemas.openxmlformats.org/officeDocument/2006/relationships/hyperlink" Target="https://www.youtube.com/watch?v=ZI3BJk08OWI" TargetMode="External"/><Relationship Id="rId645" Type="http://schemas.openxmlformats.org/officeDocument/2006/relationships/hyperlink" Target="https://www.youtube.com/watch?v=Yb0AWtlb8-g" TargetMode="External"/><Relationship Id="rId687" Type="http://schemas.openxmlformats.org/officeDocument/2006/relationships/hyperlink" Target="https://www.youtube.com/watch?v=qY_yQIrKwRk" TargetMode="External"/><Relationship Id="rId242" Type="http://schemas.openxmlformats.org/officeDocument/2006/relationships/hyperlink" Target="https://www.youtube.com/watch?v=4H5piNrmsCU" TargetMode="External"/><Relationship Id="rId284" Type="http://schemas.openxmlformats.org/officeDocument/2006/relationships/hyperlink" Target="https://www.youtube.com/watch?v=dZCZp5udJeI" TargetMode="External"/><Relationship Id="rId491" Type="http://schemas.openxmlformats.org/officeDocument/2006/relationships/hyperlink" Target="https://www.youtube.com/watch?v=iGqKIfGTc-s" TargetMode="External"/><Relationship Id="rId505" Type="http://schemas.openxmlformats.org/officeDocument/2006/relationships/hyperlink" Target="https://www.youtube.com/watch?v=qEJJIhs02cI" TargetMode="External"/><Relationship Id="rId712" Type="http://schemas.openxmlformats.org/officeDocument/2006/relationships/hyperlink" Target="https://www.youtube.com/watch?v=uaTb9-4kT2Y" TargetMode="External"/><Relationship Id="rId37" Type="http://schemas.openxmlformats.org/officeDocument/2006/relationships/hyperlink" Target="https://www.youtube.com/watch?v=xANxZaCCD70" TargetMode="External"/><Relationship Id="rId79" Type="http://schemas.openxmlformats.org/officeDocument/2006/relationships/hyperlink" Target="https://www.youtube.com/watch?v=54lSHTtU68A" TargetMode="External"/><Relationship Id="rId102" Type="http://schemas.openxmlformats.org/officeDocument/2006/relationships/hyperlink" Target="https://www.youtube.com/watch?v=nmbYnYYpa6g" TargetMode="External"/><Relationship Id="rId144" Type="http://schemas.openxmlformats.org/officeDocument/2006/relationships/hyperlink" Target="https://www.youtube.com/watch?v=k54XQ5I1Nzo" TargetMode="External"/><Relationship Id="rId547" Type="http://schemas.openxmlformats.org/officeDocument/2006/relationships/hyperlink" Target="https://www.youtube.com/watch?v=Aivw6qVhabo" TargetMode="External"/><Relationship Id="rId589" Type="http://schemas.openxmlformats.org/officeDocument/2006/relationships/hyperlink" Target="https://www.youtube.com/watch?v=zNgyoAjVDhk" TargetMode="External"/><Relationship Id="rId754" Type="http://schemas.openxmlformats.org/officeDocument/2006/relationships/hyperlink" Target="https://www.youtube.com/watch?v=dvcJI5yAd6M&amp;t=122s" TargetMode="External"/><Relationship Id="rId90" Type="http://schemas.openxmlformats.org/officeDocument/2006/relationships/hyperlink" Target="https://www.youtube.com/watch?v=Wrs0XEoFHAM" TargetMode="External"/><Relationship Id="rId186" Type="http://schemas.openxmlformats.org/officeDocument/2006/relationships/hyperlink" Target="https://www.youtube.com/watch?v=Wu9WbgwxgjI" TargetMode="External"/><Relationship Id="rId351" Type="http://schemas.openxmlformats.org/officeDocument/2006/relationships/hyperlink" Target="https://www.youtube.com/watch?v=fKsfq4rFzbA" TargetMode="External"/><Relationship Id="rId393" Type="http://schemas.openxmlformats.org/officeDocument/2006/relationships/hyperlink" Target="https://www.youtube.com/watch?v=ebsBucPcYoU" TargetMode="External"/><Relationship Id="rId407" Type="http://schemas.openxmlformats.org/officeDocument/2006/relationships/hyperlink" Target="https://www.youtube.com/watch?v=c0qRokhkADI" TargetMode="External"/><Relationship Id="rId449" Type="http://schemas.openxmlformats.org/officeDocument/2006/relationships/hyperlink" Target="https://www.youtube.com/watch?v=xuKnWRKpLyM" TargetMode="External"/><Relationship Id="rId614" Type="http://schemas.openxmlformats.org/officeDocument/2006/relationships/hyperlink" Target="https://www.youtube.com/watch?v=r0tSX3M-7oM&amp;t=41s" TargetMode="External"/><Relationship Id="rId656" Type="http://schemas.openxmlformats.org/officeDocument/2006/relationships/hyperlink" Target="https://www.youtube.com/watch?v=7-JbRtATwHQ" TargetMode="External"/><Relationship Id="rId211" Type="http://schemas.openxmlformats.org/officeDocument/2006/relationships/hyperlink" Target="https://www.youtube.com/watch?v=y-v-Ijc7W3Y" TargetMode="External"/><Relationship Id="rId253" Type="http://schemas.openxmlformats.org/officeDocument/2006/relationships/hyperlink" Target="https://www.youtube.com/watch?v=yr_-UHm07rM" TargetMode="External"/><Relationship Id="rId295" Type="http://schemas.openxmlformats.org/officeDocument/2006/relationships/hyperlink" Target="https://www.youtube.com/watch?v=OXYcMlprdL4" TargetMode="External"/><Relationship Id="rId309" Type="http://schemas.openxmlformats.org/officeDocument/2006/relationships/hyperlink" Target="https://www.youtube.com/watch?v=T-iBVjoTxpY" TargetMode="External"/><Relationship Id="rId460" Type="http://schemas.openxmlformats.org/officeDocument/2006/relationships/hyperlink" Target="https://www.youtube.com/watch?v=kZVT_WU4Pm4" TargetMode="External"/><Relationship Id="rId516" Type="http://schemas.openxmlformats.org/officeDocument/2006/relationships/hyperlink" Target="https://www.youtube.com/watch?v=wYCmU0vaKvc" TargetMode="External"/><Relationship Id="rId698" Type="http://schemas.openxmlformats.org/officeDocument/2006/relationships/hyperlink" Target="https://www.youtube.com/watch?v=_xxJKDZyRuE" TargetMode="External"/><Relationship Id="rId48" Type="http://schemas.openxmlformats.org/officeDocument/2006/relationships/hyperlink" Target="https://www.youtube.com/watch?v=QEUeYDEFtsE" TargetMode="External"/><Relationship Id="rId113" Type="http://schemas.openxmlformats.org/officeDocument/2006/relationships/hyperlink" Target="https://www.youtube.com/watch?v=61LvuBJ6Ojs" TargetMode="External"/><Relationship Id="rId320" Type="http://schemas.openxmlformats.org/officeDocument/2006/relationships/hyperlink" Target="https://www.youtube.com/watch?v=olQlPZuEWLY" TargetMode="External"/><Relationship Id="rId558" Type="http://schemas.openxmlformats.org/officeDocument/2006/relationships/hyperlink" Target="https://www.youtube.com/watch?v=FgVpxhtCQdA" TargetMode="External"/><Relationship Id="rId723" Type="http://schemas.openxmlformats.org/officeDocument/2006/relationships/hyperlink" Target="https://www.youtube.com/watch?v=tmCFtpj6IZc" TargetMode="External"/><Relationship Id="rId155" Type="http://schemas.openxmlformats.org/officeDocument/2006/relationships/hyperlink" Target="https://www.youtube.com/watch?v=5K-nmVDwXW0" TargetMode="External"/><Relationship Id="rId197" Type="http://schemas.openxmlformats.org/officeDocument/2006/relationships/hyperlink" Target="https://www.youtube.com/watch?v=Yf6-fJ-LcU8" TargetMode="External"/><Relationship Id="rId362" Type="http://schemas.openxmlformats.org/officeDocument/2006/relationships/hyperlink" Target="https://www.youtube.com/watch?v=I6Nwopg3FIw" TargetMode="External"/><Relationship Id="rId418" Type="http://schemas.openxmlformats.org/officeDocument/2006/relationships/hyperlink" Target="https://www.youtube.com/watch?v=o4_iAmYXDzg" TargetMode="External"/><Relationship Id="rId625" Type="http://schemas.openxmlformats.org/officeDocument/2006/relationships/hyperlink" Target="https://www.youtube.com/watch?v=HzuZ57Y3-VQ" TargetMode="External"/><Relationship Id="rId222" Type="http://schemas.openxmlformats.org/officeDocument/2006/relationships/hyperlink" Target="https://www.youtube.com/watch?v=YD-IKZbbHeU" TargetMode="External"/><Relationship Id="rId264" Type="http://schemas.openxmlformats.org/officeDocument/2006/relationships/hyperlink" Target="https://www.youtube.com/watch?v=ZWkU2WQv4mM" TargetMode="External"/><Relationship Id="rId471" Type="http://schemas.openxmlformats.org/officeDocument/2006/relationships/hyperlink" Target="https://www.youtube.com/watch?v=Deab_JE4fv4" TargetMode="External"/><Relationship Id="rId667" Type="http://schemas.openxmlformats.org/officeDocument/2006/relationships/hyperlink" Target="https://www.youtube.com/watch?v=MAt3aD51sUM" TargetMode="External"/><Relationship Id="rId17" Type="http://schemas.openxmlformats.org/officeDocument/2006/relationships/hyperlink" Target="https://www.youtube.com/watch?v=tkF_3Ixn02I" TargetMode="External"/><Relationship Id="rId59" Type="http://schemas.openxmlformats.org/officeDocument/2006/relationships/hyperlink" Target="https://www.youtube.com/watch?v=ByaheAphduQ" TargetMode="External"/><Relationship Id="rId124" Type="http://schemas.openxmlformats.org/officeDocument/2006/relationships/hyperlink" Target="https://www.youtube.com/watch?v=67Y76FPHZ-g" TargetMode="External"/><Relationship Id="rId527" Type="http://schemas.openxmlformats.org/officeDocument/2006/relationships/hyperlink" Target="https://www.youtube.com/watch?v=vOOkxcKaZEo" TargetMode="External"/><Relationship Id="rId569" Type="http://schemas.openxmlformats.org/officeDocument/2006/relationships/hyperlink" Target="https://www.youtube.com/watch?v=aEAK6N982oQ" TargetMode="External"/><Relationship Id="rId734" Type="http://schemas.openxmlformats.org/officeDocument/2006/relationships/hyperlink" Target="https://www.youtube.com/watch?v=lyiuoR-2E6I" TargetMode="External"/><Relationship Id="rId70" Type="http://schemas.openxmlformats.org/officeDocument/2006/relationships/hyperlink" Target="https://www.youtube.com/watch?v=J5mYtIH7Pho" TargetMode="External"/><Relationship Id="rId166" Type="http://schemas.openxmlformats.org/officeDocument/2006/relationships/hyperlink" Target="https://www.youtube.com/watch?v=wH8I0vSB-Os" TargetMode="External"/><Relationship Id="rId331" Type="http://schemas.openxmlformats.org/officeDocument/2006/relationships/hyperlink" Target="https://www.youtube.com/watch?v=GpEk4HU0r2Y" TargetMode="External"/><Relationship Id="rId373" Type="http://schemas.openxmlformats.org/officeDocument/2006/relationships/hyperlink" Target="https://www.youtube.com/watch?v=VxI-y4zU4YE" TargetMode="External"/><Relationship Id="rId429" Type="http://schemas.openxmlformats.org/officeDocument/2006/relationships/hyperlink" Target="https://www.youtube.com/watch?v=wXoImJcJYxQ" TargetMode="External"/><Relationship Id="rId580" Type="http://schemas.openxmlformats.org/officeDocument/2006/relationships/hyperlink" Target="https://www.youtube.com/watch?v=wEalKzas5Ig" TargetMode="External"/><Relationship Id="rId636" Type="http://schemas.openxmlformats.org/officeDocument/2006/relationships/hyperlink" Target="https://www.youtube.com/watch?v=GP0JLpTLOWU" TargetMode="External"/><Relationship Id="rId1" Type="http://schemas.openxmlformats.org/officeDocument/2006/relationships/hyperlink" Target="https://www.youtube.com/watch?v=RD7JpM4UrUA" TargetMode="External"/><Relationship Id="rId233" Type="http://schemas.openxmlformats.org/officeDocument/2006/relationships/hyperlink" Target="https://www.youtube.com/watch?v=xGvABG6vfLg" TargetMode="External"/><Relationship Id="rId440" Type="http://schemas.openxmlformats.org/officeDocument/2006/relationships/hyperlink" Target="https://www.youtube.com/watch?v=qYA9DVNkOCA" TargetMode="External"/><Relationship Id="rId678" Type="http://schemas.openxmlformats.org/officeDocument/2006/relationships/hyperlink" Target="https://www.youtube.com/watch?v=bD-uUsBgY-w" TargetMode="External"/><Relationship Id="rId28" Type="http://schemas.openxmlformats.org/officeDocument/2006/relationships/hyperlink" Target="https://www.youtube.com/watch?v=N0PD3TuLvoo" TargetMode="External"/><Relationship Id="rId275" Type="http://schemas.openxmlformats.org/officeDocument/2006/relationships/hyperlink" Target="https://www.youtube.com/watch?v=NpqJHyWjh7A" TargetMode="External"/><Relationship Id="rId300" Type="http://schemas.openxmlformats.org/officeDocument/2006/relationships/hyperlink" Target="https://www.youtube.com/watch?v=kaJQx-nXg6M" TargetMode="External"/><Relationship Id="rId482" Type="http://schemas.openxmlformats.org/officeDocument/2006/relationships/hyperlink" Target="https://www.youtube.com/watch?v=Xsq9jAEpAY8" TargetMode="External"/><Relationship Id="rId538" Type="http://schemas.openxmlformats.org/officeDocument/2006/relationships/hyperlink" Target="https://www.youtube.com/watch?v=bMOOUhzJreA" TargetMode="External"/><Relationship Id="rId703" Type="http://schemas.openxmlformats.org/officeDocument/2006/relationships/hyperlink" Target="https://www.youtube.com/watch?v=MC9pK4dCHAs" TargetMode="External"/><Relationship Id="rId745" Type="http://schemas.openxmlformats.org/officeDocument/2006/relationships/hyperlink" Target="https://www.youtube.com/watch?v=sy6xQyjX7qg" TargetMode="External"/><Relationship Id="rId81" Type="http://schemas.openxmlformats.org/officeDocument/2006/relationships/hyperlink" Target="https://www.youtube.com/watch?v=aXm-YqwVmbs" TargetMode="External"/><Relationship Id="rId135" Type="http://schemas.openxmlformats.org/officeDocument/2006/relationships/hyperlink" Target="https://www.youtube.com/watch?v=kQP4pUPNjqs" TargetMode="External"/><Relationship Id="rId177" Type="http://schemas.openxmlformats.org/officeDocument/2006/relationships/hyperlink" Target="https://www.youtube.com/watch?v=57-MHC42i7g" TargetMode="External"/><Relationship Id="rId342" Type="http://schemas.openxmlformats.org/officeDocument/2006/relationships/hyperlink" Target="https://www.youtube.com/watch?v=cuauchPBFCY" TargetMode="External"/><Relationship Id="rId384" Type="http://schemas.openxmlformats.org/officeDocument/2006/relationships/hyperlink" Target="https://www.youtube.com/watch?v=V-N1KdB7QTg" TargetMode="External"/><Relationship Id="rId591" Type="http://schemas.openxmlformats.org/officeDocument/2006/relationships/hyperlink" Target="https://www.youtube.com/watch?v=9qgkONu6nbk" TargetMode="External"/><Relationship Id="rId605" Type="http://schemas.openxmlformats.org/officeDocument/2006/relationships/hyperlink" Target="https://www.youtube.com/watch?v=sLe31yV0Fb4" TargetMode="External"/><Relationship Id="rId202" Type="http://schemas.openxmlformats.org/officeDocument/2006/relationships/hyperlink" Target="https://www.youtube.com/watch?v=F95dqGlnggo" TargetMode="External"/><Relationship Id="rId244" Type="http://schemas.openxmlformats.org/officeDocument/2006/relationships/hyperlink" Target="https://www.youtube.com/watch?v=7WA-8QBd5Tk" TargetMode="External"/><Relationship Id="rId647" Type="http://schemas.openxmlformats.org/officeDocument/2006/relationships/hyperlink" Target="https://www.youtube.com/watch?v=-pDxEjRprYM" TargetMode="External"/><Relationship Id="rId689" Type="http://schemas.openxmlformats.org/officeDocument/2006/relationships/hyperlink" Target="https://www.youtube.com/watch?v=Fb11XAvWeyE" TargetMode="External"/><Relationship Id="rId39" Type="http://schemas.openxmlformats.org/officeDocument/2006/relationships/hyperlink" Target="https://www.youtube.com/watch?v=iS7CE9mrtI4" TargetMode="External"/><Relationship Id="rId286" Type="http://schemas.openxmlformats.org/officeDocument/2006/relationships/hyperlink" Target="https://www.youtube.com/watch?v=Q3ZGmGasWfc" TargetMode="External"/><Relationship Id="rId451" Type="http://schemas.openxmlformats.org/officeDocument/2006/relationships/hyperlink" Target="https://www.youtube.com/watch?v=xhcu0nbcfy0" TargetMode="External"/><Relationship Id="rId493" Type="http://schemas.openxmlformats.org/officeDocument/2006/relationships/hyperlink" Target="https://www.youtube.com/watch?v=4PxIlOKBbng" TargetMode="External"/><Relationship Id="rId507" Type="http://schemas.openxmlformats.org/officeDocument/2006/relationships/hyperlink" Target="https://www.youtube.com/watch?v=REfOblHmn6Q" TargetMode="External"/><Relationship Id="rId549" Type="http://schemas.openxmlformats.org/officeDocument/2006/relationships/hyperlink" Target="https://www.youtube.com/watch?v=dLQSHM_T-jI" TargetMode="External"/><Relationship Id="rId714" Type="http://schemas.openxmlformats.org/officeDocument/2006/relationships/hyperlink" Target="https://www.youtube.com/watch?v=sI2xSENomQY" TargetMode="External"/><Relationship Id="rId756" Type="http://schemas.openxmlformats.org/officeDocument/2006/relationships/hyperlink" Target="https://www.youtube.com/watch?v=JB_lc00AWIE" TargetMode="External"/><Relationship Id="rId50" Type="http://schemas.openxmlformats.org/officeDocument/2006/relationships/hyperlink" Target="https://www.youtube.com/watch?v=8qjQH_-WzyE" TargetMode="External"/><Relationship Id="rId104" Type="http://schemas.openxmlformats.org/officeDocument/2006/relationships/hyperlink" Target="https://www.youtube.com/watch?v=8RSu4ymCgp4" TargetMode="External"/><Relationship Id="rId146" Type="http://schemas.openxmlformats.org/officeDocument/2006/relationships/hyperlink" Target="https://www.youtube.com/watch?v=q1K9wPDzMjU" TargetMode="External"/><Relationship Id="rId188" Type="http://schemas.openxmlformats.org/officeDocument/2006/relationships/hyperlink" Target="https://www.youtube.com/watch?v=oeFU8Lk35BI" TargetMode="External"/><Relationship Id="rId311" Type="http://schemas.openxmlformats.org/officeDocument/2006/relationships/hyperlink" Target="https://www.youtube.com/watch?v=9eSzra79z-I" TargetMode="External"/><Relationship Id="rId353" Type="http://schemas.openxmlformats.org/officeDocument/2006/relationships/hyperlink" Target="https://www.youtube.com/watch?v=YHee5lF9yPc" TargetMode="External"/><Relationship Id="rId395" Type="http://schemas.openxmlformats.org/officeDocument/2006/relationships/hyperlink" Target="https://www.youtube.com/watch?v=go47jpA5M1A" TargetMode="External"/><Relationship Id="rId409" Type="http://schemas.openxmlformats.org/officeDocument/2006/relationships/hyperlink" Target="https://www.youtube.com/watch?v=P1Eurn7tEJM" TargetMode="External"/><Relationship Id="rId560" Type="http://schemas.openxmlformats.org/officeDocument/2006/relationships/hyperlink" Target="https://www.youtube.com/watch?v=n0Ekb7yhf18" TargetMode="External"/><Relationship Id="rId92" Type="http://schemas.openxmlformats.org/officeDocument/2006/relationships/hyperlink" Target="https://www.youtube.com/watch?v=G3NpQQMh8jQ" TargetMode="External"/><Relationship Id="rId213" Type="http://schemas.openxmlformats.org/officeDocument/2006/relationships/hyperlink" Target="https://www.youtube.com/watch?v=F-ZzB9uBQNs" TargetMode="External"/><Relationship Id="rId420" Type="http://schemas.openxmlformats.org/officeDocument/2006/relationships/hyperlink" Target="https://www.youtube.com/watch?v=5c75GXSIdlM" TargetMode="External"/><Relationship Id="rId616" Type="http://schemas.openxmlformats.org/officeDocument/2006/relationships/hyperlink" Target="https://www.youtube.com/watch?v=uiJHx80DJcw" TargetMode="External"/><Relationship Id="rId658" Type="http://schemas.openxmlformats.org/officeDocument/2006/relationships/hyperlink" Target="https://www.youtube.com/watch?v=mScbp58xwJE" TargetMode="External"/><Relationship Id="rId255" Type="http://schemas.openxmlformats.org/officeDocument/2006/relationships/hyperlink" Target="https://www.youtube.com/watch?v=11Ben3IvDQ0" TargetMode="External"/><Relationship Id="rId297" Type="http://schemas.openxmlformats.org/officeDocument/2006/relationships/hyperlink" Target="https://www.youtube.com/watch?v=c13ZN5rYckE" TargetMode="External"/><Relationship Id="rId462" Type="http://schemas.openxmlformats.org/officeDocument/2006/relationships/hyperlink" Target="https://www.youtube.com/watch?v=KdiEMEbTV1M" TargetMode="External"/><Relationship Id="rId518" Type="http://schemas.openxmlformats.org/officeDocument/2006/relationships/hyperlink" Target="https://www.youtube.com/watch?v=6ufhk6JL8x8" TargetMode="External"/><Relationship Id="rId725" Type="http://schemas.openxmlformats.org/officeDocument/2006/relationships/hyperlink" Target="https://www.youtube.com/watch?v=rP79c8rd-jE" TargetMode="External"/><Relationship Id="rId115" Type="http://schemas.openxmlformats.org/officeDocument/2006/relationships/hyperlink" Target="https://www.youtube.com/watch?v=myZqody8PTw" TargetMode="External"/><Relationship Id="rId157" Type="http://schemas.openxmlformats.org/officeDocument/2006/relationships/hyperlink" Target="https://www.youtube.com/watch?v=ucgD3lqwZX0" TargetMode="External"/><Relationship Id="rId322" Type="http://schemas.openxmlformats.org/officeDocument/2006/relationships/hyperlink" Target="https://www.youtube.com/watch?v=XcIm7eWfJ_M" TargetMode="External"/><Relationship Id="rId364" Type="http://schemas.openxmlformats.org/officeDocument/2006/relationships/hyperlink" Target="https://www.youtube.com/watch?v=DYtc95s7Kpc" TargetMode="External"/><Relationship Id="rId61" Type="http://schemas.openxmlformats.org/officeDocument/2006/relationships/hyperlink" Target="https://www.youtube.com/watch?v=QZxRsM9xvK4" TargetMode="External"/><Relationship Id="rId199" Type="http://schemas.openxmlformats.org/officeDocument/2006/relationships/hyperlink" Target="https://www.youtube.com/watch?v=wm8QHjKcDf8" TargetMode="External"/><Relationship Id="rId571" Type="http://schemas.openxmlformats.org/officeDocument/2006/relationships/hyperlink" Target="https://www.youtube.com/watch?v=i24adZlRCZk" TargetMode="External"/><Relationship Id="rId627" Type="http://schemas.openxmlformats.org/officeDocument/2006/relationships/hyperlink" Target="https://www.youtube.com/watch?v=6M1Mp5tvk-E" TargetMode="External"/><Relationship Id="rId669" Type="http://schemas.openxmlformats.org/officeDocument/2006/relationships/hyperlink" Target="https://www.youtube.com/watch?v=XfaMChybaCc" TargetMode="External"/><Relationship Id="rId19" Type="http://schemas.openxmlformats.org/officeDocument/2006/relationships/hyperlink" Target="https://www.youtube.com/watch?v=Wpkt3HpzBTs" TargetMode="External"/><Relationship Id="rId224" Type="http://schemas.openxmlformats.org/officeDocument/2006/relationships/hyperlink" Target="https://www.youtube.com/watch?v=cshbkDak_p0" TargetMode="External"/><Relationship Id="rId266" Type="http://schemas.openxmlformats.org/officeDocument/2006/relationships/hyperlink" Target="https://www.youtube.com/watch?v=mNRX-8C-RmY" TargetMode="External"/><Relationship Id="rId431" Type="http://schemas.openxmlformats.org/officeDocument/2006/relationships/hyperlink" Target="https://www.youtube.com/watch?v=bFIqLn3c85c" TargetMode="External"/><Relationship Id="rId473" Type="http://schemas.openxmlformats.org/officeDocument/2006/relationships/hyperlink" Target="https://www.youtube.com/watch?v=NRep5rGd_FU" TargetMode="External"/><Relationship Id="rId529" Type="http://schemas.openxmlformats.org/officeDocument/2006/relationships/hyperlink" Target="https://www.youtube.com/watch?v=iZ6Xk9YCaaY" TargetMode="External"/><Relationship Id="rId680" Type="http://schemas.openxmlformats.org/officeDocument/2006/relationships/hyperlink" Target="https://www.youtube.com/watch?v=edQr4IJQuEg" TargetMode="External"/><Relationship Id="rId736" Type="http://schemas.openxmlformats.org/officeDocument/2006/relationships/hyperlink" Target="https://www.youtube.com/watch?v=8gCMYZ-alVw" TargetMode="External"/><Relationship Id="rId30" Type="http://schemas.openxmlformats.org/officeDocument/2006/relationships/hyperlink" Target="https://www.youtube.com/watch?v=dp7l5qmLHJI" TargetMode="External"/><Relationship Id="rId126" Type="http://schemas.openxmlformats.org/officeDocument/2006/relationships/hyperlink" Target="https://www.youtube.com/watch?v=BF7tCmPOjs4" TargetMode="External"/><Relationship Id="rId168" Type="http://schemas.openxmlformats.org/officeDocument/2006/relationships/hyperlink" Target="https://www.youtube.com/watch?v=itgdRwuvtN0" TargetMode="External"/><Relationship Id="rId333" Type="http://schemas.openxmlformats.org/officeDocument/2006/relationships/hyperlink" Target="https://www.youtube.com/watch?v=liKAbE7beNI" TargetMode="External"/><Relationship Id="rId540" Type="http://schemas.openxmlformats.org/officeDocument/2006/relationships/hyperlink" Target="https://www.youtube.com/watch?v=0W0XxcsCH_0" TargetMode="External"/><Relationship Id="rId72" Type="http://schemas.openxmlformats.org/officeDocument/2006/relationships/hyperlink" Target="https://www.youtube.com/watch?v=MlTxtaiX1xI" TargetMode="External"/><Relationship Id="rId375" Type="http://schemas.openxmlformats.org/officeDocument/2006/relationships/hyperlink" Target="https://www.youtube.com/watch?v=A6j1KcojG0E" TargetMode="External"/><Relationship Id="rId582" Type="http://schemas.openxmlformats.org/officeDocument/2006/relationships/hyperlink" Target="https://www.youtube.com/watch?v=HmKETjjGv0E" TargetMode="External"/><Relationship Id="rId638" Type="http://schemas.openxmlformats.org/officeDocument/2006/relationships/hyperlink" Target="https://www.youtube.com/watch?v=ImpfhngYCCA" TargetMode="External"/><Relationship Id="rId3" Type="http://schemas.openxmlformats.org/officeDocument/2006/relationships/hyperlink" Target="https://www.youtube.com/watch?v=21ZKFBL-Yc0" TargetMode="External"/><Relationship Id="rId235" Type="http://schemas.openxmlformats.org/officeDocument/2006/relationships/hyperlink" Target="https://www.youtube.com/watch?v=-rJtFWVJpjA" TargetMode="External"/><Relationship Id="rId277" Type="http://schemas.openxmlformats.org/officeDocument/2006/relationships/hyperlink" Target="https://www.youtube.com/watch?v=srr9jTynwdo" TargetMode="External"/><Relationship Id="rId400" Type="http://schemas.openxmlformats.org/officeDocument/2006/relationships/hyperlink" Target="https://www.youtube.com/watch?v=C3knBzrgTTY" TargetMode="External"/><Relationship Id="rId442" Type="http://schemas.openxmlformats.org/officeDocument/2006/relationships/hyperlink" Target="https://www.youtube.com/watch?v=kSNHRGhGt_Y" TargetMode="External"/><Relationship Id="rId484" Type="http://schemas.openxmlformats.org/officeDocument/2006/relationships/hyperlink" Target="https://www.youtube.com/watch?v=xAx9rKxKjCk" TargetMode="External"/><Relationship Id="rId705" Type="http://schemas.openxmlformats.org/officeDocument/2006/relationships/hyperlink" Target="https://www.youtube.com/watch?v=lQph5joRdU8" TargetMode="External"/><Relationship Id="rId137" Type="http://schemas.openxmlformats.org/officeDocument/2006/relationships/hyperlink" Target="https://www.youtube.com/watch?v=7jIfpSOnmK8" TargetMode="External"/><Relationship Id="rId302" Type="http://schemas.openxmlformats.org/officeDocument/2006/relationships/hyperlink" Target="https://www.youtube.com/watch?v=OHn7cvWw5gE" TargetMode="External"/><Relationship Id="rId344" Type="http://schemas.openxmlformats.org/officeDocument/2006/relationships/hyperlink" Target="https://www.youtube.com/watch?v=vEdOCEkdY9Q" TargetMode="External"/><Relationship Id="rId691" Type="http://schemas.openxmlformats.org/officeDocument/2006/relationships/hyperlink" Target="https://www.youtube.com/watch?v=kcbL1wC9PEg" TargetMode="External"/><Relationship Id="rId747" Type="http://schemas.openxmlformats.org/officeDocument/2006/relationships/hyperlink" Target="https://www.youtube.com/watch?v=s4vjcCAXvVI" TargetMode="External"/><Relationship Id="rId41" Type="http://schemas.openxmlformats.org/officeDocument/2006/relationships/hyperlink" Target="https://www.youtube.com/watch?v=6_9IYK6ZlyY" TargetMode="External"/><Relationship Id="rId83" Type="http://schemas.openxmlformats.org/officeDocument/2006/relationships/hyperlink" Target="https://www.youtube.com/watch?v=knJJGEYwaZw" TargetMode="External"/><Relationship Id="rId179" Type="http://schemas.openxmlformats.org/officeDocument/2006/relationships/hyperlink" Target="https://www.youtube.com/watch?v=17Jnr2hr0ro" TargetMode="External"/><Relationship Id="rId386" Type="http://schemas.openxmlformats.org/officeDocument/2006/relationships/hyperlink" Target="https://www.youtube.com/watch?v=G1vj3YNYQYg" TargetMode="External"/><Relationship Id="rId551" Type="http://schemas.openxmlformats.org/officeDocument/2006/relationships/hyperlink" Target="https://www.youtube.com/watch?v=0ol6BUtHZu8" TargetMode="External"/><Relationship Id="rId593" Type="http://schemas.openxmlformats.org/officeDocument/2006/relationships/hyperlink" Target="https://www.youtube.com/watch?v=Qh0tc43apsI" TargetMode="External"/><Relationship Id="rId607" Type="http://schemas.openxmlformats.org/officeDocument/2006/relationships/hyperlink" Target="https://www.youtube.com/watch?v=EKyX0QsZVJc" TargetMode="External"/><Relationship Id="rId649" Type="http://schemas.openxmlformats.org/officeDocument/2006/relationships/hyperlink" Target="https://www.youtube.com/watch?v=Voaw-uef3Tw" TargetMode="External"/><Relationship Id="rId190" Type="http://schemas.openxmlformats.org/officeDocument/2006/relationships/hyperlink" Target="https://www.youtube.com/watch?v=uNPifASaoFM" TargetMode="External"/><Relationship Id="rId204" Type="http://schemas.openxmlformats.org/officeDocument/2006/relationships/hyperlink" Target="https://www.youtube.com/watch?v=5YuNKvTZtdM" TargetMode="External"/><Relationship Id="rId246" Type="http://schemas.openxmlformats.org/officeDocument/2006/relationships/hyperlink" Target="https://www.youtube.com/watch?v=4gAHt9ki2xY" TargetMode="External"/><Relationship Id="rId288" Type="http://schemas.openxmlformats.org/officeDocument/2006/relationships/hyperlink" Target="https://www.youtube.com/watch?v=Uxcvh2BQu1g" TargetMode="External"/><Relationship Id="rId411" Type="http://schemas.openxmlformats.org/officeDocument/2006/relationships/hyperlink" Target="https://www.youtube.com/watch?v=5P0vjP1Hdvs" TargetMode="External"/><Relationship Id="rId453" Type="http://schemas.openxmlformats.org/officeDocument/2006/relationships/hyperlink" Target="https://www.youtube.com/watch?v=dSKwv3KOvN8" TargetMode="External"/><Relationship Id="rId509" Type="http://schemas.openxmlformats.org/officeDocument/2006/relationships/hyperlink" Target="https://www.youtube.com/watch?v=xl6nyKVDNCQ" TargetMode="External"/><Relationship Id="rId660" Type="http://schemas.openxmlformats.org/officeDocument/2006/relationships/hyperlink" Target="https://www.youtube.com/watch?v=qzXGb7RIXmc" TargetMode="External"/><Relationship Id="rId106" Type="http://schemas.openxmlformats.org/officeDocument/2006/relationships/hyperlink" Target="https://www.youtube.com/watch?v=MOkWSa69NKA" TargetMode="External"/><Relationship Id="rId313" Type="http://schemas.openxmlformats.org/officeDocument/2006/relationships/hyperlink" Target="https://www.youtube.com/watch?v=zm-fPGwlflY" TargetMode="External"/><Relationship Id="rId495" Type="http://schemas.openxmlformats.org/officeDocument/2006/relationships/hyperlink" Target="https://www.youtube.com/watch?v=s_eR4_6kip8" TargetMode="External"/><Relationship Id="rId716" Type="http://schemas.openxmlformats.org/officeDocument/2006/relationships/hyperlink" Target="https://www.youtube.com/watch?v=inDcB8LwlqI" TargetMode="External"/><Relationship Id="rId758" Type="http://schemas.openxmlformats.org/officeDocument/2006/relationships/hyperlink" Target="https://www.youtube.com/watch?v=9QSUsKZfoQA&amp;t=156s" TargetMode="External"/><Relationship Id="rId10" Type="http://schemas.openxmlformats.org/officeDocument/2006/relationships/hyperlink" Target="https://www.youtube.com/watch?v=Kxuiy8OL30w" TargetMode="External"/><Relationship Id="rId52" Type="http://schemas.openxmlformats.org/officeDocument/2006/relationships/hyperlink" Target="https://www.youtube.com/watch?v=-udb2VYB5uo" TargetMode="External"/><Relationship Id="rId94" Type="http://schemas.openxmlformats.org/officeDocument/2006/relationships/hyperlink" Target="https://www.youtube.com/watch?v=0uPW7Jf9y7o" TargetMode="External"/><Relationship Id="rId148" Type="http://schemas.openxmlformats.org/officeDocument/2006/relationships/hyperlink" Target="https://www.youtube.com/watch?v=p6HgGSKj2m8" TargetMode="External"/><Relationship Id="rId355" Type="http://schemas.openxmlformats.org/officeDocument/2006/relationships/hyperlink" Target="https://www.youtube.com/watch?v=yp1ZVELrxIA" TargetMode="External"/><Relationship Id="rId397" Type="http://schemas.openxmlformats.org/officeDocument/2006/relationships/hyperlink" Target="https://www.youtube.com/watch?v=1VZl4rtt2aU" TargetMode="External"/><Relationship Id="rId520" Type="http://schemas.openxmlformats.org/officeDocument/2006/relationships/hyperlink" Target="https://www.youtube.com/watch?v=D7yIybTWmmU" TargetMode="External"/><Relationship Id="rId562" Type="http://schemas.openxmlformats.org/officeDocument/2006/relationships/hyperlink" Target="https://www.youtube.com/watch?v=fZLoHeGF4XI" TargetMode="External"/><Relationship Id="rId618" Type="http://schemas.openxmlformats.org/officeDocument/2006/relationships/hyperlink" Target="https://www.youtube.com/watch?v=Y5sHrOViVq0" TargetMode="External"/><Relationship Id="rId215" Type="http://schemas.openxmlformats.org/officeDocument/2006/relationships/hyperlink" Target="https://www.youtube.com/watch?v=8ZJ9Ubv74Fc" TargetMode="External"/><Relationship Id="rId257" Type="http://schemas.openxmlformats.org/officeDocument/2006/relationships/hyperlink" Target="https://www.youtube.com/watch?v=6oKx_bFPSSA" TargetMode="External"/><Relationship Id="rId422" Type="http://schemas.openxmlformats.org/officeDocument/2006/relationships/hyperlink" Target="https://www.youtube.com/watch?v=rbrxzObExNc" TargetMode="External"/><Relationship Id="rId464" Type="http://schemas.openxmlformats.org/officeDocument/2006/relationships/hyperlink" Target="https://www.youtube.com/watch?v=9VsQzAI5PLo"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8C411-5B72-4C04-BAC4-9D4959FC0395}">
  <dimension ref="A1:V21"/>
  <sheetViews>
    <sheetView tabSelected="1" topLeftCell="E13" workbookViewId="0">
      <selection activeCell="T21" sqref="T21:U21"/>
    </sheetView>
  </sheetViews>
  <sheetFormatPr defaultRowHeight="15"/>
  <cols>
    <col min="20" max="20" width="9.85546875" bestFit="1" customWidth="1"/>
    <col min="21" max="21" width="15.42578125" bestFit="1" customWidth="1"/>
    <col min="22" max="22" width="9.5703125" bestFit="1" customWidth="1"/>
  </cols>
  <sheetData>
    <row r="1" spans="1:22" s="387" customFormat="1" ht="15" customHeight="1">
      <c r="A1" s="385"/>
      <c r="B1" s="435" t="s">
        <v>55</v>
      </c>
      <c r="C1" s="435"/>
      <c r="D1" s="435"/>
      <c r="E1" s="436" t="s">
        <v>155</v>
      </c>
      <c r="F1" s="436"/>
      <c r="G1" s="436"/>
      <c r="H1" s="386" t="s">
        <v>54</v>
      </c>
      <c r="I1" s="386"/>
      <c r="J1" s="386"/>
      <c r="K1" s="436" t="s">
        <v>382</v>
      </c>
      <c r="L1" s="436"/>
      <c r="M1" s="436"/>
      <c r="N1" s="435" t="s">
        <v>596</v>
      </c>
      <c r="O1" s="435"/>
      <c r="P1" s="435"/>
      <c r="Q1" s="436" t="s">
        <v>136</v>
      </c>
      <c r="R1" s="436"/>
      <c r="S1" s="436"/>
      <c r="T1" s="434" t="s">
        <v>3059</v>
      </c>
      <c r="U1" s="434"/>
      <c r="V1" s="434"/>
    </row>
    <row r="2" spans="1:22" s="387" customFormat="1" ht="34.5">
      <c r="A2" s="388" t="s">
        <v>3039</v>
      </c>
      <c r="B2" s="389" t="s">
        <v>3040</v>
      </c>
      <c r="C2" s="389" t="s">
        <v>3041</v>
      </c>
      <c r="D2" s="389" t="s">
        <v>3042</v>
      </c>
      <c r="E2" s="390" t="s">
        <v>3040</v>
      </c>
      <c r="F2" s="390" t="s">
        <v>3041</v>
      </c>
      <c r="G2" s="390" t="s">
        <v>3042</v>
      </c>
      <c r="H2" s="389" t="s">
        <v>3040</v>
      </c>
      <c r="I2" s="389" t="s">
        <v>3041</v>
      </c>
      <c r="J2" s="389" t="s">
        <v>3042</v>
      </c>
      <c r="K2" s="390" t="s">
        <v>3040</v>
      </c>
      <c r="L2" s="390" t="s">
        <v>3041</v>
      </c>
      <c r="M2" s="390" t="s">
        <v>3042</v>
      </c>
      <c r="N2" s="389" t="s">
        <v>3040</v>
      </c>
      <c r="O2" s="389" t="s">
        <v>3041</v>
      </c>
      <c r="P2" s="389" t="s">
        <v>3042</v>
      </c>
      <c r="Q2" s="390" t="s">
        <v>3040</v>
      </c>
      <c r="R2" s="390" t="s">
        <v>3041</v>
      </c>
      <c r="S2" s="390" t="s">
        <v>3042</v>
      </c>
      <c r="T2" s="391" t="s">
        <v>3036</v>
      </c>
      <c r="U2" s="391" t="s">
        <v>3037</v>
      </c>
      <c r="V2" s="391" t="s">
        <v>3038</v>
      </c>
    </row>
    <row r="3" spans="1:22" s="387" customFormat="1" ht="30">
      <c r="A3" s="403" t="s">
        <v>56</v>
      </c>
      <c r="B3" s="435"/>
      <c r="C3" s="435"/>
      <c r="D3" s="435"/>
      <c r="E3" s="436"/>
      <c r="F3" s="436"/>
      <c r="G3" s="436"/>
      <c r="H3" s="386"/>
      <c r="I3" s="386"/>
      <c r="J3" s="386"/>
      <c r="K3" s="436"/>
      <c r="L3" s="436"/>
      <c r="M3" s="436"/>
      <c r="N3" s="435"/>
      <c r="O3" s="435"/>
      <c r="P3" s="435"/>
      <c r="Q3" s="436"/>
      <c r="R3" s="436"/>
      <c r="S3" s="436"/>
      <c r="T3" s="437"/>
      <c r="U3" s="437"/>
      <c r="V3" s="397"/>
    </row>
    <row r="4" spans="1:22" s="387" customFormat="1" ht="24.75">
      <c r="A4" s="392" t="s">
        <v>3044</v>
      </c>
      <c r="B4" s="393">
        <v>14</v>
      </c>
      <c r="C4" s="394">
        <v>9.9479166666666674E-2</v>
      </c>
      <c r="D4" s="393">
        <v>29</v>
      </c>
      <c r="E4" s="395">
        <v>7</v>
      </c>
      <c r="F4" s="396">
        <v>5.0439814814814812E-2</v>
      </c>
      <c r="G4" s="395">
        <v>24</v>
      </c>
      <c r="H4" s="393"/>
      <c r="I4" s="394"/>
      <c r="J4" s="393"/>
      <c r="K4" s="395"/>
      <c r="L4" s="396"/>
      <c r="M4" s="395"/>
      <c r="N4" s="393"/>
      <c r="O4" s="394"/>
      <c r="P4" s="393"/>
      <c r="Q4" s="395"/>
      <c r="R4" s="396"/>
      <c r="S4" s="395"/>
      <c r="T4" s="397">
        <v>21</v>
      </c>
      <c r="U4" s="398">
        <v>0.1499189814814815</v>
      </c>
      <c r="V4" s="397">
        <v>53</v>
      </c>
    </row>
    <row r="5" spans="1:22" s="387" customFormat="1" ht="24.75">
      <c r="A5" s="392" t="s">
        <v>3045</v>
      </c>
      <c r="B5" s="393">
        <v>1</v>
      </c>
      <c r="C5" s="394">
        <v>3.6041666666666666E-2</v>
      </c>
      <c r="D5" s="393">
        <v>7</v>
      </c>
      <c r="E5" s="395"/>
      <c r="F5" s="396"/>
      <c r="G5" s="395"/>
      <c r="H5" s="393"/>
      <c r="I5" s="394"/>
      <c r="J5" s="393"/>
      <c r="K5" s="395"/>
      <c r="L5" s="396"/>
      <c r="M5" s="395"/>
      <c r="N5" s="393"/>
      <c r="O5" s="394"/>
      <c r="P5" s="393"/>
      <c r="Q5" s="395"/>
      <c r="R5" s="396"/>
      <c r="S5" s="395"/>
      <c r="T5" s="397">
        <v>1</v>
      </c>
      <c r="U5" s="398">
        <v>3.6041666666666666E-2</v>
      </c>
      <c r="V5" s="397">
        <v>7</v>
      </c>
    </row>
    <row r="6" spans="1:22" s="387" customFormat="1" ht="24.75">
      <c r="A6" s="392" t="s">
        <v>3046</v>
      </c>
      <c r="B6" s="393">
        <v>5</v>
      </c>
      <c r="C6" s="394">
        <v>0.26827546296296295</v>
      </c>
      <c r="D6" s="393">
        <v>36</v>
      </c>
      <c r="E6" s="395">
        <v>3</v>
      </c>
      <c r="F6" s="396">
        <v>4.1944444444444437E-2</v>
      </c>
      <c r="G6" s="395">
        <v>13</v>
      </c>
      <c r="H6" s="393">
        <v>1</v>
      </c>
      <c r="I6" s="394">
        <v>5.0972222222222224E-2</v>
      </c>
      <c r="J6" s="393">
        <v>12</v>
      </c>
      <c r="K6" s="395"/>
      <c r="L6" s="396"/>
      <c r="M6" s="395"/>
      <c r="N6" s="393"/>
      <c r="O6" s="394"/>
      <c r="P6" s="393"/>
      <c r="Q6" s="395"/>
      <c r="R6" s="396"/>
      <c r="S6" s="395"/>
      <c r="T6" s="397">
        <v>9</v>
      </c>
      <c r="U6" s="398">
        <v>0.36119212962962965</v>
      </c>
      <c r="V6" s="397">
        <v>61</v>
      </c>
    </row>
    <row r="7" spans="1:22" s="387" customFormat="1" ht="24.75">
      <c r="A7" s="392" t="s">
        <v>3047</v>
      </c>
      <c r="B7" s="393">
        <v>1</v>
      </c>
      <c r="C7" s="394">
        <v>6.6493055555555555E-2</v>
      </c>
      <c r="D7" s="393">
        <v>10</v>
      </c>
      <c r="E7" s="395">
        <v>7</v>
      </c>
      <c r="F7" s="396">
        <v>5.783564814814815E-2</v>
      </c>
      <c r="G7" s="395">
        <v>20</v>
      </c>
      <c r="H7" s="393">
        <v>9</v>
      </c>
      <c r="I7" s="394">
        <v>4.9108796296296296E-2</v>
      </c>
      <c r="J7" s="393">
        <v>13</v>
      </c>
      <c r="K7" s="395"/>
      <c r="L7" s="396"/>
      <c r="M7" s="395"/>
      <c r="N7" s="393"/>
      <c r="O7" s="394"/>
      <c r="P7" s="393"/>
      <c r="Q7" s="395"/>
      <c r="R7" s="396"/>
      <c r="S7" s="395"/>
      <c r="T7" s="397">
        <v>17</v>
      </c>
      <c r="U7" s="398">
        <v>0.17343749999999994</v>
      </c>
      <c r="V7" s="397">
        <v>43</v>
      </c>
    </row>
    <row r="8" spans="1:22" s="387" customFormat="1" ht="24.75">
      <c r="A8" s="392" t="s">
        <v>3048</v>
      </c>
      <c r="B8" s="393">
        <v>2</v>
      </c>
      <c r="C8" s="394">
        <v>8.7465277777777767E-2</v>
      </c>
      <c r="D8" s="393">
        <v>21</v>
      </c>
      <c r="E8" s="395">
        <v>2</v>
      </c>
      <c r="F8" s="396">
        <v>3.498842592592593E-2</v>
      </c>
      <c r="G8" s="395">
        <v>13</v>
      </c>
      <c r="H8" s="393">
        <v>1</v>
      </c>
      <c r="I8" s="394">
        <v>6.7152777777777783E-2</v>
      </c>
      <c r="J8" s="393">
        <v>16</v>
      </c>
      <c r="K8" s="395">
        <v>3</v>
      </c>
      <c r="L8" s="396">
        <v>2.7766203703703703E-2</v>
      </c>
      <c r="M8" s="395">
        <v>4</v>
      </c>
      <c r="N8" s="393">
        <v>2</v>
      </c>
      <c r="O8" s="394">
        <v>0.11479166666666665</v>
      </c>
      <c r="P8" s="393">
        <v>29</v>
      </c>
      <c r="Q8" s="395">
        <v>1</v>
      </c>
      <c r="R8" s="396">
        <v>3.3611111111111112E-2</v>
      </c>
      <c r="S8" s="395">
        <v>5</v>
      </c>
      <c r="T8" s="397">
        <v>11</v>
      </c>
      <c r="U8" s="398">
        <v>0.36577546296296287</v>
      </c>
      <c r="V8" s="397">
        <v>88</v>
      </c>
    </row>
    <row r="9" spans="1:22" s="387" customFormat="1" ht="24.75">
      <c r="A9" s="392" t="s">
        <v>3049</v>
      </c>
      <c r="B9" s="393"/>
      <c r="C9" s="394"/>
      <c r="D9" s="393"/>
      <c r="E9" s="395">
        <v>2</v>
      </c>
      <c r="F9" s="396">
        <v>5.9212962962962967E-2</v>
      </c>
      <c r="G9" s="395">
        <v>9</v>
      </c>
      <c r="H9" s="393">
        <v>4</v>
      </c>
      <c r="I9" s="394">
        <v>5.1249999999999997E-2</v>
      </c>
      <c r="J9" s="393">
        <v>13</v>
      </c>
      <c r="K9" s="395">
        <v>2</v>
      </c>
      <c r="L9" s="396">
        <v>5.9594907407407402E-2</v>
      </c>
      <c r="M9" s="395">
        <v>3</v>
      </c>
      <c r="N9" s="393">
        <v>2</v>
      </c>
      <c r="O9" s="394">
        <v>8.2835648148148144E-2</v>
      </c>
      <c r="P9" s="393">
        <v>21</v>
      </c>
      <c r="Q9" s="395">
        <v>1</v>
      </c>
      <c r="R9" s="396">
        <v>3.005787037037037E-2</v>
      </c>
      <c r="S9" s="395">
        <v>13</v>
      </c>
      <c r="T9" s="397">
        <v>11</v>
      </c>
      <c r="U9" s="398">
        <v>0.28295138888888893</v>
      </c>
      <c r="V9" s="397">
        <v>59</v>
      </c>
    </row>
    <row r="10" spans="1:22" s="387" customFormat="1" ht="24.75">
      <c r="A10" s="392" t="s">
        <v>3050</v>
      </c>
      <c r="B10" s="393"/>
      <c r="C10" s="394"/>
      <c r="D10" s="393"/>
      <c r="E10" s="395">
        <v>1</v>
      </c>
      <c r="F10" s="396">
        <v>8.9583333333333334E-2</v>
      </c>
      <c r="G10" s="395">
        <v>12</v>
      </c>
      <c r="H10" s="393">
        <v>7</v>
      </c>
      <c r="I10" s="394">
        <v>1.6446759259259258E-2</v>
      </c>
      <c r="J10" s="393">
        <v>18</v>
      </c>
      <c r="K10" s="395">
        <v>2</v>
      </c>
      <c r="L10" s="396">
        <v>1.207175925925926E-2</v>
      </c>
      <c r="M10" s="395">
        <v>1</v>
      </c>
      <c r="N10" s="393"/>
      <c r="O10" s="394"/>
      <c r="P10" s="393"/>
      <c r="Q10" s="395"/>
      <c r="R10" s="396"/>
      <c r="S10" s="395"/>
      <c r="T10" s="397">
        <v>10</v>
      </c>
      <c r="U10" s="398">
        <v>0.11810185185185185</v>
      </c>
      <c r="V10" s="397">
        <v>31</v>
      </c>
    </row>
    <row r="11" spans="1:22" s="387" customFormat="1" ht="24.75">
      <c r="A11" s="392" t="s">
        <v>3051</v>
      </c>
      <c r="B11" s="393"/>
      <c r="C11" s="394"/>
      <c r="D11" s="393"/>
      <c r="E11" s="395">
        <v>2</v>
      </c>
      <c r="F11" s="396">
        <v>6.0462962962962968E-2</v>
      </c>
      <c r="G11" s="395">
        <v>12</v>
      </c>
      <c r="H11" s="393">
        <v>2</v>
      </c>
      <c r="I11" s="394">
        <v>0.12177083333333333</v>
      </c>
      <c r="J11" s="393">
        <v>25</v>
      </c>
      <c r="K11" s="395">
        <v>4</v>
      </c>
      <c r="L11" s="396">
        <v>0.10564814814814814</v>
      </c>
      <c r="M11" s="395">
        <v>15</v>
      </c>
      <c r="N11" s="393"/>
      <c r="O11" s="394"/>
      <c r="P11" s="393"/>
      <c r="Q11" s="395">
        <v>2</v>
      </c>
      <c r="R11" s="396">
        <v>2.6145833333333337E-2</v>
      </c>
      <c r="S11" s="395">
        <v>24</v>
      </c>
      <c r="T11" s="397">
        <v>10</v>
      </c>
      <c r="U11" s="398">
        <v>0.31402777777777779</v>
      </c>
      <c r="V11" s="397">
        <v>76</v>
      </c>
    </row>
    <row r="12" spans="1:22" s="387" customFormat="1" ht="24.75">
      <c r="A12" s="392" t="s">
        <v>3052</v>
      </c>
      <c r="B12" s="393"/>
      <c r="C12" s="394"/>
      <c r="D12" s="393"/>
      <c r="E12" s="395">
        <v>3</v>
      </c>
      <c r="F12" s="396">
        <v>3.6597222222222225E-2</v>
      </c>
      <c r="G12" s="395">
        <v>4</v>
      </c>
      <c r="H12" s="393"/>
      <c r="I12" s="394"/>
      <c r="J12" s="393"/>
      <c r="K12" s="395"/>
      <c r="L12" s="396"/>
      <c r="M12" s="395"/>
      <c r="N12" s="393"/>
      <c r="O12" s="394"/>
      <c r="P12" s="393"/>
      <c r="Q12" s="395"/>
      <c r="R12" s="396"/>
      <c r="S12" s="395"/>
      <c r="T12" s="397">
        <v>3</v>
      </c>
      <c r="U12" s="398">
        <v>3.6597222222222225E-2</v>
      </c>
      <c r="V12" s="397">
        <v>4</v>
      </c>
    </row>
    <row r="13" spans="1:22" s="387" customFormat="1" ht="24.75">
      <c r="A13" s="392" t="s">
        <v>3053</v>
      </c>
      <c r="B13" s="393"/>
      <c r="C13" s="394"/>
      <c r="D13" s="393"/>
      <c r="E13" s="395">
        <v>3</v>
      </c>
      <c r="F13" s="396">
        <v>8.5162037037037036E-2</v>
      </c>
      <c r="G13" s="395">
        <v>11</v>
      </c>
      <c r="H13" s="393">
        <v>1</v>
      </c>
      <c r="I13" s="394">
        <v>5.004629629629629E-2</v>
      </c>
      <c r="J13" s="393">
        <v>11</v>
      </c>
      <c r="K13" s="395"/>
      <c r="L13" s="396"/>
      <c r="M13" s="395"/>
      <c r="N13" s="393"/>
      <c r="O13" s="394"/>
      <c r="P13" s="393"/>
      <c r="Q13" s="395"/>
      <c r="R13" s="396"/>
      <c r="S13" s="395"/>
      <c r="T13" s="397">
        <v>4</v>
      </c>
      <c r="U13" s="398">
        <v>0.13520833333333332</v>
      </c>
      <c r="V13" s="397">
        <v>22</v>
      </c>
    </row>
    <row r="14" spans="1:22" s="387" customFormat="1" ht="24.75">
      <c r="A14" s="392" t="s">
        <v>3057</v>
      </c>
      <c r="B14" s="393"/>
      <c r="C14" s="394"/>
      <c r="D14" s="393"/>
      <c r="E14" s="395">
        <v>4</v>
      </c>
      <c r="F14" s="396">
        <v>3.2673611111111112E-2</v>
      </c>
      <c r="G14" s="395">
        <v>9</v>
      </c>
      <c r="H14" s="393">
        <v>3</v>
      </c>
      <c r="I14" s="394">
        <v>8.8715277777777768E-2</v>
      </c>
      <c r="J14" s="393">
        <v>22</v>
      </c>
      <c r="K14" s="395"/>
      <c r="L14" s="396"/>
      <c r="M14" s="395"/>
      <c r="N14" s="393"/>
      <c r="O14" s="394"/>
      <c r="P14" s="393"/>
      <c r="Q14" s="395"/>
      <c r="R14" s="396"/>
      <c r="S14" s="395"/>
      <c r="T14" s="397">
        <v>7</v>
      </c>
      <c r="U14" s="398">
        <v>0.12138888888888888</v>
      </c>
      <c r="V14" s="397">
        <v>31</v>
      </c>
    </row>
    <row r="15" spans="1:22" s="387" customFormat="1" ht="38.25">
      <c r="A15" s="399" t="s">
        <v>3054</v>
      </c>
      <c r="B15" s="400">
        <v>23</v>
      </c>
      <c r="C15" s="401">
        <v>0.55775462962962963</v>
      </c>
      <c r="D15" s="400">
        <v>103</v>
      </c>
      <c r="E15" s="400">
        <v>34</v>
      </c>
      <c r="F15" s="401">
        <v>0.5489004629629628</v>
      </c>
      <c r="G15" s="400">
        <v>127</v>
      </c>
      <c r="H15" s="400">
        <v>28</v>
      </c>
      <c r="I15" s="401">
        <v>0.49546296296296294</v>
      </c>
      <c r="J15" s="400">
        <v>130</v>
      </c>
      <c r="K15" s="400">
        <v>11</v>
      </c>
      <c r="L15" s="401">
        <v>0.20508101851851851</v>
      </c>
      <c r="M15" s="400">
        <v>23</v>
      </c>
      <c r="N15" s="400">
        <v>4</v>
      </c>
      <c r="O15" s="401">
        <v>0.19762731481481483</v>
      </c>
      <c r="P15" s="400">
        <v>50</v>
      </c>
      <c r="Q15" s="400">
        <v>4</v>
      </c>
      <c r="R15" s="401">
        <v>8.981481481481482E-2</v>
      </c>
      <c r="S15" s="400">
        <v>42</v>
      </c>
      <c r="T15" s="406">
        <v>104</v>
      </c>
      <c r="U15" s="407">
        <v>2.0946412037037034</v>
      </c>
      <c r="V15" s="408">
        <v>475</v>
      </c>
    </row>
    <row r="16" spans="1:22" s="387" customFormat="1">
      <c r="A16" s="403" t="s">
        <v>142</v>
      </c>
      <c r="B16" s="435"/>
      <c r="C16" s="435"/>
      <c r="D16" s="435"/>
      <c r="E16" s="436"/>
      <c r="F16" s="436"/>
      <c r="G16" s="436"/>
      <c r="H16" s="386"/>
      <c r="I16" s="386"/>
      <c r="J16" s="386"/>
      <c r="K16" s="436"/>
      <c r="L16" s="436"/>
      <c r="M16" s="436"/>
      <c r="N16" s="435"/>
      <c r="O16" s="435"/>
      <c r="P16" s="435"/>
      <c r="Q16" s="436"/>
      <c r="R16" s="436"/>
      <c r="S16" s="436"/>
      <c r="T16" s="437"/>
      <c r="U16" s="437"/>
      <c r="V16" s="397"/>
    </row>
    <row r="17" spans="1:22" s="387" customFormat="1" ht="24.75">
      <c r="A17" s="392" t="s">
        <v>3044</v>
      </c>
      <c r="B17" s="393">
        <v>3</v>
      </c>
      <c r="C17" s="394">
        <v>5.3703703703703708E-3</v>
      </c>
      <c r="D17" s="393">
        <v>3</v>
      </c>
      <c r="E17" s="395"/>
      <c r="F17" s="396"/>
      <c r="G17" s="395"/>
      <c r="H17" s="393"/>
      <c r="I17" s="394"/>
      <c r="J17" s="393"/>
      <c r="K17" s="395"/>
      <c r="L17" s="396"/>
      <c r="M17" s="395"/>
      <c r="N17" s="393"/>
      <c r="O17" s="394"/>
      <c r="P17" s="393"/>
      <c r="Q17" s="395"/>
      <c r="R17" s="396"/>
      <c r="S17" s="395"/>
      <c r="T17" s="397">
        <v>3</v>
      </c>
      <c r="U17" s="398">
        <v>5.3703703703703708E-3</v>
      </c>
      <c r="V17" s="397">
        <v>3</v>
      </c>
    </row>
    <row r="18" spans="1:22" s="387" customFormat="1" ht="24.75">
      <c r="A18" s="392" t="s">
        <v>3047</v>
      </c>
      <c r="B18" s="393"/>
      <c r="C18" s="394"/>
      <c r="D18" s="393"/>
      <c r="E18" s="395">
        <v>1</v>
      </c>
      <c r="F18" s="396">
        <v>3.3564814814814811E-3</v>
      </c>
      <c r="G18" s="395">
        <v>1</v>
      </c>
      <c r="H18" s="393">
        <v>1</v>
      </c>
      <c r="I18" s="394">
        <v>4.1898148148148146E-3</v>
      </c>
      <c r="J18" s="393"/>
      <c r="K18" s="395"/>
      <c r="L18" s="396"/>
      <c r="M18" s="395"/>
      <c r="N18" s="393"/>
      <c r="O18" s="394"/>
      <c r="P18" s="393"/>
      <c r="Q18" s="395"/>
      <c r="R18" s="396"/>
      <c r="S18" s="395"/>
      <c r="T18" s="397">
        <v>2</v>
      </c>
      <c r="U18" s="398">
        <v>7.5462962962962957E-3</v>
      </c>
      <c r="V18" s="397">
        <v>1</v>
      </c>
    </row>
    <row r="19" spans="1:22" s="387" customFormat="1">
      <c r="A19" s="399" t="s">
        <v>3055</v>
      </c>
      <c r="B19" s="400">
        <v>3</v>
      </c>
      <c r="C19" s="401">
        <v>5.3703703703703708E-3</v>
      </c>
      <c r="D19" s="400">
        <v>3</v>
      </c>
      <c r="E19" s="400">
        <v>1</v>
      </c>
      <c r="F19" s="401">
        <v>3.3564814814814811E-3</v>
      </c>
      <c r="G19" s="400">
        <v>1</v>
      </c>
      <c r="H19" s="400">
        <v>1</v>
      </c>
      <c r="I19" s="401">
        <v>4.1898148148148146E-3</v>
      </c>
      <c r="J19" s="400"/>
      <c r="K19" s="400"/>
      <c r="L19" s="401"/>
      <c r="M19" s="400"/>
      <c r="N19" s="400"/>
      <c r="O19" s="401"/>
      <c r="P19" s="400"/>
      <c r="Q19" s="400"/>
      <c r="R19" s="401"/>
      <c r="S19" s="400"/>
      <c r="T19" s="400">
        <v>5</v>
      </c>
      <c r="U19" s="401">
        <v>1.2916666666666667E-2</v>
      </c>
      <c r="V19" s="402">
        <v>4</v>
      </c>
    </row>
    <row r="20" spans="1:22" s="387" customFormat="1" ht="26.25">
      <c r="A20" s="399" t="s">
        <v>3056</v>
      </c>
      <c r="B20" s="400">
        <v>26</v>
      </c>
      <c r="C20" s="401">
        <v>0.56312499999999999</v>
      </c>
      <c r="D20" s="400">
        <v>106</v>
      </c>
      <c r="E20" s="400">
        <v>35</v>
      </c>
      <c r="F20" s="401">
        <v>0.55225694444444429</v>
      </c>
      <c r="G20" s="400">
        <v>128</v>
      </c>
      <c r="H20" s="400">
        <v>29</v>
      </c>
      <c r="I20" s="401">
        <v>0.49965277777777778</v>
      </c>
      <c r="J20" s="400">
        <v>130</v>
      </c>
      <c r="K20" s="400">
        <v>11</v>
      </c>
      <c r="L20" s="401">
        <v>0.20508101851851851</v>
      </c>
      <c r="M20" s="400">
        <v>23</v>
      </c>
      <c r="N20" s="400">
        <v>4</v>
      </c>
      <c r="O20" s="401">
        <v>0.19762731481481483</v>
      </c>
      <c r="P20" s="400">
        <v>50</v>
      </c>
      <c r="Q20" s="400">
        <v>4</v>
      </c>
      <c r="R20" s="401">
        <v>8.981481481481482E-2</v>
      </c>
      <c r="S20" s="400">
        <v>42</v>
      </c>
      <c r="T20" s="406">
        <v>109</v>
      </c>
      <c r="U20" s="407">
        <v>2.1075578703703703</v>
      </c>
      <c r="V20" s="408">
        <v>479</v>
      </c>
    </row>
    <row r="21" spans="1:22" ht="26.25">
      <c r="A21" s="399" t="s">
        <v>3060</v>
      </c>
      <c r="T21" s="404">
        <v>650</v>
      </c>
      <c r="U21" s="405">
        <v>11.090902777777767</v>
      </c>
    </row>
  </sheetData>
  <mergeCells count="18">
    <mergeCell ref="N1:P1"/>
    <mergeCell ref="Q1:S1"/>
    <mergeCell ref="T1:V1"/>
    <mergeCell ref="B16:D16"/>
    <mergeCell ref="E16:G16"/>
    <mergeCell ref="K16:M16"/>
    <mergeCell ref="N16:P16"/>
    <mergeCell ref="Q16:S16"/>
    <mergeCell ref="T16:U16"/>
    <mergeCell ref="B3:D3"/>
    <mergeCell ref="E3:G3"/>
    <mergeCell ref="K3:M3"/>
    <mergeCell ref="N3:P3"/>
    <mergeCell ref="Q3:S3"/>
    <mergeCell ref="T3:U3"/>
    <mergeCell ref="B1:D1"/>
    <mergeCell ref="E1:G1"/>
    <mergeCell ref="K1:M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E18DA-D460-4D4E-A11C-148DD71C0B91}">
  <dimension ref="A1:Y1231"/>
  <sheetViews>
    <sheetView topLeftCell="A16" workbookViewId="0">
      <selection activeCell="K24" sqref="K24:L24"/>
    </sheetView>
  </sheetViews>
  <sheetFormatPr defaultRowHeight="15"/>
  <cols>
    <col min="1" max="1" width="18.85546875" style="96" bestFit="1" customWidth="1"/>
    <col min="2" max="2" width="8.42578125" style="375" bestFit="1" customWidth="1"/>
    <col min="3" max="3" width="7" style="375" bestFit="1" customWidth="1"/>
    <col min="4" max="4" width="6.85546875" style="375" bestFit="1" customWidth="1"/>
    <col min="5" max="5" width="6.5703125" style="375" bestFit="1" customWidth="1"/>
    <col min="6" max="6" width="10" style="375" bestFit="1" customWidth="1"/>
    <col min="7" max="7" width="6.85546875" style="375" bestFit="1" customWidth="1"/>
    <col min="8" max="8" width="6.5703125" style="375" bestFit="1" customWidth="1"/>
    <col min="9" max="9" width="10" style="375" bestFit="1" customWidth="1"/>
    <col min="10" max="10" width="6.85546875" style="375" bestFit="1" customWidth="1"/>
    <col min="11" max="11" width="6.5703125" style="375" bestFit="1" customWidth="1"/>
    <col min="12" max="12" width="7.85546875" style="375" bestFit="1" customWidth="1"/>
    <col min="13" max="13" width="6.85546875" style="375" bestFit="1" customWidth="1"/>
    <col min="14" max="14" width="6.5703125" style="375" bestFit="1" customWidth="1"/>
    <col min="15" max="15" width="10" style="375" bestFit="1" customWidth="1"/>
    <col min="16" max="16" width="6.85546875" style="375" bestFit="1" customWidth="1"/>
    <col min="17" max="17" width="6.5703125" style="375" bestFit="1" customWidth="1"/>
    <col min="18" max="19" width="6.85546875" style="375" bestFit="1" customWidth="1"/>
    <col min="20" max="20" width="8.28515625" style="375" bestFit="1" customWidth="1"/>
    <col min="21" max="21" width="10" style="375" bestFit="1" customWidth="1"/>
    <col min="22" max="22" width="6.85546875" style="375" bestFit="1" customWidth="1"/>
    <col min="23" max="23" width="18" style="375" bestFit="1" customWidth="1"/>
    <col min="24" max="24" width="19.7109375" style="375" bestFit="1" customWidth="1"/>
    <col min="25" max="25" width="16.42578125" style="375" bestFit="1" customWidth="1"/>
    <col min="26" max="26" width="77.28515625" style="96" bestFit="1" customWidth="1"/>
    <col min="27" max="27" width="42.140625" style="96" bestFit="1" customWidth="1"/>
    <col min="28" max="28" width="53.28515625" style="96" bestFit="1" customWidth="1"/>
    <col min="29" max="29" width="30.42578125" style="96" bestFit="1" customWidth="1"/>
    <col min="30" max="30" width="40.140625" style="96" bestFit="1" customWidth="1"/>
    <col min="31" max="31" width="59.5703125" style="96" bestFit="1" customWidth="1"/>
    <col min="32" max="32" width="44.28515625" style="96" bestFit="1" customWidth="1"/>
    <col min="33" max="33" width="51" style="96" bestFit="1" customWidth="1"/>
    <col min="34" max="34" width="35.42578125" style="96" bestFit="1" customWidth="1"/>
    <col min="35" max="35" width="44.85546875" style="96" bestFit="1" customWidth="1"/>
    <col min="36" max="36" width="41.140625" style="96" bestFit="1" customWidth="1"/>
    <col min="37" max="37" width="43.42578125" style="96" bestFit="1" customWidth="1"/>
    <col min="38" max="38" width="44.42578125" style="96" bestFit="1" customWidth="1"/>
    <col min="39" max="39" width="44.85546875" style="96" bestFit="1" customWidth="1"/>
    <col min="40" max="40" width="34.28515625" style="96" bestFit="1" customWidth="1"/>
    <col min="41" max="41" width="49.5703125" style="96" bestFit="1" customWidth="1"/>
    <col min="42" max="42" width="77.42578125" style="96" bestFit="1" customWidth="1"/>
    <col min="43" max="43" width="30.42578125" style="96" bestFit="1" customWidth="1"/>
    <col min="44" max="44" width="56" style="96" bestFit="1" customWidth="1"/>
    <col min="45" max="45" width="37.42578125" style="96" bestFit="1" customWidth="1"/>
    <col min="46" max="46" width="54" style="96" bestFit="1" customWidth="1"/>
    <col min="47" max="47" width="37.140625" style="96" bestFit="1" customWidth="1"/>
    <col min="48" max="48" width="29.28515625" style="96" bestFit="1" customWidth="1"/>
    <col min="49" max="49" width="32.85546875" style="96" bestFit="1" customWidth="1"/>
    <col min="50" max="50" width="36.28515625" style="96" bestFit="1" customWidth="1"/>
    <col min="51" max="51" width="54.140625" style="96" bestFit="1" customWidth="1"/>
    <col min="52" max="52" width="63.7109375" style="96" bestFit="1" customWidth="1"/>
    <col min="53" max="53" width="51.140625" style="96" bestFit="1" customWidth="1"/>
    <col min="54" max="54" width="30.85546875" style="96" bestFit="1" customWidth="1"/>
    <col min="55" max="55" width="22.140625" style="96" bestFit="1" customWidth="1"/>
    <col min="56" max="56" width="39.7109375" style="96" bestFit="1" customWidth="1"/>
    <col min="57" max="57" width="49.5703125" style="96" bestFit="1" customWidth="1"/>
    <col min="58" max="58" width="30.42578125" style="96" bestFit="1" customWidth="1"/>
    <col min="59" max="59" width="3.5703125" style="96" bestFit="1" customWidth="1"/>
    <col min="60" max="60" width="39.5703125" style="96" bestFit="1" customWidth="1"/>
    <col min="61" max="61" width="54" style="96" bestFit="1" customWidth="1"/>
    <col min="62" max="62" width="38.85546875" style="96" bestFit="1" customWidth="1"/>
    <col min="63" max="63" width="74.28515625" style="96" bestFit="1" customWidth="1"/>
    <col min="64" max="64" width="79" style="96" bestFit="1" customWidth="1"/>
    <col min="65" max="65" width="30.28515625" style="96" bestFit="1" customWidth="1"/>
    <col min="66" max="66" width="21.5703125" style="96" bestFit="1" customWidth="1"/>
    <col min="67" max="67" width="52.140625" style="96" bestFit="1" customWidth="1"/>
    <col min="68" max="68" width="28.7109375" style="96" bestFit="1" customWidth="1"/>
    <col min="69" max="69" width="52.28515625" style="96" bestFit="1" customWidth="1"/>
    <col min="70" max="70" width="51.85546875" style="96" bestFit="1" customWidth="1"/>
    <col min="71" max="71" width="35" style="96" bestFit="1" customWidth="1"/>
    <col min="72" max="72" width="51.7109375" style="96" bestFit="1" customWidth="1"/>
    <col min="73" max="73" width="29.140625" style="96" bestFit="1" customWidth="1"/>
    <col min="74" max="74" width="76.28515625" style="96" bestFit="1" customWidth="1"/>
    <col min="75" max="75" width="20.28515625" style="96" bestFit="1" customWidth="1"/>
    <col min="76" max="76" width="24.140625" style="96" bestFit="1" customWidth="1"/>
    <col min="77" max="77" width="25.85546875" style="96" bestFit="1" customWidth="1"/>
    <col min="78" max="78" width="24.5703125" style="96" bestFit="1" customWidth="1"/>
    <col min="79" max="79" width="21" style="96" bestFit="1" customWidth="1"/>
    <col min="80" max="81" width="24.5703125" style="96" bestFit="1" customWidth="1"/>
    <col min="82" max="82" width="24.140625" style="96" bestFit="1" customWidth="1"/>
    <col min="83" max="83" width="18" style="96" bestFit="1" customWidth="1"/>
    <col min="84" max="84" width="20.7109375" style="96" bestFit="1" customWidth="1"/>
    <col min="85" max="85" width="19.140625" style="96" bestFit="1" customWidth="1"/>
    <col min="86" max="86" width="25.140625" style="96" bestFit="1" customWidth="1"/>
    <col min="87" max="87" width="46.7109375" style="96" bestFit="1" customWidth="1"/>
    <col min="88" max="88" width="28" style="96" bestFit="1" customWidth="1"/>
    <col min="89" max="89" width="30.42578125" style="96" bestFit="1" customWidth="1"/>
    <col min="90" max="90" width="23.85546875" style="96" bestFit="1" customWidth="1"/>
    <col min="91" max="91" width="30" style="96" bestFit="1" customWidth="1"/>
    <col min="92" max="92" width="27.7109375" style="96" bestFit="1" customWidth="1"/>
    <col min="93" max="93" width="20.85546875" style="96" bestFit="1" customWidth="1"/>
    <col min="94" max="94" width="60.85546875" style="96" bestFit="1" customWidth="1"/>
    <col min="95" max="95" width="30.5703125" style="96" bestFit="1" customWidth="1"/>
    <col min="96" max="96" width="34.85546875" style="96" bestFit="1" customWidth="1"/>
    <col min="97" max="97" width="44.140625" style="96" bestFit="1" customWidth="1"/>
    <col min="98" max="98" width="36" style="96" bestFit="1" customWidth="1"/>
    <col min="99" max="99" width="54.85546875" style="96" bestFit="1" customWidth="1"/>
    <col min="100" max="100" width="34.42578125" style="96" bestFit="1" customWidth="1"/>
    <col min="101" max="101" width="19.5703125" style="96" bestFit="1" customWidth="1"/>
    <col min="102" max="102" width="38.7109375" style="96" bestFit="1" customWidth="1"/>
    <col min="103" max="103" width="58" style="96" bestFit="1" customWidth="1"/>
    <col min="104" max="104" width="48.7109375" style="96" bestFit="1" customWidth="1"/>
    <col min="105" max="105" width="27.42578125" style="96" bestFit="1" customWidth="1"/>
    <col min="106" max="106" width="7.28515625" style="96" bestFit="1" customWidth="1"/>
    <col min="107" max="107" width="44.28515625" style="96" bestFit="1" customWidth="1"/>
    <col min="108" max="108" width="19.7109375" style="96" bestFit="1" customWidth="1"/>
    <col min="109" max="109" width="43.7109375" style="96" bestFit="1" customWidth="1"/>
    <col min="110" max="110" width="40" style="96" bestFit="1" customWidth="1"/>
    <col min="111" max="111" width="44.85546875" style="96" bestFit="1" customWidth="1"/>
    <col min="112" max="112" width="67.140625" style="96" bestFit="1" customWidth="1"/>
    <col min="113" max="113" width="58.140625" style="96" bestFit="1" customWidth="1"/>
    <col min="114" max="114" width="80.5703125" style="96" bestFit="1" customWidth="1"/>
    <col min="115" max="115" width="26.5703125" style="96" bestFit="1" customWidth="1"/>
    <col min="116" max="116" width="52.5703125" style="96" bestFit="1" customWidth="1"/>
    <col min="117" max="117" width="29.140625" style="96" bestFit="1" customWidth="1"/>
    <col min="118" max="118" width="39.5703125" style="96" bestFit="1" customWidth="1"/>
    <col min="119" max="119" width="41.42578125" style="96" bestFit="1" customWidth="1"/>
    <col min="120" max="120" width="63.85546875" style="96" bestFit="1" customWidth="1"/>
    <col min="121" max="121" width="55.85546875" style="96" bestFit="1" customWidth="1"/>
    <col min="122" max="122" width="44.85546875" style="96" bestFit="1" customWidth="1"/>
    <col min="123" max="123" width="44" style="96" bestFit="1" customWidth="1"/>
    <col min="124" max="124" width="63.5703125" style="96" bestFit="1" customWidth="1"/>
    <col min="125" max="125" width="30.28515625" style="96" bestFit="1" customWidth="1"/>
    <col min="126" max="126" width="41.5703125" style="96" bestFit="1" customWidth="1"/>
    <col min="127" max="127" width="25.85546875" style="96" bestFit="1" customWidth="1"/>
    <col min="128" max="128" width="34" style="96" bestFit="1" customWidth="1"/>
    <col min="129" max="129" width="60.28515625" style="96" bestFit="1" customWidth="1"/>
    <col min="130" max="130" width="62.42578125" style="96" bestFit="1" customWidth="1"/>
    <col min="131" max="131" width="77.28515625" style="96" bestFit="1" customWidth="1"/>
    <col min="132" max="132" width="42.140625" style="96" bestFit="1" customWidth="1"/>
    <col min="133" max="133" width="53.28515625" style="96" bestFit="1" customWidth="1"/>
    <col min="134" max="134" width="30.42578125" style="96" bestFit="1" customWidth="1"/>
    <col min="135" max="135" width="40.140625" style="96" bestFit="1" customWidth="1"/>
    <col min="136" max="136" width="59.5703125" style="96" bestFit="1" customWidth="1"/>
    <col min="137" max="137" width="44.28515625" style="96" bestFit="1" customWidth="1"/>
    <col min="138" max="138" width="51" style="96" bestFit="1" customWidth="1"/>
    <col min="139" max="139" width="35.42578125" style="96" bestFit="1" customWidth="1"/>
    <col min="140" max="140" width="44.85546875" style="96" bestFit="1" customWidth="1"/>
    <col min="141" max="141" width="41.140625" style="96" bestFit="1" customWidth="1"/>
    <col min="142" max="142" width="43.42578125" style="96" bestFit="1" customWidth="1"/>
    <col min="143" max="143" width="44.42578125" style="96" bestFit="1" customWidth="1"/>
    <col min="144" max="144" width="44.85546875" style="96" bestFit="1" customWidth="1"/>
    <col min="145" max="145" width="34.28515625" style="96" bestFit="1" customWidth="1"/>
    <col min="146" max="146" width="49.5703125" style="96" bestFit="1" customWidth="1"/>
    <col min="147" max="147" width="77.42578125" style="96" bestFit="1" customWidth="1"/>
    <col min="148" max="148" width="30.42578125" style="96" bestFit="1" customWidth="1"/>
    <col min="149" max="149" width="56" style="96" bestFit="1" customWidth="1"/>
    <col min="150" max="150" width="37.42578125" style="96" bestFit="1" customWidth="1"/>
    <col min="151" max="151" width="54" style="96" bestFit="1" customWidth="1"/>
    <col min="152" max="152" width="37.140625" style="96" bestFit="1" customWidth="1"/>
    <col min="153" max="153" width="29.28515625" style="96" bestFit="1" customWidth="1"/>
    <col min="154" max="154" width="32.85546875" style="96" bestFit="1" customWidth="1"/>
    <col min="155" max="155" width="36.28515625" style="96" bestFit="1" customWidth="1"/>
    <col min="156" max="156" width="54.140625" style="96" bestFit="1" customWidth="1"/>
    <col min="157" max="157" width="63.7109375" style="96" bestFit="1" customWidth="1"/>
    <col min="158" max="158" width="51.140625" style="96" bestFit="1" customWidth="1"/>
    <col min="159" max="159" width="30.85546875" style="96" bestFit="1" customWidth="1"/>
    <col min="160" max="160" width="22.140625" style="96" bestFit="1" customWidth="1"/>
    <col min="161" max="161" width="39.7109375" style="96" bestFit="1" customWidth="1"/>
    <col min="162" max="162" width="49.5703125" style="96" bestFit="1" customWidth="1"/>
    <col min="163" max="163" width="30.42578125" style="96" bestFit="1" customWidth="1"/>
    <col min="164" max="164" width="7.140625" style="96" bestFit="1" customWidth="1"/>
    <col min="165" max="165" width="39.5703125" style="96" bestFit="1" customWidth="1"/>
    <col min="166" max="166" width="54" style="96" bestFit="1" customWidth="1"/>
    <col min="167" max="167" width="38.85546875" style="96" bestFit="1" customWidth="1"/>
    <col min="168" max="168" width="74.28515625" style="96" bestFit="1" customWidth="1"/>
    <col min="169" max="169" width="79" style="96" bestFit="1" customWidth="1"/>
    <col min="170" max="170" width="30.28515625" style="96" bestFit="1" customWidth="1"/>
    <col min="171" max="171" width="21.5703125" style="96" bestFit="1" customWidth="1"/>
    <col min="172" max="172" width="52.140625" style="96" bestFit="1" customWidth="1"/>
    <col min="173" max="173" width="28.7109375" style="96" bestFit="1" customWidth="1"/>
    <col min="174" max="174" width="52.28515625" style="96" bestFit="1" customWidth="1"/>
    <col min="175" max="175" width="51.85546875" style="96" bestFit="1" customWidth="1"/>
    <col min="176" max="176" width="35" style="96" bestFit="1" customWidth="1"/>
    <col min="177" max="177" width="51.7109375" style="96" bestFit="1" customWidth="1"/>
    <col min="178" max="178" width="29.140625" style="96" bestFit="1" customWidth="1"/>
    <col min="179" max="179" width="76.28515625" style="96" bestFit="1" customWidth="1"/>
    <col min="180" max="180" width="20.28515625" style="96" bestFit="1" customWidth="1"/>
    <col min="181" max="181" width="24.140625" style="96" bestFit="1" customWidth="1"/>
    <col min="182" max="182" width="25.85546875" style="96" bestFit="1" customWidth="1"/>
    <col min="183" max="183" width="24.5703125" style="96" bestFit="1" customWidth="1"/>
    <col min="184" max="184" width="21" style="96" bestFit="1" customWidth="1"/>
    <col min="185" max="186" width="24.5703125" style="96" bestFit="1" customWidth="1"/>
    <col min="187" max="187" width="24.140625" style="96" bestFit="1" customWidth="1"/>
    <col min="188" max="188" width="18" style="96" bestFit="1" customWidth="1"/>
    <col min="189" max="189" width="20.7109375" style="96" bestFit="1" customWidth="1"/>
    <col min="190" max="190" width="19.140625" style="96" bestFit="1" customWidth="1"/>
    <col min="191" max="191" width="25.140625" style="96" bestFit="1" customWidth="1"/>
    <col min="192" max="192" width="46.7109375" style="96" bestFit="1" customWidth="1"/>
    <col min="193" max="193" width="28" style="96" bestFit="1" customWidth="1"/>
    <col min="194" max="194" width="30.42578125" style="96" bestFit="1" customWidth="1"/>
    <col min="195" max="195" width="23.85546875" style="96" bestFit="1" customWidth="1"/>
    <col min="196" max="196" width="30" style="96" bestFit="1" customWidth="1"/>
    <col min="197" max="197" width="27.7109375" style="96" bestFit="1" customWidth="1"/>
    <col min="198" max="198" width="20.85546875" style="96" bestFit="1" customWidth="1"/>
    <col min="199" max="199" width="60.85546875" style="96" bestFit="1" customWidth="1"/>
    <col min="200" max="200" width="30.5703125" style="96" bestFit="1" customWidth="1"/>
    <col min="201" max="201" width="34.85546875" style="96" bestFit="1" customWidth="1"/>
    <col min="202" max="202" width="44.140625" style="96" bestFit="1" customWidth="1"/>
    <col min="203" max="203" width="36" style="96" bestFit="1" customWidth="1"/>
    <col min="204" max="204" width="54.85546875" style="96" bestFit="1" customWidth="1"/>
    <col min="205" max="205" width="34.42578125" style="96" bestFit="1" customWidth="1"/>
    <col min="206" max="206" width="19.5703125" style="96" bestFit="1" customWidth="1"/>
    <col min="207" max="207" width="38.7109375" style="96" bestFit="1" customWidth="1"/>
    <col min="208" max="208" width="58" style="96" bestFit="1" customWidth="1"/>
    <col min="209" max="209" width="48.7109375" style="96" bestFit="1" customWidth="1"/>
    <col min="210" max="210" width="27.42578125" style="96" bestFit="1" customWidth="1"/>
    <col min="211" max="211" width="8.140625" style="96" bestFit="1" customWidth="1"/>
    <col min="212" max="212" width="21.85546875" style="96" bestFit="1" customWidth="1"/>
    <col min="213" max="213" width="24.140625" style="96" bestFit="1" customWidth="1"/>
    <col min="214" max="214" width="30.7109375" style="96" bestFit="1" customWidth="1"/>
    <col min="215" max="215" width="41.140625" style="96" bestFit="1" customWidth="1"/>
    <col min="216" max="216" width="67.7109375" style="96" bestFit="1" customWidth="1"/>
    <col min="217" max="217" width="38" style="96" bestFit="1" customWidth="1"/>
    <col min="218" max="218" width="39.5703125" style="96" bestFit="1" customWidth="1"/>
    <col min="219" max="219" width="41.42578125" style="96" bestFit="1" customWidth="1"/>
    <col min="220" max="220" width="77.42578125" style="96" bestFit="1" customWidth="1"/>
    <col min="221" max="221" width="42.85546875" style="96" bestFit="1" customWidth="1"/>
    <col min="222" max="222" width="24.5703125" style="96" bestFit="1" customWidth="1"/>
    <col min="223" max="223" width="31.85546875" style="96" bestFit="1" customWidth="1"/>
    <col min="224" max="224" width="38.42578125" style="96" bestFit="1" customWidth="1"/>
    <col min="225" max="225" width="51.5703125" style="96" bestFit="1" customWidth="1"/>
    <col min="226" max="226" width="51.28515625" style="96" bestFit="1" customWidth="1"/>
    <col min="227" max="227" width="51.42578125" style="96" bestFit="1" customWidth="1"/>
    <col min="228" max="228" width="62.28515625" style="96" bestFit="1" customWidth="1"/>
    <col min="229" max="229" width="57.85546875" style="96" bestFit="1" customWidth="1"/>
    <col min="230" max="230" width="50.42578125" style="96" bestFit="1" customWidth="1"/>
    <col min="231" max="231" width="34.5703125" style="96" bestFit="1" customWidth="1"/>
    <col min="232" max="232" width="60.28515625" style="96" bestFit="1" customWidth="1"/>
    <col min="233" max="233" width="53.42578125" style="96" bestFit="1" customWidth="1"/>
    <col min="234" max="234" width="60.85546875" style="96" bestFit="1" customWidth="1"/>
    <col min="235" max="235" width="36.5703125" style="96" bestFit="1" customWidth="1"/>
    <col min="236" max="236" width="61.85546875" style="96" bestFit="1" customWidth="1"/>
    <col min="237" max="237" width="62.28515625" style="96" bestFit="1" customWidth="1"/>
    <col min="238" max="238" width="56.7109375" style="96" bestFit="1" customWidth="1"/>
    <col min="239" max="239" width="30.5703125" style="96" bestFit="1" customWidth="1"/>
    <col min="240" max="240" width="39.28515625" style="96" bestFit="1" customWidth="1"/>
    <col min="241" max="241" width="49.140625" style="96" bestFit="1" customWidth="1"/>
    <col min="242" max="242" width="76.5703125" style="96" bestFit="1" customWidth="1"/>
    <col min="243" max="243" width="34" style="96" bestFit="1" customWidth="1"/>
    <col min="244" max="244" width="33.5703125" style="96" bestFit="1" customWidth="1"/>
    <col min="245" max="245" width="39.7109375" style="96" bestFit="1" customWidth="1"/>
    <col min="246" max="246" width="51.85546875" style="96" bestFit="1" customWidth="1"/>
    <col min="247" max="247" width="48.85546875" style="96" bestFit="1" customWidth="1"/>
    <col min="248" max="248" width="59.7109375" style="96" bestFit="1" customWidth="1"/>
    <col min="249" max="249" width="39.28515625" style="96" bestFit="1" customWidth="1"/>
    <col min="250" max="250" width="51.5703125" style="96" bestFit="1" customWidth="1"/>
    <col min="251" max="251" width="80.28515625" style="96" bestFit="1" customWidth="1"/>
    <col min="252" max="252" width="74.140625" style="96" bestFit="1" customWidth="1"/>
    <col min="253" max="253" width="39.7109375" style="96" bestFit="1" customWidth="1"/>
    <col min="254" max="254" width="77.28515625" style="96" bestFit="1" customWidth="1"/>
    <col min="255" max="255" width="39" style="96" bestFit="1" customWidth="1"/>
    <col min="256" max="256" width="36.140625" style="96" bestFit="1" customWidth="1"/>
    <col min="257" max="257" width="66.28515625" style="96" bestFit="1" customWidth="1"/>
    <col min="258" max="258" width="42.85546875" style="96" bestFit="1" customWidth="1"/>
    <col min="259" max="259" width="38.28515625" style="96" bestFit="1" customWidth="1"/>
    <col min="260" max="260" width="19.28515625" style="96" bestFit="1" customWidth="1"/>
    <col min="261" max="261" width="42.5703125" style="96" bestFit="1" customWidth="1"/>
    <col min="262" max="262" width="60.85546875" style="96" bestFit="1" customWidth="1"/>
    <col min="263" max="263" width="64" style="96" bestFit="1" customWidth="1"/>
    <col min="264" max="264" width="41.5703125" style="96" bestFit="1" customWidth="1"/>
    <col min="265" max="265" width="59.140625" style="96" bestFit="1" customWidth="1"/>
    <col min="266" max="266" width="59.85546875" style="96" bestFit="1" customWidth="1"/>
    <col min="267" max="267" width="48.5703125" style="96" bestFit="1" customWidth="1"/>
    <col min="268" max="268" width="57.42578125" style="96" bestFit="1" customWidth="1"/>
    <col min="269" max="269" width="7.28515625" style="96" bestFit="1" customWidth="1"/>
    <col min="270" max="270" width="30.7109375" style="96" bestFit="1" customWidth="1"/>
    <col min="271" max="271" width="41.140625" style="96" bestFit="1" customWidth="1"/>
    <col min="272" max="272" width="67.7109375" style="96" bestFit="1" customWidth="1"/>
    <col min="273" max="273" width="38" style="96" bestFit="1" customWidth="1"/>
    <col min="274" max="274" width="39.5703125" style="96" bestFit="1" customWidth="1"/>
    <col min="275" max="275" width="41.42578125" style="96" bestFit="1" customWidth="1"/>
    <col min="276" max="276" width="77.42578125" style="96" bestFit="1" customWidth="1"/>
    <col min="277" max="277" width="42.85546875" style="96" bestFit="1" customWidth="1"/>
    <col min="278" max="278" width="24.5703125" style="96" bestFit="1" customWidth="1"/>
    <col min="279" max="279" width="31.85546875" style="96" bestFit="1" customWidth="1"/>
    <col min="280" max="280" width="38.42578125" style="96" bestFit="1" customWidth="1"/>
    <col min="281" max="281" width="51.5703125" style="96" bestFit="1" customWidth="1"/>
    <col min="282" max="282" width="51.28515625" style="96" bestFit="1" customWidth="1"/>
    <col min="283" max="283" width="51.42578125" style="96" bestFit="1" customWidth="1"/>
    <col min="284" max="284" width="62.28515625" style="96" bestFit="1" customWidth="1"/>
    <col min="285" max="285" width="57.85546875" style="96" bestFit="1" customWidth="1"/>
    <col min="286" max="286" width="50.42578125" style="96" bestFit="1" customWidth="1"/>
    <col min="287" max="287" width="34.5703125" style="96" bestFit="1" customWidth="1"/>
    <col min="288" max="288" width="60.28515625" style="96" bestFit="1" customWidth="1"/>
    <col min="289" max="289" width="53.42578125" style="96" bestFit="1" customWidth="1"/>
    <col min="290" max="290" width="60.85546875" style="96" bestFit="1" customWidth="1"/>
    <col min="291" max="291" width="36.5703125" style="96" bestFit="1" customWidth="1"/>
    <col min="292" max="292" width="61.85546875" style="96" bestFit="1" customWidth="1"/>
    <col min="293" max="293" width="62.28515625" style="96" bestFit="1" customWidth="1"/>
    <col min="294" max="294" width="56.7109375" style="96" bestFit="1" customWidth="1"/>
    <col min="295" max="295" width="30.5703125" style="96" bestFit="1" customWidth="1"/>
    <col min="296" max="296" width="39.28515625" style="96" bestFit="1" customWidth="1"/>
    <col min="297" max="297" width="49.140625" style="96" bestFit="1" customWidth="1"/>
    <col min="298" max="298" width="76.5703125" style="96" bestFit="1" customWidth="1"/>
    <col min="299" max="299" width="34" style="96" bestFit="1" customWidth="1"/>
    <col min="300" max="300" width="33.5703125" style="96" bestFit="1" customWidth="1"/>
    <col min="301" max="301" width="39.7109375" style="96" bestFit="1" customWidth="1"/>
    <col min="302" max="302" width="51.85546875" style="96" bestFit="1" customWidth="1"/>
    <col min="303" max="303" width="48.85546875" style="96" bestFit="1" customWidth="1"/>
    <col min="304" max="304" width="59.7109375" style="96" bestFit="1" customWidth="1"/>
    <col min="305" max="305" width="39.28515625" style="96" bestFit="1" customWidth="1"/>
    <col min="306" max="306" width="51.5703125" style="96" bestFit="1" customWidth="1"/>
    <col min="307" max="307" width="80.28515625" style="96" bestFit="1" customWidth="1"/>
    <col min="308" max="308" width="74.140625" style="96" bestFit="1" customWidth="1"/>
    <col min="309" max="309" width="39.7109375" style="96" bestFit="1" customWidth="1"/>
    <col min="310" max="310" width="77.28515625" style="96" bestFit="1" customWidth="1"/>
    <col min="311" max="311" width="39" style="96" bestFit="1" customWidth="1"/>
    <col min="312" max="312" width="36.140625" style="96" bestFit="1" customWidth="1"/>
    <col min="313" max="313" width="66.28515625" style="96" bestFit="1" customWidth="1"/>
    <col min="314" max="314" width="42.85546875" style="96" bestFit="1" customWidth="1"/>
    <col min="315" max="315" width="38.28515625" style="96" bestFit="1" customWidth="1"/>
    <col min="316" max="316" width="19.28515625" style="96" bestFit="1" customWidth="1"/>
    <col min="317" max="317" width="42.5703125" style="96" bestFit="1" customWidth="1"/>
    <col min="318" max="318" width="60.85546875" style="96" bestFit="1" customWidth="1"/>
    <col min="319" max="319" width="64" style="96" bestFit="1" customWidth="1"/>
    <col min="320" max="320" width="41.5703125" style="96" bestFit="1" customWidth="1"/>
    <col min="321" max="321" width="59.140625" style="96" bestFit="1" customWidth="1"/>
    <col min="322" max="322" width="59.85546875" style="96" bestFit="1" customWidth="1"/>
    <col min="323" max="323" width="48.5703125" style="96" bestFit="1" customWidth="1"/>
    <col min="324" max="324" width="57.42578125" style="96" bestFit="1" customWidth="1"/>
    <col min="325" max="325" width="7.28515625" style="96" bestFit="1" customWidth="1"/>
    <col min="326" max="326" width="21.42578125" style="96" bestFit="1" customWidth="1"/>
    <col min="327" max="327" width="23.7109375" style="96" bestFit="1" customWidth="1"/>
    <col min="328" max="328" width="48.7109375" style="96" bestFit="1" customWidth="1"/>
    <col min="329" max="329" width="51.85546875" style="96" bestFit="1" customWidth="1"/>
    <col min="330" max="330" width="64.140625" style="96" bestFit="1" customWidth="1"/>
    <col min="331" max="331" width="28.42578125" style="96" bestFit="1" customWidth="1"/>
    <col min="332" max="332" width="78.28515625" style="96" bestFit="1" customWidth="1"/>
    <col min="333" max="333" width="39" style="96" bestFit="1" customWidth="1"/>
    <col min="334" max="334" width="37.7109375" style="96" bestFit="1" customWidth="1"/>
    <col min="335" max="335" width="28.140625" style="96" bestFit="1" customWidth="1"/>
    <col min="336" max="336" width="30.140625" style="96" bestFit="1" customWidth="1"/>
    <col min="337" max="337" width="51.28515625" style="96" bestFit="1" customWidth="1"/>
    <col min="338" max="338" width="44.28515625" style="96" bestFit="1" customWidth="1"/>
    <col min="339" max="339" width="68.85546875" style="96" bestFit="1" customWidth="1"/>
    <col min="340" max="340" width="39.85546875" style="96" bestFit="1" customWidth="1"/>
    <col min="341" max="341" width="59.85546875" style="96" bestFit="1" customWidth="1"/>
    <col min="342" max="342" width="62.5703125" style="96" bestFit="1" customWidth="1"/>
    <col min="343" max="343" width="51.7109375" style="96" bestFit="1" customWidth="1"/>
    <col min="344" max="344" width="38.85546875" style="96" bestFit="1" customWidth="1"/>
    <col min="345" max="345" width="50.140625" style="96" bestFit="1" customWidth="1"/>
    <col min="346" max="346" width="68.28515625" style="96" bestFit="1" customWidth="1"/>
    <col min="347" max="347" width="50.42578125" style="96" bestFit="1" customWidth="1"/>
    <col min="348" max="348" width="49.140625" style="96" bestFit="1" customWidth="1"/>
    <col min="349" max="349" width="45" style="96" bestFit="1" customWidth="1"/>
    <col min="350" max="350" width="46.5703125" style="96" bestFit="1" customWidth="1"/>
    <col min="351" max="351" width="40" style="96" bestFit="1" customWidth="1"/>
    <col min="352" max="352" width="28.7109375" style="96" bestFit="1" customWidth="1"/>
    <col min="353" max="353" width="7.28515625" style="96" bestFit="1" customWidth="1"/>
    <col min="354" max="354" width="48.7109375" style="96" bestFit="1" customWidth="1"/>
    <col min="355" max="355" width="51.85546875" style="96" bestFit="1" customWidth="1"/>
    <col min="356" max="356" width="64.140625" style="96" bestFit="1" customWidth="1"/>
    <col min="357" max="357" width="28.42578125" style="96" bestFit="1" customWidth="1"/>
    <col min="358" max="358" width="78.28515625" style="96" bestFit="1" customWidth="1"/>
    <col min="359" max="359" width="39" style="96" bestFit="1" customWidth="1"/>
    <col min="360" max="360" width="37.7109375" style="96" bestFit="1" customWidth="1"/>
    <col min="361" max="361" width="28.140625" style="96" bestFit="1" customWidth="1"/>
    <col min="362" max="362" width="30.140625" style="96" bestFit="1" customWidth="1"/>
    <col min="363" max="363" width="51.28515625" style="96" bestFit="1" customWidth="1"/>
    <col min="364" max="364" width="44.28515625" style="96" bestFit="1" customWidth="1"/>
    <col min="365" max="365" width="68.85546875" style="96" bestFit="1" customWidth="1"/>
    <col min="366" max="366" width="39.85546875" style="96" bestFit="1" customWidth="1"/>
    <col min="367" max="367" width="59.85546875" style="96" bestFit="1" customWidth="1"/>
    <col min="368" max="368" width="62.5703125" style="96" bestFit="1" customWidth="1"/>
    <col min="369" max="369" width="51.7109375" style="96" bestFit="1" customWidth="1"/>
    <col min="370" max="370" width="38.85546875" style="96" bestFit="1" customWidth="1"/>
    <col min="371" max="371" width="50.140625" style="96" bestFit="1" customWidth="1"/>
    <col min="372" max="372" width="68.28515625" style="96" bestFit="1" customWidth="1"/>
    <col min="373" max="373" width="50.42578125" style="96" bestFit="1" customWidth="1"/>
    <col min="374" max="374" width="49.140625" style="96" bestFit="1" customWidth="1"/>
    <col min="375" max="375" width="45" style="96" bestFit="1" customWidth="1"/>
    <col min="376" max="376" width="46.5703125" style="96" bestFit="1" customWidth="1"/>
    <col min="377" max="377" width="40" style="96" bestFit="1" customWidth="1"/>
    <col min="378" max="378" width="28.7109375" style="96" bestFit="1" customWidth="1"/>
    <col min="379" max="379" width="7.28515625" style="96" bestFit="1" customWidth="1"/>
    <col min="380" max="380" width="22.85546875" style="96" bestFit="1" customWidth="1"/>
    <col min="381" max="381" width="25.140625" style="96" bestFit="1" customWidth="1"/>
    <col min="382" max="382" width="10.7109375" style="96" bestFit="1" customWidth="1"/>
    <col min="383" max="383" width="9.140625" style="96"/>
    <col min="384" max="384" width="26" style="96" bestFit="1" customWidth="1"/>
    <col min="385" max="385" width="28.28515625" style="96" bestFit="1" customWidth="1"/>
    <col min="386" max="386" width="11.140625" style="96" bestFit="1" customWidth="1"/>
    <col min="387" max="387" width="9.7109375" style="96" bestFit="1" customWidth="1"/>
    <col min="388" max="556" width="11.7109375" style="96" bestFit="1" customWidth="1"/>
    <col min="557" max="644" width="10.7109375" style="96" bestFit="1" customWidth="1"/>
    <col min="645" max="645" width="7.28515625" style="96" bestFit="1" customWidth="1"/>
    <col min="646" max="646" width="12.140625" style="96" bestFit="1" customWidth="1"/>
    <col min="647" max="647" width="11.28515625" style="96" bestFit="1" customWidth="1"/>
    <col min="648" max="16384" width="9.140625" style="96"/>
  </cols>
  <sheetData>
    <row r="1" spans="1:25">
      <c r="B1" s="374"/>
    </row>
    <row r="3" spans="1:25" ht="23.25">
      <c r="A3"/>
      <c r="B3" s="381" t="s">
        <v>3035</v>
      </c>
    </row>
    <row r="4" spans="1:25">
      <c r="A4"/>
      <c r="B4" s="375" t="s">
        <v>55</v>
      </c>
      <c r="E4" s="375" t="s">
        <v>155</v>
      </c>
      <c r="H4" s="375" t="s">
        <v>54</v>
      </c>
      <c r="K4" s="375" t="s">
        <v>3043</v>
      </c>
      <c r="N4" s="375" t="s">
        <v>382</v>
      </c>
      <c r="Q4" s="375" t="s">
        <v>596</v>
      </c>
      <c r="T4" s="375" t="s">
        <v>136</v>
      </c>
      <c r="W4" s="384" t="s">
        <v>3036</v>
      </c>
      <c r="X4" s="384" t="s">
        <v>3037</v>
      </c>
      <c r="Y4" s="384" t="s">
        <v>3038</v>
      </c>
    </row>
    <row r="5" spans="1:25" ht="45.75">
      <c r="A5" s="382" t="s">
        <v>3039</v>
      </c>
      <c r="B5" s="375" t="s">
        <v>3040</v>
      </c>
      <c r="C5" s="375" t="s">
        <v>3041</v>
      </c>
      <c r="D5" s="375" t="s">
        <v>3042</v>
      </c>
      <c r="E5" s="375" t="s">
        <v>3040</v>
      </c>
      <c r="F5" s="375" t="s">
        <v>3041</v>
      </c>
      <c r="G5" s="375" t="s">
        <v>3042</v>
      </c>
      <c r="H5" s="375" t="s">
        <v>3040</v>
      </c>
      <c r="I5" s="375" t="s">
        <v>3041</v>
      </c>
      <c r="J5" s="375" t="s">
        <v>3042</v>
      </c>
      <c r="K5" s="375" t="s">
        <v>3040</v>
      </c>
      <c r="L5" s="375" t="s">
        <v>3041</v>
      </c>
      <c r="M5" s="375" t="s">
        <v>3042</v>
      </c>
      <c r="N5" s="375" t="s">
        <v>3040</v>
      </c>
      <c r="O5" s="375" t="s">
        <v>3041</v>
      </c>
      <c r="P5" s="375" t="s">
        <v>3042</v>
      </c>
      <c r="Q5" s="375" t="s">
        <v>3040</v>
      </c>
      <c r="R5" s="375" t="s">
        <v>3041</v>
      </c>
      <c r="S5" s="375" t="s">
        <v>3042</v>
      </c>
      <c r="T5" s="375" t="s">
        <v>3040</v>
      </c>
      <c r="U5" s="375" t="s">
        <v>3041</v>
      </c>
      <c r="V5" s="375" t="s">
        <v>3042</v>
      </c>
      <c r="W5" s="384"/>
      <c r="X5" s="384"/>
      <c r="Y5" s="384"/>
    </row>
    <row r="6" spans="1:25">
      <c r="A6" s="376" t="s">
        <v>56</v>
      </c>
      <c r="B6" s="379"/>
      <c r="C6" s="380"/>
      <c r="D6" s="379"/>
      <c r="E6" s="379"/>
      <c r="F6" s="380"/>
      <c r="G6" s="379"/>
      <c r="H6" s="379"/>
      <c r="I6" s="380"/>
      <c r="J6" s="379"/>
      <c r="K6" s="379"/>
      <c r="L6" s="380"/>
      <c r="M6" s="379"/>
      <c r="N6" s="379"/>
      <c r="O6" s="380"/>
      <c r="P6" s="379"/>
      <c r="Q6" s="379"/>
      <c r="R6" s="380"/>
      <c r="S6" s="379"/>
      <c r="T6" s="379"/>
      <c r="U6" s="380"/>
      <c r="V6" s="379"/>
      <c r="W6" s="379"/>
      <c r="X6" s="380"/>
      <c r="Y6" s="379"/>
    </row>
    <row r="7" spans="1:25">
      <c r="A7" s="383" t="s">
        <v>3044</v>
      </c>
      <c r="B7" s="379">
        <v>14</v>
      </c>
      <c r="C7" s="380">
        <v>9.9479166666666674E-2</v>
      </c>
      <c r="D7" s="379">
        <v>29</v>
      </c>
      <c r="E7" s="379">
        <v>7</v>
      </c>
      <c r="F7" s="380">
        <v>5.0439814814814812E-2</v>
      </c>
      <c r="G7" s="379">
        <v>24</v>
      </c>
      <c r="H7" s="379"/>
      <c r="I7" s="380"/>
      <c r="J7" s="379"/>
      <c r="K7" s="379"/>
      <c r="L7" s="380"/>
      <c r="M7" s="379"/>
      <c r="N7" s="379"/>
      <c r="O7" s="380"/>
      <c r="P7" s="379"/>
      <c r="Q7" s="379"/>
      <c r="R7" s="380"/>
      <c r="S7" s="379"/>
      <c r="T7" s="379"/>
      <c r="U7" s="380"/>
      <c r="V7" s="379"/>
      <c r="W7" s="379">
        <v>21</v>
      </c>
      <c r="X7" s="380">
        <v>0.1499189814814815</v>
      </c>
      <c r="Y7" s="379">
        <v>53</v>
      </c>
    </row>
    <row r="8" spans="1:25">
      <c r="A8" s="383" t="s">
        <v>3045</v>
      </c>
      <c r="B8" s="379">
        <v>1</v>
      </c>
      <c r="C8" s="380">
        <v>3.6041666666666666E-2</v>
      </c>
      <c r="D8" s="379">
        <v>7</v>
      </c>
      <c r="E8" s="379"/>
      <c r="F8" s="380"/>
      <c r="G8" s="379"/>
      <c r="H8" s="379"/>
      <c r="I8" s="380"/>
      <c r="J8" s="379"/>
      <c r="K8" s="379"/>
      <c r="L8" s="380"/>
      <c r="M8" s="379"/>
      <c r="N8" s="379"/>
      <c r="O8" s="380"/>
      <c r="P8" s="379"/>
      <c r="Q8" s="379"/>
      <c r="R8" s="380"/>
      <c r="S8" s="379"/>
      <c r="T8" s="379"/>
      <c r="U8" s="380"/>
      <c r="V8" s="379"/>
      <c r="W8" s="379">
        <v>1</v>
      </c>
      <c r="X8" s="380">
        <v>3.6041666666666666E-2</v>
      </c>
      <c r="Y8" s="379">
        <v>7</v>
      </c>
    </row>
    <row r="9" spans="1:25">
      <c r="A9" s="383" t="s">
        <v>3046</v>
      </c>
      <c r="B9" s="379">
        <v>5</v>
      </c>
      <c r="C9" s="380">
        <v>0.26827546296296295</v>
      </c>
      <c r="D9" s="379">
        <v>36</v>
      </c>
      <c r="E9" s="379">
        <v>3</v>
      </c>
      <c r="F9" s="380">
        <v>4.1944444444444437E-2</v>
      </c>
      <c r="G9" s="379">
        <v>13</v>
      </c>
      <c r="H9" s="379">
        <v>1</v>
      </c>
      <c r="I9" s="380">
        <v>5.0972222222222224E-2</v>
      </c>
      <c r="J9" s="379">
        <v>12</v>
      </c>
      <c r="K9" s="379"/>
      <c r="L9" s="380"/>
      <c r="M9" s="379"/>
      <c r="N9" s="379"/>
      <c r="O9" s="380"/>
      <c r="P9" s="379"/>
      <c r="Q9" s="379"/>
      <c r="R9" s="380"/>
      <c r="S9" s="379"/>
      <c r="T9" s="379"/>
      <c r="U9" s="380"/>
      <c r="V9" s="379"/>
      <c r="W9" s="379">
        <v>9</v>
      </c>
      <c r="X9" s="380">
        <v>0.36119212962962965</v>
      </c>
      <c r="Y9" s="379">
        <v>61</v>
      </c>
    </row>
    <row r="10" spans="1:25">
      <c r="A10" s="383" t="s">
        <v>3047</v>
      </c>
      <c r="B10" s="379">
        <v>1</v>
      </c>
      <c r="C10" s="380">
        <v>6.6493055555555555E-2</v>
      </c>
      <c r="D10" s="379">
        <v>10</v>
      </c>
      <c r="E10" s="379">
        <v>7</v>
      </c>
      <c r="F10" s="380">
        <v>5.783564814814815E-2</v>
      </c>
      <c r="G10" s="379">
        <v>20</v>
      </c>
      <c r="H10" s="379">
        <v>9</v>
      </c>
      <c r="I10" s="380">
        <v>4.9108796296296296E-2</v>
      </c>
      <c r="J10" s="379">
        <v>13</v>
      </c>
      <c r="K10" s="379"/>
      <c r="L10" s="380"/>
      <c r="M10" s="379"/>
      <c r="N10" s="379"/>
      <c r="O10" s="380"/>
      <c r="P10" s="379"/>
      <c r="Q10" s="379"/>
      <c r="R10" s="380"/>
      <c r="S10" s="379"/>
      <c r="T10" s="379"/>
      <c r="U10" s="380"/>
      <c r="V10" s="379"/>
      <c r="W10" s="379">
        <v>17</v>
      </c>
      <c r="X10" s="380">
        <v>0.17343749999999994</v>
      </c>
      <c r="Y10" s="379">
        <v>43</v>
      </c>
    </row>
    <row r="11" spans="1:25">
      <c r="A11" s="383" t="s">
        <v>3048</v>
      </c>
      <c r="B11" s="379">
        <v>2</v>
      </c>
      <c r="C11" s="380">
        <v>8.7465277777777767E-2</v>
      </c>
      <c r="D11" s="379">
        <v>21</v>
      </c>
      <c r="E11" s="379">
        <v>2</v>
      </c>
      <c r="F11" s="380">
        <v>3.498842592592593E-2</v>
      </c>
      <c r="G11" s="379">
        <v>13</v>
      </c>
      <c r="H11" s="379">
        <v>1</v>
      </c>
      <c r="I11" s="380">
        <v>6.7152777777777783E-2</v>
      </c>
      <c r="J11" s="379">
        <v>16</v>
      </c>
      <c r="K11" s="379"/>
      <c r="L11" s="380"/>
      <c r="M11" s="379"/>
      <c r="N11" s="379">
        <v>3</v>
      </c>
      <c r="O11" s="380">
        <v>2.7766203703703703E-2</v>
      </c>
      <c r="P11" s="379">
        <v>4</v>
      </c>
      <c r="Q11" s="379">
        <v>2</v>
      </c>
      <c r="R11" s="380">
        <v>0.11479166666666665</v>
      </c>
      <c r="S11" s="379">
        <v>29</v>
      </c>
      <c r="T11" s="379">
        <v>1</v>
      </c>
      <c r="U11" s="380">
        <v>3.3611111111111112E-2</v>
      </c>
      <c r="V11" s="379">
        <v>5</v>
      </c>
      <c r="W11" s="379">
        <v>11</v>
      </c>
      <c r="X11" s="380">
        <v>0.36577546296296287</v>
      </c>
      <c r="Y11" s="379">
        <v>88</v>
      </c>
    </row>
    <row r="12" spans="1:25">
      <c r="A12" s="383" t="s">
        <v>3049</v>
      </c>
      <c r="B12" s="379"/>
      <c r="C12" s="380"/>
      <c r="D12" s="379"/>
      <c r="E12" s="379">
        <v>2</v>
      </c>
      <c r="F12" s="380">
        <v>5.9212962962962967E-2</v>
      </c>
      <c r="G12" s="379">
        <v>9</v>
      </c>
      <c r="H12" s="379">
        <v>4</v>
      </c>
      <c r="I12" s="380">
        <v>5.1249999999999997E-2</v>
      </c>
      <c r="J12" s="379">
        <v>13</v>
      </c>
      <c r="K12" s="379"/>
      <c r="L12" s="380"/>
      <c r="M12" s="379"/>
      <c r="N12" s="379">
        <v>2</v>
      </c>
      <c r="O12" s="380">
        <v>5.9594907407407402E-2</v>
      </c>
      <c r="P12" s="379">
        <v>3</v>
      </c>
      <c r="Q12" s="379">
        <v>2</v>
      </c>
      <c r="R12" s="380">
        <v>8.2835648148148144E-2</v>
      </c>
      <c r="S12" s="379">
        <v>21</v>
      </c>
      <c r="T12" s="379">
        <v>1</v>
      </c>
      <c r="U12" s="380">
        <v>3.005787037037037E-2</v>
      </c>
      <c r="V12" s="379">
        <v>13</v>
      </c>
      <c r="W12" s="379">
        <v>11</v>
      </c>
      <c r="X12" s="380">
        <v>0.28295138888888893</v>
      </c>
      <c r="Y12" s="379">
        <v>59</v>
      </c>
    </row>
    <row r="13" spans="1:25">
      <c r="A13" s="409" t="s">
        <v>3050</v>
      </c>
      <c r="B13" s="378"/>
      <c r="C13" s="378"/>
      <c r="D13" s="378"/>
      <c r="E13" s="378">
        <v>1</v>
      </c>
      <c r="F13" s="378">
        <v>8.9583333333333334E-2</v>
      </c>
      <c r="G13" s="378">
        <v>12</v>
      </c>
      <c r="H13" s="378">
        <v>7</v>
      </c>
      <c r="I13" s="378">
        <v>1.6446759259259258E-2</v>
      </c>
      <c r="J13" s="378">
        <v>18</v>
      </c>
      <c r="K13" s="378"/>
      <c r="L13" s="378"/>
      <c r="M13" s="378"/>
      <c r="N13" s="378">
        <v>2</v>
      </c>
      <c r="O13" s="378">
        <v>1.207175925925926E-2</v>
      </c>
      <c r="P13" s="378">
        <v>1</v>
      </c>
      <c r="Q13" s="378"/>
      <c r="R13" s="378"/>
      <c r="S13" s="378"/>
      <c r="T13" s="378"/>
      <c r="U13" s="378"/>
      <c r="V13" s="378"/>
      <c r="W13" s="378">
        <v>10</v>
      </c>
      <c r="X13" s="378">
        <v>0.11810185185185185</v>
      </c>
      <c r="Y13" s="378">
        <v>31</v>
      </c>
    </row>
    <row r="14" spans="1:25">
      <c r="A14" s="409" t="s">
        <v>3051</v>
      </c>
      <c r="B14" s="378"/>
      <c r="C14" s="378"/>
      <c r="D14" s="378"/>
      <c r="E14" s="378">
        <v>2</v>
      </c>
      <c r="F14" s="378">
        <v>6.0462962962962968E-2</v>
      </c>
      <c r="G14" s="378">
        <v>12</v>
      </c>
      <c r="H14" s="378">
        <v>2</v>
      </c>
      <c r="I14" s="378">
        <v>0.12177083333333333</v>
      </c>
      <c r="J14" s="378">
        <v>25</v>
      </c>
      <c r="K14" s="378"/>
      <c r="L14" s="378"/>
      <c r="M14" s="378"/>
      <c r="N14" s="378">
        <v>4</v>
      </c>
      <c r="O14" s="378">
        <v>0.10564814814814814</v>
      </c>
      <c r="P14" s="378">
        <v>15</v>
      </c>
      <c r="Q14" s="378"/>
      <c r="R14" s="378"/>
      <c r="S14" s="378"/>
      <c r="T14" s="378">
        <v>2</v>
      </c>
      <c r="U14" s="378">
        <v>2.6145833333333337E-2</v>
      </c>
      <c r="V14" s="378">
        <v>24</v>
      </c>
      <c r="W14" s="378">
        <v>10</v>
      </c>
      <c r="X14" s="378">
        <v>0.31402777777777779</v>
      </c>
      <c r="Y14" s="378">
        <v>76</v>
      </c>
    </row>
    <row r="15" spans="1:25">
      <c r="A15" s="409" t="s">
        <v>3052</v>
      </c>
      <c r="B15" s="378"/>
      <c r="C15" s="378"/>
      <c r="D15" s="378"/>
      <c r="E15" s="378">
        <v>3</v>
      </c>
      <c r="F15" s="378">
        <v>3.6597222222222225E-2</v>
      </c>
      <c r="G15" s="378">
        <v>4</v>
      </c>
      <c r="H15" s="378"/>
      <c r="I15" s="378"/>
      <c r="J15" s="378"/>
      <c r="K15" s="378"/>
      <c r="L15" s="378"/>
      <c r="M15" s="378"/>
      <c r="N15" s="378"/>
      <c r="O15" s="378"/>
      <c r="P15" s="378"/>
      <c r="Q15" s="378"/>
      <c r="R15" s="378"/>
      <c r="S15" s="378"/>
      <c r="T15" s="378"/>
      <c r="U15" s="378"/>
      <c r="V15" s="378"/>
      <c r="W15" s="378">
        <v>3</v>
      </c>
      <c r="X15" s="378">
        <v>3.6597222222222225E-2</v>
      </c>
      <c r="Y15" s="378">
        <v>4</v>
      </c>
    </row>
    <row r="16" spans="1:25">
      <c r="A16" s="409" t="s">
        <v>3053</v>
      </c>
      <c r="B16" s="378"/>
      <c r="C16" s="378"/>
      <c r="D16" s="378"/>
      <c r="E16" s="378">
        <v>3</v>
      </c>
      <c r="F16" s="378">
        <v>8.5162037037037036E-2</v>
      </c>
      <c r="G16" s="378">
        <v>11</v>
      </c>
      <c r="H16" s="378">
        <v>1</v>
      </c>
      <c r="I16" s="378">
        <v>5.004629629629629E-2</v>
      </c>
      <c r="J16" s="378">
        <v>11</v>
      </c>
      <c r="K16" s="378"/>
      <c r="L16" s="378"/>
      <c r="M16" s="378"/>
      <c r="N16" s="378"/>
      <c r="O16" s="378"/>
      <c r="P16" s="378"/>
      <c r="Q16" s="378"/>
      <c r="R16" s="378"/>
      <c r="S16" s="378"/>
      <c r="T16" s="378"/>
      <c r="U16" s="378"/>
      <c r="V16" s="378"/>
      <c r="W16" s="378">
        <v>4</v>
      </c>
      <c r="X16" s="378">
        <v>0.13520833333333332</v>
      </c>
      <c r="Y16" s="378">
        <v>22</v>
      </c>
    </row>
    <row r="17" spans="1:25">
      <c r="A17" s="409" t="s">
        <v>3057</v>
      </c>
      <c r="B17" s="378"/>
      <c r="C17" s="378"/>
      <c r="D17" s="378"/>
      <c r="E17" s="378">
        <v>4</v>
      </c>
      <c r="F17" s="378">
        <v>3.2673611111111112E-2</v>
      </c>
      <c r="G17" s="378">
        <v>9</v>
      </c>
      <c r="H17" s="378">
        <v>3</v>
      </c>
      <c r="I17" s="378">
        <v>8.8715277777777782E-2</v>
      </c>
      <c r="J17" s="378">
        <v>22</v>
      </c>
      <c r="K17" s="378"/>
      <c r="L17" s="378"/>
      <c r="M17" s="378"/>
      <c r="N17" s="378"/>
      <c r="O17" s="378"/>
      <c r="P17" s="378"/>
      <c r="Q17" s="378"/>
      <c r="R17" s="378"/>
      <c r="S17" s="378"/>
      <c r="T17" s="378"/>
      <c r="U17" s="378"/>
      <c r="V17" s="378"/>
      <c r="W17" s="378">
        <v>7</v>
      </c>
      <c r="X17" s="378">
        <v>0.12138888888888888</v>
      </c>
      <c r="Y17" s="378">
        <v>31</v>
      </c>
    </row>
    <row r="18" spans="1:25">
      <c r="A18" s="376" t="s">
        <v>3054</v>
      </c>
      <c r="B18" s="379">
        <v>23</v>
      </c>
      <c r="C18" s="380">
        <v>0.55775462962962963</v>
      </c>
      <c r="D18" s="379">
        <v>103</v>
      </c>
      <c r="E18" s="379">
        <v>34</v>
      </c>
      <c r="F18" s="380">
        <v>0.5489004629629628</v>
      </c>
      <c r="G18" s="379">
        <v>127</v>
      </c>
      <c r="H18" s="379">
        <v>28</v>
      </c>
      <c r="I18" s="380">
        <v>0.49546296296296294</v>
      </c>
      <c r="J18" s="379">
        <v>130</v>
      </c>
      <c r="K18" s="379"/>
      <c r="L18" s="380"/>
      <c r="M18" s="379"/>
      <c r="N18" s="379">
        <v>11</v>
      </c>
      <c r="O18" s="380">
        <v>0.20508101851851851</v>
      </c>
      <c r="P18" s="379">
        <v>23</v>
      </c>
      <c r="Q18" s="379">
        <v>4</v>
      </c>
      <c r="R18" s="380">
        <v>0.19762731481481483</v>
      </c>
      <c r="S18" s="379">
        <v>50</v>
      </c>
      <c r="T18" s="379">
        <v>4</v>
      </c>
      <c r="U18" s="380">
        <v>8.981481481481482E-2</v>
      </c>
      <c r="V18" s="379">
        <v>42</v>
      </c>
      <c r="W18" s="379">
        <v>104</v>
      </c>
      <c r="X18" s="380">
        <v>2.0946412037037034</v>
      </c>
      <c r="Y18" s="379">
        <v>475</v>
      </c>
    </row>
    <row r="19" spans="1:25">
      <c r="A19" s="376" t="s">
        <v>142</v>
      </c>
      <c r="B19" s="379"/>
      <c r="C19" s="380"/>
      <c r="D19" s="379"/>
      <c r="E19" s="379"/>
      <c r="F19" s="380"/>
      <c r="G19" s="379"/>
      <c r="H19" s="379"/>
      <c r="I19" s="380"/>
      <c r="J19" s="379"/>
      <c r="K19" s="379"/>
      <c r="L19" s="380"/>
      <c r="M19" s="379"/>
      <c r="N19" s="379"/>
      <c r="O19" s="380"/>
      <c r="P19" s="379"/>
      <c r="Q19" s="379"/>
      <c r="R19" s="380"/>
      <c r="S19" s="379"/>
      <c r="T19" s="379"/>
      <c r="U19" s="380"/>
      <c r="V19" s="379"/>
      <c r="W19" s="379"/>
      <c r="X19" s="380"/>
      <c r="Y19" s="379"/>
    </row>
    <row r="20" spans="1:25">
      <c r="A20" s="383" t="s">
        <v>3044</v>
      </c>
      <c r="B20" s="379">
        <v>3</v>
      </c>
      <c r="C20" s="380">
        <v>5.3703703703703708E-3</v>
      </c>
      <c r="D20" s="379">
        <v>3</v>
      </c>
      <c r="E20" s="379"/>
      <c r="F20" s="380"/>
      <c r="G20" s="379"/>
      <c r="H20" s="379"/>
      <c r="I20" s="380"/>
      <c r="J20" s="379"/>
      <c r="K20" s="379"/>
      <c r="L20" s="380"/>
      <c r="M20" s="379"/>
      <c r="N20" s="379"/>
      <c r="O20" s="380"/>
      <c r="P20" s="379"/>
      <c r="Q20" s="379"/>
      <c r="R20" s="380"/>
      <c r="S20" s="379"/>
      <c r="T20" s="379"/>
      <c r="U20" s="380"/>
      <c r="V20" s="379"/>
      <c r="W20" s="379">
        <v>3</v>
      </c>
      <c r="X20" s="380">
        <v>5.3703703703703708E-3</v>
      </c>
      <c r="Y20" s="379">
        <v>3</v>
      </c>
    </row>
    <row r="21" spans="1:25">
      <c r="A21" s="383" t="s">
        <v>3047</v>
      </c>
      <c r="B21" s="379"/>
      <c r="C21" s="380"/>
      <c r="D21" s="379"/>
      <c r="E21" s="379">
        <v>1</v>
      </c>
      <c r="F21" s="380">
        <v>3.3564814814814811E-3</v>
      </c>
      <c r="G21" s="379">
        <v>1</v>
      </c>
      <c r="H21" s="379">
        <v>1</v>
      </c>
      <c r="I21" s="380">
        <v>4.1898148148148146E-3</v>
      </c>
      <c r="J21" s="379"/>
      <c r="K21" s="379"/>
      <c r="L21" s="380"/>
      <c r="M21" s="379"/>
      <c r="N21" s="379"/>
      <c r="O21" s="380"/>
      <c r="P21" s="379"/>
      <c r="Q21" s="379"/>
      <c r="R21" s="380"/>
      <c r="S21" s="379"/>
      <c r="T21" s="379"/>
      <c r="U21" s="380"/>
      <c r="V21" s="379"/>
      <c r="W21" s="379">
        <v>2</v>
      </c>
      <c r="X21" s="380">
        <v>7.5462962962962957E-3</v>
      </c>
      <c r="Y21" s="379">
        <v>1</v>
      </c>
    </row>
    <row r="22" spans="1:25">
      <c r="A22" s="376" t="s">
        <v>3055</v>
      </c>
      <c r="B22" s="379">
        <v>3</v>
      </c>
      <c r="C22" s="380">
        <v>5.3703703703703708E-3</v>
      </c>
      <c r="D22" s="379">
        <v>3</v>
      </c>
      <c r="E22" s="379">
        <v>1</v>
      </c>
      <c r="F22" s="380">
        <v>3.3564814814814811E-3</v>
      </c>
      <c r="G22" s="379">
        <v>1</v>
      </c>
      <c r="H22" s="379">
        <v>1</v>
      </c>
      <c r="I22" s="380">
        <v>4.1898148148148146E-3</v>
      </c>
      <c r="J22" s="379"/>
      <c r="K22" s="379"/>
      <c r="L22" s="380"/>
      <c r="M22" s="379"/>
      <c r="N22" s="379"/>
      <c r="O22" s="380"/>
      <c r="P22" s="379"/>
      <c r="Q22" s="379"/>
      <c r="R22" s="380"/>
      <c r="S22" s="379"/>
      <c r="T22" s="379"/>
      <c r="U22" s="380"/>
      <c r="V22" s="379"/>
      <c r="W22" s="379">
        <v>5</v>
      </c>
      <c r="X22" s="380">
        <v>1.2916666666666667E-2</v>
      </c>
      <c r="Y22" s="379">
        <v>4</v>
      </c>
    </row>
    <row r="23" spans="1:25">
      <c r="A23" s="376" t="s">
        <v>3043</v>
      </c>
      <c r="B23" s="379"/>
      <c r="C23" s="380"/>
      <c r="D23" s="379"/>
      <c r="E23" s="379"/>
      <c r="F23" s="380"/>
      <c r="G23" s="379"/>
      <c r="H23" s="379"/>
      <c r="I23" s="380"/>
      <c r="J23" s="379"/>
      <c r="K23" s="379"/>
      <c r="L23" s="380"/>
      <c r="M23" s="379"/>
      <c r="N23" s="379"/>
      <c r="O23" s="380"/>
      <c r="P23" s="379"/>
      <c r="Q23" s="379"/>
      <c r="R23" s="380"/>
      <c r="S23" s="379"/>
      <c r="T23" s="379"/>
      <c r="U23" s="380"/>
      <c r="V23" s="379"/>
      <c r="W23" s="379"/>
      <c r="X23" s="380"/>
      <c r="Y23" s="379"/>
    </row>
    <row r="24" spans="1:25">
      <c r="A24" s="383" t="s">
        <v>3043</v>
      </c>
      <c r="B24" s="379"/>
      <c r="C24" s="380"/>
      <c r="D24" s="379"/>
      <c r="E24" s="379"/>
      <c r="F24" s="380"/>
      <c r="G24" s="379"/>
      <c r="H24" s="379"/>
      <c r="I24" s="380"/>
      <c r="J24" s="379"/>
      <c r="K24" s="379">
        <v>650</v>
      </c>
      <c r="L24" s="380">
        <v>11.090902777777767</v>
      </c>
      <c r="M24" s="379"/>
      <c r="N24" s="379"/>
      <c r="O24" s="380"/>
      <c r="P24" s="379"/>
      <c r="Q24" s="379"/>
      <c r="R24" s="380"/>
      <c r="S24" s="379"/>
      <c r="T24" s="379"/>
      <c r="U24" s="380"/>
      <c r="V24" s="379"/>
      <c r="W24" s="379">
        <v>650</v>
      </c>
      <c r="X24" s="380">
        <v>11.090902777777767</v>
      </c>
      <c r="Y24" s="379"/>
    </row>
    <row r="25" spans="1:25">
      <c r="A25" s="376" t="s">
        <v>3058</v>
      </c>
      <c r="B25" s="379"/>
      <c r="C25" s="380"/>
      <c r="D25" s="379"/>
      <c r="E25" s="379"/>
      <c r="F25" s="380"/>
      <c r="G25" s="379"/>
      <c r="H25" s="379"/>
      <c r="I25" s="380"/>
      <c r="J25" s="379"/>
      <c r="K25" s="379">
        <v>650</v>
      </c>
      <c r="L25" s="380">
        <v>11.090902777777767</v>
      </c>
      <c r="M25" s="379"/>
      <c r="N25" s="379"/>
      <c r="O25" s="380"/>
      <c r="P25" s="379"/>
      <c r="Q25" s="379"/>
      <c r="R25" s="380"/>
      <c r="S25" s="379"/>
      <c r="T25" s="379"/>
      <c r="U25" s="380"/>
      <c r="V25" s="379"/>
      <c r="W25" s="379">
        <v>650</v>
      </c>
      <c r="X25" s="380">
        <v>11.090902777777767</v>
      </c>
      <c r="Y25" s="379"/>
    </row>
    <row r="26" spans="1:25">
      <c r="A26" s="376" t="s">
        <v>3056</v>
      </c>
      <c r="B26" s="379">
        <v>26</v>
      </c>
      <c r="C26" s="380">
        <v>0.56312499999999999</v>
      </c>
      <c r="D26" s="379">
        <v>106</v>
      </c>
      <c r="E26" s="379">
        <v>35</v>
      </c>
      <c r="F26" s="380">
        <v>0.55225694444444429</v>
      </c>
      <c r="G26" s="379">
        <v>128</v>
      </c>
      <c r="H26" s="379">
        <v>29</v>
      </c>
      <c r="I26" s="380">
        <v>0.49965277777777778</v>
      </c>
      <c r="J26" s="379">
        <v>130</v>
      </c>
      <c r="K26" s="379">
        <v>650</v>
      </c>
      <c r="L26" s="380">
        <v>11.090902777777767</v>
      </c>
      <c r="M26" s="379"/>
      <c r="N26" s="379">
        <v>11</v>
      </c>
      <c r="O26" s="380">
        <v>0.20508101851851851</v>
      </c>
      <c r="P26" s="379">
        <v>23</v>
      </c>
      <c r="Q26" s="379">
        <v>4</v>
      </c>
      <c r="R26" s="380">
        <v>0.19762731481481483</v>
      </c>
      <c r="S26" s="379">
        <v>50</v>
      </c>
      <c r="T26" s="379">
        <v>4</v>
      </c>
      <c r="U26" s="380">
        <v>8.981481481481482E-2</v>
      </c>
      <c r="V26" s="379">
        <v>42</v>
      </c>
      <c r="W26" s="379">
        <v>759</v>
      </c>
      <c r="X26" s="380">
        <v>13.198460648148139</v>
      </c>
      <c r="Y26" s="379">
        <v>479</v>
      </c>
    </row>
    <row r="27" spans="1:25">
      <c r="A27"/>
      <c r="B27"/>
      <c r="C27"/>
      <c r="D27"/>
      <c r="E27"/>
      <c r="F27"/>
      <c r="G27"/>
      <c r="H27"/>
      <c r="I27"/>
      <c r="J27"/>
      <c r="K27"/>
      <c r="L27"/>
      <c r="M27"/>
      <c r="N27"/>
      <c r="O27"/>
      <c r="P27"/>
      <c r="Q27"/>
      <c r="R27"/>
      <c r="S27"/>
      <c r="T27" s="374"/>
      <c r="U27" s="374"/>
      <c r="V27" s="374"/>
      <c r="W27" s="96"/>
      <c r="X27" s="96"/>
      <c r="Y27" s="96"/>
    </row>
    <row r="28" spans="1:25">
      <c r="A28"/>
      <c r="B28"/>
      <c r="C28"/>
      <c r="D28"/>
      <c r="E28"/>
      <c r="F28"/>
      <c r="G28"/>
      <c r="H28"/>
      <c r="I28"/>
      <c r="J28"/>
      <c r="K28"/>
      <c r="L28"/>
      <c r="M28"/>
      <c r="N28"/>
      <c r="O28"/>
      <c r="P28"/>
      <c r="Q28"/>
      <c r="R28"/>
      <c r="S28"/>
      <c r="T28" s="374"/>
      <c r="U28" s="374"/>
      <c r="V28" s="374"/>
      <c r="W28" s="96"/>
      <c r="X28" s="96"/>
      <c r="Y28" s="96"/>
    </row>
    <row r="29" spans="1:25">
      <c r="A29"/>
      <c r="B29"/>
      <c r="C29"/>
      <c r="D29"/>
      <c r="E29"/>
      <c r="F29"/>
      <c r="G29"/>
      <c r="H29"/>
      <c r="I29"/>
      <c r="J29"/>
      <c r="K29"/>
      <c r="L29"/>
      <c r="M29"/>
      <c r="N29"/>
      <c r="O29"/>
      <c r="P29"/>
      <c r="Q29"/>
      <c r="R29"/>
      <c r="S29"/>
      <c r="T29" s="374"/>
      <c r="U29" s="374"/>
      <c r="V29" s="374"/>
      <c r="W29" s="96"/>
      <c r="X29" s="96"/>
      <c r="Y29" s="96"/>
    </row>
    <row r="30" spans="1:25">
      <c r="A30"/>
      <c r="B30"/>
      <c r="C30"/>
      <c r="D30"/>
      <c r="E30"/>
      <c r="F30"/>
      <c r="G30"/>
      <c r="H30"/>
      <c r="I30"/>
      <c r="J30"/>
      <c r="K30"/>
      <c r="L30"/>
      <c r="M30"/>
      <c r="N30"/>
      <c r="O30"/>
      <c r="P30"/>
      <c r="Q30"/>
      <c r="R30"/>
      <c r="S30"/>
      <c r="T30" s="374"/>
      <c r="U30" s="374"/>
      <c r="V30" s="374"/>
      <c r="W30" s="96"/>
      <c r="X30" s="96"/>
      <c r="Y30" s="96"/>
    </row>
    <row r="31" spans="1:25">
      <c r="A31"/>
      <c r="B31"/>
      <c r="C31"/>
      <c r="D31"/>
      <c r="E31"/>
      <c r="F31"/>
      <c r="G31"/>
      <c r="H31"/>
      <c r="I31"/>
      <c r="J31"/>
      <c r="K31"/>
      <c r="L31"/>
      <c r="M31"/>
      <c r="N31"/>
      <c r="O31"/>
      <c r="P31"/>
      <c r="Q31"/>
      <c r="R31"/>
      <c r="S31"/>
      <c r="T31" s="374"/>
      <c r="U31" s="374"/>
      <c r="V31" s="374"/>
      <c r="W31" s="96"/>
      <c r="X31" s="96"/>
      <c r="Y31" s="96"/>
    </row>
    <row r="32" spans="1:25">
      <c r="A32"/>
      <c r="B32"/>
      <c r="C32"/>
      <c r="D32"/>
      <c r="E32"/>
      <c r="F32"/>
      <c r="G32"/>
      <c r="H32"/>
      <c r="I32"/>
      <c r="J32"/>
      <c r="K32"/>
      <c r="L32"/>
      <c r="M32"/>
      <c r="N32"/>
      <c r="O32"/>
      <c r="P32"/>
      <c r="Q32"/>
      <c r="R32"/>
      <c r="S32"/>
      <c r="T32" s="374"/>
      <c r="U32" s="374"/>
      <c r="V32" s="374"/>
      <c r="W32" s="96"/>
      <c r="X32" s="96"/>
      <c r="Y32" s="96"/>
    </row>
    <row r="33" spans="1:25">
      <c r="A33"/>
      <c r="B33"/>
      <c r="C33"/>
      <c r="D33"/>
      <c r="E33"/>
      <c r="F33"/>
      <c r="G33"/>
      <c r="H33"/>
      <c r="I33"/>
      <c r="J33"/>
      <c r="K33"/>
      <c r="L33"/>
      <c r="M33"/>
      <c r="N33"/>
      <c r="O33"/>
      <c r="P33"/>
      <c r="Q33"/>
      <c r="R33"/>
      <c r="S33"/>
      <c r="T33" s="374"/>
      <c r="U33" s="374"/>
      <c r="V33" s="374"/>
      <c r="W33" s="96"/>
      <c r="X33" s="96"/>
      <c r="Y33" s="96"/>
    </row>
    <row r="34" spans="1:25">
      <c r="A34"/>
      <c r="B34"/>
      <c r="C34"/>
      <c r="D34"/>
      <c r="E34"/>
      <c r="F34"/>
      <c r="G34"/>
      <c r="H34"/>
      <c r="I34"/>
      <c r="J34"/>
      <c r="K34"/>
      <c r="L34"/>
      <c r="M34"/>
      <c r="N34"/>
      <c r="O34"/>
      <c r="P34"/>
      <c r="Q34"/>
      <c r="R34"/>
      <c r="S34"/>
      <c r="T34" s="374"/>
      <c r="U34" s="374"/>
      <c r="V34" s="374"/>
      <c r="W34" s="96"/>
      <c r="X34" s="96"/>
      <c r="Y34" s="96"/>
    </row>
    <row r="35" spans="1:25">
      <c r="A35"/>
      <c r="B35"/>
      <c r="C35"/>
      <c r="D35"/>
      <c r="E35"/>
      <c r="F35"/>
      <c r="G35"/>
      <c r="H35"/>
      <c r="I35"/>
      <c r="J35"/>
      <c r="K35"/>
      <c r="L35"/>
      <c r="M35"/>
      <c r="N35"/>
      <c r="O35"/>
      <c r="P35"/>
      <c r="Q35"/>
      <c r="R35"/>
      <c r="S35"/>
      <c r="T35" s="374"/>
      <c r="U35" s="374"/>
      <c r="V35" s="374"/>
      <c r="W35" s="96"/>
      <c r="X35" s="96"/>
      <c r="Y35" s="96"/>
    </row>
    <row r="36" spans="1:25">
      <c r="A36"/>
      <c r="B36"/>
      <c r="C36"/>
      <c r="D36"/>
      <c r="E36"/>
      <c r="F36"/>
      <c r="G36"/>
      <c r="H36"/>
      <c r="I36"/>
      <c r="J36"/>
      <c r="K36"/>
      <c r="L36"/>
      <c r="M36"/>
      <c r="N36"/>
      <c r="O36"/>
      <c r="P36"/>
      <c r="Q36"/>
      <c r="R36"/>
      <c r="S36"/>
      <c r="T36" s="374"/>
      <c r="U36" s="374"/>
      <c r="V36" s="374"/>
      <c r="W36" s="96"/>
      <c r="X36" s="96"/>
      <c r="Y36" s="96"/>
    </row>
    <row r="37" spans="1:25">
      <c r="A37"/>
      <c r="B37"/>
      <c r="C37"/>
      <c r="D37"/>
      <c r="E37"/>
      <c r="F37"/>
      <c r="G37"/>
      <c r="H37"/>
      <c r="I37"/>
      <c r="J37"/>
      <c r="K37"/>
      <c r="L37"/>
      <c r="M37"/>
      <c r="N37"/>
      <c r="O37"/>
      <c r="P37"/>
      <c r="Q37"/>
      <c r="R37"/>
      <c r="S37"/>
      <c r="T37" s="374"/>
      <c r="U37" s="374"/>
      <c r="V37" s="374"/>
      <c r="W37" s="96"/>
      <c r="X37" s="96"/>
      <c r="Y37" s="96"/>
    </row>
    <row r="38" spans="1:25">
      <c r="A38"/>
      <c r="B38"/>
      <c r="C38"/>
      <c r="D38"/>
      <c r="E38"/>
      <c r="F38"/>
      <c r="G38"/>
      <c r="H38"/>
      <c r="I38"/>
      <c r="J38"/>
      <c r="K38"/>
      <c r="L38"/>
      <c r="M38"/>
      <c r="N38"/>
      <c r="O38"/>
      <c r="P38"/>
      <c r="Q38"/>
      <c r="R38"/>
      <c r="S38"/>
      <c r="T38" s="374"/>
      <c r="U38" s="374"/>
      <c r="V38" s="374"/>
      <c r="W38" s="96"/>
      <c r="X38" s="96"/>
      <c r="Y38" s="96"/>
    </row>
    <row r="39" spans="1:25">
      <c r="A39"/>
      <c r="B39"/>
      <c r="C39"/>
      <c r="D39"/>
      <c r="E39"/>
      <c r="F39"/>
      <c r="G39"/>
      <c r="H39"/>
      <c r="I39"/>
      <c r="J39"/>
      <c r="K39"/>
      <c r="L39"/>
      <c r="M39"/>
      <c r="N39"/>
      <c r="O39"/>
      <c r="P39"/>
      <c r="Q39"/>
      <c r="R39"/>
      <c r="S39"/>
      <c r="T39" s="374"/>
      <c r="U39" s="374"/>
      <c r="V39" s="374"/>
      <c r="W39" s="96"/>
      <c r="X39" s="96"/>
      <c r="Y39" s="96"/>
    </row>
    <row r="40" spans="1:25">
      <c r="A40"/>
      <c r="B40"/>
      <c r="C40"/>
      <c r="D40"/>
      <c r="E40"/>
      <c r="F40"/>
      <c r="G40"/>
      <c r="H40"/>
      <c r="I40"/>
      <c r="J40"/>
      <c r="K40"/>
      <c r="L40"/>
      <c r="M40"/>
      <c r="N40"/>
      <c r="O40"/>
      <c r="P40"/>
      <c r="Q40"/>
      <c r="R40"/>
      <c r="S40"/>
      <c r="T40" s="374"/>
      <c r="U40" s="374"/>
      <c r="V40" s="374"/>
      <c r="W40" s="96"/>
      <c r="X40" s="96"/>
      <c r="Y40" s="96"/>
    </row>
    <row r="41" spans="1:25">
      <c r="A41"/>
      <c r="B41"/>
      <c r="C41"/>
      <c r="D41"/>
      <c r="E41"/>
      <c r="F41"/>
      <c r="G41"/>
      <c r="H41"/>
      <c r="I41"/>
      <c r="J41"/>
      <c r="K41"/>
      <c r="L41"/>
      <c r="M41"/>
      <c r="N41"/>
      <c r="O41"/>
      <c r="P41"/>
      <c r="Q41"/>
      <c r="R41"/>
      <c r="S41"/>
      <c r="T41" s="374"/>
      <c r="U41" s="374"/>
      <c r="V41" s="374"/>
      <c r="W41" s="96"/>
      <c r="X41" s="96"/>
      <c r="Y41" s="96"/>
    </row>
    <row r="42" spans="1:25">
      <c r="A42"/>
      <c r="B42"/>
      <c r="C42"/>
      <c r="D42"/>
      <c r="E42"/>
      <c r="F42"/>
      <c r="G42"/>
      <c r="H42"/>
      <c r="I42"/>
      <c r="J42"/>
      <c r="K42"/>
      <c r="L42"/>
      <c r="M42"/>
      <c r="N42"/>
      <c r="O42"/>
      <c r="P42"/>
      <c r="Q42"/>
      <c r="R42"/>
      <c r="S42"/>
      <c r="T42" s="374"/>
      <c r="U42" s="374"/>
      <c r="V42" s="374"/>
      <c r="W42" s="96"/>
      <c r="X42" s="96"/>
      <c r="Y42" s="96"/>
    </row>
    <row r="43" spans="1:25">
      <c r="A43"/>
      <c r="B43"/>
      <c r="C43"/>
      <c r="D43"/>
      <c r="E43"/>
      <c r="F43"/>
      <c r="G43"/>
      <c r="H43"/>
      <c r="I43"/>
      <c r="J43"/>
      <c r="K43"/>
      <c r="L43"/>
      <c r="M43"/>
      <c r="N43"/>
      <c r="O43"/>
      <c r="P43"/>
      <c r="Q43"/>
      <c r="R43"/>
      <c r="S43"/>
      <c r="T43" s="374"/>
      <c r="U43" s="374"/>
      <c r="V43" s="374"/>
      <c r="W43" s="96"/>
      <c r="X43" s="96"/>
      <c r="Y43" s="96"/>
    </row>
    <row r="44" spans="1:25">
      <c r="A44"/>
      <c r="B44"/>
      <c r="C44"/>
      <c r="D44"/>
      <c r="E44"/>
      <c r="F44"/>
      <c r="G44"/>
      <c r="H44"/>
      <c r="I44"/>
      <c r="J44"/>
      <c r="K44"/>
      <c r="L44"/>
      <c r="M44"/>
      <c r="N44"/>
      <c r="O44"/>
      <c r="P44"/>
      <c r="Q44"/>
      <c r="R44"/>
      <c r="S44"/>
      <c r="T44" s="374"/>
      <c r="U44" s="374"/>
      <c r="V44" s="374"/>
      <c r="W44" s="96"/>
      <c r="X44" s="96"/>
      <c r="Y44" s="96"/>
    </row>
    <row r="45" spans="1:25">
      <c r="A45"/>
      <c r="B45"/>
      <c r="C45"/>
      <c r="D45"/>
      <c r="E45"/>
      <c r="F45"/>
      <c r="G45"/>
      <c r="H45"/>
      <c r="I45"/>
      <c r="J45"/>
      <c r="K45"/>
      <c r="L45"/>
      <c r="M45"/>
      <c r="N45"/>
      <c r="O45"/>
      <c r="P45"/>
      <c r="Q45"/>
      <c r="R45"/>
      <c r="S45"/>
      <c r="T45" s="374"/>
      <c r="U45" s="374"/>
      <c r="V45" s="374"/>
      <c r="W45" s="96"/>
      <c r="X45" s="96"/>
      <c r="Y45" s="96"/>
    </row>
    <row r="46" spans="1:25">
      <c r="A46"/>
      <c r="B46"/>
      <c r="C46"/>
      <c r="D46"/>
      <c r="E46"/>
      <c r="F46"/>
      <c r="G46"/>
      <c r="H46"/>
      <c r="I46"/>
      <c r="J46"/>
      <c r="K46"/>
      <c r="L46"/>
      <c r="M46"/>
      <c r="N46"/>
      <c r="O46"/>
      <c r="P46"/>
      <c r="Q46"/>
      <c r="R46"/>
      <c r="S46"/>
      <c r="T46" s="374"/>
      <c r="U46" s="374"/>
      <c r="V46" s="374"/>
      <c r="W46" s="96"/>
      <c r="X46" s="96"/>
      <c r="Y46" s="96"/>
    </row>
    <row r="47" spans="1:25">
      <c r="A47"/>
      <c r="B47"/>
      <c r="C47"/>
      <c r="D47"/>
      <c r="E47"/>
      <c r="F47"/>
      <c r="G47"/>
      <c r="H47"/>
      <c r="I47"/>
      <c r="J47"/>
      <c r="K47"/>
      <c r="L47"/>
      <c r="M47"/>
      <c r="N47"/>
      <c r="O47"/>
      <c r="P47"/>
      <c r="Q47"/>
      <c r="R47"/>
      <c r="S47"/>
      <c r="T47" s="374"/>
      <c r="U47" s="374"/>
      <c r="V47" s="374"/>
      <c r="W47" s="96"/>
      <c r="X47" s="96"/>
      <c r="Y47" s="96"/>
    </row>
    <row r="48" spans="1:25">
      <c r="A48"/>
      <c r="B48"/>
      <c r="C48"/>
      <c r="D48"/>
      <c r="E48"/>
      <c r="F48"/>
      <c r="G48"/>
      <c r="H48"/>
      <c r="I48"/>
      <c r="J48"/>
      <c r="K48"/>
      <c r="L48"/>
      <c r="M48"/>
      <c r="N48"/>
      <c r="O48"/>
      <c r="P48"/>
      <c r="Q48"/>
      <c r="R48"/>
      <c r="S48"/>
      <c r="T48" s="374"/>
      <c r="U48" s="374"/>
      <c r="V48" s="374"/>
      <c r="W48" s="96"/>
      <c r="X48" s="96"/>
      <c r="Y48" s="96"/>
    </row>
    <row r="49" spans="1:25">
      <c r="A49"/>
      <c r="B49"/>
      <c r="C49"/>
      <c r="D49"/>
      <c r="E49"/>
      <c r="F49"/>
      <c r="G49"/>
      <c r="H49"/>
      <c r="I49"/>
      <c r="J49"/>
      <c r="K49"/>
      <c r="L49"/>
      <c r="M49"/>
      <c r="N49"/>
      <c r="O49"/>
      <c r="P49"/>
      <c r="Q49"/>
      <c r="R49"/>
      <c r="S49"/>
      <c r="T49" s="374"/>
      <c r="U49" s="374"/>
      <c r="V49" s="374"/>
      <c r="W49" s="96"/>
      <c r="X49" s="96"/>
      <c r="Y49" s="96"/>
    </row>
    <row r="50" spans="1:25">
      <c r="A50"/>
      <c r="B50"/>
      <c r="C50"/>
      <c r="D50"/>
      <c r="E50"/>
      <c r="F50"/>
      <c r="G50"/>
      <c r="H50"/>
      <c r="I50"/>
      <c r="J50"/>
      <c r="K50"/>
      <c r="L50"/>
      <c r="M50"/>
      <c r="N50"/>
      <c r="O50"/>
      <c r="P50"/>
      <c r="Q50"/>
      <c r="R50"/>
      <c r="S50"/>
      <c r="T50" s="374"/>
      <c r="U50" s="374"/>
      <c r="V50" s="374"/>
      <c r="W50" s="96"/>
      <c r="X50" s="96"/>
      <c r="Y50" s="96"/>
    </row>
    <row r="51" spans="1:25">
      <c r="A51"/>
      <c r="B51"/>
      <c r="C51"/>
      <c r="D51"/>
      <c r="E51"/>
      <c r="F51"/>
      <c r="G51"/>
      <c r="H51"/>
      <c r="I51"/>
      <c r="J51"/>
      <c r="K51"/>
      <c r="L51"/>
      <c r="M51"/>
      <c r="N51"/>
      <c r="O51"/>
      <c r="P51"/>
      <c r="Q51"/>
      <c r="R51"/>
      <c r="S51"/>
      <c r="T51" s="374"/>
      <c r="U51" s="374"/>
      <c r="V51" s="374"/>
      <c r="W51" s="96"/>
      <c r="X51" s="96"/>
      <c r="Y51" s="96"/>
    </row>
    <row r="52" spans="1:25">
      <c r="A52"/>
      <c r="B52"/>
      <c r="C52"/>
      <c r="D52"/>
      <c r="E52"/>
      <c r="F52"/>
      <c r="G52"/>
      <c r="H52"/>
      <c r="I52"/>
      <c r="J52"/>
      <c r="K52"/>
      <c r="L52"/>
      <c r="M52"/>
      <c r="N52"/>
      <c r="O52"/>
      <c r="P52"/>
      <c r="Q52"/>
      <c r="R52"/>
      <c r="S52"/>
      <c r="T52" s="374"/>
      <c r="U52" s="374"/>
      <c r="V52" s="374"/>
      <c r="W52" s="96"/>
      <c r="X52" s="96"/>
      <c r="Y52" s="96"/>
    </row>
    <row r="53" spans="1:25">
      <c r="A53"/>
      <c r="B53"/>
      <c r="C53"/>
      <c r="D53"/>
      <c r="E53"/>
      <c r="F53"/>
      <c r="G53"/>
      <c r="H53"/>
      <c r="I53"/>
      <c r="J53"/>
      <c r="K53"/>
      <c r="L53"/>
      <c r="M53"/>
      <c r="N53"/>
      <c r="O53"/>
      <c r="P53"/>
      <c r="Q53"/>
      <c r="R53"/>
      <c r="S53"/>
      <c r="T53" s="374"/>
      <c r="U53" s="374"/>
      <c r="V53" s="374"/>
      <c r="W53" s="96"/>
      <c r="X53" s="96"/>
      <c r="Y53" s="96"/>
    </row>
    <row r="54" spans="1:25">
      <c r="A54"/>
      <c r="B54"/>
      <c r="C54"/>
      <c r="D54"/>
      <c r="E54"/>
      <c r="F54"/>
      <c r="G54"/>
      <c r="H54"/>
      <c r="I54"/>
      <c r="J54"/>
      <c r="K54"/>
      <c r="L54"/>
      <c r="M54"/>
      <c r="N54"/>
      <c r="O54"/>
      <c r="P54"/>
      <c r="Q54"/>
      <c r="R54"/>
      <c r="S54"/>
      <c r="T54" s="374"/>
      <c r="U54" s="374"/>
      <c r="V54" s="374"/>
      <c r="W54" s="96"/>
      <c r="X54" s="96"/>
      <c r="Y54" s="96"/>
    </row>
    <row r="55" spans="1:25">
      <c r="A55"/>
      <c r="B55"/>
      <c r="C55"/>
      <c r="D55"/>
      <c r="E55"/>
      <c r="F55"/>
      <c r="G55"/>
      <c r="H55"/>
      <c r="I55"/>
      <c r="J55"/>
      <c r="K55"/>
      <c r="L55"/>
      <c r="M55"/>
      <c r="N55"/>
      <c r="O55"/>
      <c r="P55"/>
      <c r="Q55"/>
      <c r="R55"/>
      <c r="S55"/>
      <c r="T55" s="374"/>
      <c r="U55" s="374"/>
      <c r="V55" s="374"/>
      <c r="W55" s="96"/>
      <c r="X55" s="96"/>
      <c r="Y55" s="96"/>
    </row>
    <row r="56" spans="1:25">
      <c r="A56"/>
      <c r="B56"/>
      <c r="C56"/>
      <c r="D56"/>
      <c r="E56"/>
      <c r="F56"/>
      <c r="G56"/>
      <c r="H56"/>
      <c r="I56"/>
      <c r="J56"/>
      <c r="K56"/>
      <c r="L56"/>
      <c r="M56"/>
      <c r="N56"/>
      <c r="O56"/>
      <c r="P56"/>
      <c r="Q56"/>
      <c r="R56"/>
      <c r="S56"/>
      <c r="T56" s="374"/>
      <c r="U56" s="374"/>
      <c r="V56" s="374"/>
      <c r="W56" s="96"/>
      <c r="X56" s="96"/>
      <c r="Y56" s="96"/>
    </row>
    <row r="57" spans="1:25">
      <c r="A57"/>
      <c r="B57"/>
      <c r="C57"/>
      <c r="D57"/>
      <c r="E57"/>
      <c r="F57"/>
      <c r="G57"/>
      <c r="H57"/>
      <c r="I57"/>
      <c r="J57"/>
      <c r="K57"/>
      <c r="L57"/>
      <c r="M57"/>
      <c r="N57"/>
      <c r="O57"/>
      <c r="P57"/>
      <c r="Q57"/>
      <c r="R57"/>
      <c r="S57"/>
      <c r="T57" s="374"/>
      <c r="U57" s="374"/>
      <c r="V57" s="374"/>
      <c r="W57" s="96"/>
      <c r="X57" s="96"/>
      <c r="Y57" s="96"/>
    </row>
    <row r="58" spans="1:25">
      <c r="A58"/>
      <c r="B58"/>
      <c r="C58"/>
      <c r="D58"/>
      <c r="E58"/>
      <c r="F58"/>
      <c r="G58"/>
      <c r="H58"/>
      <c r="I58"/>
      <c r="J58"/>
      <c r="K58"/>
      <c r="L58"/>
      <c r="M58"/>
      <c r="N58"/>
      <c r="O58"/>
      <c r="P58"/>
      <c r="Q58"/>
      <c r="R58"/>
      <c r="S58"/>
      <c r="T58" s="374"/>
      <c r="U58" s="374"/>
      <c r="V58" s="374"/>
      <c r="W58" s="96"/>
      <c r="X58" s="96"/>
      <c r="Y58" s="96"/>
    </row>
    <row r="59" spans="1:25">
      <c r="A59"/>
      <c r="B59"/>
      <c r="C59"/>
      <c r="D59"/>
      <c r="E59"/>
      <c r="F59"/>
      <c r="G59"/>
      <c r="H59"/>
      <c r="I59"/>
      <c r="J59"/>
      <c r="K59"/>
      <c r="L59"/>
      <c r="M59"/>
      <c r="N59"/>
      <c r="O59"/>
      <c r="P59"/>
      <c r="Q59"/>
      <c r="R59"/>
      <c r="S59"/>
      <c r="T59" s="374"/>
      <c r="U59" s="374"/>
      <c r="V59" s="374"/>
      <c r="W59" s="96"/>
      <c r="X59" s="96"/>
      <c r="Y59" s="96"/>
    </row>
    <row r="60" spans="1:25">
      <c r="A60"/>
      <c r="B60"/>
      <c r="C60"/>
      <c r="D60"/>
      <c r="E60"/>
      <c r="F60"/>
      <c r="G60"/>
      <c r="H60"/>
      <c r="I60"/>
      <c r="J60"/>
      <c r="K60"/>
      <c r="L60"/>
      <c r="M60"/>
      <c r="N60"/>
      <c r="O60"/>
      <c r="P60"/>
      <c r="Q60"/>
      <c r="R60"/>
      <c r="S60"/>
      <c r="T60" s="374"/>
      <c r="U60" s="374"/>
      <c r="V60" s="374"/>
      <c r="W60" s="96"/>
      <c r="X60" s="96"/>
      <c r="Y60" s="96"/>
    </row>
    <row r="61" spans="1:25">
      <c r="A61"/>
      <c r="B61"/>
      <c r="C61"/>
      <c r="D61"/>
      <c r="E61"/>
      <c r="F61"/>
      <c r="G61"/>
      <c r="H61"/>
      <c r="I61"/>
      <c r="J61"/>
      <c r="K61"/>
      <c r="L61"/>
      <c r="M61"/>
      <c r="N61"/>
      <c r="O61"/>
      <c r="P61"/>
      <c r="Q61"/>
      <c r="R61"/>
      <c r="S61"/>
      <c r="T61" s="374"/>
      <c r="U61" s="374"/>
      <c r="V61" s="374"/>
      <c r="W61" s="96"/>
      <c r="X61" s="96"/>
      <c r="Y61" s="96"/>
    </row>
    <row r="62" spans="1:25">
      <c r="A62"/>
      <c r="B62"/>
      <c r="C62"/>
      <c r="D62"/>
      <c r="E62"/>
      <c r="F62"/>
      <c r="G62"/>
      <c r="H62"/>
      <c r="I62"/>
      <c r="J62"/>
      <c r="K62"/>
      <c r="L62"/>
      <c r="M62"/>
      <c r="N62"/>
      <c r="O62"/>
      <c r="P62"/>
      <c r="Q62"/>
      <c r="R62"/>
      <c r="S62"/>
      <c r="T62" s="374"/>
      <c r="U62" s="374"/>
      <c r="V62" s="374"/>
      <c r="W62" s="96"/>
      <c r="X62" s="96"/>
      <c r="Y62" s="96"/>
    </row>
    <row r="63" spans="1:25">
      <c r="A63"/>
      <c r="B63"/>
      <c r="C63"/>
      <c r="D63"/>
      <c r="E63"/>
      <c r="F63"/>
      <c r="G63"/>
      <c r="H63"/>
      <c r="I63"/>
      <c r="J63"/>
      <c r="K63"/>
      <c r="L63"/>
      <c r="M63"/>
      <c r="N63"/>
      <c r="O63"/>
      <c r="P63"/>
      <c r="Q63"/>
      <c r="R63"/>
      <c r="S63"/>
      <c r="T63" s="374"/>
      <c r="U63" s="374"/>
      <c r="V63" s="374"/>
      <c r="W63" s="96"/>
      <c r="X63" s="96"/>
      <c r="Y63" s="96"/>
    </row>
    <row r="64" spans="1:25">
      <c r="A64"/>
      <c r="B64"/>
      <c r="C64"/>
      <c r="D64"/>
      <c r="E64"/>
      <c r="F64"/>
      <c r="G64"/>
      <c r="H64"/>
      <c r="I64"/>
      <c r="J64"/>
      <c r="K64"/>
      <c r="L64"/>
      <c r="M64"/>
      <c r="N64"/>
      <c r="O64"/>
      <c r="P64"/>
      <c r="Q64"/>
      <c r="R64"/>
      <c r="S64"/>
      <c r="T64" s="374"/>
      <c r="U64" s="374"/>
      <c r="V64" s="374"/>
      <c r="W64" s="96"/>
      <c r="X64" s="96"/>
      <c r="Y64" s="96"/>
    </row>
    <row r="65" spans="1:25">
      <c r="A65"/>
      <c r="B65"/>
      <c r="C65"/>
      <c r="D65"/>
      <c r="E65"/>
      <c r="F65"/>
      <c r="G65"/>
      <c r="H65"/>
      <c r="I65"/>
      <c r="J65"/>
      <c r="K65"/>
      <c r="L65"/>
      <c r="M65"/>
      <c r="N65"/>
      <c r="O65"/>
      <c r="P65"/>
      <c r="Q65"/>
      <c r="R65"/>
      <c r="S65"/>
      <c r="T65" s="374"/>
      <c r="U65" s="374"/>
      <c r="V65" s="374"/>
      <c r="W65" s="96"/>
      <c r="X65" s="96"/>
      <c r="Y65" s="96"/>
    </row>
    <row r="66" spans="1:25">
      <c r="A66"/>
      <c r="B66"/>
      <c r="C66"/>
      <c r="D66"/>
      <c r="E66"/>
      <c r="F66"/>
      <c r="G66"/>
      <c r="H66"/>
      <c r="I66"/>
      <c r="J66"/>
      <c r="K66"/>
      <c r="L66"/>
      <c r="M66"/>
      <c r="N66"/>
      <c r="O66"/>
      <c r="P66"/>
      <c r="Q66"/>
      <c r="R66"/>
      <c r="S66"/>
      <c r="T66" s="374"/>
      <c r="U66" s="374"/>
      <c r="V66" s="374"/>
      <c r="W66" s="96"/>
      <c r="X66" s="96"/>
      <c r="Y66" s="96"/>
    </row>
    <row r="67" spans="1:25">
      <c r="A67"/>
      <c r="B67"/>
      <c r="C67"/>
      <c r="D67"/>
      <c r="E67"/>
      <c r="F67"/>
      <c r="G67"/>
      <c r="H67"/>
      <c r="I67"/>
      <c r="J67"/>
      <c r="K67"/>
      <c r="L67"/>
      <c r="M67"/>
      <c r="N67"/>
      <c r="O67"/>
      <c r="P67"/>
      <c r="Q67"/>
      <c r="R67"/>
      <c r="S67"/>
      <c r="T67" s="374"/>
      <c r="U67" s="374"/>
      <c r="V67" s="374"/>
      <c r="W67" s="96"/>
      <c r="X67" s="96"/>
      <c r="Y67" s="96"/>
    </row>
    <row r="68" spans="1:25">
      <c r="A68"/>
      <c r="B68"/>
      <c r="C68"/>
      <c r="D68"/>
      <c r="E68"/>
      <c r="F68"/>
      <c r="G68"/>
      <c r="H68"/>
      <c r="I68"/>
      <c r="J68"/>
      <c r="K68"/>
      <c r="L68"/>
      <c r="M68"/>
      <c r="N68"/>
      <c r="O68"/>
      <c r="P68"/>
      <c r="Q68"/>
      <c r="R68"/>
      <c r="S68"/>
      <c r="T68" s="374"/>
      <c r="U68" s="374"/>
      <c r="V68" s="374"/>
      <c r="W68" s="96"/>
      <c r="X68" s="96"/>
      <c r="Y68" s="96"/>
    </row>
    <row r="69" spans="1:25">
      <c r="A69"/>
      <c r="B69"/>
      <c r="C69"/>
      <c r="D69"/>
      <c r="E69"/>
      <c r="F69"/>
      <c r="G69"/>
      <c r="H69"/>
      <c r="I69"/>
      <c r="J69"/>
      <c r="K69"/>
      <c r="L69"/>
      <c r="M69"/>
      <c r="N69"/>
      <c r="O69"/>
      <c r="P69"/>
      <c r="Q69"/>
      <c r="R69"/>
      <c r="S69"/>
      <c r="T69" s="374"/>
      <c r="U69" s="374"/>
      <c r="V69" s="374"/>
      <c r="W69" s="96"/>
      <c r="X69" s="96"/>
      <c r="Y69" s="96"/>
    </row>
    <row r="70" spans="1:25">
      <c r="A70"/>
      <c r="B70"/>
      <c r="C70"/>
      <c r="D70"/>
      <c r="E70"/>
      <c r="F70"/>
      <c r="G70"/>
      <c r="H70"/>
      <c r="I70"/>
      <c r="J70"/>
      <c r="K70"/>
      <c r="L70"/>
      <c r="M70"/>
      <c r="N70"/>
      <c r="O70"/>
      <c r="P70"/>
      <c r="Q70"/>
      <c r="R70"/>
      <c r="S70"/>
      <c r="T70" s="374"/>
      <c r="U70" s="374"/>
      <c r="V70" s="374"/>
      <c r="W70" s="96"/>
      <c r="X70" s="96"/>
      <c r="Y70" s="96"/>
    </row>
    <row r="71" spans="1:25">
      <c r="A71"/>
      <c r="B71"/>
      <c r="C71"/>
      <c r="D71"/>
      <c r="E71"/>
      <c r="F71"/>
      <c r="G71"/>
      <c r="H71"/>
      <c r="I71"/>
      <c r="J71"/>
      <c r="K71"/>
      <c r="L71"/>
      <c r="M71"/>
      <c r="N71"/>
      <c r="O71"/>
      <c r="P71"/>
      <c r="Q71"/>
      <c r="R71"/>
      <c r="S71"/>
      <c r="T71" s="374"/>
      <c r="U71" s="374"/>
      <c r="V71" s="374"/>
      <c r="W71" s="96"/>
      <c r="X71" s="96"/>
      <c r="Y71" s="96"/>
    </row>
    <row r="72" spans="1:25">
      <c r="A72"/>
      <c r="B72"/>
      <c r="C72"/>
      <c r="D72"/>
      <c r="E72"/>
      <c r="F72"/>
      <c r="G72"/>
      <c r="H72"/>
      <c r="I72"/>
      <c r="J72"/>
      <c r="K72"/>
      <c r="L72"/>
      <c r="M72"/>
      <c r="N72"/>
      <c r="O72"/>
      <c r="P72"/>
      <c r="Q72"/>
      <c r="R72"/>
      <c r="S72"/>
      <c r="T72" s="374"/>
      <c r="U72" s="374"/>
      <c r="V72" s="374"/>
      <c r="W72" s="96"/>
      <c r="X72" s="96"/>
      <c r="Y72" s="96"/>
    </row>
    <row r="73" spans="1:25">
      <c r="A73"/>
      <c r="B73"/>
      <c r="C73"/>
      <c r="D73"/>
      <c r="E73"/>
      <c r="F73"/>
      <c r="G73"/>
      <c r="H73"/>
      <c r="I73"/>
      <c r="J73"/>
      <c r="K73"/>
      <c r="L73"/>
      <c r="M73"/>
      <c r="N73"/>
      <c r="O73"/>
      <c r="P73"/>
      <c r="Q73"/>
      <c r="R73"/>
      <c r="S73"/>
      <c r="T73" s="374"/>
      <c r="U73" s="374"/>
      <c r="V73" s="374"/>
      <c r="W73" s="96"/>
      <c r="X73" s="96"/>
      <c r="Y73" s="96"/>
    </row>
    <row r="74" spans="1:25">
      <c r="A74"/>
      <c r="B74"/>
      <c r="C74"/>
      <c r="D74"/>
      <c r="E74"/>
      <c r="F74"/>
      <c r="G74"/>
      <c r="H74"/>
      <c r="I74"/>
      <c r="J74"/>
      <c r="K74"/>
      <c r="L74"/>
      <c r="M74"/>
      <c r="N74"/>
      <c r="O74"/>
      <c r="P74"/>
      <c r="Q74"/>
      <c r="R74"/>
      <c r="S74"/>
      <c r="T74" s="374"/>
      <c r="U74" s="374"/>
      <c r="V74" s="374"/>
      <c r="W74" s="96"/>
      <c r="X74" s="96"/>
      <c r="Y74" s="96"/>
    </row>
    <row r="75" spans="1:25">
      <c r="A75"/>
      <c r="B75"/>
      <c r="C75"/>
      <c r="D75"/>
      <c r="E75"/>
      <c r="F75"/>
      <c r="G75"/>
      <c r="H75"/>
      <c r="I75"/>
      <c r="J75"/>
      <c r="K75"/>
      <c r="L75"/>
      <c r="M75"/>
      <c r="N75"/>
      <c r="O75"/>
      <c r="P75"/>
      <c r="Q75"/>
      <c r="R75"/>
      <c r="S75"/>
      <c r="T75" s="374"/>
      <c r="U75" s="374"/>
      <c r="V75" s="374"/>
      <c r="W75" s="96"/>
      <c r="X75" s="96"/>
      <c r="Y75" s="96"/>
    </row>
    <row r="76" spans="1:25">
      <c r="A76"/>
      <c r="B76"/>
      <c r="C76"/>
      <c r="D76"/>
      <c r="E76"/>
      <c r="F76"/>
      <c r="G76"/>
      <c r="H76"/>
      <c r="I76"/>
      <c r="J76"/>
      <c r="K76"/>
      <c r="L76"/>
      <c r="M76"/>
      <c r="N76"/>
      <c r="O76"/>
      <c r="P76"/>
      <c r="Q76"/>
      <c r="R76"/>
      <c r="S76"/>
      <c r="T76" s="374"/>
      <c r="U76" s="374"/>
      <c r="V76" s="374"/>
      <c r="W76" s="96"/>
      <c r="X76" s="96"/>
      <c r="Y76" s="96"/>
    </row>
    <row r="77" spans="1:25">
      <c r="A77"/>
      <c r="B77"/>
      <c r="C77"/>
      <c r="D77"/>
      <c r="E77"/>
      <c r="F77"/>
      <c r="G77"/>
      <c r="H77"/>
      <c r="I77"/>
      <c r="J77"/>
      <c r="K77"/>
      <c r="L77"/>
      <c r="M77"/>
      <c r="N77"/>
      <c r="O77"/>
      <c r="P77"/>
      <c r="Q77"/>
      <c r="R77"/>
      <c r="S77"/>
      <c r="T77" s="374"/>
      <c r="U77" s="374"/>
      <c r="V77" s="374"/>
      <c r="W77" s="96"/>
      <c r="X77" s="96"/>
      <c r="Y77" s="96"/>
    </row>
    <row r="78" spans="1:25">
      <c r="A78"/>
      <c r="B78"/>
      <c r="C78"/>
      <c r="D78"/>
      <c r="E78"/>
      <c r="F78"/>
      <c r="G78"/>
      <c r="H78"/>
      <c r="I78"/>
      <c r="J78"/>
      <c r="K78"/>
      <c r="L78"/>
      <c r="M78"/>
      <c r="N78"/>
      <c r="O78"/>
      <c r="P78"/>
      <c r="Q78"/>
      <c r="R78"/>
      <c r="S78"/>
      <c r="T78" s="374"/>
      <c r="U78" s="374"/>
      <c r="V78" s="374"/>
      <c r="W78" s="96"/>
      <c r="X78" s="96"/>
      <c r="Y78" s="96"/>
    </row>
    <row r="79" spans="1:25">
      <c r="A79"/>
      <c r="B79"/>
      <c r="C79"/>
      <c r="D79"/>
      <c r="E79"/>
      <c r="F79"/>
      <c r="G79"/>
      <c r="H79"/>
      <c r="I79"/>
      <c r="J79"/>
      <c r="K79"/>
      <c r="L79"/>
      <c r="M79"/>
      <c r="N79"/>
      <c r="O79"/>
      <c r="P79"/>
      <c r="Q79"/>
      <c r="R79"/>
      <c r="S79"/>
      <c r="T79" s="374"/>
      <c r="U79" s="374"/>
      <c r="V79" s="374"/>
      <c r="W79" s="96"/>
      <c r="X79" s="96"/>
      <c r="Y79" s="96"/>
    </row>
    <row r="80" spans="1:25">
      <c r="A80"/>
      <c r="B80"/>
      <c r="C80"/>
      <c r="D80"/>
      <c r="E80"/>
      <c r="F80"/>
      <c r="G80"/>
      <c r="H80"/>
      <c r="I80"/>
      <c r="J80"/>
      <c r="K80"/>
      <c r="L80"/>
      <c r="M80"/>
      <c r="N80"/>
      <c r="O80"/>
      <c r="P80"/>
      <c r="Q80"/>
      <c r="R80"/>
      <c r="S80"/>
      <c r="T80" s="374"/>
      <c r="U80" s="374"/>
      <c r="V80" s="374"/>
      <c r="W80" s="96"/>
      <c r="X80" s="96"/>
      <c r="Y80" s="96"/>
    </row>
    <row r="81" spans="1:25">
      <c r="A81"/>
      <c r="B81"/>
      <c r="C81"/>
      <c r="D81"/>
      <c r="E81"/>
      <c r="F81"/>
      <c r="G81"/>
      <c r="H81"/>
      <c r="I81"/>
      <c r="J81"/>
      <c r="K81"/>
      <c r="L81"/>
      <c r="M81"/>
      <c r="N81"/>
      <c r="O81"/>
      <c r="P81"/>
      <c r="Q81"/>
      <c r="R81"/>
      <c r="S81"/>
      <c r="T81" s="374"/>
      <c r="U81" s="374"/>
      <c r="V81" s="374"/>
      <c r="W81" s="96"/>
      <c r="X81" s="96"/>
      <c r="Y81" s="96"/>
    </row>
    <row r="82" spans="1:25">
      <c r="A82"/>
      <c r="B82"/>
      <c r="C82"/>
      <c r="D82"/>
      <c r="E82"/>
      <c r="F82"/>
      <c r="G82"/>
      <c r="H82"/>
      <c r="I82"/>
      <c r="J82"/>
      <c r="K82"/>
      <c r="L82"/>
      <c r="M82"/>
      <c r="N82"/>
      <c r="O82"/>
      <c r="P82"/>
      <c r="Q82"/>
      <c r="R82"/>
      <c r="S82"/>
      <c r="T82" s="374"/>
      <c r="U82" s="374"/>
      <c r="V82" s="374"/>
      <c r="W82" s="96"/>
      <c r="X82" s="96"/>
      <c r="Y82" s="96"/>
    </row>
    <row r="83" spans="1:25">
      <c r="A83"/>
      <c r="B83"/>
      <c r="C83"/>
      <c r="D83"/>
      <c r="E83"/>
      <c r="F83"/>
      <c r="G83"/>
      <c r="H83"/>
      <c r="I83"/>
      <c r="J83"/>
      <c r="K83"/>
      <c r="L83"/>
      <c r="M83"/>
      <c r="N83"/>
      <c r="O83"/>
      <c r="P83"/>
      <c r="Q83"/>
      <c r="R83"/>
      <c r="S83"/>
      <c r="T83" s="374"/>
      <c r="U83" s="374"/>
      <c r="V83" s="374"/>
      <c r="W83" s="96"/>
      <c r="X83" s="96"/>
      <c r="Y83" s="96"/>
    </row>
    <row r="84" spans="1:25">
      <c r="A84"/>
      <c r="B84"/>
      <c r="C84"/>
      <c r="D84"/>
      <c r="E84"/>
      <c r="F84"/>
      <c r="G84"/>
      <c r="H84"/>
      <c r="I84"/>
      <c r="J84"/>
      <c r="K84"/>
      <c r="L84"/>
      <c r="M84"/>
      <c r="N84"/>
      <c r="O84"/>
      <c r="P84"/>
      <c r="Q84"/>
      <c r="R84"/>
      <c r="S84"/>
      <c r="T84" s="374"/>
      <c r="U84" s="374"/>
      <c r="V84" s="374"/>
      <c r="W84" s="96"/>
      <c r="X84" s="96"/>
      <c r="Y84" s="96"/>
    </row>
    <row r="85" spans="1:25">
      <c r="A85"/>
      <c r="B85"/>
      <c r="C85"/>
      <c r="D85"/>
      <c r="E85"/>
      <c r="F85"/>
      <c r="G85"/>
      <c r="H85"/>
      <c r="I85"/>
      <c r="J85"/>
      <c r="K85"/>
      <c r="L85"/>
      <c r="M85"/>
      <c r="N85"/>
      <c r="O85"/>
      <c r="P85"/>
      <c r="Q85"/>
      <c r="R85"/>
      <c r="S85"/>
      <c r="T85" s="374"/>
      <c r="U85" s="374"/>
      <c r="V85" s="374"/>
      <c r="W85" s="96"/>
      <c r="X85" s="96"/>
      <c r="Y85" s="96"/>
    </row>
    <row r="86" spans="1:25">
      <c r="A86"/>
      <c r="B86"/>
      <c r="C86"/>
      <c r="D86"/>
      <c r="E86"/>
      <c r="F86"/>
      <c r="G86"/>
      <c r="H86"/>
      <c r="I86"/>
      <c r="J86"/>
      <c r="K86"/>
      <c r="L86"/>
      <c r="M86"/>
      <c r="N86"/>
      <c r="O86"/>
      <c r="P86"/>
      <c r="Q86"/>
      <c r="R86"/>
      <c r="S86"/>
      <c r="T86" s="374"/>
      <c r="U86" s="374"/>
      <c r="V86" s="374"/>
      <c r="W86" s="96"/>
      <c r="X86" s="96"/>
      <c r="Y86" s="96"/>
    </row>
    <row r="87" spans="1:25">
      <c r="A87"/>
      <c r="B87"/>
      <c r="C87"/>
      <c r="D87"/>
      <c r="E87"/>
      <c r="F87"/>
      <c r="G87"/>
      <c r="H87"/>
      <c r="I87"/>
      <c r="J87"/>
      <c r="K87"/>
      <c r="L87"/>
      <c r="M87"/>
      <c r="N87"/>
      <c r="O87"/>
      <c r="P87"/>
      <c r="Q87"/>
      <c r="R87"/>
      <c r="S87"/>
      <c r="T87" s="374"/>
      <c r="U87" s="374"/>
      <c r="V87" s="374"/>
      <c r="W87" s="96"/>
      <c r="X87" s="96"/>
      <c r="Y87" s="96"/>
    </row>
    <row r="88" spans="1:25">
      <c r="A88"/>
      <c r="B88"/>
      <c r="C88"/>
      <c r="D88"/>
      <c r="E88"/>
      <c r="F88"/>
      <c r="G88"/>
      <c r="H88"/>
      <c r="I88"/>
      <c r="J88"/>
      <c r="K88"/>
      <c r="L88"/>
      <c r="M88"/>
      <c r="N88"/>
      <c r="O88"/>
      <c r="P88"/>
      <c r="Q88"/>
      <c r="R88"/>
      <c r="S88"/>
      <c r="T88" s="374"/>
      <c r="U88" s="374"/>
      <c r="V88" s="374"/>
      <c r="W88" s="96"/>
      <c r="X88" s="96"/>
      <c r="Y88" s="96"/>
    </row>
    <row r="89" spans="1:25">
      <c r="A89"/>
      <c r="B89"/>
      <c r="C89"/>
      <c r="D89"/>
      <c r="E89"/>
      <c r="F89"/>
      <c r="G89"/>
      <c r="H89"/>
      <c r="I89"/>
      <c r="J89"/>
      <c r="K89"/>
      <c r="L89"/>
      <c r="M89"/>
      <c r="N89"/>
      <c r="O89"/>
      <c r="P89"/>
      <c r="Q89"/>
      <c r="R89"/>
      <c r="S89"/>
      <c r="T89" s="374"/>
      <c r="U89" s="374"/>
      <c r="V89" s="374"/>
      <c r="W89" s="96"/>
      <c r="X89" s="96"/>
      <c r="Y89" s="96"/>
    </row>
    <row r="90" spans="1:25">
      <c r="A90"/>
      <c r="B90"/>
      <c r="C90"/>
      <c r="D90"/>
      <c r="E90"/>
      <c r="F90"/>
      <c r="G90"/>
      <c r="H90"/>
      <c r="I90"/>
      <c r="J90"/>
      <c r="K90"/>
      <c r="L90"/>
      <c r="M90"/>
      <c r="N90"/>
      <c r="O90"/>
      <c r="P90"/>
      <c r="Q90"/>
      <c r="R90"/>
      <c r="S90"/>
      <c r="T90" s="374"/>
      <c r="U90" s="374"/>
      <c r="V90" s="374"/>
      <c r="W90" s="96"/>
      <c r="X90" s="96"/>
      <c r="Y90" s="96"/>
    </row>
    <row r="91" spans="1:25">
      <c r="A91"/>
      <c r="B91"/>
      <c r="C91"/>
      <c r="D91"/>
      <c r="E91"/>
      <c r="F91"/>
      <c r="G91"/>
      <c r="H91"/>
      <c r="I91"/>
      <c r="J91"/>
      <c r="K91"/>
      <c r="L91"/>
      <c r="M91"/>
      <c r="N91"/>
      <c r="O91"/>
      <c r="P91"/>
      <c r="Q91"/>
      <c r="R91"/>
      <c r="S91"/>
      <c r="T91" s="374"/>
      <c r="U91" s="374"/>
      <c r="V91" s="374"/>
      <c r="W91" s="96"/>
      <c r="X91" s="96"/>
      <c r="Y91" s="96"/>
    </row>
    <row r="92" spans="1:25">
      <c r="A92"/>
      <c r="B92"/>
      <c r="C92"/>
      <c r="D92"/>
      <c r="E92"/>
      <c r="F92"/>
      <c r="G92"/>
      <c r="H92"/>
      <c r="I92"/>
      <c r="J92"/>
      <c r="K92"/>
      <c r="L92"/>
      <c r="M92"/>
      <c r="N92"/>
      <c r="O92"/>
      <c r="P92"/>
      <c r="Q92"/>
      <c r="R92"/>
      <c r="S92"/>
      <c r="T92" s="374"/>
      <c r="U92" s="374"/>
      <c r="V92" s="374"/>
      <c r="W92" s="96"/>
      <c r="X92" s="96"/>
      <c r="Y92" s="96"/>
    </row>
    <row r="93" spans="1:25">
      <c r="A93"/>
      <c r="B93"/>
      <c r="C93"/>
      <c r="D93"/>
      <c r="E93"/>
      <c r="F93"/>
      <c r="G93"/>
      <c r="H93"/>
      <c r="I93"/>
      <c r="J93"/>
      <c r="K93"/>
      <c r="L93"/>
      <c r="M93"/>
      <c r="N93"/>
      <c r="O93"/>
      <c r="P93"/>
      <c r="Q93"/>
      <c r="R93"/>
      <c r="S93"/>
      <c r="T93" s="374"/>
      <c r="U93" s="374"/>
      <c r="V93" s="374"/>
      <c r="W93" s="96"/>
      <c r="X93" s="96"/>
      <c r="Y93" s="96"/>
    </row>
    <row r="94" spans="1:25">
      <c r="A94"/>
      <c r="B94"/>
      <c r="C94"/>
      <c r="D94"/>
      <c r="E94"/>
      <c r="F94"/>
      <c r="G94"/>
      <c r="H94"/>
      <c r="I94"/>
      <c r="J94"/>
      <c r="K94"/>
      <c r="L94"/>
      <c r="M94"/>
      <c r="N94"/>
      <c r="O94"/>
      <c r="P94"/>
      <c r="Q94"/>
      <c r="R94"/>
      <c r="S94"/>
      <c r="T94" s="374"/>
      <c r="U94" s="374"/>
      <c r="V94" s="374"/>
      <c r="W94" s="96"/>
      <c r="X94" s="96"/>
      <c r="Y94" s="96"/>
    </row>
    <row r="95" spans="1:25">
      <c r="A95"/>
      <c r="B95"/>
      <c r="C95"/>
      <c r="D95"/>
      <c r="E95"/>
      <c r="F95"/>
      <c r="G95"/>
      <c r="H95"/>
      <c r="I95"/>
      <c r="J95"/>
      <c r="K95"/>
      <c r="L95"/>
      <c r="M95"/>
      <c r="N95"/>
      <c r="O95"/>
      <c r="P95"/>
      <c r="Q95"/>
      <c r="R95"/>
      <c r="S95"/>
      <c r="T95" s="374"/>
      <c r="U95" s="374"/>
      <c r="V95" s="374"/>
      <c r="W95" s="96"/>
      <c r="X95" s="96"/>
      <c r="Y95" s="96"/>
    </row>
    <row r="96" spans="1:25">
      <c r="A96"/>
      <c r="B96"/>
      <c r="C96"/>
      <c r="D96"/>
      <c r="E96"/>
      <c r="F96"/>
      <c r="G96"/>
      <c r="H96"/>
      <c r="I96"/>
      <c r="J96"/>
      <c r="K96"/>
      <c r="L96"/>
      <c r="M96"/>
      <c r="N96"/>
      <c r="O96"/>
      <c r="P96"/>
      <c r="Q96"/>
      <c r="R96"/>
      <c r="S96"/>
      <c r="T96" s="374"/>
      <c r="U96" s="374"/>
      <c r="V96" s="374"/>
      <c r="W96" s="96"/>
      <c r="X96" s="96"/>
      <c r="Y96" s="96"/>
    </row>
    <row r="97" spans="1:25">
      <c r="A97"/>
      <c r="B97"/>
      <c r="C97"/>
      <c r="D97"/>
      <c r="E97"/>
      <c r="F97"/>
      <c r="G97"/>
      <c r="H97"/>
      <c r="I97"/>
      <c r="J97"/>
      <c r="K97"/>
      <c r="L97"/>
      <c r="M97"/>
      <c r="N97"/>
      <c r="O97"/>
      <c r="P97"/>
      <c r="Q97"/>
      <c r="R97"/>
      <c r="S97"/>
      <c r="T97" s="374"/>
      <c r="U97" s="374"/>
      <c r="V97" s="374"/>
      <c r="W97" s="96"/>
      <c r="X97" s="96"/>
      <c r="Y97" s="96"/>
    </row>
    <row r="98" spans="1:25">
      <c r="A98"/>
      <c r="B98"/>
      <c r="C98"/>
      <c r="D98"/>
      <c r="E98"/>
      <c r="F98"/>
      <c r="G98"/>
      <c r="H98"/>
      <c r="I98"/>
      <c r="J98"/>
      <c r="K98"/>
      <c r="L98"/>
      <c r="M98"/>
      <c r="N98"/>
      <c r="O98"/>
      <c r="P98"/>
      <c r="Q98"/>
      <c r="R98"/>
      <c r="S98"/>
      <c r="T98" s="374"/>
      <c r="U98" s="374"/>
      <c r="V98" s="374"/>
      <c r="W98" s="96"/>
      <c r="X98" s="96"/>
      <c r="Y98" s="96"/>
    </row>
    <row r="99" spans="1:25">
      <c r="A99"/>
      <c r="B99"/>
      <c r="C99"/>
      <c r="D99"/>
      <c r="E99"/>
      <c r="F99"/>
      <c r="G99"/>
      <c r="H99"/>
      <c r="I99"/>
      <c r="J99"/>
      <c r="K99"/>
      <c r="L99"/>
      <c r="M99"/>
      <c r="N99"/>
      <c r="O99"/>
      <c r="P99"/>
      <c r="Q99"/>
      <c r="R99"/>
      <c r="S99"/>
      <c r="T99" s="374"/>
      <c r="U99" s="374"/>
      <c r="V99" s="374"/>
      <c r="W99" s="96"/>
      <c r="X99" s="96"/>
      <c r="Y99" s="96"/>
    </row>
    <row r="100" spans="1:25">
      <c r="A100"/>
      <c r="B100"/>
      <c r="C100"/>
      <c r="D100"/>
      <c r="E100"/>
      <c r="F100"/>
      <c r="G100"/>
      <c r="H100"/>
      <c r="I100"/>
      <c r="J100"/>
      <c r="K100"/>
      <c r="L100"/>
      <c r="M100"/>
      <c r="N100"/>
      <c r="O100"/>
      <c r="P100"/>
      <c r="Q100"/>
      <c r="R100"/>
      <c r="S100"/>
      <c r="T100" s="374"/>
      <c r="U100" s="374"/>
      <c r="V100" s="374"/>
      <c r="W100" s="96"/>
      <c r="X100" s="96"/>
      <c r="Y100" s="96"/>
    </row>
    <row r="101" spans="1:25">
      <c r="A101"/>
      <c r="B101"/>
      <c r="C101"/>
      <c r="D101"/>
      <c r="E101"/>
      <c r="F101"/>
      <c r="G101"/>
      <c r="H101"/>
      <c r="I101"/>
      <c r="J101"/>
      <c r="K101"/>
      <c r="L101"/>
      <c r="M101"/>
      <c r="N101"/>
      <c r="O101"/>
      <c r="P101"/>
      <c r="Q101"/>
      <c r="R101"/>
      <c r="S101"/>
      <c r="T101" s="374"/>
      <c r="U101" s="374"/>
      <c r="V101" s="374"/>
      <c r="W101" s="96"/>
      <c r="X101" s="96"/>
      <c r="Y101" s="96"/>
    </row>
    <row r="102" spans="1:25">
      <c r="A102"/>
      <c r="B102"/>
      <c r="C102"/>
      <c r="D102"/>
      <c r="E102"/>
      <c r="F102"/>
      <c r="G102"/>
      <c r="H102"/>
      <c r="I102"/>
      <c r="J102"/>
      <c r="K102"/>
      <c r="L102"/>
      <c r="M102"/>
      <c r="N102"/>
      <c r="O102"/>
      <c r="P102"/>
      <c r="Q102"/>
      <c r="R102"/>
      <c r="S102"/>
      <c r="T102" s="374"/>
      <c r="U102" s="374"/>
      <c r="V102" s="374"/>
      <c r="W102" s="96"/>
      <c r="X102" s="96"/>
      <c r="Y102" s="96"/>
    </row>
    <row r="103" spans="1:25">
      <c r="A103"/>
      <c r="B103"/>
      <c r="C103"/>
      <c r="D103"/>
      <c r="E103"/>
      <c r="F103"/>
      <c r="G103"/>
      <c r="H103"/>
      <c r="I103"/>
      <c r="J103"/>
      <c r="K103"/>
      <c r="L103"/>
      <c r="M103"/>
      <c r="N103"/>
      <c r="O103"/>
      <c r="P103"/>
      <c r="Q103"/>
      <c r="R103"/>
      <c r="S103"/>
      <c r="T103" s="374"/>
      <c r="U103" s="374"/>
      <c r="V103" s="374"/>
      <c r="W103" s="96"/>
      <c r="X103" s="96"/>
      <c r="Y103" s="96"/>
    </row>
    <row r="104" spans="1:25">
      <c r="A104"/>
      <c r="B104"/>
      <c r="C104"/>
      <c r="D104"/>
      <c r="E104"/>
      <c r="F104"/>
      <c r="G104"/>
      <c r="H104"/>
      <c r="I104"/>
      <c r="J104"/>
      <c r="K104"/>
      <c r="L104"/>
      <c r="M104"/>
      <c r="N104"/>
      <c r="O104"/>
      <c r="P104"/>
      <c r="Q104"/>
      <c r="R104"/>
      <c r="S104"/>
      <c r="T104" s="374"/>
      <c r="U104" s="374"/>
      <c r="V104" s="374"/>
      <c r="W104" s="96"/>
      <c r="X104" s="96"/>
      <c r="Y104" s="96"/>
    </row>
    <row r="105" spans="1:25">
      <c r="A105"/>
      <c r="B105"/>
      <c r="C105"/>
      <c r="D105"/>
      <c r="E105"/>
      <c r="F105"/>
      <c r="G105"/>
      <c r="H105"/>
      <c r="I105"/>
      <c r="J105"/>
      <c r="K105"/>
      <c r="L105"/>
      <c r="M105"/>
      <c r="N105"/>
      <c r="O105"/>
      <c r="P105"/>
      <c r="Q105"/>
      <c r="R105"/>
      <c r="S105"/>
      <c r="T105" s="374"/>
      <c r="U105" s="374"/>
      <c r="V105" s="374"/>
      <c r="W105" s="96"/>
      <c r="X105" s="96"/>
      <c r="Y105" s="96"/>
    </row>
    <row r="106" spans="1:25">
      <c r="A106"/>
      <c r="B106"/>
      <c r="C106"/>
      <c r="D106"/>
      <c r="E106"/>
      <c r="F106"/>
      <c r="G106"/>
      <c r="H106"/>
      <c r="I106"/>
      <c r="J106"/>
      <c r="K106"/>
      <c r="L106"/>
      <c r="M106"/>
      <c r="N106"/>
      <c r="O106"/>
      <c r="P106"/>
      <c r="Q106"/>
      <c r="R106"/>
      <c r="S106"/>
      <c r="T106" s="374"/>
      <c r="U106" s="374"/>
      <c r="V106" s="374"/>
      <c r="W106" s="96"/>
      <c r="X106" s="96"/>
      <c r="Y106" s="96"/>
    </row>
    <row r="107" spans="1:25">
      <c r="A107"/>
      <c r="B107"/>
      <c r="C107"/>
      <c r="D107"/>
      <c r="E107"/>
      <c r="F107"/>
      <c r="G107"/>
      <c r="H107"/>
      <c r="I107"/>
      <c r="J107"/>
      <c r="K107"/>
      <c r="L107"/>
      <c r="M107"/>
      <c r="N107"/>
      <c r="O107"/>
      <c r="P107"/>
      <c r="Q107"/>
      <c r="R107"/>
      <c r="S107"/>
      <c r="T107" s="374"/>
      <c r="U107" s="374"/>
      <c r="V107" s="374"/>
      <c r="W107" s="96"/>
      <c r="X107" s="96"/>
      <c r="Y107" s="96"/>
    </row>
    <row r="108" spans="1:25">
      <c r="A108"/>
      <c r="B108"/>
      <c r="C108"/>
      <c r="D108"/>
      <c r="E108"/>
      <c r="F108"/>
      <c r="G108"/>
      <c r="H108"/>
      <c r="I108"/>
      <c r="J108"/>
      <c r="K108"/>
      <c r="L108"/>
      <c r="M108"/>
      <c r="N108"/>
      <c r="O108"/>
      <c r="P108"/>
      <c r="Q108"/>
      <c r="R108"/>
      <c r="S108"/>
      <c r="T108" s="374"/>
      <c r="U108" s="374"/>
      <c r="V108" s="374"/>
      <c r="W108" s="96"/>
      <c r="X108" s="96"/>
      <c r="Y108" s="96"/>
    </row>
    <row r="109" spans="1:25">
      <c r="A109"/>
      <c r="B109"/>
      <c r="C109"/>
      <c r="D109"/>
      <c r="E109"/>
      <c r="F109"/>
      <c r="G109"/>
      <c r="H109"/>
      <c r="I109"/>
      <c r="J109"/>
      <c r="K109"/>
      <c r="L109"/>
      <c r="M109"/>
      <c r="N109"/>
      <c r="O109"/>
      <c r="P109"/>
      <c r="Q109"/>
      <c r="R109"/>
      <c r="S109"/>
      <c r="T109" s="374"/>
      <c r="U109" s="374"/>
      <c r="V109" s="374"/>
      <c r="W109" s="96"/>
      <c r="X109" s="96"/>
      <c r="Y109" s="96"/>
    </row>
    <row r="110" spans="1:25">
      <c r="A110"/>
      <c r="B110"/>
      <c r="C110"/>
      <c r="D110"/>
      <c r="E110"/>
      <c r="F110"/>
      <c r="G110"/>
      <c r="H110"/>
      <c r="I110"/>
      <c r="J110"/>
      <c r="K110"/>
      <c r="L110"/>
      <c r="M110"/>
      <c r="N110"/>
      <c r="O110"/>
      <c r="P110"/>
      <c r="Q110"/>
      <c r="R110"/>
      <c r="S110"/>
      <c r="T110" s="374"/>
      <c r="U110" s="374"/>
      <c r="V110" s="374"/>
      <c r="W110" s="96"/>
      <c r="X110" s="96"/>
      <c r="Y110" s="96"/>
    </row>
    <row r="111" spans="1:25">
      <c r="A111"/>
      <c r="B111"/>
      <c r="C111"/>
      <c r="D111"/>
      <c r="E111"/>
      <c r="F111"/>
      <c r="G111"/>
      <c r="H111"/>
      <c r="I111"/>
      <c r="J111"/>
      <c r="K111"/>
      <c r="L111"/>
      <c r="M111"/>
      <c r="N111"/>
      <c r="O111"/>
      <c r="P111"/>
      <c r="Q111"/>
      <c r="R111"/>
      <c r="S111"/>
      <c r="T111" s="374"/>
      <c r="U111" s="374"/>
      <c r="V111" s="374"/>
      <c r="W111" s="96"/>
      <c r="X111" s="96"/>
      <c r="Y111" s="96"/>
    </row>
    <row r="112" spans="1:25">
      <c r="A112"/>
      <c r="B112"/>
      <c r="C112"/>
      <c r="D112"/>
      <c r="E112"/>
      <c r="F112"/>
      <c r="G112"/>
      <c r="H112"/>
      <c r="I112"/>
      <c r="J112"/>
      <c r="K112"/>
      <c r="L112"/>
      <c r="M112"/>
      <c r="N112"/>
      <c r="O112"/>
      <c r="P112"/>
      <c r="Q112"/>
      <c r="R112"/>
      <c r="S112"/>
      <c r="T112" s="374"/>
      <c r="U112" s="374"/>
      <c r="V112" s="374"/>
      <c r="W112" s="96"/>
      <c r="X112" s="96"/>
      <c r="Y112" s="96"/>
    </row>
    <row r="113" spans="1:25">
      <c r="A113"/>
      <c r="B113"/>
      <c r="C113"/>
      <c r="D113"/>
      <c r="E113"/>
      <c r="F113"/>
      <c r="G113"/>
      <c r="H113"/>
      <c r="I113"/>
      <c r="J113"/>
      <c r="K113"/>
      <c r="L113"/>
      <c r="M113"/>
      <c r="N113"/>
      <c r="O113"/>
      <c r="P113"/>
      <c r="Q113"/>
      <c r="R113"/>
      <c r="S113"/>
      <c r="T113" s="374"/>
      <c r="U113" s="374"/>
      <c r="V113" s="374"/>
      <c r="W113" s="96"/>
      <c r="X113" s="96"/>
      <c r="Y113" s="96"/>
    </row>
    <row r="114" spans="1:25">
      <c r="A114"/>
      <c r="B114"/>
      <c r="C114"/>
      <c r="D114"/>
      <c r="E114"/>
      <c r="F114"/>
      <c r="G114"/>
      <c r="H114"/>
      <c r="I114"/>
      <c r="J114"/>
      <c r="K114"/>
      <c r="L114"/>
      <c r="M114"/>
      <c r="N114"/>
      <c r="O114"/>
      <c r="P114"/>
      <c r="Q114"/>
      <c r="R114"/>
      <c r="S114"/>
      <c r="T114" s="374"/>
      <c r="U114" s="374"/>
      <c r="V114" s="374"/>
      <c r="W114" s="96"/>
      <c r="X114" s="96"/>
      <c r="Y114" s="96"/>
    </row>
    <row r="115" spans="1:25">
      <c r="A115"/>
      <c r="B115"/>
      <c r="C115"/>
      <c r="D115"/>
      <c r="E115"/>
      <c r="F115"/>
      <c r="G115"/>
      <c r="H115"/>
      <c r="I115"/>
      <c r="J115"/>
      <c r="K115"/>
      <c r="L115"/>
      <c r="M115"/>
      <c r="N115"/>
      <c r="O115"/>
      <c r="P115"/>
      <c r="Q115"/>
      <c r="R115"/>
      <c r="S115"/>
      <c r="T115" s="374"/>
      <c r="U115" s="374"/>
      <c r="V115" s="374"/>
      <c r="W115" s="96"/>
      <c r="X115" s="96"/>
      <c r="Y115" s="96"/>
    </row>
    <row r="116" spans="1:25">
      <c r="A116"/>
      <c r="B116"/>
      <c r="C116"/>
      <c r="D116"/>
      <c r="E116"/>
      <c r="F116"/>
      <c r="G116"/>
      <c r="H116"/>
      <c r="I116"/>
      <c r="J116"/>
      <c r="K116"/>
      <c r="L116"/>
      <c r="M116"/>
      <c r="N116"/>
      <c r="O116"/>
      <c r="P116"/>
      <c r="Q116"/>
      <c r="R116"/>
      <c r="S116"/>
      <c r="T116" s="374"/>
      <c r="U116" s="374"/>
      <c r="V116" s="374"/>
      <c r="W116" s="96"/>
      <c r="X116" s="96"/>
      <c r="Y116" s="96"/>
    </row>
    <row r="117" spans="1:25">
      <c r="A117"/>
      <c r="B117"/>
      <c r="C117"/>
      <c r="D117"/>
      <c r="E117"/>
      <c r="F117"/>
      <c r="G117"/>
      <c r="H117"/>
      <c r="I117"/>
      <c r="J117"/>
      <c r="K117"/>
      <c r="L117"/>
      <c r="M117"/>
      <c r="N117"/>
      <c r="O117"/>
      <c r="P117"/>
      <c r="Q117"/>
      <c r="R117"/>
      <c r="S117"/>
      <c r="T117" s="374"/>
      <c r="U117" s="374"/>
      <c r="V117" s="374"/>
      <c r="W117" s="96"/>
      <c r="X117" s="96"/>
      <c r="Y117" s="96"/>
    </row>
    <row r="118" spans="1:25">
      <c r="A118"/>
      <c r="B118"/>
      <c r="C118"/>
      <c r="D118"/>
      <c r="E118"/>
      <c r="F118"/>
      <c r="G118"/>
      <c r="H118"/>
      <c r="I118"/>
      <c r="J118"/>
      <c r="K118"/>
      <c r="L118"/>
      <c r="M118"/>
      <c r="N118"/>
      <c r="O118"/>
      <c r="P118"/>
      <c r="Q118"/>
      <c r="R118"/>
      <c r="S118"/>
      <c r="T118" s="374"/>
      <c r="U118" s="374"/>
      <c r="V118" s="374"/>
      <c r="W118" s="96"/>
      <c r="X118" s="96"/>
      <c r="Y118" s="96"/>
    </row>
    <row r="119" spans="1:25">
      <c r="A119"/>
      <c r="B119"/>
      <c r="C119"/>
      <c r="D119"/>
      <c r="E119"/>
      <c r="F119"/>
      <c r="G119"/>
      <c r="H119"/>
      <c r="I119"/>
      <c r="J119"/>
      <c r="K119"/>
      <c r="L119"/>
      <c r="M119"/>
      <c r="N119"/>
      <c r="O119"/>
      <c r="P119"/>
      <c r="Q119"/>
      <c r="R119"/>
      <c r="S119"/>
      <c r="T119" s="374"/>
      <c r="U119" s="374"/>
      <c r="V119" s="374"/>
      <c r="W119" s="96"/>
      <c r="X119" s="96"/>
      <c r="Y119" s="96"/>
    </row>
    <row r="120" spans="1:25">
      <c r="A120"/>
      <c r="B120"/>
      <c r="C120"/>
      <c r="D120"/>
      <c r="E120"/>
      <c r="F120"/>
      <c r="G120"/>
      <c r="H120"/>
      <c r="I120"/>
      <c r="J120"/>
      <c r="K120"/>
      <c r="L120"/>
      <c r="M120"/>
      <c r="N120"/>
      <c r="O120"/>
      <c r="P120"/>
      <c r="Q120"/>
      <c r="R120"/>
      <c r="S120"/>
      <c r="T120" s="374"/>
      <c r="U120" s="374"/>
      <c r="V120" s="374"/>
      <c r="W120" s="96"/>
      <c r="X120" s="96"/>
      <c r="Y120" s="96"/>
    </row>
    <row r="121" spans="1:25">
      <c r="A121"/>
      <c r="B121"/>
      <c r="C121"/>
      <c r="D121"/>
      <c r="E121"/>
      <c r="F121"/>
      <c r="G121"/>
      <c r="H121"/>
      <c r="I121"/>
      <c r="J121"/>
      <c r="K121"/>
      <c r="L121"/>
      <c r="M121"/>
      <c r="N121"/>
      <c r="O121"/>
      <c r="P121"/>
      <c r="Q121"/>
      <c r="R121"/>
      <c r="S121"/>
      <c r="T121" s="374"/>
      <c r="U121" s="374"/>
      <c r="V121" s="374"/>
      <c r="W121" s="96"/>
      <c r="X121" s="96"/>
      <c r="Y121" s="96"/>
    </row>
    <row r="122" spans="1:25">
      <c r="A122"/>
      <c r="B122"/>
      <c r="C122"/>
      <c r="D122"/>
      <c r="E122"/>
      <c r="F122"/>
      <c r="G122"/>
      <c r="H122"/>
      <c r="I122"/>
      <c r="J122"/>
      <c r="K122"/>
      <c r="L122"/>
      <c r="M122"/>
      <c r="N122"/>
      <c r="O122"/>
      <c r="P122"/>
      <c r="Q122"/>
      <c r="R122"/>
      <c r="S122"/>
      <c r="T122" s="374"/>
      <c r="U122" s="374"/>
      <c r="V122" s="374"/>
      <c r="W122" s="96"/>
      <c r="X122" s="96"/>
      <c r="Y122" s="96"/>
    </row>
    <row r="123" spans="1:25">
      <c r="A123"/>
      <c r="B123"/>
      <c r="C123"/>
      <c r="D123"/>
      <c r="E123"/>
      <c r="F123"/>
      <c r="G123"/>
      <c r="H123"/>
      <c r="I123"/>
      <c r="J123"/>
      <c r="K123"/>
      <c r="L123"/>
      <c r="M123"/>
      <c r="N123"/>
      <c r="O123"/>
      <c r="P123"/>
      <c r="Q123"/>
      <c r="R123"/>
      <c r="S123"/>
      <c r="T123" s="374"/>
      <c r="U123" s="374"/>
      <c r="V123" s="374"/>
      <c r="W123" s="96"/>
      <c r="X123" s="96"/>
      <c r="Y123" s="96"/>
    </row>
    <row r="124" spans="1:25">
      <c r="A124"/>
      <c r="B124"/>
      <c r="C124"/>
      <c r="D124"/>
      <c r="E124"/>
      <c r="F124"/>
      <c r="G124"/>
      <c r="H124"/>
      <c r="I124"/>
      <c r="J124"/>
      <c r="K124"/>
      <c r="L124"/>
      <c r="M124"/>
      <c r="N124"/>
      <c r="O124"/>
      <c r="P124"/>
      <c r="Q124"/>
      <c r="R124"/>
      <c r="S124"/>
      <c r="T124" s="374"/>
      <c r="U124" s="374"/>
      <c r="V124" s="374"/>
      <c r="W124" s="96"/>
      <c r="X124" s="96"/>
      <c r="Y124" s="96"/>
    </row>
    <row r="125" spans="1:25">
      <c r="A125"/>
      <c r="B125"/>
      <c r="C125"/>
      <c r="D125"/>
      <c r="E125"/>
      <c r="F125"/>
      <c r="G125"/>
      <c r="H125"/>
      <c r="I125"/>
      <c r="J125"/>
      <c r="K125"/>
      <c r="L125"/>
      <c r="M125"/>
      <c r="N125"/>
      <c r="O125"/>
      <c r="P125"/>
      <c r="Q125"/>
      <c r="R125"/>
      <c r="S125"/>
      <c r="T125" s="374"/>
      <c r="U125" s="374"/>
      <c r="V125" s="374"/>
      <c r="W125" s="96"/>
      <c r="X125" s="96"/>
      <c r="Y125" s="96"/>
    </row>
    <row r="126" spans="1:25">
      <c r="A126"/>
      <c r="B126"/>
      <c r="C126"/>
      <c r="D126"/>
      <c r="E126"/>
      <c r="F126"/>
      <c r="G126"/>
      <c r="H126"/>
      <c r="I126"/>
      <c r="J126"/>
      <c r="K126"/>
      <c r="L126"/>
      <c r="M126"/>
      <c r="N126"/>
      <c r="O126"/>
      <c r="P126"/>
      <c r="Q126"/>
      <c r="R126"/>
      <c r="S126"/>
      <c r="T126" s="374"/>
      <c r="U126" s="374"/>
      <c r="V126" s="374"/>
      <c r="W126" s="96"/>
      <c r="X126" s="96"/>
      <c r="Y126" s="96"/>
    </row>
    <row r="127" spans="1:25">
      <c r="A127"/>
      <c r="B127"/>
      <c r="C127"/>
      <c r="D127"/>
      <c r="E127"/>
      <c r="F127"/>
      <c r="G127"/>
      <c r="H127"/>
      <c r="I127"/>
      <c r="J127"/>
      <c r="K127"/>
      <c r="L127"/>
      <c r="M127"/>
      <c r="N127"/>
      <c r="O127"/>
      <c r="P127"/>
      <c r="Q127"/>
      <c r="R127"/>
      <c r="S127"/>
      <c r="T127" s="374"/>
      <c r="U127" s="374"/>
      <c r="V127" s="374"/>
      <c r="W127" s="96"/>
      <c r="X127" s="96"/>
      <c r="Y127" s="96"/>
    </row>
    <row r="128" spans="1:25">
      <c r="A128"/>
      <c r="B128"/>
      <c r="C128"/>
      <c r="D128"/>
      <c r="E128"/>
      <c r="F128"/>
      <c r="G128"/>
      <c r="H128"/>
      <c r="I128"/>
      <c r="J128"/>
      <c r="K128"/>
      <c r="L128"/>
      <c r="M128"/>
      <c r="N128"/>
      <c r="O128"/>
      <c r="P128"/>
      <c r="Q128"/>
      <c r="R128"/>
      <c r="S128"/>
      <c r="T128" s="374"/>
      <c r="U128" s="374"/>
      <c r="V128" s="374"/>
      <c r="W128" s="96"/>
      <c r="X128" s="96"/>
      <c r="Y128" s="96"/>
    </row>
    <row r="129" spans="1:25">
      <c r="A129"/>
      <c r="B129"/>
      <c r="C129"/>
      <c r="D129"/>
      <c r="E129"/>
      <c r="F129"/>
      <c r="G129"/>
      <c r="H129"/>
      <c r="I129"/>
      <c r="J129"/>
      <c r="K129"/>
      <c r="L129"/>
      <c r="M129"/>
      <c r="N129"/>
      <c r="O129"/>
      <c r="P129"/>
      <c r="Q129"/>
      <c r="R129"/>
      <c r="S129"/>
      <c r="T129" s="374"/>
      <c r="U129" s="374"/>
      <c r="V129" s="374"/>
      <c r="W129" s="96"/>
      <c r="X129" s="96"/>
      <c r="Y129" s="96"/>
    </row>
    <row r="130" spans="1:25">
      <c r="A130"/>
      <c r="B130"/>
      <c r="C130"/>
      <c r="D130"/>
      <c r="E130"/>
      <c r="F130"/>
      <c r="G130"/>
      <c r="H130"/>
      <c r="I130"/>
      <c r="J130"/>
      <c r="K130"/>
      <c r="L130"/>
      <c r="M130"/>
      <c r="N130"/>
      <c r="O130"/>
      <c r="P130"/>
      <c r="Q130"/>
      <c r="R130"/>
      <c r="S130"/>
      <c r="T130" s="374"/>
      <c r="U130" s="374"/>
      <c r="V130" s="374"/>
      <c r="W130" s="96"/>
      <c r="X130" s="96"/>
      <c r="Y130" s="96"/>
    </row>
    <row r="131" spans="1:25">
      <c r="A131"/>
      <c r="B131"/>
      <c r="C131"/>
      <c r="D131"/>
      <c r="E131"/>
      <c r="F131"/>
      <c r="G131"/>
      <c r="H131"/>
      <c r="I131"/>
      <c r="J131"/>
      <c r="K131"/>
      <c r="L131"/>
      <c r="M131"/>
      <c r="N131"/>
      <c r="O131"/>
      <c r="P131"/>
      <c r="Q131"/>
      <c r="R131"/>
      <c r="S131"/>
      <c r="T131" s="374"/>
      <c r="U131" s="374"/>
      <c r="V131" s="374"/>
      <c r="W131" s="96"/>
      <c r="X131" s="96"/>
      <c r="Y131" s="96"/>
    </row>
    <row r="132" spans="1:25">
      <c r="A132"/>
      <c r="B132"/>
      <c r="C132"/>
      <c r="D132"/>
      <c r="E132"/>
      <c r="F132"/>
      <c r="G132"/>
      <c r="H132"/>
      <c r="I132"/>
      <c r="J132"/>
      <c r="K132"/>
      <c r="L132"/>
      <c r="M132"/>
      <c r="N132"/>
      <c r="O132"/>
      <c r="P132"/>
      <c r="Q132"/>
      <c r="R132"/>
      <c r="S132"/>
      <c r="T132" s="374"/>
      <c r="U132" s="374"/>
      <c r="V132" s="374"/>
      <c r="W132" s="96"/>
      <c r="X132" s="96"/>
      <c r="Y132" s="96"/>
    </row>
    <row r="133" spans="1:25">
      <c r="A133"/>
      <c r="B133"/>
      <c r="C133"/>
      <c r="D133"/>
      <c r="E133"/>
      <c r="F133"/>
      <c r="G133"/>
      <c r="H133"/>
      <c r="I133"/>
      <c r="J133"/>
      <c r="K133"/>
      <c r="L133"/>
      <c r="M133"/>
      <c r="N133"/>
      <c r="O133"/>
      <c r="P133"/>
      <c r="Q133"/>
      <c r="R133"/>
      <c r="S133"/>
      <c r="T133" s="374"/>
      <c r="U133" s="374"/>
      <c r="V133" s="374"/>
      <c r="W133" s="96"/>
      <c r="X133" s="96"/>
      <c r="Y133" s="96"/>
    </row>
    <row r="134" spans="1:25">
      <c r="A134"/>
      <c r="B134"/>
      <c r="C134"/>
      <c r="D134"/>
      <c r="E134"/>
      <c r="F134"/>
      <c r="G134"/>
      <c r="H134"/>
      <c r="I134"/>
      <c r="J134"/>
      <c r="K134"/>
      <c r="L134"/>
      <c r="M134"/>
      <c r="N134"/>
      <c r="O134"/>
      <c r="P134"/>
      <c r="Q134"/>
      <c r="R134"/>
      <c r="S134"/>
      <c r="T134" s="374"/>
      <c r="U134" s="374"/>
      <c r="V134" s="374"/>
      <c r="W134" s="96"/>
      <c r="X134" s="96"/>
      <c r="Y134" s="96"/>
    </row>
    <row r="135" spans="1:25">
      <c r="A135"/>
      <c r="B135"/>
      <c r="C135"/>
      <c r="D135"/>
      <c r="E135"/>
      <c r="F135"/>
      <c r="G135"/>
      <c r="H135"/>
      <c r="I135"/>
      <c r="J135"/>
      <c r="K135"/>
      <c r="L135"/>
      <c r="M135"/>
      <c r="N135"/>
      <c r="O135"/>
      <c r="P135"/>
      <c r="Q135"/>
      <c r="R135"/>
      <c r="S135"/>
      <c r="T135" s="374"/>
      <c r="U135" s="374"/>
      <c r="V135" s="374"/>
      <c r="W135" s="96"/>
      <c r="X135" s="96"/>
      <c r="Y135" s="96"/>
    </row>
    <row r="136" spans="1:25">
      <c r="A136"/>
      <c r="B136"/>
      <c r="C136"/>
      <c r="D136"/>
      <c r="E136"/>
      <c r="F136"/>
      <c r="G136"/>
      <c r="H136"/>
      <c r="I136"/>
      <c r="J136"/>
      <c r="K136"/>
      <c r="L136"/>
      <c r="M136"/>
      <c r="N136"/>
      <c r="O136"/>
      <c r="P136"/>
      <c r="Q136"/>
      <c r="R136"/>
      <c r="S136"/>
      <c r="T136" s="374"/>
      <c r="U136" s="374"/>
      <c r="V136" s="374"/>
      <c r="W136" s="96"/>
      <c r="X136" s="96"/>
      <c r="Y136" s="96"/>
    </row>
    <row r="137" spans="1:25">
      <c r="A137"/>
      <c r="B137"/>
      <c r="C137"/>
      <c r="D137"/>
      <c r="E137"/>
      <c r="F137"/>
      <c r="G137"/>
      <c r="H137"/>
      <c r="I137"/>
      <c r="J137"/>
      <c r="K137"/>
      <c r="L137"/>
      <c r="M137"/>
      <c r="N137"/>
      <c r="O137"/>
      <c r="P137"/>
      <c r="Q137"/>
      <c r="R137"/>
      <c r="S137"/>
      <c r="T137" s="374"/>
      <c r="U137" s="374"/>
      <c r="V137" s="374"/>
      <c r="W137" s="96"/>
      <c r="X137" s="96"/>
      <c r="Y137" s="96"/>
    </row>
    <row r="138" spans="1:25">
      <c r="A138"/>
      <c r="B138"/>
      <c r="C138"/>
      <c r="D138"/>
      <c r="E138"/>
      <c r="F138"/>
      <c r="G138"/>
      <c r="H138"/>
      <c r="I138"/>
      <c r="J138"/>
      <c r="K138"/>
      <c r="L138"/>
      <c r="M138"/>
      <c r="N138"/>
      <c r="O138"/>
      <c r="P138"/>
      <c r="Q138"/>
      <c r="R138"/>
      <c r="S138"/>
      <c r="T138" s="374"/>
      <c r="U138" s="374"/>
      <c r="V138" s="374"/>
      <c r="W138" s="96"/>
      <c r="X138" s="96"/>
      <c r="Y138" s="96"/>
    </row>
    <row r="139" spans="1:25">
      <c r="A139"/>
      <c r="B139"/>
      <c r="C139"/>
      <c r="D139"/>
      <c r="E139"/>
      <c r="F139"/>
      <c r="G139"/>
      <c r="H139"/>
      <c r="I139"/>
      <c r="J139"/>
      <c r="K139"/>
      <c r="L139"/>
      <c r="M139"/>
      <c r="N139"/>
      <c r="O139"/>
      <c r="P139"/>
      <c r="Q139"/>
      <c r="R139"/>
      <c r="S139"/>
      <c r="T139" s="374"/>
      <c r="U139" s="374"/>
      <c r="V139" s="374"/>
      <c r="W139" s="96"/>
      <c r="X139" s="96"/>
      <c r="Y139" s="96"/>
    </row>
    <row r="140" spans="1:25">
      <c r="A140"/>
      <c r="B140"/>
      <c r="C140"/>
      <c r="D140"/>
      <c r="E140"/>
      <c r="F140"/>
      <c r="G140"/>
      <c r="H140"/>
      <c r="I140"/>
      <c r="J140"/>
      <c r="K140"/>
      <c r="L140"/>
      <c r="M140"/>
      <c r="N140"/>
      <c r="O140"/>
      <c r="P140"/>
      <c r="Q140"/>
      <c r="R140"/>
      <c r="S140"/>
      <c r="T140" s="374"/>
      <c r="U140" s="374"/>
      <c r="V140" s="374"/>
      <c r="W140" s="96"/>
      <c r="X140" s="96"/>
      <c r="Y140" s="96"/>
    </row>
    <row r="141" spans="1:25">
      <c r="A141"/>
      <c r="B141"/>
      <c r="C141"/>
      <c r="D141"/>
      <c r="E141"/>
      <c r="F141"/>
      <c r="G141"/>
      <c r="H141"/>
      <c r="I141"/>
      <c r="J141"/>
      <c r="K141"/>
      <c r="L141"/>
      <c r="M141"/>
      <c r="N141"/>
      <c r="O141"/>
      <c r="P141"/>
      <c r="Q141"/>
      <c r="R141"/>
      <c r="S141"/>
      <c r="T141" s="374"/>
      <c r="U141" s="374"/>
      <c r="V141" s="374"/>
      <c r="W141" s="96"/>
      <c r="X141" s="96"/>
      <c r="Y141" s="96"/>
    </row>
    <row r="142" spans="1:25">
      <c r="A142"/>
      <c r="B142"/>
      <c r="C142"/>
      <c r="D142"/>
      <c r="E142"/>
      <c r="F142"/>
      <c r="G142"/>
      <c r="H142"/>
      <c r="I142"/>
      <c r="J142"/>
      <c r="K142"/>
      <c r="L142"/>
      <c r="M142"/>
      <c r="N142"/>
      <c r="O142"/>
      <c r="P142"/>
      <c r="Q142"/>
      <c r="R142"/>
      <c r="S142"/>
      <c r="T142" s="374"/>
      <c r="U142" s="374"/>
      <c r="V142" s="374"/>
      <c r="W142" s="96"/>
      <c r="X142" s="96"/>
      <c r="Y142" s="96"/>
    </row>
    <row r="143" spans="1:25">
      <c r="A143"/>
      <c r="B143"/>
      <c r="C143"/>
      <c r="D143"/>
      <c r="E143"/>
      <c r="F143"/>
      <c r="G143"/>
      <c r="H143"/>
      <c r="I143"/>
      <c r="J143"/>
      <c r="K143"/>
      <c r="L143"/>
      <c r="M143"/>
      <c r="N143"/>
      <c r="O143"/>
      <c r="P143"/>
      <c r="Q143"/>
      <c r="R143"/>
      <c r="S143"/>
      <c r="T143" s="374"/>
      <c r="U143" s="374"/>
      <c r="V143" s="374"/>
      <c r="W143" s="96"/>
      <c r="X143" s="96"/>
      <c r="Y143" s="96"/>
    </row>
    <row r="144" spans="1:25">
      <c r="A144"/>
      <c r="B144"/>
      <c r="C144"/>
      <c r="D144"/>
      <c r="E144"/>
      <c r="F144"/>
      <c r="G144"/>
      <c r="H144"/>
      <c r="I144"/>
      <c r="J144"/>
      <c r="K144"/>
      <c r="L144"/>
      <c r="M144"/>
      <c r="N144"/>
      <c r="O144"/>
      <c r="P144"/>
      <c r="Q144"/>
      <c r="R144"/>
      <c r="S144"/>
      <c r="T144" s="374"/>
      <c r="U144" s="374"/>
      <c r="V144" s="374"/>
      <c r="W144" s="96"/>
      <c r="X144" s="96"/>
      <c r="Y144" s="96"/>
    </row>
    <row r="145" spans="1:25">
      <c r="A145"/>
      <c r="B145"/>
      <c r="C145"/>
      <c r="D145"/>
      <c r="E145"/>
      <c r="F145"/>
      <c r="G145"/>
      <c r="H145"/>
      <c r="I145"/>
      <c r="J145"/>
      <c r="K145"/>
      <c r="L145"/>
      <c r="M145"/>
      <c r="N145"/>
      <c r="O145"/>
      <c r="P145"/>
      <c r="Q145"/>
      <c r="R145"/>
      <c r="S145"/>
      <c r="T145" s="374"/>
      <c r="U145" s="374"/>
      <c r="V145" s="374"/>
      <c r="W145" s="96"/>
      <c r="X145" s="96"/>
      <c r="Y145" s="96"/>
    </row>
    <row r="146" spans="1:25">
      <c r="A146"/>
      <c r="B146"/>
      <c r="C146"/>
      <c r="D146"/>
      <c r="E146"/>
      <c r="F146"/>
      <c r="G146"/>
      <c r="H146"/>
      <c r="I146"/>
      <c r="J146"/>
      <c r="K146"/>
      <c r="L146"/>
      <c r="M146"/>
      <c r="N146"/>
      <c r="O146"/>
      <c r="P146"/>
      <c r="Q146"/>
      <c r="R146"/>
      <c r="S146"/>
      <c r="T146" s="374"/>
      <c r="U146" s="374"/>
      <c r="V146" s="374"/>
      <c r="W146" s="96"/>
      <c r="X146" s="96"/>
      <c r="Y146" s="96"/>
    </row>
    <row r="147" spans="1:25">
      <c r="A147"/>
      <c r="B147"/>
      <c r="C147"/>
      <c r="D147"/>
      <c r="E147"/>
      <c r="F147"/>
      <c r="G147"/>
      <c r="H147"/>
      <c r="I147"/>
      <c r="J147"/>
      <c r="K147"/>
      <c r="L147"/>
      <c r="M147"/>
      <c r="N147"/>
      <c r="O147"/>
      <c r="P147"/>
      <c r="Q147"/>
      <c r="R147"/>
      <c r="S147"/>
      <c r="T147" s="374"/>
      <c r="U147" s="374"/>
      <c r="V147" s="374"/>
      <c r="W147" s="96"/>
      <c r="X147" s="96"/>
      <c r="Y147" s="96"/>
    </row>
    <row r="148" spans="1:25">
      <c r="A148"/>
      <c r="B148"/>
      <c r="C148"/>
      <c r="D148"/>
      <c r="E148"/>
      <c r="F148"/>
      <c r="G148"/>
      <c r="H148"/>
      <c r="I148"/>
      <c r="J148"/>
      <c r="K148"/>
      <c r="L148"/>
      <c r="M148"/>
      <c r="N148"/>
      <c r="O148"/>
      <c r="P148"/>
      <c r="Q148"/>
      <c r="R148"/>
      <c r="S148"/>
      <c r="T148" s="374"/>
      <c r="U148" s="374"/>
      <c r="V148" s="374"/>
      <c r="W148" s="96"/>
      <c r="X148" s="96"/>
      <c r="Y148" s="96"/>
    </row>
    <row r="149" spans="1:25">
      <c r="A149"/>
      <c r="B149"/>
      <c r="C149"/>
      <c r="D149"/>
      <c r="E149"/>
      <c r="F149"/>
      <c r="G149"/>
      <c r="H149"/>
      <c r="I149"/>
      <c r="J149"/>
      <c r="K149"/>
      <c r="L149"/>
      <c r="M149"/>
      <c r="N149"/>
      <c r="O149"/>
      <c r="P149"/>
      <c r="Q149"/>
      <c r="R149"/>
      <c r="S149"/>
      <c r="T149" s="374"/>
      <c r="U149" s="374"/>
      <c r="V149" s="374"/>
      <c r="W149" s="96"/>
      <c r="X149" s="96"/>
      <c r="Y149" s="96"/>
    </row>
    <row r="150" spans="1:25">
      <c r="A150"/>
      <c r="B150"/>
      <c r="C150"/>
      <c r="D150"/>
      <c r="E150"/>
      <c r="F150"/>
      <c r="G150"/>
      <c r="H150"/>
      <c r="I150"/>
      <c r="J150"/>
      <c r="K150"/>
      <c r="L150"/>
      <c r="M150"/>
      <c r="N150"/>
      <c r="O150"/>
      <c r="P150"/>
      <c r="Q150"/>
      <c r="R150"/>
      <c r="S150"/>
      <c r="T150" s="374"/>
      <c r="U150" s="374"/>
      <c r="V150" s="374"/>
      <c r="W150" s="96"/>
      <c r="X150" s="96"/>
      <c r="Y150" s="96"/>
    </row>
    <row r="151" spans="1:25">
      <c r="A151"/>
      <c r="B151"/>
      <c r="C151"/>
      <c r="D151"/>
      <c r="E151"/>
      <c r="F151"/>
      <c r="G151"/>
      <c r="H151"/>
      <c r="I151"/>
      <c r="J151"/>
      <c r="K151"/>
      <c r="L151"/>
      <c r="M151"/>
      <c r="N151"/>
      <c r="O151"/>
      <c r="P151"/>
      <c r="Q151"/>
      <c r="R151"/>
      <c r="S151"/>
      <c r="T151" s="374"/>
      <c r="U151" s="374"/>
      <c r="V151" s="374"/>
      <c r="W151" s="96"/>
      <c r="X151" s="96"/>
      <c r="Y151" s="96"/>
    </row>
    <row r="152" spans="1:25">
      <c r="A152"/>
      <c r="B152"/>
      <c r="C152"/>
      <c r="D152"/>
      <c r="E152"/>
      <c r="F152"/>
      <c r="G152"/>
      <c r="H152"/>
      <c r="I152"/>
      <c r="J152"/>
      <c r="K152"/>
      <c r="L152"/>
      <c r="M152"/>
      <c r="N152"/>
      <c r="O152"/>
      <c r="P152"/>
      <c r="Q152"/>
      <c r="R152"/>
      <c r="S152"/>
      <c r="T152" s="374"/>
      <c r="U152" s="374"/>
      <c r="V152" s="374"/>
      <c r="W152" s="96"/>
      <c r="X152" s="96"/>
      <c r="Y152" s="96"/>
    </row>
    <row r="153" spans="1:25">
      <c r="A153"/>
      <c r="B153"/>
      <c r="C153"/>
      <c r="D153"/>
      <c r="E153"/>
      <c r="F153"/>
      <c r="G153"/>
      <c r="H153"/>
      <c r="I153"/>
      <c r="J153"/>
      <c r="K153"/>
      <c r="L153"/>
      <c r="M153"/>
      <c r="N153"/>
      <c r="O153"/>
      <c r="P153"/>
      <c r="Q153"/>
      <c r="R153"/>
      <c r="S153"/>
      <c r="T153" s="374"/>
      <c r="U153" s="374"/>
      <c r="V153" s="374"/>
      <c r="W153" s="96"/>
      <c r="X153" s="96"/>
      <c r="Y153" s="96"/>
    </row>
    <row r="154" spans="1:25">
      <c r="A154"/>
      <c r="B154"/>
      <c r="C154"/>
      <c r="D154"/>
      <c r="E154"/>
      <c r="F154"/>
      <c r="G154"/>
      <c r="H154"/>
      <c r="I154"/>
      <c r="J154"/>
      <c r="K154"/>
      <c r="L154"/>
      <c r="M154"/>
      <c r="N154"/>
      <c r="O154"/>
      <c r="P154"/>
      <c r="Q154"/>
      <c r="R154"/>
      <c r="S154"/>
      <c r="T154" s="374"/>
      <c r="U154" s="374"/>
      <c r="V154" s="374"/>
      <c r="W154" s="96"/>
      <c r="X154" s="96"/>
      <c r="Y154" s="96"/>
    </row>
    <row r="155" spans="1:25">
      <c r="A155"/>
      <c r="B155"/>
      <c r="C155"/>
      <c r="D155"/>
      <c r="E155"/>
      <c r="F155"/>
      <c r="G155"/>
      <c r="H155"/>
      <c r="I155"/>
      <c r="J155"/>
      <c r="K155"/>
      <c r="L155"/>
      <c r="M155"/>
      <c r="N155"/>
      <c r="O155"/>
      <c r="P155"/>
      <c r="Q155"/>
      <c r="R155"/>
      <c r="S155"/>
      <c r="T155" s="374"/>
      <c r="U155" s="374"/>
      <c r="V155" s="374"/>
      <c r="W155" s="96"/>
      <c r="X155" s="96"/>
      <c r="Y155" s="96"/>
    </row>
    <row r="156" spans="1:25">
      <c r="A156"/>
      <c r="B156"/>
      <c r="C156"/>
      <c r="D156"/>
      <c r="E156"/>
      <c r="F156"/>
      <c r="G156"/>
      <c r="H156"/>
      <c r="I156"/>
      <c r="J156"/>
      <c r="K156"/>
      <c r="L156"/>
      <c r="M156"/>
      <c r="N156"/>
      <c r="O156"/>
      <c r="P156"/>
      <c r="Q156"/>
      <c r="R156"/>
      <c r="S156"/>
      <c r="T156" s="374"/>
      <c r="U156" s="374"/>
      <c r="V156" s="374"/>
      <c r="W156" s="96"/>
      <c r="X156" s="96"/>
      <c r="Y156" s="96"/>
    </row>
    <row r="157" spans="1:25">
      <c r="A157"/>
      <c r="B157"/>
      <c r="C157"/>
      <c r="D157"/>
      <c r="E157"/>
      <c r="F157"/>
      <c r="G157"/>
      <c r="H157"/>
      <c r="I157"/>
      <c r="J157"/>
      <c r="K157"/>
      <c r="L157"/>
      <c r="M157"/>
      <c r="N157"/>
      <c r="O157"/>
      <c r="P157"/>
      <c r="Q157"/>
      <c r="R157"/>
      <c r="S157"/>
      <c r="T157" s="374"/>
      <c r="U157" s="374"/>
      <c r="V157" s="374"/>
      <c r="W157" s="96"/>
      <c r="X157" s="96"/>
      <c r="Y157" s="96"/>
    </row>
    <row r="158" spans="1:25">
      <c r="A158"/>
      <c r="B158"/>
      <c r="C158"/>
      <c r="D158"/>
      <c r="E158"/>
      <c r="F158"/>
      <c r="G158"/>
      <c r="H158"/>
      <c r="I158"/>
      <c r="J158"/>
      <c r="K158"/>
      <c r="L158"/>
      <c r="M158"/>
      <c r="N158"/>
      <c r="O158"/>
      <c r="P158"/>
      <c r="Q158"/>
      <c r="R158"/>
      <c r="S158"/>
      <c r="T158" s="374"/>
      <c r="U158" s="374"/>
      <c r="V158" s="374"/>
      <c r="W158" s="96"/>
      <c r="X158" s="96"/>
      <c r="Y158" s="96"/>
    </row>
    <row r="159" spans="1:25">
      <c r="A159"/>
      <c r="B159"/>
      <c r="C159"/>
      <c r="D159"/>
      <c r="E159"/>
      <c r="F159"/>
      <c r="G159"/>
      <c r="H159"/>
      <c r="I159"/>
      <c r="J159"/>
      <c r="K159"/>
      <c r="L159"/>
      <c r="M159"/>
      <c r="N159"/>
      <c r="O159"/>
      <c r="P159"/>
      <c r="Q159"/>
      <c r="R159"/>
      <c r="S159"/>
      <c r="T159" s="374"/>
      <c r="U159" s="374"/>
      <c r="V159" s="374"/>
      <c r="W159" s="96"/>
      <c r="X159" s="96"/>
      <c r="Y159" s="96"/>
    </row>
    <row r="160" spans="1:25">
      <c r="A160"/>
      <c r="B160"/>
      <c r="C160"/>
      <c r="D160"/>
      <c r="E160"/>
      <c r="F160"/>
      <c r="G160"/>
      <c r="H160"/>
      <c r="I160"/>
      <c r="J160"/>
      <c r="K160"/>
      <c r="L160"/>
      <c r="M160"/>
      <c r="N160"/>
      <c r="O160"/>
      <c r="P160"/>
      <c r="Q160"/>
      <c r="R160"/>
      <c r="S160"/>
      <c r="T160" s="374"/>
      <c r="U160" s="374"/>
      <c r="V160" s="374"/>
      <c r="W160" s="96"/>
      <c r="X160" s="96"/>
      <c r="Y160" s="96"/>
    </row>
    <row r="161" spans="1:25">
      <c r="A161"/>
      <c r="B161"/>
      <c r="C161"/>
      <c r="D161"/>
      <c r="E161"/>
      <c r="F161"/>
      <c r="G161"/>
      <c r="H161"/>
      <c r="I161"/>
      <c r="J161"/>
      <c r="K161"/>
      <c r="L161"/>
      <c r="M161"/>
      <c r="N161"/>
      <c r="O161"/>
      <c r="P161"/>
      <c r="Q161"/>
      <c r="R161"/>
      <c r="S161"/>
      <c r="T161" s="374"/>
      <c r="U161" s="374"/>
      <c r="V161" s="374"/>
      <c r="W161" s="96"/>
      <c r="X161" s="96"/>
      <c r="Y161" s="96"/>
    </row>
    <row r="162" spans="1:25">
      <c r="A162"/>
      <c r="B162"/>
      <c r="C162"/>
      <c r="D162"/>
      <c r="E162"/>
      <c r="F162"/>
      <c r="G162"/>
      <c r="H162"/>
      <c r="I162"/>
      <c r="J162"/>
      <c r="K162"/>
      <c r="L162"/>
      <c r="M162"/>
      <c r="N162"/>
      <c r="O162"/>
      <c r="P162"/>
      <c r="Q162"/>
      <c r="R162"/>
      <c r="S162"/>
      <c r="T162" s="374"/>
      <c r="U162" s="374"/>
      <c r="V162" s="374"/>
      <c r="W162" s="96"/>
      <c r="X162" s="96"/>
      <c r="Y162" s="96"/>
    </row>
    <row r="163" spans="1:25">
      <c r="A163"/>
      <c r="B163"/>
      <c r="C163"/>
      <c r="D163"/>
      <c r="E163"/>
      <c r="F163"/>
      <c r="G163"/>
      <c r="H163"/>
      <c r="I163"/>
      <c r="J163"/>
      <c r="K163"/>
      <c r="L163"/>
      <c r="M163"/>
      <c r="N163"/>
      <c r="O163"/>
      <c r="P163"/>
      <c r="Q163"/>
      <c r="R163"/>
      <c r="S163"/>
      <c r="T163" s="374"/>
      <c r="U163" s="374"/>
      <c r="V163" s="374"/>
      <c r="W163" s="96"/>
      <c r="X163" s="96"/>
      <c r="Y163" s="96"/>
    </row>
    <row r="164" spans="1:25">
      <c r="A164"/>
      <c r="B164"/>
      <c r="C164"/>
      <c r="D164"/>
      <c r="E164"/>
      <c r="F164"/>
      <c r="G164"/>
      <c r="H164"/>
      <c r="I164"/>
      <c r="J164"/>
      <c r="K164"/>
      <c r="L164"/>
      <c r="M164"/>
      <c r="N164"/>
      <c r="O164"/>
      <c r="P164"/>
      <c r="Q164"/>
      <c r="R164"/>
      <c r="S164"/>
      <c r="T164" s="374"/>
      <c r="U164" s="374"/>
      <c r="V164" s="374"/>
      <c r="W164" s="96"/>
      <c r="X164" s="96"/>
      <c r="Y164" s="96"/>
    </row>
    <row r="165" spans="1:25">
      <c r="A165"/>
      <c r="B165"/>
      <c r="C165"/>
      <c r="D165"/>
      <c r="E165"/>
      <c r="F165"/>
      <c r="G165"/>
      <c r="H165"/>
      <c r="I165"/>
      <c r="J165"/>
      <c r="K165"/>
      <c r="L165"/>
      <c r="M165"/>
      <c r="N165"/>
      <c r="O165"/>
      <c r="P165"/>
      <c r="Q165"/>
      <c r="R165"/>
      <c r="S165"/>
      <c r="T165" s="374"/>
      <c r="U165" s="374"/>
      <c r="V165" s="374"/>
      <c r="W165" s="96"/>
      <c r="X165" s="96"/>
      <c r="Y165" s="96"/>
    </row>
    <row r="166" spans="1:25">
      <c r="A166"/>
      <c r="B166"/>
      <c r="C166"/>
      <c r="D166"/>
      <c r="E166"/>
      <c r="F166"/>
      <c r="G166"/>
      <c r="H166"/>
      <c r="I166"/>
      <c r="J166"/>
      <c r="K166"/>
      <c r="L166"/>
      <c r="M166"/>
      <c r="N166"/>
      <c r="O166"/>
      <c r="P166"/>
      <c r="Q166"/>
      <c r="R166"/>
      <c r="S166"/>
      <c r="T166" s="374"/>
      <c r="U166" s="374"/>
      <c r="V166" s="374"/>
      <c r="W166" s="96"/>
      <c r="X166" s="96"/>
      <c r="Y166" s="96"/>
    </row>
    <row r="167" spans="1:25">
      <c r="A167"/>
      <c r="B167"/>
      <c r="C167"/>
      <c r="D167"/>
      <c r="E167"/>
      <c r="F167"/>
      <c r="G167"/>
      <c r="H167"/>
      <c r="I167"/>
      <c r="J167"/>
      <c r="K167"/>
      <c r="L167"/>
      <c r="M167"/>
      <c r="N167"/>
      <c r="O167"/>
      <c r="P167"/>
      <c r="Q167"/>
      <c r="R167"/>
      <c r="S167"/>
      <c r="T167" s="374"/>
      <c r="U167" s="374"/>
      <c r="V167" s="374"/>
      <c r="W167" s="96"/>
      <c r="X167" s="96"/>
      <c r="Y167" s="96"/>
    </row>
    <row r="168" spans="1:25">
      <c r="A168"/>
      <c r="B168"/>
      <c r="C168"/>
      <c r="D168"/>
      <c r="E168"/>
      <c r="F168"/>
      <c r="G168"/>
      <c r="H168"/>
      <c r="I168"/>
      <c r="J168"/>
      <c r="K168"/>
      <c r="L168"/>
      <c r="M168"/>
      <c r="N168"/>
      <c r="O168"/>
      <c r="P168"/>
      <c r="Q168"/>
      <c r="R168"/>
      <c r="S168"/>
      <c r="T168" s="374"/>
      <c r="U168" s="374"/>
      <c r="V168" s="374"/>
      <c r="W168" s="96"/>
      <c r="X168" s="96"/>
      <c r="Y168" s="96"/>
    </row>
    <row r="169" spans="1:25">
      <c r="A169"/>
      <c r="B169"/>
      <c r="C169"/>
      <c r="D169"/>
      <c r="E169"/>
      <c r="F169"/>
      <c r="G169"/>
      <c r="H169"/>
      <c r="I169"/>
      <c r="J169"/>
      <c r="K169"/>
      <c r="L169"/>
      <c r="M169"/>
      <c r="N169"/>
      <c r="O169"/>
      <c r="P169"/>
      <c r="Q169"/>
      <c r="R169"/>
      <c r="S169"/>
      <c r="T169" s="374"/>
      <c r="U169" s="374"/>
      <c r="V169" s="374"/>
      <c r="W169" s="96"/>
      <c r="X169" s="96"/>
      <c r="Y169" s="96"/>
    </row>
    <row r="170" spans="1:25">
      <c r="A170"/>
      <c r="B170"/>
      <c r="C170"/>
      <c r="D170"/>
      <c r="E170"/>
      <c r="F170"/>
      <c r="G170"/>
      <c r="H170"/>
      <c r="I170"/>
      <c r="J170"/>
      <c r="K170"/>
      <c r="L170"/>
      <c r="M170"/>
      <c r="N170"/>
      <c r="O170"/>
      <c r="P170"/>
      <c r="Q170"/>
      <c r="R170"/>
      <c r="S170"/>
      <c r="T170" s="374"/>
      <c r="U170" s="374"/>
      <c r="V170" s="374"/>
      <c r="W170" s="96"/>
      <c r="X170" s="96"/>
      <c r="Y170" s="96"/>
    </row>
    <row r="171" spans="1:25">
      <c r="A171"/>
      <c r="B171"/>
      <c r="C171"/>
      <c r="D171"/>
      <c r="E171"/>
      <c r="F171"/>
      <c r="G171"/>
      <c r="H171"/>
      <c r="I171"/>
      <c r="J171"/>
      <c r="K171"/>
      <c r="L171"/>
      <c r="M171"/>
      <c r="N171"/>
      <c r="O171"/>
      <c r="P171"/>
      <c r="Q171"/>
      <c r="R171"/>
      <c r="S171"/>
      <c r="T171" s="374"/>
      <c r="U171" s="374"/>
      <c r="V171" s="374"/>
      <c r="W171" s="96"/>
      <c r="X171" s="96"/>
      <c r="Y171" s="96"/>
    </row>
    <row r="172" spans="1:25">
      <c r="A172"/>
      <c r="B172"/>
      <c r="C172"/>
      <c r="D172"/>
      <c r="E172"/>
      <c r="F172"/>
      <c r="G172"/>
      <c r="H172"/>
      <c r="I172"/>
      <c r="J172"/>
      <c r="K172"/>
      <c r="L172"/>
      <c r="M172"/>
      <c r="N172"/>
      <c r="O172"/>
      <c r="P172"/>
      <c r="Q172"/>
      <c r="R172"/>
      <c r="S172"/>
      <c r="T172" s="374"/>
      <c r="U172" s="374"/>
      <c r="V172" s="374"/>
      <c r="W172" s="96"/>
      <c r="X172" s="96"/>
      <c r="Y172" s="96"/>
    </row>
    <row r="173" spans="1:25">
      <c r="A173"/>
      <c r="B173"/>
      <c r="C173"/>
      <c r="D173"/>
      <c r="E173"/>
      <c r="F173"/>
      <c r="G173"/>
      <c r="H173"/>
      <c r="I173"/>
      <c r="J173"/>
      <c r="K173"/>
      <c r="L173"/>
      <c r="M173"/>
      <c r="N173"/>
      <c r="O173"/>
      <c r="P173"/>
      <c r="Q173"/>
      <c r="R173"/>
      <c r="S173"/>
      <c r="T173" s="374"/>
      <c r="U173" s="374"/>
      <c r="V173" s="374"/>
      <c r="W173" s="96"/>
      <c r="X173" s="96"/>
      <c r="Y173" s="96"/>
    </row>
    <row r="174" spans="1:25">
      <c r="A174"/>
      <c r="B174"/>
      <c r="C174"/>
      <c r="D174"/>
      <c r="E174"/>
      <c r="F174"/>
      <c r="G174"/>
      <c r="H174"/>
      <c r="I174"/>
      <c r="J174"/>
      <c r="K174"/>
      <c r="L174"/>
      <c r="M174"/>
      <c r="N174"/>
      <c r="O174"/>
      <c r="P174"/>
      <c r="Q174"/>
      <c r="R174"/>
      <c r="S174"/>
      <c r="T174" s="374"/>
      <c r="U174" s="374"/>
      <c r="V174" s="374"/>
      <c r="W174" s="96"/>
      <c r="X174" s="96"/>
      <c r="Y174" s="96"/>
    </row>
    <row r="175" spans="1:25">
      <c r="A175"/>
      <c r="B175"/>
      <c r="C175"/>
      <c r="D175"/>
      <c r="E175"/>
      <c r="F175"/>
      <c r="G175"/>
      <c r="H175"/>
      <c r="I175"/>
      <c r="J175"/>
      <c r="K175"/>
      <c r="L175"/>
      <c r="M175"/>
      <c r="N175"/>
      <c r="O175"/>
      <c r="P175"/>
      <c r="Q175"/>
      <c r="R175"/>
      <c r="S175"/>
      <c r="T175" s="374"/>
      <c r="U175" s="374"/>
      <c r="V175" s="374"/>
      <c r="W175" s="96"/>
      <c r="X175" s="96"/>
      <c r="Y175" s="96"/>
    </row>
    <row r="176" spans="1:25">
      <c r="A176"/>
      <c r="B176"/>
      <c r="C176"/>
      <c r="D176"/>
      <c r="E176"/>
      <c r="F176"/>
      <c r="G176"/>
      <c r="H176"/>
      <c r="I176"/>
      <c r="J176"/>
      <c r="K176"/>
      <c r="L176"/>
      <c r="M176"/>
      <c r="N176"/>
      <c r="O176"/>
      <c r="P176"/>
      <c r="Q176"/>
      <c r="R176"/>
      <c r="S176"/>
      <c r="T176" s="374"/>
      <c r="U176" s="374"/>
      <c r="V176" s="374"/>
      <c r="W176" s="96"/>
      <c r="X176" s="96"/>
      <c r="Y176" s="96"/>
    </row>
    <row r="177" spans="1:25">
      <c r="A177"/>
      <c r="B177"/>
      <c r="C177"/>
      <c r="D177"/>
      <c r="E177"/>
      <c r="F177"/>
      <c r="G177"/>
      <c r="H177"/>
      <c r="I177"/>
      <c r="J177"/>
      <c r="K177"/>
      <c r="L177"/>
      <c r="M177"/>
      <c r="N177"/>
      <c r="O177"/>
      <c r="P177"/>
      <c r="Q177"/>
      <c r="R177"/>
      <c r="S177"/>
      <c r="T177" s="374"/>
      <c r="U177" s="374"/>
      <c r="V177" s="374"/>
      <c r="W177" s="96"/>
      <c r="X177" s="96"/>
      <c r="Y177" s="96"/>
    </row>
    <row r="178" spans="1:25">
      <c r="A178"/>
      <c r="B178"/>
      <c r="C178"/>
      <c r="D178"/>
      <c r="E178"/>
      <c r="F178"/>
      <c r="G178"/>
      <c r="H178"/>
      <c r="I178"/>
      <c r="J178"/>
      <c r="K178"/>
      <c r="L178"/>
      <c r="M178"/>
      <c r="N178"/>
      <c r="O178"/>
      <c r="P178"/>
      <c r="Q178"/>
      <c r="R178"/>
      <c r="S178"/>
      <c r="T178" s="374"/>
      <c r="U178" s="374"/>
      <c r="V178" s="374"/>
      <c r="W178" s="96"/>
      <c r="X178" s="96"/>
      <c r="Y178" s="96"/>
    </row>
    <row r="179" spans="1:25">
      <c r="A179"/>
      <c r="B179"/>
      <c r="C179"/>
      <c r="D179"/>
      <c r="E179"/>
      <c r="F179"/>
      <c r="G179"/>
      <c r="H179"/>
      <c r="I179"/>
      <c r="J179"/>
      <c r="K179"/>
      <c r="L179"/>
      <c r="M179"/>
      <c r="N179"/>
      <c r="O179"/>
      <c r="P179"/>
      <c r="Q179"/>
      <c r="R179"/>
      <c r="S179"/>
      <c r="T179" s="374"/>
      <c r="U179" s="374"/>
      <c r="V179" s="374"/>
      <c r="W179" s="96"/>
      <c r="X179" s="96"/>
      <c r="Y179" s="96"/>
    </row>
    <row r="180" spans="1:25">
      <c r="A180"/>
      <c r="B180"/>
      <c r="C180"/>
      <c r="D180"/>
      <c r="E180"/>
      <c r="F180"/>
      <c r="G180"/>
      <c r="H180"/>
      <c r="I180"/>
      <c r="J180"/>
      <c r="K180"/>
      <c r="L180"/>
      <c r="M180"/>
      <c r="N180"/>
      <c r="O180"/>
      <c r="P180"/>
      <c r="Q180"/>
      <c r="R180"/>
      <c r="S180"/>
      <c r="T180" s="374"/>
      <c r="U180" s="374"/>
      <c r="V180" s="374"/>
      <c r="W180" s="96"/>
      <c r="X180" s="96"/>
      <c r="Y180" s="96"/>
    </row>
    <row r="181" spans="1:25">
      <c r="A181"/>
      <c r="B181"/>
      <c r="C181"/>
      <c r="D181"/>
      <c r="E181"/>
      <c r="F181"/>
      <c r="G181"/>
      <c r="H181"/>
      <c r="I181"/>
      <c r="J181"/>
      <c r="K181"/>
      <c r="L181"/>
      <c r="M181"/>
      <c r="N181"/>
      <c r="O181"/>
      <c r="P181"/>
      <c r="Q181"/>
      <c r="R181"/>
      <c r="S181"/>
      <c r="T181" s="374"/>
      <c r="U181" s="374"/>
      <c r="V181" s="374"/>
      <c r="W181" s="96"/>
      <c r="X181" s="96"/>
      <c r="Y181" s="96"/>
    </row>
    <row r="182" spans="1:25">
      <c r="A182"/>
      <c r="B182"/>
      <c r="C182"/>
      <c r="D182"/>
      <c r="E182"/>
      <c r="F182"/>
      <c r="G182"/>
      <c r="H182"/>
      <c r="I182"/>
      <c r="J182"/>
      <c r="K182"/>
      <c r="L182"/>
      <c r="M182"/>
      <c r="N182"/>
      <c r="O182"/>
      <c r="P182"/>
      <c r="Q182"/>
      <c r="R182"/>
      <c r="S182"/>
      <c r="T182" s="374"/>
      <c r="U182" s="374"/>
      <c r="V182" s="374"/>
      <c r="W182" s="96"/>
      <c r="X182" s="96"/>
      <c r="Y182" s="96"/>
    </row>
    <row r="183" spans="1:25">
      <c r="A183"/>
      <c r="B183"/>
      <c r="C183"/>
      <c r="D183"/>
      <c r="E183"/>
      <c r="F183"/>
      <c r="G183"/>
      <c r="H183"/>
      <c r="I183"/>
      <c r="J183"/>
      <c r="K183"/>
      <c r="L183"/>
      <c r="M183"/>
      <c r="N183"/>
      <c r="O183"/>
      <c r="P183"/>
      <c r="Q183"/>
      <c r="R183"/>
      <c r="S183"/>
      <c r="T183" s="374"/>
      <c r="U183" s="374"/>
      <c r="V183" s="374"/>
      <c r="W183" s="96"/>
      <c r="X183" s="96"/>
      <c r="Y183" s="96"/>
    </row>
    <row r="184" spans="1:25">
      <c r="A184"/>
      <c r="B184"/>
      <c r="C184"/>
      <c r="D184"/>
      <c r="E184"/>
      <c r="F184"/>
      <c r="G184"/>
      <c r="H184"/>
      <c r="I184"/>
      <c r="J184"/>
      <c r="K184"/>
      <c r="L184"/>
      <c r="M184"/>
      <c r="N184"/>
      <c r="O184"/>
      <c r="P184"/>
      <c r="Q184"/>
      <c r="R184"/>
      <c r="S184"/>
      <c r="T184" s="374"/>
      <c r="U184" s="374"/>
      <c r="V184" s="374"/>
      <c r="W184" s="96"/>
      <c r="X184" s="96"/>
      <c r="Y184" s="96"/>
    </row>
    <row r="185" spans="1:25">
      <c r="A185"/>
      <c r="B185"/>
      <c r="C185"/>
      <c r="D185"/>
      <c r="E185"/>
      <c r="F185"/>
      <c r="G185"/>
      <c r="H185"/>
      <c r="I185"/>
      <c r="J185"/>
      <c r="K185"/>
      <c r="L185"/>
      <c r="M185"/>
      <c r="N185"/>
      <c r="O185"/>
      <c r="P185"/>
      <c r="Q185"/>
      <c r="R185"/>
      <c r="S185"/>
      <c r="T185" s="374"/>
      <c r="U185" s="374"/>
      <c r="V185" s="374"/>
      <c r="W185" s="96"/>
      <c r="X185" s="96"/>
      <c r="Y185" s="96"/>
    </row>
    <row r="186" spans="1:25">
      <c r="A186"/>
      <c r="B186"/>
      <c r="C186"/>
      <c r="D186"/>
      <c r="E186"/>
      <c r="F186"/>
      <c r="G186"/>
      <c r="H186"/>
      <c r="I186"/>
      <c r="J186"/>
      <c r="K186"/>
      <c r="L186"/>
      <c r="M186"/>
      <c r="N186"/>
      <c r="O186"/>
      <c r="P186"/>
      <c r="Q186"/>
      <c r="R186"/>
      <c r="S186"/>
      <c r="T186" s="374"/>
      <c r="U186" s="374"/>
      <c r="V186" s="374"/>
      <c r="W186" s="96"/>
      <c r="X186" s="96"/>
      <c r="Y186" s="96"/>
    </row>
    <row r="187" spans="1:25">
      <c r="A187"/>
      <c r="B187"/>
      <c r="C187"/>
      <c r="D187"/>
      <c r="E187"/>
      <c r="F187"/>
      <c r="G187"/>
      <c r="H187"/>
      <c r="I187"/>
      <c r="J187"/>
      <c r="K187"/>
      <c r="L187"/>
      <c r="M187"/>
      <c r="N187"/>
      <c r="O187"/>
      <c r="P187"/>
      <c r="Q187"/>
      <c r="R187"/>
      <c r="S187"/>
      <c r="T187" s="374"/>
      <c r="U187" s="374"/>
      <c r="V187" s="374"/>
      <c r="W187" s="96"/>
      <c r="X187" s="96"/>
      <c r="Y187" s="96"/>
    </row>
    <row r="188" spans="1:25">
      <c r="A188"/>
      <c r="B188"/>
      <c r="C188"/>
      <c r="D188"/>
      <c r="E188"/>
      <c r="F188"/>
      <c r="G188"/>
      <c r="H188"/>
      <c r="I188"/>
      <c r="J188"/>
      <c r="K188"/>
      <c r="L188"/>
      <c r="M188"/>
      <c r="N188"/>
      <c r="O188"/>
      <c r="P188"/>
      <c r="Q188"/>
      <c r="R188"/>
      <c r="S188"/>
      <c r="T188" s="374"/>
      <c r="U188" s="374"/>
      <c r="V188" s="374"/>
      <c r="W188" s="96"/>
      <c r="X188" s="96"/>
      <c r="Y188" s="96"/>
    </row>
    <row r="189" spans="1:25">
      <c r="A189"/>
      <c r="B189"/>
      <c r="C189"/>
      <c r="D189"/>
      <c r="E189"/>
      <c r="F189"/>
      <c r="G189"/>
      <c r="H189"/>
      <c r="I189"/>
      <c r="J189"/>
      <c r="K189"/>
      <c r="L189"/>
      <c r="M189"/>
      <c r="N189"/>
      <c r="O189"/>
      <c r="P189"/>
      <c r="Q189"/>
      <c r="R189"/>
      <c r="S189"/>
      <c r="T189" s="374"/>
      <c r="U189" s="374"/>
      <c r="V189" s="374"/>
      <c r="W189" s="96"/>
      <c r="X189" s="96"/>
      <c r="Y189" s="96"/>
    </row>
    <row r="190" spans="1:25">
      <c r="A190"/>
      <c r="B190"/>
      <c r="C190"/>
      <c r="D190"/>
      <c r="E190"/>
      <c r="F190"/>
      <c r="G190"/>
      <c r="H190"/>
      <c r="I190"/>
      <c r="J190"/>
      <c r="K190"/>
      <c r="L190"/>
      <c r="M190"/>
      <c r="N190"/>
      <c r="O190"/>
      <c r="P190"/>
      <c r="Q190"/>
      <c r="R190"/>
      <c r="S190"/>
      <c r="T190" s="374"/>
      <c r="U190" s="374"/>
      <c r="V190" s="374"/>
      <c r="W190" s="96"/>
      <c r="X190" s="96"/>
      <c r="Y190" s="96"/>
    </row>
    <row r="191" spans="1:25">
      <c r="A191"/>
      <c r="B191"/>
      <c r="C191"/>
      <c r="D191"/>
      <c r="E191"/>
      <c r="F191"/>
      <c r="G191"/>
      <c r="H191"/>
      <c r="I191"/>
      <c r="J191"/>
      <c r="K191"/>
      <c r="L191"/>
      <c r="M191"/>
      <c r="N191"/>
      <c r="O191"/>
      <c r="P191"/>
      <c r="Q191"/>
      <c r="R191"/>
      <c r="S191"/>
      <c r="T191" s="374"/>
      <c r="U191" s="374"/>
      <c r="V191" s="374"/>
      <c r="W191" s="96"/>
      <c r="X191" s="96"/>
      <c r="Y191" s="96"/>
    </row>
    <row r="192" spans="1:25">
      <c r="A192"/>
      <c r="B192"/>
      <c r="C192"/>
      <c r="D192"/>
      <c r="E192"/>
      <c r="F192"/>
      <c r="G192"/>
      <c r="H192"/>
      <c r="I192"/>
      <c r="J192"/>
      <c r="K192"/>
      <c r="L192"/>
      <c r="M192"/>
      <c r="N192"/>
      <c r="O192"/>
      <c r="P192"/>
      <c r="Q192"/>
      <c r="R192"/>
      <c r="S192"/>
      <c r="T192" s="374"/>
      <c r="U192" s="374"/>
      <c r="V192" s="374"/>
      <c r="W192" s="96"/>
      <c r="X192" s="96"/>
      <c r="Y192" s="96"/>
    </row>
    <row r="193" spans="1:25">
      <c r="A193"/>
      <c r="B193"/>
      <c r="C193"/>
      <c r="D193"/>
      <c r="E193"/>
      <c r="F193"/>
      <c r="G193"/>
      <c r="H193"/>
      <c r="I193"/>
      <c r="J193"/>
      <c r="K193"/>
      <c r="L193"/>
      <c r="M193"/>
      <c r="N193"/>
      <c r="O193"/>
      <c r="P193"/>
      <c r="Q193"/>
      <c r="R193"/>
      <c r="S193"/>
      <c r="T193" s="374"/>
      <c r="U193" s="374"/>
      <c r="V193" s="374"/>
      <c r="W193" s="96"/>
      <c r="X193" s="96"/>
      <c r="Y193" s="96"/>
    </row>
    <row r="194" spans="1:25">
      <c r="A194"/>
      <c r="B194"/>
      <c r="C194"/>
      <c r="D194"/>
      <c r="E194"/>
      <c r="F194"/>
      <c r="G194"/>
      <c r="H194"/>
      <c r="I194"/>
      <c r="J194"/>
      <c r="K194"/>
      <c r="L194"/>
      <c r="M194"/>
      <c r="N194"/>
      <c r="O194"/>
      <c r="P194"/>
      <c r="Q194"/>
      <c r="R194"/>
      <c r="S194"/>
      <c r="T194" s="374"/>
      <c r="U194" s="374"/>
      <c r="V194" s="374"/>
      <c r="W194" s="96"/>
      <c r="X194" s="96"/>
      <c r="Y194" s="96"/>
    </row>
    <row r="195" spans="1:25">
      <c r="A195"/>
      <c r="B195"/>
      <c r="C195"/>
      <c r="D195"/>
      <c r="E195"/>
      <c r="F195"/>
      <c r="G195"/>
      <c r="H195"/>
      <c r="I195"/>
      <c r="J195"/>
      <c r="K195"/>
      <c r="L195"/>
      <c r="M195"/>
      <c r="N195"/>
      <c r="O195"/>
      <c r="P195"/>
      <c r="Q195"/>
      <c r="R195"/>
      <c r="S195"/>
      <c r="T195" s="374"/>
      <c r="U195" s="374"/>
      <c r="V195" s="374"/>
      <c r="W195" s="96"/>
      <c r="X195" s="96"/>
      <c r="Y195" s="96"/>
    </row>
    <row r="196" spans="1:25">
      <c r="A196"/>
      <c r="B196"/>
      <c r="C196"/>
      <c r="D196"/>
      <c r="E196"/>
      <c r="F196"/>
      <c r="G196"/>
      <c r="H196"/>
      <c r="I196"/>
      <c r="J196"/>
      <c r="K196"/>
      <c r="L196"/>
      <c r="M196"/>
      <c r="N196"/>
      <c r="O196"/>
      <c r="P196"/>
      <c r="Q196"/>
      <c r="R196"/>
      <c r="S196"/>
      <c r="T196" s="374"/>
      <c r="U196" s="374"/>
      <c r="V196" s="374"/>
      <c r="W196" s="96"/>
      <c r="X196" s="96"/>
      <c r="Y196" s="96"/>
    </row>
    <row r="197" spans="1:25">
      <c r="A197"/>
      <c r="B197"/>
      <c r="C197"/>
      <c r="D197"/>
      <c r="E197"/>
      <c r="F197"/>
      <c r="G197"/>
      <c r="H197"/>
      <c r="I197"/>
      <c r="J197"/>
      <c r="K197"/>
      <c r="L197"/>
      <c r="M197"/>
      <c r="N197"/>
      <c r="O197"/>
      <c r="P197"/>
      <c r="Q197"/>
      <c r="R197"/>
      <c r="S197"/>
      <c r="T197" s="374"/>
      <c r="U197" s="374"/>
      <c r="V197" s="374"/>
      <c r="W197" s="96"/>
      <c r="X197" s="96"/>
      <c r="Y197" s="96"/>
    </row>
    <row r="198" spans="1:25">
      <c r="A198"/>
      <c r="B198"/>
      <c r="C198"/>
      <c r="D198"/>
      <c r="E198"/>
      <c r="F198"/>
      <c r="G198"/>
      <c r="H198"/>
      <c r="I198"/>
      <c r="J198"/>
      <c r="K198"/>
      <c r="L198"/>
      <c r="M198"/>
      <c r="N198"/>
      <c r="O198"/>
      <c r="P198"/>
      <c r="Q198"/>
      <c r="R198"/>
      <c r="S198"/>
      <c r="T198" s="374"/>
      <c r="U198" s="374"/>
      <c r="V198" s="374"/>
      <c r="W198" s="96"/>
      <c r="X198" s="96"/>
      <c r="Y198" s="96"/>
    </row>
    <row r="199" spans="1:25">
      <c r="A199"/>
      <c r="B199"/>
      <c r="C199"/>
      <c r="D199"/>
      <c r="E199"/>
      <c r="F199"/>
      <c r="G199"/>
      <c r="H199"/>
      <c r="I199"/>
      <c r="J199"/>
      <c r="K199"/>
      <c r="L199"/>
      <c r="M199"/>
      <c r="N199"/>
      <c r="O199"/>
      <c r="P199"/>
      <c r="Q199"/>
      <c r="R199"/>
      <c r="S199"/>
      <c r="T199" s="374"/>
      <c r="U199" s="374"/>
      <c r="V199" s="374"/>
      <c r="W199" s="96"/>
      <c r="X199" s="96"/>
      <c r="Y199" s="96"/>
    </row>
    <row r="200" spans="1:25">
      <c r="A200"/>
      <c r="B200"/>
      <c r="C200"/>
      <c r="D200"/>
      <c r="E200"/>
      <c r="F200"/>
      <c r="G200"/>
      <c r="H200"/>
      <c r="I200"/>
      <c r="J200"/>
      <c r="K200"/>
      <c r="L200"/>
      <c r="M200"/>
      <c r="N200"/>
      <c r="O200"/>
      <c r="P200"/>
      <c r="Q200"/>
      <c r="R200"/>
      <c r="S200"/>
      <c r="T200" s="374"/>
      <c r="U200" s="374"/>
      <c r="V200" s="374"/>
      <c r="W200" s="96"/>
      <c r="X200" s="96"/>
      <c r="Y200" s="96"/>
    </row>
    <row r="201" spans="1:25">
      <c r="A201"/>
      <c r="B201"/>
      <c r="C201"/>
      <c r="D201"/>
      <c r="E201"/>
      <c r="F201"/>
      <c r="G201"/>
      <c r="H201"/>
      <c r="I201"/>
      <c r="J201"/>
      <c r="K201"/>
      <c r="L201"/>
      <c r="M201"/>
      <c r="N201"/>
      <c r="O201"/>
      <c r="P201"/>
      <c r="Q201"/>
      <c r="R201"/>
      <c r="S201"/>
      <c r="T201" s="374"/>
      <c r="U201" s="374"/>
      <c r="V201" s="374"/>
      <c r="W201" s="96"/>
      <c r="X201" s="96"/>
      <c r="Y201" s="96"/>
    </row>
    <row r="202" spans="1:25">
      <c r="A202"/>
      <c r="B202"/>
      <c r="C202"/>
      <c r="D202"/>
      <c r="E202"/>
      <c r="F202"/>
      <c r="G202"/>
      <c r="H202"/>
      <c r="I202"/>
      <c r="J202"/>
      <c r="K202"/>
      <c r="L202"/>
      <c r="M202"/>
      <c r="N202"/>
      <c r="O202"/>
      <c r="P202"/>
      <c r="Q202"/>
      <c r="R202"/>
      <c r="S202"/>
      <c r="T202" s="374"/>
      <c r="U202" s="374"/>
      <c r="V202" s="374"/>
      <c r="W202" s="96"/>
      <c r="X202" s="96"/>
      <c r="Y202" s="96"/>
    </row>
    <row r="203" spans="1:25">
      <c r="A203"/>
      <c r="B203"/>
      <c r="C203"/>
      <c r="D203"/>
      <c r="E203"/>
      <c r="F203"/>
      <c r="G203"/>
      <c r="H203"/>
      <c r="I203"/>
      <c r="J203"/>
      <c r="K203"/>
      <c r="L203"/>
      <c r="M203"/>
      <c r="N203"/>
      <c r="O203"/>
      <c r="P203"/>
      <c r="Q203"/>
      <c r="R203"/>
      <c r="S203"/>
      <c r="T203" s="374"/>
      <c r="U203" s="374"/>
      <c r="V203" s="374"/>
      <c r="W203" s="96"/>
      <c r="X203" s="96"/>
      <c r="Y203" s="96"/>
    </row>
    <row r="204" spans="1:25">
      <c r="A204"/>
      <c r="B204"/>
      <c r="C204"/>
      <c r="D204"/>
      <c r="E204"/>
      <c r="F204"/>
      <c r="G204"/>
      <c r="H204"/>
      <c r="I204"/>
      <c r="J204"/>
      <c r="K204"/>
      <c r="L204"/>
      <c r="M204"/>
      <c r="N204"/>
      <c r="O204"/>
      <c r="P204"/>
      <c r="Q204"/>
      <c r="R204"/>
      <c r="S204"/>
      <c r="T204" s="374"/>
      <c r="U204" s="374"/>
      <c r="V204" s="374"/>
      <c r="W204" s="96"/>
      <c r="X204" s="96"/>
      <c r="Y204" s="96"/>
    </row>
    <row r="205" spans="1:25">
      <c r="A205"/>
      <c r="B205"/>
      <c r="C205"/>
      <c r="D205"/>
      <c r="E205"/>
      <c r="F205"/>
      <c r="G205"/>
      <c r="H205"/>
      <c r="I205"/>
      <c r="J205"/>
      <c r="K205"/>
      <c r="L205"/>
      <c r="M205"/>
      <c r="N205"/>
      <c r="O205"/>
      <c r="P205"/>
      <c r="Q205"/>
      <c r="R205"/>
      <c r="S205"/>
      <c r="T205" s="374"/>
      <c r="U205" s="374"/>
      <c r="V205" s="374"/>
      <c r="W205" s="96"/>
      <c r="X205" s="96"/>
      <c r="Y205" s="96"/>
    </row>
    <row r="206" spans="1:25">
      <c r="A206"/>
      <c r="B206"/>
      <c r="C206"/>
      <c r="D206"/>
      <c r="E206"/>
      <c r="F206"/>
      <c r="G206"/>
      <c r="H206"/>
      <c r="I206"/>
      <c r="J206"/>
      <c r="K206"/>
      <c r="L206"/>
      <c r="M206"/>
      <c r="N206"/>
      <c r="O206"/>
      <c r="P206"/>
      <c r="Q206"/>
      <c r="R206"/>
      <c r="S206"/>
      <c r="T206" s="374"/>
      <c r="U206" s="374"/>
      <c r="V206" s="374"/>
      <c r="W206" s="96"/>
      <c r="X206" s="96"/>
      <c r="Y206" s="96"/>
    </row>
    <row r="207" spans="1:25">
      <c r="A207"/>
      <c r="B207"/>
      <c r="C207"/>
      <c r="D207"/>
      <c r="E207"/>
      <c r="F207"/>
      <c r="G207"/>
      <c r="H207"/>
      <c r="I207"/>
      <c r="J207"/>
      <c r="K207"/>
      <c r="L207"/>
      <c r="M207"/>
      <c r="N207"/>
      <c r="O207"/>
      <c r="P207"/>
      <c r="Q207"/>
      <c r="R207"/>
      <c r="S207"/>
      <c r="T207" s="374"/>
      <c r="U207" s="374"/>
      <c r="V207" s="374"/>
      <c r="W207" s="96"/>
      <c r="X207" s="96"/>
      <c r="Y207" s="96"/>
    </row>
    <row r="208" spans="1:25">
      <c r="A208"/>
      <c r="B208"/>
      <c r="C208"/>
      <c r="D208"/>
      <c r="E208"/>
      <c r="F208"/>
      <c r="G208"/>
      <c r="H208"/>
      <c r="I208"/>
      <c r="J208"/>
      <c r="K208"/>
      <c r="L208"/>
      <c r="M208"/>
      <c r="N208"/>
      <c r="O208"/>
      <c r="P208"/>
      <c r="Q208"/>
      <c r="R208"/>
      <c r="S208"/>
      <c r="T208" s="374"/>
      <c r="U208" s="374"/>
      <c r="V208" s="374"/>
      <c r="W208" s="96"/>
      <c r="X208" s="96"/>
      <c r="Y208" s="96"/>
    </row>
    <row r="209" spans="1:25">
      <c r="A209"/>
      <c r="B209"/>
      <c r="C209"/>
      <c r="D209"/>
      <c r="E209"/>
      <c r="F209"/>
      <c r="G209"/>
      <c r="H209"/>
      <c r="I209"/>
      <c r="J209"/>
      <c r="K209"/>
      <c r="L209"/>
      <c r="M209"/>
      <c r="N209"/>
      <c r="O209"/>
      <c r="P209"/>
      <c r="Q209"/>
      <c r="R209"/>
      <c r="S209"/>
      <c r="T209" s="374"/>
      <c r="U209" s="374"/>
      <c r="V209" s="374"/>
      <c r="W209" s="96"/>
      <c r="X209" s="96"/>
      <c r="Y209" s="96"/>
    </row>
    <row r="210" spans="1:25">
      <c r="A210"/>
      <c r="B210"/>
      <c r="C210"/>
      <c r="D210"/>
      <c r="E210"/>
      <c r="F210"/>
      <c r="G210"/>
      <c r="H210"/>
      <c r="I210"/>
      <c r="J210"/>
      <c r="K210"/>
      <c r="L210"/>
      <c r="M210"/>
      <c r="N210"/>
      <c r="O210"/>
      <c r="P210"/>
      <c r="Q210"/>
      <c r="R210"/>
      <c r="S210"/>
      <c r="T210" s="374"/>
      <c r="U210" s="374"/>
      <c r="V210" s="374"/>
      <c r="W210" s="96"/>
      <c r="X210" s="96"/>
      <c r="Y210" s="96"/>
    </row>
    <row r="211" spans="1:25">
      <c r="A211"/>
      <c r="B211"/>
      <c r="C211"/>
      <c r="D211"/>
      <c r="E211"/>
      <c r="F211"/>
      <c r="G211"/>
      <c r="H211"/>
      <c r="I211"/>
      <c r="J211"/>
      <c r="K211"/>
      <c r="L211"/>
      <c r="M211"/>
      <c r="N211"/>
      <c r="O211"/>
      <c r="P211"/>
      <c r="Q211"/>
      <c r="R211"/>
      <c r="S211"/>
      <c r="T211" s="374"/>
      <c r="U211" s="374"/>
      <c r="V211" s="374"/>
      <c r="W211" s="96"/>
      <c r="X211" s="96"/>
      <c r="Y211" s="96"/>
    </row>
    <row r="212" spans="1:25">
      <c r="A212"/>
      <c r="B212"/>
      <c r="C212"/>
      <c r="D212"/>
      <c r="E212"/>
      <c r="F212"/>
      <c r="G212"/>
      <c r="H212"/>
      <c r="I212"/>
      <c r="J212"/>
      <c r="K212"/>
      <c r="L212"/>
      <c r="M212"/>
      <c r="N212"/>
      <c r="O212"/>
      <c r="P212"/>
      <c r="Q212"/>
      <c r="R212"/>
      <c r="S212"/>
      <c r="T212" s="374"/>
      <c r="U212" s="374"/>
      <c r="V212" s="374"/>
      <c r="W212" s="96"/>
      <c r="X212" s="96"/>
      <c r="Y212" s="96"/>
    </row>
    <row r="213" spans="1:25">
      <c r="A213"/>
      <c r="B213"/>
      <c r="C213"/>
      <c r="D213"/>
      <c r="E213"/>
      <c r="F213"/>
      <c r="G213"/>
      <c r="H213"/>
      <c r="I213"/>
      <c r="J213"/>
      <c r="K213"/>
      <c r="L213"/>
      <c r="M213"/>
      <c r="N213"/>
      <c r="O213"/>
      <c r="P213"/>
      <c r="Q213"/>
      <c r="R213"/>
      <c r="S213"/>
      <c r="T213" s="374"/>
      <c r="U213" s="374"/>
      <c r="V213" s="374"/>
      <c r="W213" s="96"/>
      <c r="X213" s="96"/>
      <c r="Y213" s="96"/>
    </row>
    <row r="214" spans="1:25">
      <c r="A214"/>
      <c r="B214"/>
      <c r="C214"/>
      <c r="D214"/>
      <c r="E214"/>
      <c r="F214"/>
      <c r="G214"/>
      <c r="H214"/>
      <c r="I214"/>
      <c r="J214"/>
      <c r="K214"/>
      <c r="L214"/>
      <c r="M214"/>
      <c r="N214"/>
      <c r="O214"/>
      <c r="P214"/>
      <c r="Q214"/>
      <c r="R214"/>
      <c r="S214"/>
      <c r="T214" s="374"/>
      <c r="U214" s="374"/>
      <c r="V214" s="374"/>
      <c r="W214" s="96"/>
      <c r="X214" s="96"/>
      <c r="Y214" s="96"/>
    </row>
    <row r="215" spans="1:25">
      <c r="A215"/>
      <c r="B215"/>
      <c r="C215"/>
      <c r="D215"/>
      <c r="E215"/>
      <c r="F215"/>
      <c r="G215"/>
      <c r="H215"/>
      <c r="I215"/>
      <c r="J215"/>
      <c r="K215"/>
      <c r="L215"/>
      <c r="M215"/>
      <c r="N215"/>
      <c r="O215"/>
      <c r="P215"/>
      <c r="Q215"/>
      <c r="R215"/>
      <c r="S215"/>
      <c r="T215" s="374"/>
      <c r="U215" s="374"/>
      <c r="V215" s="374"/>
      <c r="W215" s="96"/>
      <c r="X215" s="96"/>
      <c r="Y215" s="96"/>
    </row>
    <row r="216" spans="1:25">
      <c r="A216"/>
      <c r="B216"/>
      <c r="C216"/>
      <c r="D216"/>
      <c r="E216"/>
      <c r="F216"/>
      <c r="G216"/>
      <c r="H216"/>
      <c r="I216"/>
      <c r="J216"/>
      <c r="K216"/>
      <c r="L216"/>
      <c r="M216"/>
      <c r="N216"/>
      <c r="O216"/>
      <c r="P216"/>
      <c r="Q216"/>
      <c r="R216"/>
      <c r="S216"/>
      <c r="T216" s="374"/>
      <c r="U216" s="374"/>
      <c r="V216" s="374"/>
      <c r="W216" s="96"/>
      <c r="X216" s="96"/>
      <c r="Y216" s="96"/>
    </row>
    <row r="217" spans="1:25">
      <c r="A217"/>
      <c r="B217"/>
      <c r="C217"/>
      <c r="D217"/>
      <c r="E217"/>
      <c r="F217"/>
      <c r="G217"/>
      <c r="H217"/>
      <c r="I217"/>
      <c r="J217"/>
      <c r="K217"/>
      <c r="L217"/>
      <c r="M217"/>
      <c r="N217"/>
      <c r="O217"/>
      <c r="P217"/>
      <c r="Q217"/>
      <c r="R217"/>
      <c r="S217"/>
      <c r="T217" s="374"/>
      <c r="U217" s="374"/>
      <c r="V217" s="374"/>
      <c r="W217" s="96"/>
      <c r="X217" s="96"/>
      <c r="Y217" s="96"/>
    </row>
    <row r="218" spans="1:25">
      <c r="A218"/>
      <c r="B218"/>
      <c r="C218"/>
      <c r="D218"/>
      <c r="E218"/>
      <c r="F218"/>
      <c r="G218"/>
      <c r="H218"/>
      <c r="I218"/>
      <c r="J218"/>
      <c r="K218"/>
      <c r="L218"/>
      <c r="M218"/>
      <c r="N218"/>
      <c r="O218"/>
      <c r="P218"/>
      <c r="Q218"/>
      <c r="R218"/>
      <c r="S218"/>
      <c r="T218" s="374"/>
      <c r="U218" s="374"/>
      <c r="V218" s="374"/>
      <c r="W218" s="96"/>
      <c r="X218" s="96"/>
      <c r="Y218" s="96"/>
    </row>
    <row r="219" spans="1:25">
      <c r="A219"/>
      <c r="B219"/>
      <c r="C219"/>
      <c r="D219"/>
      <c r="E219"/>
      <c r="F219"/>
      <c r="G219"/>
      <c r="H219"/>
      <c r="I219"/>
      <c r="J219"/>
      <c r="K219"/>
      <c r="L219"/>
      <c r="M219"/>
      <c r="N219"/>
      <c r="O219"/>
      <c r="P219"/>
      <c r="Q219"/>
      <c r="R219"/>
      <c r="S219"/>
      <c r="T219" s="374"/>
      <c r="U219" s="374"/>
      <c r="V219" s="374"/>
      <c r="W219" s="96"/>
      <c r="X219" s="96"/>
      <c r="Y219" s="96"/>
    </row>
    <row r="220" spans="1:25">
      <c r="A220"/>
      <c r="B220"/>
      <c r="C220"/>
      <c r="D220"/>
      <c r="E220"/>
      <c r="F220"/>
      <c r="G220"/>
      <c r="H220"/>
      <c r="I220"/>
      <c r="J220"/>
      <c r="K220"/>
      <c r="L220"/>
      <c r="M220"/>
      <c r="N220"/>
      <c r="O220"/>
      <c r="P220"/>
      <c r="Q220"/>
      <c r="R220"/>
      <c r="S220"/>
      <c r="T220" s="374"/>
      <c r="U220" s="374"/>
      <c r="V220" s="374"/>
      <c r="W220" s="96"/>
      <c r="X220" s="96"/>
      <c r="Y220" s="96"/>
    </row>
    <row r="221" spans="1:25">
      <c r="A221"/>
      <c r="B221"/>
      <c r="C221"/>
      <c r="D221"/>
      <c r="E221"/>
      <c r="F221"/>
      <c r="G221"/>
      <c r="H221"/>
      <c r="I221"/>
      <c r="J221"/>
      <c r="K221"/>
      <c r="L221"/>
      <c r="M221"/>
      <c r="N221"/>
      <c r="O221"/>
      <c r="P221"/>
      <c r="Q221"/>
      <c r="R221"/>
      <c r="S221"/>
      <c r="T221" s="374"/>
      <c r="U221" s="374"/>
      <c r="V221" s="374"/>
      <c r="W221" s="96"/>
      <c r="X221" s="96"/>
      <c r="Y221" s="96"/>
    </row>
    <row r="222" spans="1:25">
      <c r="A222"/>
      <c r="B222"/>
      <c r="C222"/>
      <c r="D222"/>
      <c r="E222"/>
      <c r="F222"/>
      <c r="G222"/>
      <c r="H222"/>
      <c r="I222"/>
      <c r="J222"/>
      <c r="K222"/>
      <c r="L222"/>
      <c r="M222"/>
      <c r="N222"/>
      <c r="O222"/>
      <c r="P222"/>
      <c r="Q222"/>
      <c r="R222"/>
      <c r="S222"/>
      <c r="T222" s="374"/>
      <c r="U222" s="374"/>
      <c r="V222" s="374"/>
      <c r="W222" s="96"/>
      <c r="X222" s="96"/>
      <c r="Y222" s="96"/>
    </row>
    <row r="223" spans="1:25">
      <c r="A223"/>
      <c r="B223"/>
      <c r="C223"/>
      <c r="D223"/>
      <c r="E223"/>
      <c r="F223"/>
      <c r="G223"/>
      <c r="H223"/>
      <c r="I223"/>
      <c r="J223"/>
      <c r="K223"/>
      <c r="L223"/>
      <c r="M223"/>
      <c r="N223"/>
      <c r="O223"/>
      <c r="P223"/>
      <c r="Q223"/>
      <c r="R223"/>
      <c r="S223"/>
      <c r="T223" s="374"/>
      <c r="U223" s="374"/>
      <c r="V223" s="374"/>
      <c r="W223" s="96"/>
      <c r="X223" s="96"/>
      <c r="Y223" s="96"/>
    </row>
    <row r="224" spans="1:25">
      <c r="A224"/>
      <c r="B224"/>
      <c r="C224"/>
      <c r="D224"/>
      <c r="E224"/>
      <c r="F224"/>
      <c r="G224"/>
      <c r="H224"/>
      <c r="I224"/>
      <c r="J224"/>
      <c r="K224"/>
      <c r="L224"/>
      <c r="M224"/>
      <c r="N224"/>
      <c r="O224"/>
      <c r="P224"/>
      <c r="Q224"/>
      <c r="R224"/>
      <c r="S224"/>
      <c r="T224" s="374"/>
      <c r="U224" s="374"/>
      <c r="V224" s="374"/>
      <c r="W224" s="96"/>
      <c r="X224" s="96"/>
      <c r="Y224" s="96"/>
    </row>
    <row r="225" spans="1:25">
      <c r="A225"/>
      <c r="B225"/>
      <c r="C225"/>
      <c r="D225"/>
      <c r="E225"/>
      <c r="F225"/>
      <c r="G225"/>
      <c r="H225"/>
      <c r="I225"/>
      <c r="J225"/>
      <c r="K225"/>
      <c r="L225"/>
      <c r="M225"/>
      <c r="N225"/>
      <c r="O225"/>
      <c r="P225"/>
      <c r="Q225"/>
      <c r="R225"/>
      <c r="S225"/>
      <c r="T225" s="374"/>
      <c r="U225" s="374"/>
      <c r="V225" s="374"/>
      <c r="W225" s="96"/>
      <c r="X225" s="96"/>
      <c r="Y225" s="96"/>
    </row>
    <row r="226" spans="1:25">
      <c r="A226"/>
      <c r="B226"/>
      <c r="C226"/>
      <c r="D226"/>
      <c r="E226"/>
      <c r="F226"/>
      <c r="G226"/>
      <c r="H226"/>
      <c r="I226"/>
      <c r="J226"/>
      <c r="K226"/>
      <c r="L226"/>
      <c r="M226"/>
      <c r="N226"/>
      <c r="O226"/>
      <c r="P226"/>
      <c r="Q226"/>
      <c r="R226"/>
      <c r="S226"/>
      <c r="T226" s="374"/>
      <c r="U226" s="374"/>
      <c r="V226" s="374"/>
      <c r="W226" s="96"/>
      <c r="X226" s="96"/>
      <c r="Y226" s="96"/>
    </row>
    <row r="227" spans="1:25">
      <c r="A227"/>
      <c r="B227"/>
      <c r="C227"/>
      <c r="D227"/>
      <c r="E227"/>
      <c r="F227"/>
      <c r="G227"/>
      <c r="H227"/>
      <c r="I227"/>
      <c r="J227"/>
      <c r="K227"/>
      <c r="L227"/>
      <c r="M227"/>
      <c r="N227"/>
      <c r="O227"/>
      <c r="P227"/>
      <c r="Q227"/>
      <c r="R227"/>
      <c r="S227"/>
      <c r="T227" s="374"/>
      <c r="U227" s="374"/>
      <c r="V227" s="374"/>
      <c r="W227" s="96"/>
      <c r="X227" s="96"/>
      <c r="Y227" s="96"/>
    </row>
    <row r="228" spans="1:25">
      <c r="A228"/>
      <c r="B228"/>
      <c r="C228"/>
      <c r="D228"/>
      <c r="E228"/>
      <c r="F228"/>
      <c r="G228"/>
      <c r="H228"/>
      <c r="I228"/>
      <c r="J228"/>
      <c r="K228"/>
      <c r="L228"/>
      <c r="M228"/>
      <c r="N228"/>
      <c r="O228"/>
      <c r="P228"/>
      <c r="Q228"/>
      <c r="R228"/>
      <c r="S228"/>
      <c r="T228" s="374"/>
      <c r="U228" s="374"/>
      <c r="V228" s="374"/>
      <c r="W228" s="96"/>
      <c r="X228" s="96"/>
      <c r="Y228" s="96"/>
    </row>
    <row r="229" spans="1:25">
      <c r="A229"/>
      <c r="B229"/>
      <c r="C229"/>
      <c r="D229"/>
      <c r="E229"/>
      <c r="F229"/>
      <c r="G229"/>
      <c r="H229"/>
      <c r="I229"/>
      <c r="J229"/>
      <c r="K229"/>
      <c r="L229"/>
      <c r="M229"/>
      <c r="N229"/>
      <c r="O229"/>
      <c r="P229"/>
      <c r="Q229"/>
      <c r="R229"/>
      <c r="S229"/>
      <c r="T229" s="374"/>
      <c r="U229" s="374"/>
      <c r="V229" s="374"/>
      <c r="W229" s="96"/>
      <c r="X229" s="96"/>
      <c r="Y229" s="96"/>
    </row>
    <row r="230" spans="1:25">
      <c r="A230"/>
      <c r="B230"/>
      <c r="C230"/>
      <c r="D230"/>
      <c r="E230"/>
      <c r="F230"/>
      <c r="G230"/>
      <c r="H230"/>
      <c r="I230"/>
      <c r="J230"/>
      <c r="K230"/>
      <c r="L230"/>
      <c r="M230"/>
      <c r="N230"/>
      <c r="O230"/>
      <c r="P230"/>
      <c r="Q230"/>
      <c r="R230"/>
      <c r="S230"/>
      <c r="T230" s="374"/>
      <c r="U230" s="374"/>
      <c r="V230" s="374"/>
      <c r="W230" s="96"/>
      <c r="X230" s="96"/>
      <c r="Y230" s="96"/>
    </row>
    <row r="231" spans="1:25">
      <c r="A231"/>
      <c r="B231"/>
      <c r="C231"/>
      <c r="D231"/>
      <c r="E231"/>
      <c r="F231"/>
      <c r="G231"/>
      <c r="H231"/>
      <c r="I231"/>
      <c r="J231"/>
      <c r="K231"/>
      <c r="L231"/>
      <c r="M231"/>
      <c r="N231"/>
      <c r="O231"/>
      <c r="P231"/>
      <c r="Q231"/>
      <c r="R231"/>
      <c r="S231"/>
      <c r="T231" s="374"/>
      <c r="U231" s="374"/>
      <c r="V231" s="374"/>
      <c r="W231" s="96"/>
      <c r="X231" s="96"/>
      <c r="Y231" s="96"/>
    </row>
    <row r="232" spans="1:25">
      <c r="A232"/>
      <c r="B232"/>
      <c r="C232"/>
      <c r="D232"/>
      <c r="E232"/>
      <c r="F232"/>
      <c r="G232"/>
      <c r="H232"/>
      <c r="I232"/>
      <c r="J232"/>
      <c r="K232"/>
      <c r="L232"/>
      <c r="M232"/>
      <c r="N232"/>
      <c r="O232"/>
      <c r="P232"/>
      <c r="Q232"/>
      <c r="R232"/>
      <c r="S232"/>
      <c r="T232" s="374"/>
      <c r="U232" s="374"/>
      <c r="V232" s="374"/>
      <c r="W232" s="96"/>
      <c r="X232" s="96"/>
      <c r="Y232" s="96"/>
    </row>
    <row r="233" spans="1:25">
      <c r="A233"/>
      <c r="B233"/>
      <c r="C233"/>
      <c r="D233"/>
      <c r="E233"/>
      <c r="F233"/>
      <c r="G233"/>
      <c r="H233"/>
      <c r="I233"/>
      <c r="J233"/>
      <c r="K233"/>
      <c r="L233"/>
      <c r="M233"/>
      <c r="N233"/>
      <c r="O233"/>
      <c r="P233"/>
      <c r="Q233"/>
      <c r="R233"/>
      <c r="S233"/>
      <c r="T233" s="374"/>
      <c r="U233" s="374"/>
      <c r="V233" s="374"/>
      <c r="W233" s="96"/>
      <c r="X233" s="96"/>
      <c r="Y233" s="96"/>
    </row>
    <row r="234" spans="1:25">
      <c r="A234"/>
      <c r="B234"/>
      <c r="C234"/>
      <c r="D234"/>
      <c r="E234"/>
      <c r="F234"/>
      <c r="G234"/>
      <c r="H234"/>
      <c r="I234"/>
      <c r="J234"/>
      <c r="K234"/>
      <c r="L234"/>
      <c r="M234"/>
      <c r="N234"/>
      <c r="O234"/>
      <c r="P234"/>
      <c r="Q234"/>
      <c r="R234"/>
      <c r="S234"/>
      <c r="T234" s="374"/>
      <c r="U234" s="374"/>
      <c r="V234" s="374"/>
      <c r="W234" s="96"/>
      <c r="X234" s="96"/>
      <c r="Y234" s="96"/>
    </row>
    <row r="235" spans="1:25">
      <c r="A235"/>
      <c r="B235"/>
      <c r="C235"/>
      <c r="D235"/>
      <c r="E235"/>
      <c r="F235"/>
      <c r="G235"/>
      <c r="H235"/>
      <c r="I235"/>
      <c r="J235"/>
      <c r="K235"/>
      <c r="L235"/>
      <c r="M235"/>
      <c r="N235"/>
      <c r="O235"/>
      <c r="P235"/>
      <c r="Q235"/>
      <c r="R235"/>
      <c r="S235"/>
      <c r="T235" s="374"/>
      <c r="U235" s="374"/>
      <c r="V235" s="374"/>
      <c r="W235" s="96"/>
      <c r="X235" s="96"/>
      <c r="Y235" s="96"/>
    </row>
    <row r="236" spans="1:25">
      <c r="A236"/>
      <c r="B236"/>
      <c r="C236"/>
      <c r="D236"/>
      <c r="E236"/>
      <c r="F236"/>
      <c r="G236"/>
      <c r="H236"/>
      <c r="I236"/>
      <c r="J236"/>
      <c r="K236"/>
      <c r="L236"/>
      <c r="M236"/>
      <c r="N236"/>
      <c r="O236"/>
      <c r="P236"/>
      <c r="Q236"/>
      <c r="R236"/>
      <c r="S236"/>
      <c r="T236" s="374"/>
      <c r="U236" s="374"/>
      <c r="V236" s="374"/>
      <c r="W236" s="96"/>
      <c r="X236" s="96"/>
      <c r="Y236" s="96"/>
    </row>
    <row r="237" spans="1:25">
      <c r="A237"/>
      <c r="B237"/>
      <c r="C237"/>
      <c r="D237"/>
      <c r="E237"/>
      <c r="F237"/>
      <c r="G237"/>
      <c r="H237"/>
      <c r="I237"/>
      <c r="J237"/>
      <c r="K237"/>
      <c r="L237"/>
      <c r="M237"/>
      <c r="N237"/>
      <c r="O237"/>
      <c r="P237"/>
      <c r="Q237"/>
      <c r="R237"/>
      <c r="S237"/>
      <c r="T237" s="374"/>
      <c r="U237" s="374"/>
      <c r="V237" s="374"/>
      <c r="W237" s="96"/>
      <c r="X237" s="96"/>
      <c r="Y237" s="96"/>
    </row>
    <row r="238" spans="1:25">
      <c r="A238"/>
      <c r="B238"/>
      <c r="C238"/>
      <c r="D238"/>
      <c r="E238"/>
      <c r="F238"/>
      <c r="G238"/>
      <c r="H238"/>
      <c r="I238"/>
      <c r="J238"/>
      <c r="K238"/>
      <c r="L238"/>
      <c r="M238"/>
      <c r="N238"/>
      <c r="O238"/>
      <c r="P238"/>
      <c r="Q238"/>
      <c r="R238"/>
      <c r="S238"/>
      <c r="T238" s="374"/>
      <c r="U238" s="374"/>
      <c r="V238" s="374"/>
      <c r="W238" s="96"/>
      <c r="X238" s="96"/>
      <c r="Y238" s="96"/>
    </row>
    <row r="239" spans="1:25">
      <c r="A239"/>
      <c r="B239"/>
      <c r="C239"/>
      <c r="D239"/>
      <c r="E239"/>
      <c r="F239"/>
      <c r="G239"/>
      <c r="H239"/>
      <c r="I239"/>
      <c r="J239"/>
      <c r="K239"/>
      <c r="L239"/>
      <c r="M239"/>
      <c r="N239"/>
      <c r="O239"/>
      <c r="P239"/>
      <c r="Q239"/>
      <c r="R239"/>
      <c r="S239"/>
      <c r="T239" s="374"/>
      <c r="U239" s="374"/>
      <c r="V239" s="374"/>
      <c r="W239" s="96"/>
      <c r="X239" s="96"/>
      <c r="Y239" s="96"/>
    </row>
    <row r="240" spans="1:25">
      <c r="A240"/>
      <c r="B240"/>
      <c r="C240"/>
      <c r="D240"/>
      <c r="E240"/>
      <c r="F240"/>
      <c r="G240"/>
      <c r="H240"/>
      <c r="I240"/>
      <c r="J240"/>
      <c r="K240"/>
      <c r="L240"/>
      <c r="M240"/>
      <c r="N240"/>
      <c r="O240"/>
      <c r="P240"/>
      <c r="Q240"/>
      <c r="R240"/>
      <c r="S240"/>
      <c r="T240" s="374"/>
      <c r="U240" s="374"/>
      <c r="V240" s="374"/>
      <c r="W240" s="96"/>
      <c r="X240" s="96"/>
      <c r="Y240" s="96"/>
    </row>
    <row r="241" spans="1:25">
      <c r="A241"/>
      <c r="B241"/>
      <c r="C241"/>
      <c r="D241"/>
      <c r="E241"/>
      <c r="F241"/>
      <c r="G241"/>
      <c r="H241"/>
      <c r="I241"/>
      <c r="J241"/>
      <c r="K241"/>
      <c r="L241"/>
      <c r="M241"/>
      <c r="N241"/>
      <c r="O241"/>
      <c r="P241"/>
      <c r="Q241"/>
      <c r="R241"/>
      <c r="S241"/>
      <c r="T241" s="374"/>
      <c r="U241" s="374"/>
      <c r="V241" s="374"/>
      <c r="W241" s="96"/>
      <c r="X241" s="96"/>
      <c r="Y241" s="96"/>
    </row>
    <row r="242" spans="1:25">
      <c r="A242"/>
      <c r="B242"/>
      <c r="C242"/>
      <c r="D242"/>
      <c r="E242"/>
      <c r="F242"/>
      <c r="G242"/>
      <c r="H242"/>
      <c r="I242"/>
      <c r="J242"/>
      <c r="K242"/>
      <c r="L242"/>
      <c r="M242"/>
      <c r="N242"/>
      <c r="O242"/>
      <c r="P242"/>
      <c r="Q242"/>
      <c r="R242"/>
      <c r="S242"/>
      <c r="T242" s="374"/>
      <c r="U242" s="374"/>
      <c r="V242" s="374"/>
      <c r="W242" s="96"/>
      <c r="X242" s="96"/>
      <c r="Y242" s="96"/>
    </row>
    <row r="243" spans="1:25">
      <c r="A243"/>
      <c r="B243"/>
      <c r="C243"/>
      <c r="D243"/>
      <c r="E243"/>
      <c r="F243"/>
      <c r="G243"/>
      <c r="H243"/>
      <c r="I243"/>
      <c r="J243"/>
      <c r="K243"/>
      <c r="L243"/>
      <c r="M243"/>
      <c r="N243"/>
      <c r="O243"/>
      <c r="P243"/>
      <c r="Q243"/>
      <c r="R243"/>
      <c r="S243"/>
      <c r="T243" s="374"/>
      <c r="U243" s="374"/>
      <c r="V243" s="374"/>
      <c r="W243" s="96"/>
      <c r="X243" s="96"/>
      <c r="Y243" s="96"/>
    </row>
    <row r="244" spans="1:25">
      <c r="A244"/>
      <c r="B244"/>
      <c r="C244"/>
      <c r="D244"/>
      <c r="E244"/>
      <c r="F244"/>
      <c r="G244"/>
      <c r="H244"/>
      <c r="I244"/>
      <c r="J244"/>
      <c r="K244"/>
      <c r="L244"/>
      <c r="M244"/>
      <c r="N244"/>
      <c r="O244"/>
      <c r="P244"/>
      <c r="Q244"/>
      <c r="R244"/>
      <c r="S244"/>
      <c r="T244" s="374"/>
      <c r="U244" s="374"/>
      <c r="V244" s="374"/>
      <c r="W244" s="96"/>
      <c r="X244" s="96"/>
      <c r="Y244" s="96"/>
    </row>
    <row r="245" spans="1:25">
      <c r="A245"/>
      <c r="B245"/>
      <c r="C245"/>
      <c r="D245"/>
      <c r="E245"/>
      <c r="F245"/>
      <c r="G245"/>
      <c r="H245"/>
      <c r="I245"/>
      <c r="J245"/>
      <c r="K245"/>
      <c r="L245"/>
      <c r="M245"/>
      <c r="N245"/>
      <c r="O245"/>
      <c r="P245"/>
      <c r="Q245"/>
      <c r="R245"/>
      <c r="S245"/>
      <c r="T245" s="374"/>
      <c r="U245" s="374"/>
      <c r="V245" s="374"/>
      <c r="W245" s="96"/>
      <c r="X245" s="96"/>
      <c r="Y245" s="96"/>
    </row>
    <row r="246" spans="1:25">
      <c r="A246"/>
      <c r="B246"/>
      <c r="C246"/>
      <c r="D246"/>
      <c r="E246"/>
      <c r="F246"/>
      <c r="G246"/>
      <c r="H246"/>
      <c r="I246"/>
      <c r="J246"/>
      <c r="K246"/>
      <c r="L246"/>
      <c r="M246"/>
      <c r="N246"/>
      <c r="O246"/>
      <c r="P246"/>
      <c r="Q246"/>
      <c r="R246"/>
      <c r="S246"/>
      <c r="T246" s="374"/>
      <c r="U246" s="374"/>
      <c r="V246" s="374"/>
      <c r="W246" s="96"/>
      <c r="X246" s="96"/>
      <c r="Y246" s="96"/>
    </row>
    <row r="247" spans="1:25">
      <c r="A247"/>
      <c r="B247"/>
      <c r="C247"/>
      <c r="D247"/>
      <c r="E247"/>
      <c r="F247"/>
      <c r="G247"/>
      <c r="H247"/>
      <c r="I247"/>
      <c r="J247"/>
      <c r="K247"/>
      <c r="L247"/>
      <c r="M247"/>
      <c r="N247"/>
      <c r="O247"/>
      <c r="P247"/>
      <c r="Q247"/>
      <c r="R247"/>
      <c r="S247"/>
      <c r="T247" s="374"/>
      <c r="U247" s="374"/>
      <c r="V247" s="374"/>
      <c r="W247" s="96"/>
      <c r="X247" s="96"/>
      <c r="Y247" s="96"/>
    </row>
    <row r="248" spans="1:25">
      <c r="A248"/>
      <c r="B248"/>
      <c r="C248"/>
      <c r="D248"/>
      <c r="E248"/>
      <c r="F248"/>
      <c r="G248"/>
      <c r="H248"/>
      <c r="I248"/>
      <c r="J248"/>
      <c r="K248"/>
      <c r="L248"/>
      <c r="M248"/>
      <c r="N248"/>
      <c r="O248"/>
      <c r="P248"/>
      <c r="Q248"/>
      <c r="R248"/>
      <c r="S248"/>
      <c r="T248" s="374"/>
      <c r="U248" s="374"/>
      <c r="V248" s="374"/>
      <c r="W248" s="96"/>
      <c r="X248" s="96"/>
      <c r="Y248" s="96"/>
    </row>
    <row r="249" spans="1:25">
      <c r="A249"/>
      <c r="B249"/>
      <c r="C249"/>
      <c r="D249"/>
      <c r="E249"/>
      <c r="F249"/>
      <c r="G249"/>
      <c r="H249"/>
      <c r="I249"/>
      <c r="J249"/>
      <c r="K249"/>
      <c r="L249"/>
      <c r="M249"/>
      <c r="N249"/>
      <c r="O249"/>
      <c r="P249"/>
      <c r="Q249"/>
      <c r="R249"/>
      <c r="S249"/>
      <c r="T249" s="374"/>
      <c r="U249" s="374"/>
      <c r="V249" s="374"/>
      <c r="W249" s="96"/>
      <c r="X249" s="96"/>
      <c r="Y249" s="96"/>
    </row>
    <row r="250" spans="1:25">
      <c r="A250"/>
      <c r="B250"/>
      <c r="C250"/>
      <c r="D250"/>
      <c r="E250"/>
      <c r="F250"/>
      <c r="G250"/>
      <c r="H250"/>
      <c r="I250"/>
      <c r="J250"/>
      <c r="K250"/>
      <c r="L250"/>
      <c r="M250"/>
      <c r="N250"/>
      <c r="O250"/>
      <c r="P250"/>
      <c r="Q250"/>
      <c r="R250"/>
      <c r="S250"/>
      <c r="T250" s="374"/>
      <c r="U250" s="374"/>
      <c r="V250" s="374"/>
      <c r="W250" s="96"/>
      <c r="X250" s="96"/>
      <c r="Y250" s="96"/>
    </row>
    <row r="251" spans="1:25">
      <c r="A251"/>
      <c r="B251"/>
      <c r="C251"/>
      <c r="D251"/>
      <c r="E251"/>
      <c r="F251"/>
      <c r="G251"/>
      <c r="H251"/>
      <c r="I251"/>
      <c r="J251"/>
      <c r="K251"/>
      <c r="L251"/>
      <c r="M251"/>
      <c r="N251"/>
      <c r="O251"/>
      <c r="P251"/>
      <c r="Q251"/>
      <c r="R251"/>
      <c r="S251"/>
      <c r="T251" s="374"/>
      <c r="U251" s="374"/>
      <c r="V251" s="374"/>
      <c r="W251" s="96"/>
      <c r="X251" s="96"/>
      <c r="Y251" s="96"/>
    </row>
    <row r="252" spans="1:25">
      <c r="A252"/>
      <c r="B252"/>
      <c r="C252"/>
      <c r="D252"/>
      <c r="E252"/>
      <c r="F252"/>
      <c r="G252"/>
      <c r="H252"/>
      <c r="I252"/>
      <c r="J252"/>
      <c r="K252"/>
      <c r="L252"/>
      <c r="M252"/>
      <c r="N252"/>
      <c r="O252"/>
      <c r="P252"/>
      <c r="Q252"/>
      <c r="R252"/>
      <c r="S252"/>
      <c r="T252" s="374"/>
      <c r="U252" s="374"/>
      <c r="V252" s="374"/>
      <c r="W252" s="96"/>
      <c r="X252" s="96"/>
      <c r="Y252" s="96"/>
    </row>
    <row r="253" spans="1:25">
      <c r="A253"/>
      <c r="B253"/>
      <c r="C253"/>
      <c r="D253"/>
      <c r="E253"/>
      <c r="F253"/>
      <c r="G253"/>
      <c r="H253"/>
      <c r="I253"/>
      <c r="J253"/>
      <c r="K253"/>
      <c r="L253"/>
      <c r="M253"/>
      <c r="N253"/>
      <c r="O253"/>
      <c r="P253"/>
      <c r="Q253"/>
      <c r="R253"/>
      <c r="S253"/>
      <c r="T253" s="374"/>
      <c r="U253" s="374"/>
      <c r="V253" s="374"/>
      <c r="W253" s="96"/>
      <c r="X253" s="96"/>
      <c r="Y253" s="96"/>
    </row>
    <row r="254" spans="1:25">
      <c r="A254"/>
      <c r="B254"/>
      <c r="C254"/>
      <c r="D254"/>
      <c r="E254"/>
      <c r="F254"/>
      <c r="G254"/>
      <c r="H254"/>
      <c r="I254"/>
      <c r="J254"/>
      <c r="K254"/>
      <c r="L254"/>
      <c r="M254"/>
      <c r="N254"/>
      <c r="O254"/>
      <c r="P254"/>
      <c r="Q254"/>
      <c r="R254"/>
      <c r="S254"/>
      <c r="T254" s="374"/>
      <c r="U254" s="374"/>
      <c r="V254" s="374"/>
      <c r="W254" s="96"/>
      <c r="X254" s="96"/>
      <c r="Y254" s="96"/>
    </row>
    <row r="255" spans="1:25">
      <c r="A255"/>
      <c r="B255"/>
      <c r="C255"/>
      <c r="D255"/>
      <c r="E255"/>
      <c r="F255"/>
      <c r="G255"/>
      <c r="H255"/>
      <c r="I255"/>
      <c r="J255"/>
      <c r="K255"/>
      <c r="L255"/>
      <c r="M255"/>
      <c r="N255"/>
      <c r="O255"/>
      <c r="P255"/>
      <c r="Q255"/>
      <c r="R255"/>
      <c r="S255"/>
      <c r="T255" s="374"/>
      <c r="U255" s="374"/>
      <c r="V255" s="374"/>
      <c r="W255" s="96"/>
      <c r="X255" s="96"/>
      <c r="Y255" s="96"/>
    </row>
    <row r="256" spans="1:25">
      <c r="A256"/>
      <c r="B256"/>
      <c r="C256"/>
      <c r="D256"/>
      <c r="E256"/>
      <c r="F256"/>
      <c r="G256"/>
      <c r="H256"/>
      <c r="I256"/>
      <c r="J256"/>
      <c r="K256"/>
      <c r="L256"/>
      <c r="M256"/>
      <c r="N256"/>
      <c r="O256"/>
      <c r="P256"/>
      <c r="Q256"/>
      <c r="R256"/>
      <c r="S256"/>
      <c r="T256" s="374"/>
      <c r="U256" s="374"/>
      <c r="V256" s="374"/>
      <c r="W256" s="96"/>
      <c r="X256" s="96"/>
      <c r="Y256" s="96"/>
    </row>
    <row r="257" spans="1:25">
      <c r="A257"/>
      <c r="B257"/>
      <c r="C257"/>
      <c r="D257"/>
      <c r="E257"/>
      <c r="F257"/>
      <c r="G257"/>
      <c r="H257"/>
      <c r="I257"/>
      <c r="J257"/>
      <c r="K257"/>
      <c r="L257"/>
      <c r="M257"/>
      <c r="N257"/>
      <c r="O257"/>
      <c r="P257"/>
      <c r="Q257"/>
      <c r="R257"/>
      <c r="S257"/>
      <c r="T257" s="374"/>
      <c r="U257" s="374"/>
      <c r="V257" s="374"/>
      <c r="W257" s="96"/>
      <c r="X257" s="96"/>
      <c r="Y257" s="96"/>
    </row>
    <row r="258" spans="1:25">
      <c r="A258"/>
      <c r="B258"/>
      <c r="C258"/>
      <c r="D258"/>
      <c r="E258"/>
      <c r="F258"/>
      <c r="G258"/>
      <c r="H258"/>
      <c r="I258"/>
      <c r="J258"/>
      <c r="K258"/>
      <c r="L258"/>
      <c r="M258"/>
      <c r="N258"/>
      <c r="O258"/>
      <c r="P258"/>
      <c r="Q258"/>
      <c r="R258"/>
      <c r="S258"/>
      <c r="T258" s="374"/>
      <c r="U258" s="374"/>
      <c r="V258" s="374"/>
      <c r="W258" s="96"/>
      <c r="X258" s="96"/>
      <c r="Y258" s="96"/>
    </row>
    <row r="259" spans="1:25">
      <c r="A259"/>
      <c r="B259"/>
      <c r="C259"/>
      <c r="D259"/>
      <c r="E259"/>
      <c r="F259"/>
      <c r="G259"/>
      <c r="H259"/>
      <c r="I259"/>
      <c r="J259"/>
      <c r="K259"/>
      <c r="L259"/>
      <c r="M259"/>
      <c r="N259"/>
      <c r="O259"/>
      <c r="P259"/>
      <c r="Q259"/>
      <c r="R259"/>
      <c r="S259"/>
      <c r="T259" s="374"/>
      <c r="U259" s="374"/>
      <c r="V259" s="374"/>
      <c r="W259" s="96"/>
      <c r="X259" s="96"/>
      <c r="Y259" s="96"/>
    </row>
    <row r="260" spans="1:25">
      <c r="A260"/>
      <c r="B260"/>
      <c r="C260"/>
      <c r="D260"/>
      <c r="E260"/>
      <c r="F260"/>
      <c r="G260"/>
      <c r="H260"/>
      <c r="I260"/>
      <c r="J260"/>
      <c r="K260"/>
      <c r="L260"/>
      <c r="M260"/>
      <c r="N260"/>
      <c r="O260"/>
      <c r="P260"/>
      <c r="Q260"/>
      <c r="R260"/>
      <c r="S260"/>
      <c r="T260" s="374"/>
      <c r="U260" s="374"/>
      <c r="V260" s="374"/>
      <c r="W260" s="96"/>
      <c r="X260" s="96"/>
      <c r="Y260" s="96"/>
    </row>
    <row r="261" spans="1:25">
      <c r="A261"/>
      <c r="B261"/>
      <c r="C261"/>
      <c r="D261"/>
      <c r="E261"/>
      <c r="F261"/>
      <c r="G261"/>
      <c r="H261"/>
      <c r="I261"/>
      <c r="J261"/>
      <c r="K261"/>
      <c r="L261"/>
      <c r="M261"/>
      <c r="N261"/>
      <c r="O261"/>
      <c r="P261"/>
      <c r="Q261"/>
      <c r="R261"/>
      <c r="S261"/>
      <c r="T261" s="374"/>
      <c r="U261" s="374"/>
      <c r="V261" s="374"/>
      <c r="W261" s="96"/>
      <c r="X261" s="96"/>
      <c r="Y261" s="96"/>
    </row>
    <row r="262" spans="1:25">
      <c r="A262"/>
      <c r="B262"/>
      <c r="C262"/>
      <c r="D262"/>
      <c r="E262"/>
      <c r="F262"/>
      <c r="G262"/>
      <c r="H262"/>
      <c r="I262"/>
      <c r="J262"/>
      <c r="K262"/>
      <c r="L262"/>
      <c r="M262"/>
      <c r="N262"/>
      <c r="O262"/>
      <c r="P262"/>
      <c r="Q262"/>
      <c r="R262"/>
      <c r="S262"/>
      <c r="T262" s="374"/>
      <c r="U262" s="374"/>
      <c r="V262" s="374"/>
      <c r="W262" s="96"/>
      <c r="X262" s="96"/>
      <c r="Y262" s="96"/>
    </row>
    <row r="263" spans="1:25">
      <c r="A263"/>
      <c r="B263"/>
      <c r="C263"/>
      <c r="D263"/>
      <c r="E263"/>
      <c r="F263"/>
      <c r="G263"/>
      <c r="H263"/>
      <c r="I263"/>
      <c r="J263"/>
      <c r="K263"/>
      <c r="L263"/>
      <c r="M263"/>
      <c r="N263"/>
      <c r="O263"/>
      <c r="P263"/>
      <c r="Q263"/>
      <c r="R263"/>
      <c r="S263"/>
      <c r="T263" s="374"/>
      <c r="U263" s="374"/>
      <c r="V263" s="374"/>
      <c r="W263" s="96"/>
      <c r="X263" s="96"/>
      <c r="Y263" s="96"/>
    </row>
    <row r="264" spans="1:25">
      <c r="A264"/>
      <c r="B264"/>
      <c r="C264"/>
      <c r="D264"/>
      <c r="E264"/>
      <c r="F264"/>
      <c r="G264"/>
      <c r="H264"/>
      <c r="I264"/>
      <c r="J264"/>
      <c r="K264"/>
      <c r="L264"/>
      <c r="M264"/>
      <c r="N264"/>
      <c r="O264"/>
      <c r="P264"/>
      <c r="Q264"/>
      <c r="R264"/>
      <c r="S264"/>
      <c r="T264" s="374"/>
      <c r="U264" s="374"/>
      <c r="V264" s="374"/>
      <c r="W264" s="96"/>
      <c r="X264" s="96"/>
      <c r="Y264" s="96"/>
    </row>
    <row r="265" spans="1:25">
      <c r="A265"/>
      <c r="B265"/>
      <c r="C265"/>
      <c r="D265"/>
      <c r="E265"/>
      <c r="F265"/>
      <c r="G265"/>
      <c r="H265"/>
      <c r="I265"/>
      <c r="J265"/>
      <c r="K265"/>
      <c r="L265"/>
      <c r="M265"/>
      <c r="N265"/>
      <c r="O265"/>
      <c r="P265"/>
      <c r="Q265"/>
      <c r="R265"/>
      <c r="S265"/>
      <c r="T265" s="374"/>
      <c r="U265" s="374"/>
      <c r="V265" s="374"/>
      <c r="W265" s="96"/>
      <c r="X265" s="96"/>
      <c r="Y265" s="96"/>
    </row>
    <row r="266" spans="1:25">
      <c r="A266"/>
      <c r="B266"/>
      <c r="C266"/>
      <c r="D266"/>
      <c r="E266"/>
      <c r="F266"/>
      <c r="G266"/>
      <c r="H266"/>
      <c r="I266"/>
      <c r="J266"/>
      <c r="K266"/>
      <c r="L266"/>
      <c r="M266"/>
      <c r="N266"/>
      <c r="O266"/>
      <c r="P266"/>
      <c r="Q266"/>
      <c r="R266"/>
      <c r="S266"/>
      <c r="T266" s="374"/>
      <c r="U266" s="374"/>
      <c r="V266" s="374"/>
      <c r="W266" s="96"/>
      <c r="X266" s="96"/>
      <c r="Y266" s="96"/>
    </row>
    <row r="267" spans="1:25">
      <c r="A267"/>
      <c r="B267"/>
      <c r="C267"/>
      <c r="D267"/>
      <c r="E267"/>
      <c r="F267"/>
      <c r="G267"/>
      <c r="H267"/>
      <c r="I267"/>
      <c r="J267"/>
      <c r="K267"/>
      <c r="L267"/>
      <c r="M267"/>
      <c r="N267"/>
      <c r="O267"/>
      <c r="P267"/>
      <c r="Q267"/>
      <c r="R267"/>
      <c r="S267"/>
      <c r="T267" s="374"/>
      <c r="U267" s="374"/>
      <c r="V267" s="374"/>
      <c r="W267" s="96"/>
      <c r="X267" s="96"/>
      <c r="Y267" s="96"/>
    </row>
    <row r="268" spans="1:25">
      <c r="A268"/>
      <c r="B268"/>
      <c r="C268"/>
      <c r="D268"/>
      <c r="E268"/>
      <c r="F268"/>
      <c r="G268"/>
      <c r="H268"/>
      <c r="I268"/>
      <c r="J268"/>
      <c r="K268"/>
      <c r="L268"/>
      <c r="M268"/>
      <c r="N268"/>
      <c r="O268"/>
      <c r="P268"/>
      <c r="Q268"/>
      <c r="R268"/>
      <c r="S268"/>
      <c r="T268" s="374"/>
      <c r="U268" s="374"/>
      <c r="V268" s="374"/>
      <c r="W268" s="96"/>
      <c r="X268" s="96"/>
      <c r="Y268" s="96"/>
    </row>
    <row r="269" spans="1:25">
      <c r="A269"/>
      <c r="B269"/>
      <c r="C269"/>
      <c r="D269"/>
      <c r="E269"/>
      <c r="F269"/>
      <c r="G269"/>
      <c r="H269"/>
      <c r="I269"/>
      <c r="J269"/>
      <c r="K269"/>
      <c r="L269"/>
      <c r="M269"/>
      <c r="N269"/>
      <c r="O269"/>
      <c r="P269"/>
      <c r="Q269"/>
      <c r="R269"/>
      <c r="S269"/>
      <c r="T269" s="374"/>
      <c r="U269" s="374"/>
      <c r="V269" s="374"/>
      <c r="W269" s="96"/>
      <c r="X269" s="96"/>
      <c r="Y269" s="96"/>
    </row>
    <row r="270" spans="1:25">
      <c r="A270"/>
      <c r="B270"/>
      <c r="C270"/>
      <c r="D270"/>
      <c r="E270"/>
      <c r="F270"/>
      <c r="G270"/>
      <c r="H270"/>
      <c r="I270"/>
      <c r="J270"/>
      <c r="K270"/>
      <c r="L270"/>
      <c r="M270"/>
      <c r="N270"/>
      <c r="O270"/>
      <c r="P270"/>
      <c r="Q270"/>
      <c r="R270"/>
      <c r="S270"/>
      <c r="T270" s="374"/>
      <c r="U270" s="374"/>
      <c r="V270" s="374"/>
      <c r="W270" s="96"/>
      <c r="X270" s="96"/>
      <c r="Y270" s="96"/>
    </row>
    <row r="271" spans="1:25">
      <c r="A271"/>
      <c r="B271"/>
      <c r="C271"/>
      <c r="D271"/>
      <c r="E271"/>
      <c r="F271"/>
      <c r="G271"/>
      <c r="H271"/>
      <c r="I271"/>
      <c r="J271"/>
      <c r="K271"/>
      <c r="L271"/>
      <c r="M271"/>
      <c r="N271"/>
      <c r="O271"/>
      <c r="P271"/>
      <c r="Q271"/>
      <c r="R271"/>
      <c r="S271"/>
      <c r="T271" s="374"/>
      <c r="U271" s="374"/>
      <c r="V271" s="374"/>
      <c r="W271" s="96"/>
      <c r="X271" s="96"/>
      <c r="Y271" s="96"/>
    </row>
    <row r="272" spans="1:25">
      <c r="A272"/>
      <c r="B272"/>
      <c r="C272"/>
      <c r="D272"/>
      <c r="E272"/>
      <c r="F272"/>
      <c r="G272"/>
      <c r="H272"/>
      <c r="I272"/>
      <c r="J272"/>
      <c r="K272"/>
      <c r="L272"/>
      <c r="M272"/>
      <c r="N272"/>
      <c r="O272"/>
      <c r="P272"/>
      <c r="Q272"/>
      <c r="R272"/>
      <c r="S272"/>
      <c r="T272" s="374"/>
      <c r="U272" s="374"/>
      <c r="V272" s="374"/>
      <c r="W272" s="96"/>
      <c r="X272" s="96"/>
      <c r="Y272" s="96"/>
    </row>
    <row r="273" spans="1:25">
      <c r="A273"/>
      <c r="B273"/>
      <c r="C273"/>
      <c r="D273"/>
      <c r="E273"/>
      <c r="F273"/>
      <c r="G273"/>
      <c r="H273"/>
      <c r="I273"/>
      <c r="J273"/>
      <c r="K273"/>
      <c r="L273"/>
      <c r="M273"/>
      <c r="N273"/>
      <c r="O273"/>
      <c r="P273"/>
      <c r="Q273"/>
      <c r="R273"/>
      <c r="S273"/>
      <c r="T273" s="374"/>
      <c r="U273" s="374"/>
      <c r="V273" s="374"/>
      <c r="W273" s="96"/>
      <c r="X273" s="96"/>
      <c r="Y273" s="96"/>
    </row>
    <row r="274" spans="1:25">
      <c r="A274"/>
      <c r="B274"/>
      <c r="C274"/>
      <c r="D274"/>
      <c r="E274"/>
      <c r="F274"/>
      <c r="G274"/>
      <c r="H274"/>
      <c r="I274"/>
      <c r="J274"/>
      <c r="K274"/>
      <c r="L274"/>
      <c r="M274"/>
      <c r="N274"/>
      <c r="O274"/>
      <c r="P274"/>
      <c r="Q274"/>
      <c r="R274"/>
      <c r="S274"/>
      <c r="T274" s="374"/>
      <c r="U274" s="374"/>
      <c r="V274" s="374"/>
      <c r="W274" s="96"/>
      <c r="X274" s="96"/>
      <c r="Y274" s="96"/>
    </row>
    <row r="275" spans="1:25">
      <c r="A275"/>
      <c r="B275"/>
      <c r="C275"/>
      <c r="D275"/>
      <c r="E275"/>
      <c r="F275"/>
      <c r="G275"/>
      <c r="H275"/>
      <c r="I275"/>
      <c r="J275"/>
      <c r="K275"/>
      <c r="L275"/>
      <c r="M275"/>
      <c r="N275"/>
      <c r="O275"/>
      <c r="P275"/>
      <c r="Q275"/>
      <c r="R275"/>
      <c r="S275"/>
      <c r="T275" s="374"/>
      <c r="U275" s="374"/>
      <c r="V275" s="374"/>
      <c r="W275" s="96"/>
      <c r="X275" s="96"/>
      <c r="Y275" s="96"/>
    </row>
    <row r="276" spans="1:25">
      <c r="A276"/>
      <c r="B276"/>
      <c r="C276"/>
      <c r="D276"/>
      <c r="E276"/>
      <c r="F276"/>
      <c r="G276"/>
      <c r="H276"/>
      <c r="I276"/>
      <c r="J276"/>
      <c r="K276"/>
      <c r="L276"/>
      <c r="M276"/>
      <c r="N276"/>
      <c r="O276"/>
      <c r="P276"/>
      <c r="Q276"/>
      <c r="R276"/>
      <c r="S276"/>
      <c r="T276" s="374"/>
      <c r="U276" s="374"/>
      <c r="V276" s="374"/>
      <c r="W276" s="96"/>
      <c r="X276" s="96"/>
      <c r="Y276" s="96"/>
    </row>
    <row r="277" spans="1:25">
      <c r="A277"/>
      <c r="B277"/>
      <c r="C277"/>
      <c r="D277"/>
      <c r="E277"/>
      <c r="F277"/>
      <c r="G277"/>
      <c r="H277"/>
      <c r="I277"/>
      <c r="J277"/>
      <c r="K277"/>
      <c r="L277"/>
      <c r="M277"/>
      <c r="N277"/>
      <c r="O277"/>
      <c r="P277"/>
      <c r="Q277"/>
      <c r="R277"/>
      <c r="S277"/>
      <c r="T277" s="374"/>
      <c r="U277" s="374"/>
      <c r="V277" s="374"/>
      <c r="W277" s="96"/>
      <c r="X277" s="96"/>
      <c r="Y277" s="96"/>
    </row>
    <row r="278" spans="1:25">
      <c r="A278"/>
      <c r="B278"/>
      <c r="C278"/>
      <c r="D278"/>
      <c r="E278"/>
      <c r="F278"/>
      <c r="G278"/>
      <c r="H278"/>
      <c r="I278"/>
      <c r="J278"/>
      <c r="K278"/>
      <c r="L278"/>
      <c r="M278"/>
      <c r="N278"/>
      <c r="O278"/>
      <c r="P278"/>
      <c r="Q278"/>
      <c r="R278"/>
      <c r="S278"/>
      <c r="T278" s="374"/>
      <c r="U278" s="374"/>
      <c r="V278" s="374"/>
      <c r="W278" s="96"/>
      <c r="X278" s="96"/>
      <c r="Y278" s="96"/>
    </row>
    <row r="279" spans="1:25">
      <c r="A279"/>
      <c r="B279"/>
      <c r="C279"/>
      <c r="D279"/>
      <c r="E279"/>
      <c r="F279"/>
      <c r="G279"/>
      <c r="H279"/>
      <c r="I279"/>
      <c r="J279"/>
      <c r="K279"/>
      <c r="L279"/>
      <c r="M279"/>
      <c r="N279"/>
      <c r="O279"/>
      <c r="P279"/>
      <c r="Q279"/>
      <c r="R279"/>
      <c r="S279"/>
      <c r="T279" s="374"/>
      <c r="U279" s="374"/>
      <c r="V279" s="374"/>
      <c r="W279" s="96"/>
      <c r="X279" s="96"/>
      <c r="Y279" s="96"/>
    </row>
    <row r="280" spans="1:25">
      <c r="A280"/>
      <c r="B280"/>
      <c r="C280"/>
      <c r="D280"/>
      <c r="E280"/>
      <c r="F280"/>
      <c r="G280"/>
      <c r="H280"/>
      <c r="I280"/>
      <c r="J280"/>
      <c r="K280"/>
      <c r="L280"/>
      <c r="M280"/>
      <c r="N280"/>
      <c r="O280"/>
      <c r="P280"/>
      <c r="Q280"/>
      <c r="R280"/>
      <c r="S280"/>
      <c r="T280" s="374"/>
      <c r="U280" s="374"/>
      <c r="V280" s="374"/>
      <c r="W280" s="96"/>
      <c r="X280" s="96"/>
      <c r="Y280" s="96"/>
    </row>
    <row r="281" spans="1:25">
      <c r="A281"/>
      <c r="B281"/>
      <c r="C281"/>
      <c r="D281"/>
      <c r="E281"/>
      <c r="F281"/>
      <c r="G281"/>
      <c r="H281"/>
      <c r="I281"/>
      <c r="J281"/>
      <c r="K281"/>
      <c r="L281"/>
      <c r="M281"/>
      <c r="N281"/>
      <c r="O281"/>
      <c r="P281"/>
      <c r="Q281"/>
      <c r="R281"/>
      <c r="S281"/>
      <c r="T281" s="374"/>
      <c r="U281" s="374"/>
      <c r="V281" s="374"/>
      <c r="W281" s="96"/>
      <c r="X281" s="96"/>
      <c r="Y281" s="96"/>
    </row>
    <row r="282" spans="1:25">
      <c r="A282"/>
      <c r="B282"/>
      <c r="C282"/>
      <c r="D282"/>
      <c r="E282"/>
      <c r="F282"/>
      <c r="G282"/>
      <c r="H282"/>
      <c r="I282"/>
      <c r="J282"/>
      <c r="K282"/>
      <c r="L282"/>
      <c r="M282"/>
      <c r="N282"/>
      <c r="O282"/>
      <c r="P282"/>
      <c r="Q282"/>
      <c r="R282"/>
      <c r="S282"/>
      <c r="T282" s="374"/>
      <c r="U282" s="374"/>
      <c r="V282" s="374"/>
      <c r="W282" s="96"/>
      <c r="X282" s="96"/>
      <c r="Y282" s="96"/>
    </row>
    <row r="283" spans="1:25">
      <c r="A283"/>
      <c r="B283"/>
      <c r="C283"/>
      <c r="D283"/>
      <c r="E283"/>
      <c r="F283"/>
      <c r="G283"/>
      <c r="H283"/>
      <c r="I283"/>
      <c r="J283"/>
      <c r="K283"/>
      <c r="L283"/>
      <c r="M283"/>
      <c r="N283"/>
      <c r="O283"/>
      <c r="P283"/>
      <c r="Q283"/>
      <c r="R283"/>
      <c r="S283"/>
      <c r="T283" s="374"/>
      <c r="U283" s="374"/>
      <c r="V283" s="374"/>
      <c r="W283" s="96"/>
      <c r="X283" s="96"/>
      <c r="Y283" s="96"/>
    </row>
    <row r="284" spans="1:25">
      <c r="A284"/>
      <c r="B284"/>
      <c r="C284"/>
      <c r="D284"/>
      <c r="E284"/>
      <c r="F284"/>
      <c r="G284"/>
      <c r="H284"/>
      <c r="I284"/>
      <c r="J284"/>
      <c r="K284"/>
      <c r="L284"/>
      <c r="M284"/>
      <c r="N284"/>
      <c r="O284"/>
      <c r="P284"/>
      <c r="Q284"/>
      <c r="R284"/>
      <c r="S284"/>
      <c r="T284" s="374"/>
      <c r="U284" s="374"/>
      <c r="V284" s="374"/>
      <c r="W284" s="96"/>
      <c r="X284" s="96"/>
      <c r="Y284" s="96"/>
    </row>
    <row r="285" spans="1:25">
      <c r="A285"/>
      <c r="B285"/>
      <c r="C285"/>
      <c r="D285"/>
      <c r="E285"/>
      <c r="F285"/>
      <c r="G285"/>
      <c r="H285"/>
      <c r="I285"/>
      <c r="J285"/>
      <c r="K285"/>
      <c r="L285"/>
      <c r="M285"/>
      <c r="N285"/>
      <c r="O285"/>
      <c r="P285"/>
      <c r="Q285"/>
      <c r="R285"/>
      <c r="S285"/>
      <c r="T285" s="374"/>
      <c r="U285" s="374"/>
      <c r="V285" s="374"/>
      <c r="W285" s="96"/>
      <c r="X285" s="96"/>
      <c r="Y285" s="96"/>
    </row>
    <row r="286" spans="1:25">
      <c r="A286"/>
      <c r="B286"/>
      <c r="C286"/>
      <c r="D286"/>
      <c r="E286"/>
      <c r="F286"/>
      <c r="G286"/>
      <c r="H286"/>
      <c r="I286"/>
      <c r="J286"/>
      <c r="K286"/>
      <c r="L286"/>
      <c r="M286"/>
      <c r="N286"/>
      <c r="O286"/>
      <c r="P286"/>
      <c r="Q286"/>
      <c r="R286"/>
      <c r="S286"/>
      <c r="T286" s="374"/>
      <c r="U286" s="374"/>
      <c r="V286" s="374"/>
      <c r="W286" s="96"/>
      <c r="X286" s="96"/>
      <c r="Y286" s="96"/>
    </row>
    <row r="287" spans="1:25">
      <c r="A287"/>
      <c r="B287"/>
      <c r="C287"/>
      <c r="D287"/>
      <c r="E287"/>
      <c r="F287"/>
      <c r="G287"/>
      <c r="H287"/>
      <c r="I287"/>
      <c r="J287"/>
      <c r="K287"/>
      <c r="L287"/>
      <c r="M287"/>
      <c r="N287"/>
      <c r="O287"/>
      <c r="P287"/>
      <c r="Q287"/>
      <c r="R287"/>
      <c r="S287"/>
      <c r="T287" s="374"/>
      <c r="U287" s="374"/>
      <c r="V287" s="374"/>
      <c r="W287" s="96"/>
      <c r="X287" s="96"/>
      <c r="Y287" s="96"/>
    </row>
    <row r="288" spans="1:25">
      <c r="A288"/>
      <c r="B288"/>
      <c r="C288"/>
      <c r="D288"/>
      <c r="E288"/>
      <c r="F288"/>
      <c r="G288"/>
      <c r="H288"/>
      <c r="I288"/>
      <c r="J288"/>
      <c r="K288"/>
      <c r="L288"/>
      <c r="M288"/>
      <c r="N288"/>
      <c r="O288"/>
      <c r="P288"/>
      <c r="Q288"/>
      <c r="R288"/>
      <c r="S288"/>
      <c r="T288" s="374"/>
      <c r="U288" s="374"/>
      <c r="V288" s="374"/>
      <c r="W288" s="96"/>
      <c r="X288" s="96"/>
      <c r="Y288" s="96"/>
    </row>
    <row r="289" spans="1:25">
      <c r="A289"/>
      <c r="B289"/>
      <c r="C289"/>
      <c r="D289"/>
      <c r="E289"/>
      <c r="F289"/>
      <c r="G289"/>
      <c r="H289"/>
      <c r="I289"/>
      <c r="J289"/>
      <c r="K289"/>
      <c r="L289"/>
      <c r="M289"/>
      <c r="N289"/>
      <c r="O289"/>
      <c r="P289"/>
      <c r="Q289"/>
      <c r="R289"/>
      <c r="S289"/>
      <c r="T289" s="374"/>
      <c r="U289" s="374"/>
      <c r="V289" s="374"/>
      <c r="W289" s="96"/>
      <c r="X289" s="96"/>
      <c r="Y289" s="96"/>
    </row>
    <row r="290" spans="1:25">
      <c r="A290"/>
      <c r="B290"/>
      <c r="C290"/>
      <c r="D290"/>
      <c r="E290"/>
      <c r="F290"/>
      <c r="G290"/>
      <c r="H290"/>
      <c r="I290"/>
      <c r="J290"/>
      <c r="K290"/>
      <c r="L290"/>
      <c r="M290"/>
      <c r="N290"/>
      <c r="O290"/>
      <c r="P290"/>
      <c r="Q290"/>
      <c r="R290"/>
      <c r="S290"/>
      <c r="T290" s="374"/>
      <c r="U290" s="374"/>
      <c r="V290" s="374"/>
      <c r="W290" s="96"/>
      <c r="X290" s="96"/>
      <c r="Y290" s="96"/>
    </row>
    <row r="291" spans="1:25">
      <c r="A291"/>
      <c r="B291"/>
      <c r="C291"/>
      <c r="D291"/>
      <c r="E291"/>
      <c r="F291"/>
      <c r="G291"/>
      <c r="H291"/>
      <c r="I291"/>
      <c r="J291"/>
      <c r="K291"/>
      <c r="L291"/>
      <c r="M291"/>
      <c r="N291"/>
      <c r="O291"/>
      <c r="P291"/>
      <c r="Q291"/>
      <c r="R291"/>
      <c r="S291"/>
      <c r="T291" s="374"/>
      <c r="U291" s="374"/>
      <c r="V291" s="374"/>
      <c r="W291" s="96"/>
      <c r="X291" s="96"/>
      <c r="Y291" s="96"/>
    </row>
    <row r="292" spans="1:25">
      <c r="A292"/>
      <c r="B292"/>
      <c r="C292"/>
      <c r="D292"/>
      <c r="E292"/>
      <c r="F292"/>
      <c r="G292"/>
      <c r="H292"/>
      <c r="I292"/>
      <c r="J292"/>
      <c r="K292"/>
      <c r="L292"/>
      <c r="M292"/>
      <c r="N292"/>
      <c r="O292"/>
      <c r="P292"/>
      <c r="Q292"/>
      <c r="R292"/>
      <c r="S292"/>
      <c r="T292" s="374"/>
      <c r="U292" s="374"/>
      <c r="V292" s="374"/>
      <c r="W292" s="96"/>
      <c r="X292" s="96"/>
      <c r="Y292" s="96"/>
    </row>
    <row r="293" spans="1:25">
      <c r="A293"/>
      <c r="B293"/>
      <c r="C293"/>
      <c r="D293"/>
      <c r="E293"/>
      <c r="F293"/>
      <c r="G293"/>
      <c r="H293"/>
      <c r="I293"/>
      <c r="J293"/>
      <c r="K293"/>
      <c r="L293"/>
      <c r="M293"/>
      <c r="N293"/>
      <c r="O293"/>
      <c r="P293"/>
      <c r="Q293"/>
      <c r="R293"/>
      <c r="S293"/>
      <c r="T293" s="374"/>
      <c r="U293" s="374"/>
      <c r="V293" s="374"/>
      <c r="W293" s="96"/>
      <c r="X293" s="96"/>
      <c r="Y293" s="96"/>
    </row>
    <row r="294" spans="1:25">
      <c r="A294"/>
      <c r="B294"/>
      <c r="C294"/>
      <c r="D294"/>
      <c r="E294"/>
      <c r="F294"/>
      <c r="G294"/>
      <c r="H294"/>
      <c r="I294"/>
      <c r="J294"/>
      <c r="K294"/>
      <c r="L294"/>
      <c r="M294"/>
      <c r="N294"/>
      <c r="O294"/>
      <c r="P294"/>
      <c r="Q294"/>
      <c r="R294"/>
      <c r="S294"/>
      <c r="T294" s="374"/>
      <c r="U294" s="374"/>
      <c r="V294" s="374"/>
      <c r="W294" s="96"/>
      <c r="X294" s="96"/>
      <c r="Y294" s="96"/>
    </row>
    <row r="295" spans="1:25">
      <c r="A295"/>
      <c r="B295"/>
      <c r="C295"/>
      <c r="D295"/>
      <c r="E295"/>
      <c r="F295"/>
      <c r="G295"/>
      <c r="H295"/>
      <c r="I295"/>
      <c r="J295"/>
      <c r="K295"/>
      <c r="L295"/>
      <c r="M295"/>
      <c r="N295"/>
      <c r="O295"/>
      <c r="P295"/>
      <c r="Q295"/>
      <c r="R295"/>
      <c r="S295"/>
      <c r="T295" s="374"/>
      <c r="U295" s="374"/>
      <c r="V295" s="374"/>
      <c r="W295" s="96"/>
      <c r="X295" s="96"/>
      <c r="Y295" s="96"/>
    </row>
    <row r="296" spans="1:25">
      <c r="A296"/>
      <c r="B296"/>
      <c r="C296"/>
      <c r="D296"/>
      <c r="E296"/>
      <c r="F296"/>
      <c r="G296"/>
      <c r="H296"/>
      <c r="I296"/>
      <c r="J296"/>
      <c r="K296"/>
      <c r="L296"/>
      <c r="M296"/>
      <c r="N296"/>
      <c r="O296"/>
      <c r="P296"/>
      <c r="Q296"/>
      <c r="R296"/>
      <c r="S296"/>
      <c r="T296" s="374"/>
      <c r="U296" s="374"/>
      <c r="V296" s="374"/>
      <c r="W296" s="96"/>
      <c r="X296" s="96"/>
      <c r="Y296" s="96"/>
    </row>
    <row r="297" spans="1:25">
      <c r="A297"/>
      <c r="B297"/>
      <c r="C297"/>
      <c r="D297"/>
      <c r="E297"/>
      <c r="F297"/>
      <c r="G297"/>
      <c r="H297"/>
      <c r="I297"/>
      <c r="J297"/>
      <c r="K297"/>
      <c r="L297"/>
      <c r="M297"/>
      <c r="N297"/>
      <c r="O297"/>
      <c r="P297"/>
      <c r="Q297"/>
      <c r="R297"/>
      <c r="S297"/>
      <c r="T297" s="374"/>
      <c r="U297" s="374"/>
      <c r="V297" s="374"/>
      <c r="W297" s="96"/>
      <c r="X297" s="96"/>
      <c r="Y297" s="96"/>
    </row>
    <row r="298" spans="1:25">
      <c r="A298"/>
      <c r="B298"/>
      <c r="C298"/>
      <c r="D298"/>
      <c r="E298"/>
      <c r="F298"/>
      <c r="G298"/>
      <c r="H298"/>
      <c r="I298"/>
      <c r="J298"/>
      <c r="K298"/>
      <c r="L298"/>
      <c r="M298"/>
      <c r="N298"/>
      <c r="O298"/>
      <c r="P298"/>
      <c r="Q298"/>
      <c r="R298"/>
      <c r="S298"/>
      <c r="T298" s="374"/>
      <c r="U298" s="374"/>
      <c r="V298" s="374"/>
      <c r="W298" s="96"/>
      <c r="X298" s="96"/>
      <c r="Y298" s="96"/>
    </row>
    <row r="299" spans="1:25">
      <c r="A299"/>
      <c r="B299"/>
      <c r="C299"/>
      <c r="D299"/>
      <c r="E299"/>
      <c r="F299"/>
      <c r="G299"/>
      <c r="H299"/>
      <c r="I299"/>
      <c r="J299"/>
      <c r="K299"/>
      <c r="L299"/>
      <c r="M299"/>
      <c r="N299"/>
      <c r="O299"/>
      <c r="P299"/>
      <c r="Q299"/>
      <c r="R299"/>
      <c r="S299"/>
      <c r="T299" s="374"/>
      <c r="U299" s="374"/>
      <c r="V299" s="374"/>
      <c r="W299" s="96"/>
      <c r="X299" s="96"/>
      <c r="Y299" s="96"/>
    </row>
    <row r="300" spans="1:25">
      <c r="A300"/>
      <c r="B300"/>
      <c r="C300"/>
      <c r="D300"/>
      <c r="E300"/>
      <c r="F300"/>
      <c r="G300"/>
      <c r="H300"/>
      <c r="I300"/>
      <c r="J300"/>
      <c r="K300"/>
      <c r="L300"/>
      <c r="M300"/>
      <c r="N300"/>
      <c r="O300"/>
      <c r="P300"/>
      <c r="Q300"/>
      <c r="R300"/>
      <c r="S300"/>
      <c r="T300" s="374"/>
      <c r="U300" s="374"/>
      <c r="V300" s="374"/>
      <c r="W300" s="96"/>
      <c r="X300" s="96"/>
      <c r="Y300" s="96"/>
    </row>
    <row r="301" spans="1:25">
      <c r="A301"/>
      <c r="B301"/>
      <c r="C301"/>
      <c r="D301"/>
      <c r="E301"/>
      <c r="F301"/>
      <c r="G301"/>
      <c r="H301"/>
      <c r="I301"/>
      <c r="J301"/>
      <c r="K301"/>
      <c r="L301"/>
      <c r="M301"/>
      <c r="N301"/>
      <c r="O301"/>
      <c r="P301"/>
      <c r="Q301"/>
      <c r="R301"/>
      <c r="S301"/>
      <c r="T301" s="374"/>
      <c r="U301" s="374"/>
      <c r="V301" s="374"/>
      <c r="W301" s="96"/>
      <c r="X301" s="96"/>
      <c r="Y301" s="96"/>
    </row>
    <row r="302" spans="1:25">
      <c r="A302"/>
      <c r="B302"/>
      <c r="C302"/>
      <c r="D302"/>
      <c r="E302"/>
      <c r="F302"/>
      <c r="G302"/>
      <c r="H302"/>
      <c r="I302"/>
      <c r="J302"/>
      <c r="K302"/>
      <c r="L302"/>
      <c r="M302"/>
      <c r="N302"/>
      <c r="O302"/>
      <c r="P302"/>
      <c r="Q302"/>
      <c r="R302"/>
      <c r="S302"/>
      <c r="T302" s="374"/>
      <c r="U302" s="374"/>
      <c r="V302" s="374"/>
      <c r="W302" s="96"/>
      <c r="X302" s="96"/>
      <c r="Y302" s="96"/>
    </row>
    <row r="303" spans="1:25">
      <c r="A303"/>
      <c r="B303"/>
      <c r="C303"/>
      <c r="D303"/>
      <c r="E303"/>
      <c r="F303"/>
      <c r="G303"/>
      <c r="H303"/>
      <c r="I303"/>
      <c r="J303"/>
      <c r="K303"/>
      <c r="L303"/>
      <c r="M303"/>
      <c r="N303"/>
      <c r="O303"/>
      <c r="P303"/>
      <c r="Q303"/>
      <c r="R303"/>
      <c r="S303"/>
      <c r="T303" s="374"/>
      <c r="U303" s="374"/>
      <c r="V303" s="374"/>
      <c r="W303" s="96"/>
      <c r="X303" s="96"/>
      <c r="Y303" s="96"/>
    </row>
    <row r="304" spans="1:25">
      <c r="A304"/>
      <c r="B304"/>
      <c r="C304"/>
      <c r="D304"/>
      <c r="E304"/>
      <c r="F304"/>
      <c r="G304"/>
      <c r="H304"/>
      <c r="I304"/>
      <c r="J304"/>
      <c r="K304"/>
      <c r="L304"/>
      <c r="M304"/>
      <c r="N304"/>
      <c r="O304"/>
      <c r="P304"/>
      <c r="Q304"/>
      <c r="R304"/>
      <c r="S304"/>
      <c r="T304" s="374"/>
      <c r="U304" s="374"/>
      <c r="V304" s="374"/>
      <c r="W304" s="96"/>
      <c r="X304" s="96"/>
      <c r="Y304" s="96"/>
    </row>
    <row r="305" spans="1:25">
      <c r="A305"/>
      <c r="B305"/>
      <c r="C305"/>
      <c r="D305"/>
      <c r="E305"/>
      <c r="F305"/>
      <c r="G305"/>
      <c r="H305"/>
      <c r="I305"/>
      <c r="J305"/>
      <c r="K305"/>
      <c r="L305"/>
      <c r="M305"/>
      <c r="N305"/>
      <c r="O305"/>
      <c r="P305"/>
      <c r="Q305"/>
      <c r="R305"/>
      <c r="S305"/>
      <c r="T305" s="374"/>
      <c r="U305" s="374"/>
      <c r="V305" s="374"/>
      <c r="W305" s="96"/>
      <c r="X305" s="96"/>
      <c r="Y305" s="96"/>
    </row>
    <row r="306" spans="1:25">
      <c r="A306"/>
      <c r="B306"/>
      <c r="C306"/>
      <c r="D306"/>
      <c r="E306"/>
      <c r="F306"/>
      <c r="G306"/>
      <c r="H306"/>
      <c r="I306"/>
      <c r="J306"/>
      <c r="K306"/>
      <c r="L306"/>
      <c r="M306"/>
      <c r="N306"/>
      <c r="O306"/>
      <c r="P306"/>
      <c r="Q306"/>
      <c r="R306"/>
      <c r="S306"/>
      <c r="T306" s="374"/>
      <c r="U306" s="374"/>
      <c r="V306" s="374"/>
      <c r="W306" s="96"/>
      <c r="X306" s="96"/>
      <c r="Y306" s="96"/>
    </row>
    <row r="307" spans="1:25">
      <c r="A307"/>
      <c r="B307"/>
      <c r="C307"/>
      <c r="D307"/>
      <c r="E307"/>
      <c r="F307"/>
      <c r="G307"/>
      <c r="H307"/>
      <c r="I307"/>
      <c r="J307"/>
      <c r="K307"/>
      <c r="L307"/>
      <c r="M307"/>
      <c r="N307"/>
      <c r="O307"/>
      <c r="P307"/>
      <c r="Q307"/>
      <c r="R307"/>
      <c r="S307"/>
      <c r="T307" s="374"/>
      <c r="U307" s="374"/>
      <c r="V307" s="374"/>
      <c r="W307" s="96"/>
      <c r="X307" s="96"/>
      <c r="Y307" s="96"/>
    </row>
    <row r="308" spans="1:25">
      <c r="A308"/>
      <c r="B308"/>
      <c r="C308"/>
      <c r="D308"/>
      <c r="E308"/>
      <c r="F308"/>
      <c r="G308"/>
      <c r="H308"/>
      <c r="I308"/>
      <c r="J308"/>
      <c r="K308"/>
      <c r="L308"/>
      <c r="M308"/>
      <c r="N308"/>
      <c r="O308"/>
      <c r="P308"/>
      <c r="Q308"/>
      <c r="R308"/>
      <c r="S308"/>
      <c r="T308" s="374"/>
      <c r="U308" s="374"/>
      <c r="V308" s="374"/>
      <c r="W308" s="96"/>
      <c r="X308" s="96"/>
      <c r="Y308" s="96"/>
    </row>
    <row r="309" spans="1:25">
      <c r="A309"/>
      <c r="B309"/>
      <c r="C309"/>
      <c r="D309"/>
      <c r="E309"/>
      <c r="F309"/>
      <c r="G309"/>
      <c r="H309"/>
      <c r="I309"/>
      <c r="J309"/>
      <c r="K309"/>
      <c r="L309"/>
      <c r="M309"/>
      <c r="N309"/>
      <c r="O309"/>
      <c r="P309"/>
      <c r="Q309"/>
      <c r="R309"/>
      <c r="S309"/>
      <c r="T309" s="374"/>
      <c r="U309" s="374"/>
      <c r="V309" s="374"/>
      <c r="W309" s="96"/>
      <c r="X309" s="96"/>
      <c r="Y309" s="96"/>
    </row>
    <row r="310" spans="1:25">
      <c r="A310"/>
      <c r="B310"/>
      <c r="C310"/>
      <c r="D310"/>
      <c r="E310"/>
      <c r="F310"/>
      <c r="G310"/>
      <c r="H310"/>
      <c r="I310"/>
      <c r="J310"/>
      <c r="K310"/>
      <c r="L310"/>
      <c r="M310"/>
      <c r="N310"/>
      <c r="O310"/>
      <c r="P310"/>
      <c r="Q310"/>
      <c r="R310"/>
      <c r="S310"/>
      <c r="T310" s="374"/>
      <c r="U310" s="374"/>
      <c r="V310" s="374"/>
      <c r="W310" s="96"/>
      <c r="X310" s="96"/>
      <c r="Y310" s="96"/>
    </row>
    <row r="311" spans="1:25">
      <c r="A311"/>
      <c r="B311"/>
      <c r="C311"/>
      <c r="D311"/>
      <c r="E311"/>
      <c r="F311"/>
      <c r="G311"/>
      <c r="H311"/>
      <c r="I311"/>
      <c r="J311"/>
      <c r="K311"/>
      <c r="L311"/>
      <c r="M311"/>
      <c r="N311"/>
      <c r="O311"/>
      <c r="P311"/>
      <c r="Q311"/>
      <c r="R311"/>
      <c r="S311"/>
      <c r="T311" s="374"/>
      <c r="U311" s="374"/>
      <c r="V311" s="374"/>
      <c r="W311" s="96"/>
      <c r="X311" s="96"/>
      <c r="Y311" s="96"/>
    </row>
    <row r="312" spans="1:25">
      <c r="A312"/>
      <c r="B312"/>
      <c r="C312"/>
      <c r="D312"/>
      <c r="E312"/>
      <c r="F312"/>
      <c r="G312"/>
      <c r="H312"/>
      <c r="I312"/>
      <c r="J312"/>
      <c r="K312"/>
      <c r="L312"/>
      <c r="M312"/>
      <c r="N312"/>
      <c r="O312"/>
      <c r="P312"/>
      <c r="Q312"/>
      <c r="R312"/>
      <c r="S312"/>
      <c r="T312" s="374"/>
      <c r="U312" s="374"/>
      <c r="V312" s="374"/>
      <c r="W312" s="96"/>
      <c r="X312" s="96"/>
      <c r="Y312" s="96"/>
    </row>
    <row r="313" spans="1:25">
      <c r="A313"/>
      <c r="B313"/>
      <c r="C313"/>
      <c r="D313"/>
      <c r="E313"/>
      <c r="F313"/>
      <c r="G313"/>
      <c r="H313"/>
      <c r="I313"/>
      <c r="J313"/>
      <c r="K313"/>
      <c r="L313"/>
      <c r="M313"/>
      <c r="N313"/>
      <c r="O313"/>
      <c r="P313"/>
      <c r="Q313"/>
      <c r="R313"/>
      <c r="S313"/>
      <c r="T313" s="374"/>
      <c r="U313" s="374"/>
      <c r="V313" s="374"/>
      <c r="W313" s="96"/>
      <c r="X313" s="96"/>
      <c r="Y313" s="96"/>
    </row>
    <row r="314" spans="1:25">
      <c r="A314"/>
      <c r="B314"/>
      <c r="C314"/>
      <c r="D314"/>
      <c r="E314"/>
      <c r="F314"/>
      <c r="G314"/>
      <c r="H314"/>
      <c r="I314"/>
      <c r="J314"/>
      <c r="K314"/>
      <c r="L314"/>
      <c r="M314"/>
      <c r="N314"/>
      <c r="O314"/>
      <c r="P314"/>
      <c r="Q314"/>
      <c r="R314"/>
      <c r="S314"/>
      <c r="T314" s="374"/>
      <c r="U314" s="374"/>
      <c r="V314" s="374"/>
      <c r="W314" s="96"/>
      <c r="X314" s="96"/>
      <c r="Y314" s="96"/>
    </row>
    <row r="315" spans="1:25">
      <c r="A315"/>
      <c r="B315"/>
      <c r="C315"/>
      <c r="D315"/>
      <c r="E315"/>
      <c r="F315"/>
      <c r="G315"/>
      <c r="H315"/>
      <c r="I315"/>
      <c r="J315"/>
      <c r="K315"/>
      <c r="L315"/>
      <c r="M315"/>
      <c r="N315"/>
      <c r="O315"/>
      <c r="P315"/>
      <c r="Q315"/>
      <c r="R315"/>
      <c r="S315"/>
      <c r="T315" s="374"/>
      <c r="U315" s="374"/>
      <c r="V315" s="374"/>
      <c r="W315" s="96"/>
      <c r="X315" s="96"/>
      <c r="Y315" s="96"/>
    </row>
    <row r="316" spans="1:25">
      <c r="A316"/>
      <c r="B316"/>
      <c r="C316"/>
      <c r="D316"/>
      <c r="E316"/>
      <c r="F316"/>
      <c r="G316"/>
      <c r="H316"/>
      <c r="I316"/>
      <c r="J316"/>
      <c r="K316"/>
      <c r="L316"/>
      <c r="M316"/>
      <c r="N316"/>
      <c r="O316"/>
      <c r="P316"/>
      <c r="Q316"/>
      <c r="R316"/>
      <c r="S316"/>
      <c r="T316" s="374"/>
      <c r="U316" s="374"/>
      <c r="V316" s="374"/>
      <c r="W316" s="96"/>
      <c r="X316" s="96"/>
      <c r="Y316" s="96"/>
    </row>
    <row r="317" spans="1:25">
      <c r="A317"/>
      <c r="B317"/>
      <c r="C317"/>
      <c r="D317"/>
      <c r="E317"/>
      <c r="F317"/>
      <c r="G317"/>
      <c r="H317"/>
      <c r="I317"/>
      <c r="J317"/>
      <c r="K317"/>
      <c r="L317"/>
      <c r="M317"/>
      <c r="N317"/>
      <c r="O317"/>
      <c r="P317"/>
      <c r="Q317"/>
      <c r="R317"/>
      <c r="S317"/>
      <c r="T317" s="374"/>
      <c r="U317" s="374"/>
      <c r="V317" s="374"/>
      <c r="W317" s="96"/>
      <c r="X317" s="96"/>
      <c r="Y317" s="96"/>
    </row>
    <row r="318" spans="1:25">
      <c r="A318"/>
      <c r="B318"/>
      <c r="C318"/>
      <c r="D318"/>
      <c r="E318"/>
      <c r="F318"/>
      <c r="G318"/>
      <c r="H318"/>
      <c r="I318"/>
      <c r="J318"/>
      <c r="K318"/>
      <c r="L318"/>
      <c r="M318"/>
      <c r="N318"/>
      <c r="O318"/>
      <c r="P318"/>
      <c r="Q318"/>
      <c r="R318"/>
      <c r="S318"/>
      <c r="T318" s="374"/>
      <c r="U318" s="374"/>
      <c r="V318" s="374"/>
      <c r="W318" s="96"/>
      <c r="X318" s="96"/>
      <c r="Y318" s="96"/>
    </row>
    <row r="319" spans="1:25">
      <c r="A319"/>
      <c r="B319"/>
      <c r="C319"/>
      <c r="D319"/>
      <c r="E319"/>
      <c r="F319"/>
      <c r="G319"/>
      <c r="H319"/>
      <c r="I319"/>
      <c r="J319"/>
      <c r="K319"/>
      <c r="L319"/>
      <c r="M319"/>
      <c r="N319"/>
      <c r="O319"/>
      <c r="P319"/>
      <c r="Q319"/>
      <c r="R319"/>
      <c r="S319"/>
      <c r="T319" s="374"/>
      <c r="U319" s="374"/>
      <c r="V319" s="374"/>
      <c r="W319" s="96"/>
      <c r="X319" s="96"/>
      <c r="Y319" s="96"/>
    </row>
    <row r="320" spans="1:25">
      <c r="A320"/>
      <c r="B320"/>
      <c r="C320"/>
      <c r="D320"/>
      <c r="E320"/>
      <c r="F320"/>
      <c r="G320"/>
      <c r="H320"/>
      <c r="I320"/>
      <c r="J320"/>
      <c r="K320"/>
      <c r="L320"/>
      <c r="M320"/>
      <c r="N320"/>
      <c r="O320"/>
      <c r="P320"/>
      <c r="Q320"/>
      <c r="R320"/>
      <c r="S320"/>
      <c r="T320" s="374"/>
      <c r="U320" s="374"/>
      <c r="V320" s="374"/>
      <c r="W320" s="96"/>
      <c r="X320" s="96"/>
      <c r="Y320" s="96"/>
    </row>
    <row r="321" spans="1:25">
      <c r="A321"/>
      <c r="B321"/>
      <c r="C321"/>
      <c r="D321"/>
      <c r="E321"/>
      <c r="F321"/>
      <c r="G321"/>
      <c r="H321"/>
      <c r="I321"/>
      <c r="J321"/>
      <c r="K321"/>
      <c r="L321"/>
      <c r="M321"/>
      <c r="N321"/>
      <c r="O321"/>
      <c r="P321"/>
      <c r="Q321"/>
      <c r="R321"/>
      <c r="S321"/>
      <c r="T321" s="374"/>
      <c r="U321" s="374"/>
      <c r="V321" s="374"/>
      <c r="W321" s="96"/>
      <c r="X321" s="96"/>
      <c r="Y321" s="96"/>
    </row>
    <row r="322" spans="1:25">
      <c r="A322"/>
      <c r="B322"/>
      <c r="C322"/>
      <c r="D322"/>
      <c r="E322"/>
      <c r="F322"/>
      <c r="G322"/>
      <c r="H322"/>
      <c r="I322"/>
      <c r="J322"/>
      <c r="K322"/>
      <c r="L322"/>
      <c r="M322"/>
      <c r="N322"/>
      <c r="O322"/>
      <c r="P322"/>
      <c r="Q322"/>
      <c r="R322"/>
      <c r="S322"/>
      <c r="T322" s="374"/>
      <c r="U322" s="374"/>
      <c r="V322" s="374"/>
      <c r="W322" s="96"/>
      <c r="X322" s="96"/>
      <c r="Y322" s="96"/>
    </row>
    <row r="323" spans="1:25">
      <c r="A323"/>
      <c r="B323"/>
      <c r="C323"/>
      <c r="D323"/>
      <c r="E323"/>
      <c r="F323"/>
      <c r="G323"/>
      <c r="H323"/>
      <c r="I323"/>
      <c r="J323"/>
      <c r="K323"/>
      <c r="L323"/>
      <c r="M323"/>
      <c r="N323"/>
      <c r="O323"/>
      <c r="P323"/>
      <c r="Q323"/>
      <c r="R323"/>
      <c r="S323"/>
      <c r="T323" s="374"/>
      <c r="U323" s="374"/>
      <c r="V323" s="374"/>
      <c r="W323" s="96"/>
      <c r="X323" s="96"/>
      <c r="Y323" s="96"/>
    </row>
    <row r="324" spans="1:25">
      <c r="A324"/>
      <c r="B324"/>
      <c r="C324"/>
      <c r="D324"/>
      <c r="E324"/>
      <c r="F324"/>
      <c r="G324"/>
      <c r="H324"/>
      <c r="I324"/>
      <c r="J324"/>
      <c r="K324"/>
      <c r="L324"/>
      <c r="M324"/>
      <c r="N324"/>
      <c r="O324"/>
      <c r="P324"/>
      <c r="Q324"/>
      <c r="R324"/>
      <c r="S324"/>
      <c r="T324" s="374"/>
      <c r="U324" s="374"/>
      <c r="V324" s="374"/>
      <c r="W324" s="96"/>
      <c r="X324" s="96"/>
      <c r="Y324" s="96"/>
    </row>
    <row r="325" spans="1:25">
      <c r="A325"/>
      <c r="B325"/>
      <c r="C325"/>
      <c r="D325"/>
      <c r="E325"/>
      <c r="F325"/>
      <c r="G325"/>
      <c r="H325"/>
      <c r="I325"/>
      <c r="J325"/>
      <c r="K325"/>
      <c r="L325"/>
      <c r="M325"/>
      <c r="N325"/>
      <c r="O325"/>
      <c r="P325"/>
      <c r="Q325"/>
      <c r="R325"/>
      <c r="S325"/>
      <c r="T325" s="374"/>
      <c r="U325" s="374"/>
      <c r="V325" s="374"/>
      <c r="W325" s="96"/>
      <c r="X325" s="96"/>
      <c r="Y325" s="96"/>
    </row>
    <row r="326" spans="1:25">
      <c r="A326"/>
      <c r="B326"/>
      <c r="C326"/>
      <c r="D326"/>
      <c r="E326"/>
      <c r="F326"/>
      <c r="G326"/>
      <c r="H326"/>
      <c r="I326"/>
      <c r="J326"/>
      <c r="K326"/>
      <c r="L326"/>
      <c r="M326"/>
      <c r="N326"/>
      <c r="O326"/>
      <c r="P326"/>
      <c r="Q326"/>
      <c r="R326"/>
      <c r="S326"/>
      <c r="T326" s="374"/>
      <c r="U326" s="374"/>
      <c r="V326" s="374"/>
      <c r="W326" s="96"/>
      <c r="X326" s="96"/>
      <c r="Y326" s="96"/>
    </row>
    <row r="327" spans="1:25">
      <c r="A327"/>
      <c r="B327"/>
      <c r="C327"/>
      <c r="D327"/>
      <c r="E327"/>
      <c r="F327"/>
      <c r="G327"/>
      <c r="H327"/>
      <c r="I327"/>
      <c r="J327"/>
      <c r="K327"/>
      <c r="L327"/>
      <c r="M327"/>
      <c r="N327"/>
      <c r="O327"/>
      <c r="P327"/>
      <c r="Q327"/>
      <c r="R327"/>
      <c r="S327"/>
      <c r="T327" s="374"/>
      <c r="U327" s="374"/>
      <c r="V327" s="374"/>
      <c r="W327" s="96"/>
      <c r="X327" s="96"/>
      <c r="Y327" s="96"/>
    </row>
    <row r="328" spans="1:25">
      <c r="A328"/>
      <c r="B328"/>
      <c r="C328"/>
      <c r="D328"/>
      <c r="E328"/>
      <c r="F328"/>
      <c r="G328"/>
      <c r="H328"/>
      <c r="I328"/>
      <c r="J328"/>
      <c r="K328"/>
      <c r="L328"/>
      <c r="M328"/>
      <c r="N328"/>
      <c r="O328"/>
      <c r="P328"/>
      <c r="Q328"/>
      <c r="R328"/>
      <c r="S328"/>
      <c r="T328" s="374"/>
      <c r="U328" s="374"/>
      <c r="V328" s="374"/>
      <c r="W328" s="96"/>
      <c r="X328" s="96"/>
      <c r="Y328" s="96"/>
    </row>
    <row r="329" spans="1:25">
      <c r="A329"/>
      <c r="B329"/>
      <c r="C329"/>
      <c r="D329"/>
      <c r="E329"/>
      <c r="F329"/>
      <c r="G329"/>
      <c r="H329"/>
      <c r="I329"/>
      <c r="J329"/>
      <c r="K329"/>
      <c r="L329"/>
      <c r="M329"/>
      <c r="N329"/>
      <c r="O329"/>
      <c r="P329"/>
      <c r="Q329"/>
      <c r="R329"/>
      <c r="S329"/>
      <c r="T329" s="374"/>
      <c r="U329" s="374"/>
      <c r="V329" s="374"/>
      <c r="W329" s="96"/>
      <c r="X329" s="96"/>
      <c r="Y329" s="96"/>
    </row>
    <row r="330" spans="1:25">
      <c r="A330"/>
      <c r="B330"/>
      <c r="C330"/>
      <c r="D330"/>
      <c r="E330"/>
      <c r="F330"/>
      <c r="G330"/>
      <c r="H330"/>
      <c r="I330"/>
      <c r="J330"/>
      <c r="K330"/>
      <c r="L330"/>
      <c r="M330"/>
      <c r="N330"/>
      <c r="O330"/>
      <c r="P330"/>
      <c r="Q330"/>
      <c r="R330"/>
      <c r="S330"/>
      <c r="T330" s="374"/>
      <c r="U330" s="374"/>
      <c r="V330" s="374"/>
      <c r="W330" s="96"/>
      <c r="X330" s="96"/>
      <c r="Y330" s="96"/>
    </row>
    <row r="331" spans="1:25">
      <c r="A331"/>
      <c r="B331"/>
      <c r="C331"/>
      <c r="D331"/>
      <c r="E331"/>
      <c r="F331"/>
      <c r="G331"/>
      <c r="H331"/>
      <c r="I331"/>
      <c r="J331"/>
      <c r="K331"/>
      <c r="L331"/>
      <c r="M331"/>
      <c r="N331"/>
      <c r="O331"/>
      <c r="P331"/>
      <c r="Q331"/>
      <c r="R331"/>
      <c r="S331"/>
      <c r="T331" s="374"/>
      <c r="U331" s="374"/>
      <c r="V331" s="374"/>
      <c r="W331" s="96"/>
      <c r="X331" s="96"/>
      <c r="Y331" s="96"/>
    </row>
    <row r="332" spans="1:25">
      <c r="A332"/>
      <c r="B332"/>
      <c r="C332"/>
      <c r="D332"/>
      <c r="E332"/>
      <c r="F332"/>
      <c r="G332"/>
      <c r="H332"/>
      <c r="I332"/>
      <c r="J332"/>
      <c r="K332"/>
      <c r="L332"/>
      <c r="M332"/>
      <c r="N332"/>
      <c r="O332"/>
      <c r="P332"/>
      <c r="Q332"/>
      <c r="R332"/>
      <c r="S332"/>
      <c r="T332" s="374"/>
      <c r="U332" s="374"/>
      <c r="V332" s="374"/>
      <c r="W332" s="96"/>
      <c r="X332" s="96"/>
      <c r="Y332" s="96"/>
    </row>
    <row r="333" spans="1:25">
      <c r="A333"/>
      <c r="B333"/>
      <c r="C333"/>
      <c r="D333"/>
      <c r="E333"/>
      <c r="F333"/>
      <c r="G333"/>
      <c r="H333"/>
      <c r="I333"/>
      <c r="J333"/>
      <c r="K333"/>
      <c r="L333"/>
      <c r="M333"/>
      <c r="N333"/>
      <c r="O333"/>
      <c r="P333"/>
      <c r="Q333"/>
      <c r="R333"/>
      <c r="S333"/>
      <c r="T333" s="374"/>
      <c r="U333" s="374"/>
      <c r="V333" s="374"/>
      <c r="W333" s="96"/>
      <c r="X333" s="96"/>
      <c r="Y333" s="96"/>
    </row>
    <row r="334" spans="1:25">
      <c r="A334"/>
      <c r="B334"/>
      <c r="C334"/>
      <c r="D334"/>
      <c r="E334"/>
      <c r="F334"/>
      <c r="G334"/>
      <c r="H334"/>
      <c r="I334"/>
      <c r="J334"/>
      <c r="K334"/>
      <c r="L334"/>
      <c r="M334"/>
      <c r="N334"/>
      <c r="O334"/>
      <c r="P334"/>
      <c r="Q334"/>
      <c r="R334"/>
      <c r="S334"/>
      <c r="T334" s="374"/>
      <c r="U334" s="374"/>
      <c r="V334" s="374"/>
      <c r="W334" s="96"/>
      <c r="X334" s="96"/>
      <c r="Y334" s="96"/>
    </row>
    <row r="335" spans="1:25">
      <c r="A335"/>
      <c r="B335"/>
      <c r="C335"/>
      <c r="D335"/>
      <c r="E335"/>
      <c r="F335"/>
      <c r="G335"/>
      <c r="H335"/>
      <c r="I335"/>
      <c r="J335"/>
      <c r="K335"/>
      <c r="L335"/>
      <c r="M335"/>
      <c r="N335"/>
      <c r="O335"/>
      <c r="P335"/>
      <c r="Q335"/>
      <c r="R335"/>
      <c r="S335"/>
      <c r="T335" s="374"/>
      <c r="U335" s="374"/>
      <c r="V335" s="374"/>
      <c r="W335" s="96"/>
      <c r="X335" s="96"/>
      <c r="Y335" s="96"/>
    </row>
    <row r="336" spans="1:25">
      <c r="A336"/>
      <c r="B336"/>
      <c r="C336"/>
      <c r="D336"/>
      <c r="E336"/>
      <c r="F336"/>
      <c r="G336"/>
      <c r="H336"/>
      <c r="I336"/>
      <c r="J336"/>
      <c r="K336"/>
      <c r="L336"/>
      <c r="M336"/>
      <c r="N336"/>
      <c r="O336"/>
      <c r="P336"/>
      <c r="Q336"/>
      <c r="R336"/>
      <c r="S336"/>
      <c r="T336" s="374"/>
      <c r="U336" s="374"/>
      <c r="V336" s="374"/>
      <c r="W336" s="96"/>
      <c r="X336" s="96"/>
      <c r="Y336" s="96"/>
    </row>
    <row r="337" spans="1:25">
      <c r="A337"/>
      <c r="B337"/>
      <c r="C337"/>
      <c r="D337"/>
      <c r="E337"/>
      <c r="F337"/>
      <c r="G337"/>
      <c r="H337"/>
      <c r="I337"/>
      <c r="J337"/>
      <c r="K337"/>
      <c r="L337"/>
      <c r="M337"/>
      <c r="N337"/>
      <c r="O337"/>
      <c r="P337"/>
      <c r="Q337"/>
      <c r="R337"/>
      <c r="S337"/>
      <c r="T337" s="374"/>
      <c r="U337" s="374"/>
      <c r="V337" s="374"/>
      <c r="W337" s="96"/>
      <c r="X337" s="96"/>
      <c r="Y337" s="96"/>
    </row>
    <row r="338" spans="1:25">
      <c r="A338"/>
      <c r="B338"/>
      <c r="C338"/>
      <c r="D338"/>
      <c r="E338"/>
      <c r="F338"/>
      <c r="G338"/>
      <c r="H338"/>
      <c r="I338"/>
      <c r="J338"/>
      <c r="K338"/>
      <c r="L338"/>
      <c r="M338"/>
      <c r="N338"/>
      <c r="O338"/>
      <c r="P338"/>
      <c r="Q338"/>
      <c r="R338"/>
      <c r="S338"/>
      <c r="T338" s="374"/>
      <c r="U338" s="374"/>
      <c r="V338" s="374"/>
      <c r="W338" s="96"/>
      <c r="X338" s="96"/>
      <c r="Y338" s="96"/>
    </row>
    <row r="339" spans="1:25">
      <c r="A339"/>
      <c r="B339"/>
      <c r="C339"/>
      <c r="D339"/>
      <c r="E339"/>
      <c r="F339"/>
      <c r="G339"/>
      <c r="H339"/>
      <c r="I339"/>
      <c r="J339"/>
      <c r="K339"/>
      <c r="L339"/>
      <c r="M339"/>
      <c r="N339"/>
      <c r="O339"/>
      <c r="P339"/>
      <c r="Q339"/>
      <c r="R339"/>
      <c r="S339"/>
      <c r="T339" s="374"/>
      <c r="U339" s="374"/>
      <c r="V339" s="374"/>
      <c r="W339" s="96"/>
      <c r="X339" s="96"/>
      <c r="Y339" s="96"/>
    </row>
    <row r="340" spans="1:25">
      <c r="A340"/>
      <c r="B340"/>
      <c r="C340"/>
      <c r="D340"/>
      <c r="E340"/>
      <c r="F340"/>
      <c r="G340"/>
      <c r="H340"/>
      <c r="I340"/>
      <c r="J340"/>
      <c r="K340"/>
      <c r="L340"/>
      <c r="M340"/>
      <c r="N340"/>
      <c r="O340"/>
      <c r="P340"/>
      <c r="Q340"/>
      <c r="R340"/>
      <c r="S340"/>
      <c r="T340" s="374"/>
      <c r="U340" s="374"/>
      <c r="V340" s="374"/>
      <c r="W340" s="96"/>
      <c r="X340" s="96"/>
      <c r="Y340" s="96"/>
    </row>
    <row r="341" spans="1:25">
      <c r="A341"/>
      <c r="B341"/>
      <c r="C341"/>
      <c r="D341"/>
      <c r="E341"/>
      <c r="F341"/>
      <c r="G341"/>
      <c r="H341"/>
      <c r="I341"/>
      <c r="J341"/>
      <c r="K341"/>
      <c r="L341"/>
      <c r="M341"/>
      <c r="N341"/>
      <c r="O341"/>
      <c r="P341"/>
      <c r="Q341"/>
      <c r="R341"/>
      <c r="S341"/>
      <c r="T341" s="374"/>
      <c r="U341" s="374"/>
      <c r="V341" s="374"/>
      <c r="W341" s="96"/>
      <c r="X341" s="96"/>
      <c r="Y341" s="96"/>
    </row>
    <row r="342" spans="1:25">
      <c r="A342"/>
      <c r="B342"/>
      <c r="C342"/>
      <c r="D342"/>
      <c r="E342"/>
      <c r="F342"/>
      <c r="G342"/>
      <c r="H342"/>
      <c r="I342"/>
      <c r="J342"/>
      <c r="K342"/>
      <c r="L342"/>
      <c r="M342"/>
      <c r="N342"/>
      <c r="O342"/>
      <c r="P342"/>
      <c r="Q342"/>
      <c r="R342"/>
      <c r="S342"/>
      <c r="T342" s="374"/>
      <c r="U342" s="374"/>
      <c r="V342" s="374"/>
      <c r="W342" s="96"/>
      <c r="X342" s="96"/>
      <c r="Y342" s="96"/>
    </row>
    <row r="343" spans="1:25">
      <c r="A343"/>
      <c r="B343"/>
      <c r="C343"/>
      <c r="D343"/>
      <c r="E343"/>
      <c r="F343"/>
      <c r="G343"/>
      <c r="H343"/>
      <c r="I343"/>
      <c r="J343"/>
      <c r="K343"/>
      <c r="L343"/>
      <c r="M343"/>
      <c r="N343"/>
      <c r="O343"/>
      <c r="P343"/>
      <c r="Q343"/>
      <c r="R343"/>
      <c r="S343"/>
      <c r="T343" s="374"/>
      <c r="U343" s="374"/>
      <c r="V343" s="374"/>
      <c r="W343" s="96"/>
      <c r="X343" s="96"/>
      <c r="Y343" s="96"/>
    </row>
    <row r="344" spans="1:25">
      <c r="A344"/>
      <c r="B344"/>
      <c r="C344"/>
      <c r="D344"/>
      <c r="E344"/>
      <c r="F344"/>
      <c r="G344"/>
      <c r="H344"/>
      <c r="I344"/>
      <c r="J344"/>
      <c r="K344"/>
      <c r="L344"/>
      <c r="M344"/>
      <c r="N344"/>
      <c r="O344"/>
      <c r="P344"/>
      <c r="Q344"/>
      <c r="R344"/>
      <c r="S344"/>
      <c r="T344" s="374"/>
      <c r="U344" s="374"/>
      <c r="V344" s="374"/>
      <c r="W344" s="96"/>
      <c r="X344" s="96"/>
      <c r="Y344" s="96"/>
    </row>
    <row r="345" spans="1:25">
      <c r="A345"/>
      <c r="B345"/>
      <c r="C345"/>
      <c r="D345"/>
      <c r="E345"/>
      <c r="F345"/>
      <c r="G345"/>
      <c r="H345"/>
      <c r="I345"/>
      <c r="J345"/>
      <c r="K345"/>
      <c r="L345"/>
      <c r="M345"/>
      <c r="N345"/>
      <c r="O345"/>
      <c r="P345"/>
      <c r="Q345"/>
      <c r="R345"/>
      <c r="S345"/>
      <c r="T345" s="374"/>
      <c r="U345" s="374"/>
      <c r="V345" s="374"/>
      <c r="W345" s="96"/>
      <c r="X345" s="96"/>
      <c r="Y345" s="96"/>
    </row>
    <row r="346" spans="1:25">
      <c r="A346"/>
      <c r="B346"/>
      <c r="C346"/>
      <c r="D346"/>
      <c r="E346"/>
      <c r="F346"/>
      <c r="G346"/>
      <c r="H346"/>
      <c r="I346"/>
      <c r="J346"/>
      <c r="K346"/>
      <c r="L346"/>
      <c r="M346"/>
      <c r="N346"/>
      <c r="O346"/>
      <c r="P346"/>
      <c r="Q346"/>
      <c r="R346"/>
      <c r="S346"/>
      <c r="T346" s="374"/>
      <c r="U346" s="374"/>
      <c r="V346" s="374"/>
      <c r="W346" s="96"/>
      <c r="X346" s="96"/>
      <c r="Y346" s="96"/>
    </row>
    <row r="347" spans="1:25">
      <c r="A347"/>
      <c r="B347"/>
      <c r="C347"/>
      <c r="D347"/>
      <c r="E347"/>
      <c r="F347"/>
      <c r="G347"/>
      <c r="H347"/>
      <c r="I347"/>
      <c r="J347"/>
      <c r="K347"/>
      <c r="L347"/>
      <c r="M347"/>
      <c r="N347"/>
      <c r="O347"/>
      <c r="P347"/>
      <c r="Q347"/>
      <c r="R347"/>
      <c r="S347"/>
      <c r="T347" s="374"/>
      <c r="U347" s="374"/>
      <c r="V347" s="374"/>
      <c r="W347" s="96"/>
      <c r="X347" s="96"/>
      <c r="Y347" s="96"/>
    </row>
    <row r="348" spans="1:25">
      <c r="A348"/>
      <c r="B348"/>
      <c r="C348"/>
      <c r="D348"/>
      <c r="E348"/>
      <c r="F348"/>
      <c r="G348"/>
      <c r="H348"/>
      <c r="I348"/>
      <c r="J348"/>
      <c r="K348"/>
      <c r="L348"/>
      <c r="M348"/>
      <c r="N348"/>
      <c r="O348"/>
      <c r="P348"/>
      <c r="Q348"/>
      <c r="R348"/>
      <c r="S348"/>
      <c r="T348" s="374"/>
      <c r="U348" s="374"/>
      <c r="V348" s="374"/>
      <c r="W348" s="96"/>
      <c r="X348" s="96"/>
      <c r="Y348" s="96"/>
    </row>
    <row r="349" spans="1:25">
      <c r="A349"/>
      <c r="B349"/>
      <c r="C349"/>
      <c r="D349"/>
      <c r="E349"/>
      <c r="F349"/>
      <c r="G349"/>
      <c r="H349"/>
      <c r="I349"/>
      <c r="J349"/>
      <c r="K349"/>
      <c r="L349"/>
      <c r="M349"/>
      <c r="N349"/>
      <c r="O349"/>
      <c r="P349"/>
      <c r="Q349"/>
      <c r="R349"/>
      <c r="S349"/>
      <c r="T349" s="374"/>
      <c r="U349" s="374"/>
      <c r="V349" s="374"/>
      <c r="W349" s="96"/>
      <c r="X349" s="96"/>
      <c r="Y349" s="96"/>
    </row>
    <row r="350" spans="1:25">
      <c r="A350"/>
      <c r="B350"/>
      <c r="C350"/>
      <c r="D350"/>
      <c r="E350"/>
      <c r="F350"/>
      <c r="G350"/>
      <c r="H350"/>
      <c r="I350"/>
      <c r="J350"/>
      <c r="K350"/>
      <c r="L350"/>
      <c r="M350"/>
      <c r="N350"/>
      <c r="O350"/>
      <c r="P350"/>
      <c r="Q350"/>
      <c r="R350"/>
      <c r="S350"/>
      <c r="T350" s="374"/>
      <c r="U350" s="374"/>
      <c r="V350" s="374"/>
      <c r="W350" s="96"/>
      <c r="X350" s="96"/>
      <c r="Y350" s="96"/>
    </row>
    <row r="351" spans="1:25">
      <c r="A351"/>
      <c r="B351"/>
      <c r="C351"/>
      <c r="D351"/>
      <c r="E351"/>
      <c r="F351"/>
      <c r="G351"/>
      <c r="H351"/>
      <c r="I351"/>
      <c r="J351"/>
      <c r="K351"/>
      <c r="L351"/>
      <c r="M351"/>
      <c r="N351"/>
      <c r="O351"/>
      <c r="P351"/>
      <c r="Q351"/>
      <c r="R351"/>
      <c r="S351"/>
      <c r="T351" s="374"/>
      <c r="U351" s="374"/>
      <c r="V351" s="374"/>
      <c r="W351" s="96"/>
      <c r="X351" s="96"/>
      <c r="Y351" s="96"/>
    </row>
    <row r="352" spans="1:25">
      <c r="A352"/>
      <c r="B352"/>
      <c r="C352"/>
      <c r="D352"/>
      <c r="E352"/>
      <c r="F352"/>
      <c r="G352"/>
      <c r="H352"/>
      <c r="I352"/>
      <c r="J352"/>
      <c r="K352"/>
      <c r="L352"/>
      <c r="M352"/>
      <c r="N352"/>
      <c r="O352"/>
      <c r="P352"/>
      <c r="Q352"/>
      <c r="R352"/>
      <c r="S352"/>
      <c r="T352" s="374"/>
      <c r="U352" s="374"/>
      <c r="V352" s="374"/>
      <c r="W352" s="96"/>
      <c r="X352" s="96"/>
      <c r="Y352" s="96"/>
    </row>
    <row r="353" spans="1:25">
      <c r="A353"/>
      <c r="B353"/>
      <c r="C353"/>
      <c r="D353"/>
      <c r="E353"/>
      <c r="F353"/>
      <c r="G353"/>
      <c r="H353"/>
      <c r="I353"/>
      <c r="J353"/>
      <c r="K353"/>
      <c r="L353"/>
      <c r="M353"/>
      <c r="N353"/>
      <c r="O353"/>
      <c r="P353"/>
      <c r="Q353"/>
      <c r="R353"/>
      <c r="S353"/>
      <c r="T353" s="374"/>
      <c r="U353" s="374"/>
      <c r="V353" s="374"/>
      <c r="W353" s="96"/>
      <c r="X353" s="96"/>
      <c r="Y353" s="96"/>
    </row>
    <row r="354" spans="1:25">
      <c r="A354"/>
      <c r="B354"/>
      <c r="C354"/>
      <c r="D354"/>
      <c r="E354"/>
      <c r="F354"/>
      <c r="G354"/>
      <c r="H354"/>
      <c r="I354"/>
      <c r="J354"/>
      <c r="K354"/>
      <c r="L354"/>
      <c r="M354"/>
      <c r="N354"/>
      <c r="O354"/>
      <c r="P354"/>
      <c r="Q354"/>
      <c r="R354"/>
      <c r="S354"/>
      <c r="T354" s="374"/>
      <c r="U354" s="374"/>
      <c r="V354" s="374"/>
      <c r="W354" s="96"/>
      <c r="X354" s="96"/>
      <c r="Y354" s="96"/>
    </row>
    <row r="355" spans="1:25">
      <c r="A355"/>
      <c r="B355"/>
      <c r="C355"/>
      <c r="D355"/>
      <c r="E355"/>
      <c r="F355"/>
      <c r="G355"/>
      <c r="H355"/>
      <c r="I355"/>
      <c r="J355"/>
      <c r="K355"/>
      <c r="L355"/>
      <c r="M355"/>
      <c r="N355"/>
      <c r="O355"/>
      <c r="P355"/>
      <c r="Q355"/>
      <c r="R355"/>
      <c r="S355"/>
      <c r="T355" s="374"/>
      <c r="U355" s="374"/>
      <c r="V355" s="374"/>
      <c r="W355" s="96"/>
      <c r="X355" s="96"/>
      <c r="Y355" s="96"/>
    </row>
    <row r="356" spans="1:25">
      <c r="A356"/>
      <c r="B356"/>
      <c r="C356"/>
      <c r="D356"/>
      <c r="E356"/>
      <c r="F356"/>
      <c r="G356"/>
      <c r="H356"/>
      <c r="I356"/>
      <c r="J356"/>
      <c r="K356"/>
      <c r="L356"/>
      <c r="M356"/>
      <c r="N356"/>
      <c r="O356"/>
      <c r="P356"/>
      <c r="Q356"/>
      <c r="R356"/>
      <c r="S356"/>
      <c r="T356" s="374"/>
      <c r="U356" s="374"/>
      <c r="V356" s="374"/>
      <c r="W356" s="96"/>
      <c r="X356" s="96"/>
      <c r="Y356" s="96"/>
    </row>
    <row r="357" spans="1:25">
      <c r="A357"/>
      <c r="B357"/>
      <c r="C357"/>
      <c r="D357"/>
      <c r="E357"/>
      <c r="F357"/>
      <c r="G357"/>
      <c r="H357"/>
      <c r="I357"/>
      <c r="J357"/>
      <c r="K357"/>
      <c r="L357"/>
      <c r="M357"/>
      <c r="N357"/>
      <c r="O357"/>
      <c r="P357"/>
      <c r="Q357"/>
      <c r="R357"/>
      <c r="S357"/>
      <c r="T357" s="374"/>
      <c r="U357" s="374"/>
      <c r="V357" s="374"/>
      <c r="W357" s="96"/>
      <c r="X357" s="96"/>
      <c r="Y357" s="96"/>
    </row>
    <row r="358" spans="1:25">
      <c r="A358"/>
      <c r="B358"/>
      <c r="C358"/>
      <c r="D358"/>
      <c r="E358"/>
      <c r="F358"/>
      <c r="G358"/>
      <c r="H358"/>
      <c r="I358"/>
      <c r="J358"/>
      <c r="K358"/>
      <c r="L358"/>
      <c r="M358"/>
      <c r="N358"/>
      <c r="O358"/>
      <c r="P358"/>
      <c r="Q358"/>
      <c r="R358"/>
      <c r="S358"/>
      <c r="T358" s="374"/>
      <c r="U358" s="374"/>
      <c r="V358" s="374"/>
      <c r="W358" s="96"/>
      <c r="X358" s="96"/>
      <c r="Y358" s="96"/>
    </row>
    <row r="359" spans="1:25">
      <c r="A359"/>
      <c r="B359"/>
      <c r="C359"/>
      <c r="D359"/>
      <c r="E359"/>
      <c r="F359"/>
      <c r="G359"/>
      <c r="H359"/>
      <c r="I359"/>
      <c r="J359"/>
      <c r="K359"/>
      <c r="L359"/>
      <c r="M359"/>
      <c r="N359"/>
      <c r="O359"/>
      <c r="P359"/>
      <c r="Q359"/>
      <c r="R359"/>
      <c r="S359"/>
      <c r="T359" s="374"/>
      <c r="U359" s="374"/>
      <c r="V359" s="374"/>
      <c r="W359" s="96"/>
      <c r="X359" s="96"/>
      <c r="Y359" s="96"/>
    </row>
    <row r="360" spans="1:25">
      <c r="A360"/>
      <c r="B360"/>
      <c r="C360"/>
      <c r="D360"/>
      <c r="E360"/>
      <c r="F360"/>
      <c r="G360"/>
      <c r="H360"/>
      <c r="I360"/>
      <c r="J360"/>
      <c r="K360"/>
      <c r="L360"/>
      <c r="M360"/>
      <c r="N360"/>
      <c r="O360"/>
      <c r="P360"/>
      <c r="Q360"/>
      <c r="R360"/>
      <c r="S360"/>
      <c r="T360" s="374"/>
      <c r="U360" s="374"/>
      <c r="V360" s="374"/>
      <c r="W360" s="96"/>
      <c r="X360" s="96"/>
      <c r="Y360" s="96"/>
    </row>
    <row r="361" spans="1:25">
      <c r="A361"/>
      <c r="B361"/>
      <c r="C361"/>
      <c r="D361"/>
      <c r="E361"/>
      <c r="F361"/>
      <c r="G361"/>
      <c r="H361"/>
      <c r="I361"/>
      <c r="J361"/>
      <c r="K361"/>
      <c r="L361"/>
      <c r="M361"/>
      <c r="N361"/>
      <c r="O361"/>
      <c r="P361"/>
      <c r="Q361"/>
      <c r="R361"/>
      <c r="S361"/>
      <c r="T361" s="374"/>
      <c r="U361" s="374"/>
      <c r="V361" s="374"/>
      <c r="W361" s="96"/>
      <c r="X361" s="96"/>
      <c r="Y361" s="96"/>
    </row>
    <row r="362" spans="1:25">
      <c r="A362"/>
      <c r="B362"/>
      <c r="C362"/>
      <c r="D362"/>
      <c r="E362"/>
      <c r="F362"/>
      <c r="G362"/>
      <c r="H362"/>
      <c r="I362"/>
      <c r="J362"/>
      <c r="K362"/>
      <c r="L362"/>
      <c r="M362"/>
      <c r="N362"/>
      <c r="O362"/>
      <c r="P362"/>
      <c r="Q362"/>
      <c r="R362"/>
      <c r="S362"/>
      <c r="T362" s="374"/>
      <c r="U362" s="374"/>
      <c r="V362" s="374"/>
      <c r="W362" s="96"/>
      <c r="X362" s="96"/>
      <c r="Y362" s="96"/>
    </row>
    <row r="363" spans="1:25">
      <c r="A363"/>
      <c r="B363"/>
      <c r="C363"/>
      <c r="D363"/>
      <c r="E363"/>
      <c r="F363"/>
      <c r="G363"/>
      <c r="H363"/>
      <c r="I363"/>
      <c r="J363"/>
      <c r="K363"/>
      <c r="L363"/>
      <c r="M363"/>
      <c r="N363"/>
      <c r="O363"/>
      <c r="P363"/>
      <c r="Q363"/>
      <c r="R363"/>
      <c r="S363"/>
      <c r="T363" s="374"/>
      <c r="U363" s="374"/>
      <c r="V363" s="374"/>
      <c r="W363" s="96"/>
      <c r="X363" s="96"/>
      <c r="Y363" s="96"/>
    </row>
    <row r="364" spans="1:25">
      <c r="A364"/>
      <c r="B364"/>
      <c r="C364"/>
      <c r="D364"/>
      <c r="E364"/>
      <c r="F364"/>
      <c r="G364"/>
      <c r="H364"/>
      <c r="I364"/>
      <c r="J364"/>
      <c r="K364"/>
      <c r="L364"/>
      <c r="M364"/>
      <c r="N364"/>
      <c r="O364"/>
      <c r="P364"/>
      <c r="Q364"/>
      <c r="R364"/>
      <c r="S364"/>
      <c r="T364" s="374"/>
      <c r="U364" s="374"/>
      <c r="V364" s="374"/>
      <c r="W364" s="96"/>
      <c r="X364" s="96"/>
      <c r="Y364" s="96"/>
    </row>
    <row r="365" spans="1:25">
      <c r="A365"/>
      <c r="B365"/>
      <c r="C365"/>
      <c r="D365"/>
      <c r="E365"/>
      <c r="F365"/>
      <c r="G365"/>
      <c r="H365"/>
      <c r="I365"/>
      <c r="J365"/>
      <c r="K365"/>
      <c r="L365"/>
      <c r="M365"/>
      <c r="N365"/>
      <c r="O365"/>
      <c r="P365"/>
      <c r="Q365"/>
      <c r="R365"/>
      <c r="S365"/>
      <c r="T365" s="374"/>
      <c r="U365" s="374"/>
      <c r="V365" s="374"/>
      <c r="W365" s="96"/>
      <c r="X365" s="96"/>
      <c r="Y365" s="96"/>
    </row>
    <row r="366" spans="1:25">
      <c r="A366"/>
      <c r="B366"/>
      <c r="C366"/>
      <c r="D366"/>
      <c r="E366"/>
      <c r="F366"/>
      <c r="G366"/>
      <c r="H366"/>
      <c r="I366"/>
      <c r="J366"/>
      <c r="K366"/>
      <c r="L366"/>
      <c r="M366"/>
      <c r="N366"/>
      <c r="O366"/>
      <c r="P366"/>
      <c r="Q366"/>
      <c r="R366"/>
      <c r="S366"/>
      <c r="T366" s="374"/>
      <c r="U366" s="374"/>
      <c r="V366" s="374"/>
      <c r="W366" s="96"/>
      <c r="X366" s="96"/>
      <c r="Y366" s="96"/>
    </row>
    <row r="367" spans="1:25">
      <c r="A367"/>
      <c r="B367"/>
      <c r="C367"/>
      <c r="D367"/>
      <c r="E367"/>
      <c r="F367"/>
      <c r="G367"/>
      <c r="H367"/>
      <c r="I367"/>
      <c r="J367"/>
      <c r="K367"/>
      <c r="L367"/>
      <c r="M367"/>
      <c r="N367"/>
      <c r="O367"/>
      <c r="P367"/>
      <c r="Q367"/>
      <c r="R367"/>
      <c r="S367"/>
      <c r="T367" s="374"/>
      <c r="U367" s="374"/>
      <c r="V367" s="374"/>
      <c r="W367" s="96"/>
      <c r="X367" s="96"/>
      <c r="Y367" s="96"/>
    </row>
    <row r="368" spans="1:25">
      <c r="A368"/>
      <c r="B368"/>
      <c r="C368"/>
      <c r="D368"/>
      <c r="E368"/>
      <c r="F368"/>
      <c r="G368"/>
      <c r="H368"/>
      <c r="I368"/>
      <c r="J368"/>
      <c r="K368"/>
      <c r="L368"/>
      <c r="M368"/>
      <c r="N368"/>
      <c r="O368"/>
      <c r="P368"/>
      <c r="Q368"/>
      <c r="R368"/>
      <c r="S368"/>
      <c r="T368" s="374"/>
      <c r="U368" s="374"/>
      <c r="V368" s="374"/>
      <c r="W368" s="96"/>
      <c r="X368" s="96"/>
      <c r="Y368" s="96"/>
    </row>
    <row r="369" spans="1:25">
      <c r="A369"/>
      <c r="B369"/>
      <c r="C369"/>
      <c r="D369"/>
      <c r="E369"/>
      <c r="F369"/>
      <c r="G369"/>
      <c r="H369"/>
      <c r="I369"/>
      <c r="J369"/>
      <c r="K369"/>
      <c r="L369"/>
      <c r="M369"/>
      <c r="N369"/>
      <c r="O369"/>
      <c r="P369"/>
      <c r="Q369"/>
      <c r="R369"/>
      <c r="S369"/>
      <c r="T369" s="374"/>
      <c r="U369" s="374"/>
      <c r="V369" s="374"/>
      <c r="W369" s="96"/>
      <c r="X369" s="96"/>
      <c r="Y369" s="96"/>
    </row>
    <row r="370" spans="1:25">
      <c r="A370"/>
      <c r="B370"/>
      <c r="C370"/>
      <c r="D370"/>
      <c r="E370"/>
      <c r="F370"/>
      <c r="G370"/>
      <c r="H370"/>
      <c r="I370"/>
      <c r="J370"/>
      <c r="K370"/>
      <c r="L370"/>
      <c r="M370"/>
      <c r="N370"/>
      <c r="O370"/>
      <c r="P370"/>
      <c r="Q370"/>
      <c r="R370"/>
      <c r="S370"/>
      <c r="T370" s="374"/>
      <c r="U370" s="374"/>
      <c r="V370" s="374"/>
      <c r="W370" s="96"/>
      <c r="X370" s="96"/>
      <c r="Y370" s="96"/>
    </row>
    <row r="371" spans="1:25">
      <c r="A371"/>
      <c r="B371"/>
      <c r="C371"/>
      <c r="D371"/>
      <c r="E371"/>
      <c r="F371"/>
      <c r="G371"/>
      <c r="H371"/>
      <c r="I371"/>
      <c r="J371"/>
      <c r="K371"/>
      <c r="L371"/>
      <c r="M371"/>
      <c r="N371"/>
      <c r="O371"/>
      <c r="P371"/>
      <c r="Q371"/>
      <c r="R371"/>
      <c r="S371"/>
      <c r="T371" s="374"/>
      <c r="U371" s="374"/>
      <c r="V371" s="374"/>
      <c r="W371" s="96"/>
      <c r="X371" s="96"/>
      <c r="Y371" s="96"/>
    </row>
    <row r="372" spans="1:25">
      <c r="A372"/>
      <c r="B372"/>
      <c r="C372"/>
      <c r="D372"/>
      <c r="E372"/>
      <c r="F372"/>
      <c r="G372"/>
      <c r="H372"/>
      <c r="I372"/>
      <c r="J372"/>
      <c r="K372"/>
      <c r="L372"/>
      <c r="M372"/>
      <c r="N372"/>
      <c r="O372"/>
      <c r="P372"/>
      <c r="Q372"/>
      <c r="R372"/>
      <c r="S372"/>
      <c r="T372" s="374"/>
      <c r="U372" s="374"/>
      <c r="V372" s="374"/>
      <c r="W372" s="96"/>
      <c r="X372" s="96"/>
      <c r="Y372" s="96"/>
    </row>
    <row r="373" spans="1:25">
      <c r="A373"/>
      <c r="B373"/>
      <c r="C373"/>
      <c r="D373"/>
      <c r="E373"/>
      <c r="F373"/>
      <c r="G373"/>
      <c r="H373"/>
      <c r="I373"/>
      <c r="J373"/>
      <c r="K373"/>
      <c r="L373"/>
      <c r="M373"/>
      <c r="N373"/>
      <c r="O373"/>
      <c r="P373"/>
      <c r="Q373"/>
      <c r="R373"/>
      <c r="S373"/>
      <c r="T373" s="374"/>
      <c r="U373" s="374"/>
      <c r="V373" s="374"/>
      <c r="W373" s="96"/>
      <c r="X373" s="96"/>
      <c r="Y373" s="96"/>
    </row>
    <row r="374" spans="1:25">
      <c r="A374"/>
      <c r="B374"/>
      <c r="C374"/>
      <c r="D374"/>
      <c r="E374"/>
      <c r="F374"/>
      <c r="G374"/>
      <c r="H374"/>
      <c r="I374"/>
      <c r="J374"/>
      <c r="K374"/>
      <c r="L374"/>
      <c r="M374"/>
      <c r="N374"/>
      <c r="O374"/>
      <c r="P374"/>
      <c r="Q374"/>
      <c r="R374"/>
      <c r="S374"/>
      <c r="T374" s="374"/>
      <c r="U374" s="374"/>
      <c r="V374" s="374"/>
      <c r="W374" s="96"/>
      <c r="X374" s="96"/>
      <c r="Y374" s="96"/>
    </row>
    <row r="375" spans="1:25">
      <c r="A375"/>
      <c r="B375"/>
      <c r="C375"/>
      <c r="D375"/>
      <c r="E375"/>
      <c r="F375"/>
      <c r="G375"/>
      <c r="H375"/>
      <c r="I375"/>
      <c r="J375"/>
      <c r="K375"/>
      <c r="L375"/>
      <c r="M375"/>
      <c r="N375"/>
      <c r="O375"/>
      <c r="P375"/>
      <c r="Q375"/>
      <c r="R375"/>
      <c r="S375"/>
      <c r="T375" s="374"/>
      <c r="U375" s="374"/>
      <c r="V375" s="374"/>
      <c r="W375" s="96"/>
      <c r="X375" s="96"/>
      <c r="Y375" s="96"/>
    </row>
    <row r="376" spans="1:25">
      <c r="A376"/>
      <c r="B376"/>
      <c r="C376"/>
      <c r="D376"/>
      <c r="E376"/>
      <c r="F376"/>
      <c r="G376"/>
      <c r="H376"/>
      <c r="I376"/>
      <c r="J376"/>
      <c r="K376"/>
      <c r="L376"/>
      <c r="M376"/>
      <c r="N376"/>
      <c r="O376"/>
      <c r="P376"/>
      <c r="Q376"/>
      <c r="R376"/>
      <c r="S376"/>
      <c r="T376" s="374"/>
      <c r="U376" s="374"/>
      <c r="V376" s="374"/>
      <c r="W376" s="96"/>
      <c r="X376" s="96"/>
      <c r="Y376" s="96"/>
    </row>
    <row r="377" spans="1:25">
      <c r="A377"/>
      <c r="B377"/>
      <c r="C377"/>
      <c r="D377"/>
      <c r="E377"/>
      <c r="F377"/>
      <c r="G377"/>
      <c r="H377"/>
      <c r="I377"/>
      <c r="J377"/>
      <c r="K377"/>
      <c r="L377"/>
      <c r="M377"/>
      <c r="N377"/>
      <c r="O377"/>
      <c r="P377"/>
      <c r="Q377"/>
      <c r="R377"/>
      <c r="S377"/>
      <c r="T377" s="374"/>
      <c r="U377" s="374"/>
      <c r="V377" s="374"/>
      <c r="W377" s="96"/>
      <c r="X377" s="96"/>
      <c r="Y377" s="96"/>
    </row>
    <row r="378" spans="1:25">
      <c r="A378"/>
      <c r="B378"/>
      <c r="C378"/>
      <c r="D378"/>
      <c r="E378"/>
      <c r="F378"/>
      <c r="G378"/>
      <c r="H378"/>
      <c r="I378"/>
      <c r="J378"/>
      <c r="K378"/>
      <c r="L378"/>
      <c r="M378"/>
      <c r="N378"/>
      <c r="O378"/>
      <c r="P378"/>
      <c r="Q378"/>
      <c r="R378"/>
      <c r="S378"/>
      <c r="T378" s="374"/>
      <c r="U378" s="374"/>
      <c r="V378" s="374"/>
      <c r="W378" s="96"/>
      <c r="X378" s="96"/>
      <c r="Y378" s="96"/>
    </row>
    <row r="379" spans="1:25">
      <c r="A379"/>
      <c r="B379"/>
      <c r="C379"/>
      <c r="D379"/>
      <c r="E379"/>
      <c r="F379"/>
      <c r="G379"/>
      <c r="H379"/>
      <c r="I379"/>
      <c r="J379"/>
      <c r="K379"/>
      <c r="L379"/>
      <c r="M379"/>
      <c r="N379"/>
      <c r="O379"/>
      <c r="P379"/>
      <c r="Q379"/>
      <c r="R379"/>
      <c r="S379"/>
      <c r="T379" s="374"/>
      <c r="U379" s="374"/>
      <c r="V379" s="374"/>
      <c r="W379" s="96"/>
      <c r="X379" s="96"/>
      <c r="Y379" s="96"/>
    </row>
    <row r="380" spans="1:25">
      <c r="A380"/>
      <c r="B380"/>
      <c r="C380"/>
      <c r="D380"/>
      <c r="E380"/>
      <c r="F380"/>
      <c r="G380"/>
      <c r="H380"/>
      <c r="I380"/>
      <c r="J380"/>
      <c r="K380"/>
      <c r="L380"/>
      <c r="M380"/>
      <c r="N380"/>
      <c r="O380"/>
      <c r="P380"/>
      <c r="Q380"/>
      <c r="R380"/>
      <c r="S380"/>
      <c r="T380" s="374"/>
      <c r="U380" s="374"/>
      <c r="V380" s="374"/>
      <c r="W380" s="96"/>
      <c r="X380" s="96"/>
      <c r="Y380" s="96"/>
    </row>
    <row r="381" spans="1:25">
      <c r="A381"/>
      <c r="B381"/>
      <c r="C381"/>
      <c r="D381"/>
      <c r="E381"/>
      <c r="F381"/>
      <c r="G381"/>
      <c r="H381"/>
      <c r="I381"/>
      <c r="J381"/>
      <c r="K381"/>
      <c r="L381"/>
      <c r="M381"/>
      <c r="N381"/>
      <c r="O381"/>
      <c r="P381"/>
      <c r="Q381"/>
      <c r="R381"/>
      <c r="S381"/>
      <c r="T381" s="374"/>
      <c r="U381" s="374"/>
      <c r="V381" s="374"/>
      <c r="W381" s="96"/>
      <c r="X381" s="96"/>
      <c r="Y381" s="96"/>
    </row>
    <row r="382" spans="1:25">
      <c r="A382"/>
      <c r="B382"/>
      <c r="C382"/>
      <c r="D382"/>
      <c r="E382"/>
      <c r="F382"/>
      <c r="G382"/>
      <c r="H382"/>
      <c r="I382"/>
      <c r="J382"/>
      <c r="K382"/>
      <c r="L382"/>
      <c r="M382"/>
      <c r="N382"/>
      <c r="O382"/>
      <c r="P382"/>
      <c r="Q382"/>
      <c r="R382"/>
      <c r="S382"/>
      <c r="T382" s="374"/>
      <c r="U382" s="374"/>
      <c r="V382" s="374"/>
      <c r="W382" s="96"/>
      <c r="X382" s="96"/>
      <c r="Y382" s="96"/>
    </row>
    <row r="383" spans="1:25">
      <c r="A383"/>
      <c r="B383"/>
      <c r="C383"/>
      <c r="D383"/>
      <c r="E383"/>
      <c r="F383"/>
      <c r="G383"/>
      <c r="H383"/>
      <c r="I383"/>
      <c r="J383"/>
      <c r="K383"/>
      <c r="L383"/>
      <c r="M383"/>
      <c r="N383"/>
      <c r="O383"/>
      <c r="P383"/>
      <c r="Q383"/>
      <c r="R383"/>
      <c r="S383"/>
      <c r="T383" s="374"/>
      <c r="U383" s="374"/>
      <c r="V383" s="374"/>
      <c r="W383" s="96"/>
      <c r="X383" s="96"/>
      <c r="Y383" s="96"/>
    </row>
    <row r="384" spans="1:25">
      <c r="A384"/>
      <c r="B384"/>
      <c r="C384"/>
      <c r="D384"/>
      <c r="E384"/>
      <c r="F384"/>
      <c r="G384"/>
      <c r="H384"/>
      <c r="I384"/>
      <c r="J384"/>
      <c r="K384"/>
      <c r="L384"/>
      <c r="M384"/>
      <c r="N384"/>
      <c r="O384"/>
      <c r="P384"/>
      <c r="Q384"/>
      <c r="R384"/>
      <c r="S384"/>
      <c r="T384" s="374"/>
      <c r="U384" s="374"/>
      <c r="V384" s="374"/>
      <c r="W384" s="96"/>
      <c r="X384" s="96"/>
      <c r="Y384" s="96"/>
    </row>
    <row r="385" spans="1:25">
      <c r="A385"/>
      <c r="B385"/>
      <c r="C385"/>
      <c r="D385"/>
      <c r="E385"/>
      <c r="F385"/>
      <c r="G385"/>
      <c r="H385"/>
      <c r="I385"/>
      <c r="J385"/>
      <c r="K385"/>
      <c r="L385"/>
      <c r="M385"/>
      <c r="N385"/>
      <c r="O385"/>
      <c r="P385"/>
      <c r="Q385"/>
      <c r="R385"/>
      <c r="S385"/>
      <c r="T385" s="374"/>
      <c r="U385" s="374"/>
      <c r="V385" s="374"/>
      <c r="W385" s="96"/>
      <c r="X385" s="96"/>
      <c r="Y385" s="96"/>
    </row>
    <row r="386" spans="1:25">
      <c r="A386"/>
      <c r="B386"/>
      <c r="C386"/>
      <c r="D386"/>
      <c r="E386"/>
      <c r="F386"/>
      <c r="G386"/>
      <c r="H386"/>
      <c r="I386"/>
      <c r="J386"/>
      <c r="K386"/>
      <c r="L386"/>
      <c r="M386"/>
      <c r="N386"/>
      <c r="O386"/>
      <c r="P386"/>
      <c r="Q386"/>
      <c r="R386"/>
      <c r="S386"/>
      <c r="T386" s="374"/>
      <c r="U386" s="374"/>
      <c r="V386" s="374"/>
      <c r="W386" s="96"/>
      <c r="X386" s="96"/>
      <c r="Y386" s="96"/>
    </row>
    <row r="387" spans="1:25">
      <c r="A387"/>
      <c r="B387"/>
      <c r="C387"/>
      <c r="D387"/>
      <c r="E387"/>
      <c r="F387"/>
      <c r="G387"/>
      <c r="H387"/>
      <c r="I387"/>
      <c r="J387"/>
      <c r="K387"/>
      <c r="L387"/>
      <c r="M387"/>
      <c r="N387"/>
      <c r="O387"/>
      <c r="P387"/>
      <c r="Q387"/>
      <c r="R387"/>
      <c r="S387"/>
      <c r="T387" s="374"/>
      <c r="U387" s="374"/>
      <c r="V387" s="374"/>
      <c r="W387" s="96"/>
      <c r="X387" s="96"/>
      <c r="Y387" s="96"/>
    </row>
    <row r="388" spans="1:25">
      <c r="A388"/>
      <c r="B388"/>
      <c r="C388"/>
      <c r="D388"/>
      <c r="E388"/>
      <c r="F388"/>
      <c r="G388"/>
      <c r="H388"/>
      <c r="I388"/>
      <c r="J388"/>
      <c r="K388"/>
      <c r="L388"/>
      <c r="M388"/>
      <c r="N388"/>
      <c r="O388"/>
      <c r="P388"/>
      <c r="Q388"/>
      <c r="R388"/>
      <c r="S388"/>
      <c r="T388" s="374"/>
      <c r="U388" s="374"/>
      <c r="V388" s="374"/>
      <c r="W388" s="96"/>
      <c r="X388" s="96"/>
      <c r="Y388" s="96"/>
    </row>
    <row r="389" spans="1:25">
      <c r="A389"/>
      <c r="B389"/>
      <c r="C389"/>
      <c r="D389"/>
      <c r="E389"/>
      <c r="F389"/>
      <c r="G389"/>
      <c r="H389"/>
      <c r="I389"/>
      <c r="J389"/>
      <c r="K389"/>
      <c r="L389"/>
      <c r="M389"/>
      <c r="N389"/>
      <c r="O389"/>
      <c r="P389"/>
      <c r="Q389"/>
      <c r="R389"/>
      <c r="S389"/>
      <c r="T389" s="374"/>
      <c r="U389" s="374"/>
      <c r="V389" s="374"/>
      <c r="W389" s="96"/>
      <c r="X389" s="96"/>
      <c r="Y389" s="96"/>
    </row>
    <row r="390" spans="1:25">
      <c r="A390"/>
      <c r="B390"/>
      <c r="C390"/>
      <c r="D390"/>
      <c r="E390"/>
      <c r="F390"/>
      <c r="G390"/>
      <c r="H390"/>
      <c r="I390"/>
      <c r="J390"/>
      <c r="K390"/>
      <c r="L390"/>
      <c r="M390"/>
      <c r="N390"/>
      <c r="O390"/>
      <c r="P390"/>
      <c r="Q390"/>
      <c r="R390"/>
      <c r="S390"/>
      <c r="T390" s="374"/>
      <c r="U390" s="374"/>
      <c r="V390" s="374"/>
      <c r="W390" s="96"/>
      <c r="X390" s="96"/>
      <c r="Y390" s="96"/>
    </row>
    <row r="391" spans="1:25">
      <c r="A391"/>
      <c r="B391"/>
      <c r="C391"/>
      <c r="D391"/>
      <c r="E391"/>
      <c r="F391"/>
      <c r="G391"/>
      <c r="H391"/>
      <c r="I391"/>
      <c r="J391"/>
      <c r="K391"/>
      <c r="L391"/>
      <c r="M391"/>
      <c r="N391"/>
      <c r="O391"/>
      <c r="P391"/>
      <c r="Q391"/>
      <c r="R391"/>
      <c r="S391"/>
      <c r="T391" s="374"/>
      <c r="U391" s="374"/>
      <c r="V391" s="374"/>
      <c r="W391" s="96"/>
      <c r="X391" s="96"/>
      <c r="Y391" s="96"/>
    </row>
    <row r="392" spans="1:25">
      <c r="A392"/>
      <c r="B392"/>
      <c r="C392"/>
      <c r="D392"/>
      <c r="E392"/>
      <c r="F392"/>
      <c r="G392"/>
      <c r="H392"/>
      <c r="I392"/>
      <c r="J392"/>
      <c r="K392"/>
      <c r="L392"/>
      <c r="M392"/>
      <c r="N392"/>
      <c r="O392"/>
      <c r="P392"/>
      <c r="Q392"/>
      <c r="R392"/>
      <c r="S392"/>
      <c r="T392" s="374"/>
      <c r="U392" s="374"/>
      <c r="V392" s="374"/>
      <c r="W392" s="96"/>
      <c r="X392" s="96"/>
      <c r="Y392" s="96"/>
    </row>
    <row r="393" spans="1:25">
      <c r="A393"/>
      <c r="B393"/>
      <c r="C393"/>
      <c r="D393"/>
      <c r="E393"/>
      <c r="F393"/>
      <c r="G393"/>
      <c r="H393"/>
      <c r="I393"/>
      <c r="J393"/>
      <c r="K393"/>
      <c r="L393"/>
      <c r="M393"/>
      <c r="N393"/>
      <c r="O393"/>
      <c r="P393"/>
      <c r="Q393"/>
      <c r="R393"/>
      <c r="S393"/>
      <c r="T393" s="374"/>
      <c r="U393" s="374"/>
      <c r="V393" s="374"/>
      <c r="W393" s="96"/>
      <c r="X393" s="96"/>
      <c r="Y393" s="96"/>
    </row>
    <row r="394" spans="1:25">
      <c r="A394"/>
      <c r="B394"/>
      <c r="C394"/>
      <c r="D394"/>
      <c r="E394"/>
      <c r="F394"/>
      <c r="G394"/>
      <c r="H394"/>
      <c r="I394"/>
      <c r="J394"/>
      <c r="K394"/>
      <c r="L394"/>
      <c r="M394"/>
      <c r="N394"/>
      <c r="O394"/>
      <c r="P394"/>
      <c r="Q394"/>
      <c r="R394"/>
      <c r="S394"/>
      <c r="T394" s="374"/>
      <c r="U394" s="374"/>
      <c r="V394" s="374"/>
      <c r="W394" s="96"/>
      <c r="X394" s="96"/>
      <c r="Y394" s="96"/>
    </row>
    <row r="395" spans="1:25">
      <c r="A395"/>
      <c r="B395"/>
      <c r="C395"/>
      <c r="D395"/>
      <c r="E395"/>
      <c r="F395"/>
      <c r="G395"/>
      <c r="H395"/>
      <c r="I395"/>
      <c r="J395"/>
      <c r="K395"/>
      <c r="L395"/>
      <c r="M395"/>
      <c r="N395"/>
      <c r="O395"/>
      <c r="P395"/>
      <c r="Q395"/>
      <c r="R395"/>
      <c r="S395"/>
      <c r="T395" s="374"/>
      <c r="U395" s="374"/>
      <c r="V395" s="374"/>
      <c r="W395" s="96"/>
      <c r="X395" s="96"/>
      <c r="Y395" s="96"/>
    </row>
    <row r="396" spans="1:25">
      <c r="A396"/>
      <c r="B396"/>
      <c r="C396"/>
      <c r="D396"/>
      <c r="E396"/>
      <c r="F396"/>
      <c r="G396"/>
      <c r="H396"/>
      <c r="I396"/>
      <c r="J396"/>
      <c r="K396"/>
      <c r="L396"/>
      <c r="M396"/>
      <c r="N396"/>
      <c r="O396"/>
      <c r="P396"/>
      <c r="Q396"/>
      <c r="R396"/>
      <c r="S396"/>
      <c r="T396" s="374"/>
      <c r="U396" s="374"/>
      <c r="V396" s="374"/>
      <c r="W396" s="96"/>
      <c r="X396" s="96"/>
      <c r="Y396" s="96"/>
    </row>
    <row r="397" spans="1:25">
      <c r="A397"/>
      <c r="B397"/>
      <c r="C397"/>
      <c r="D397"/>
      <c r="E397"/>
      <c r="F397"/>
      <c r="G397"/>
      <c r="H397"/>
      <c r="I397"/>
      <c r="J397"/>
      <c r="K397"/>
      <c r="L397"/>
      <c r="M397"/>
      <c r="N397"/>
      <c r="O397"/>
      <c r="P397"/>
      <c r="Q397"/>
      <c r="R397"/>
      <c r="S397"/>
      <c r="T397" s="374"/>
      <c r="U397" s="374"/>
      <c r="V397" s="374"/>
      <c r="W397" s="96"/>
      <c r="X397" s="96"/>
      <c r="Y397" s="96"/>
    </row>
    <row r="398" spans="1:25">
      <c r="A398"/>
      <c r="B398"/>
      <c r="C398"/>
      <c r="D398"/>
      <c r="E398"/>
      <c r="F398"/>
      <c r="G398"/>
      <c r="H398"/>
      <c r="I398"/>
      <c r="J398"/>
      <c r="K398"/>
      <c r="L398"/>
      <c r="M398"/>
      <c r="N398"/>
      <c r="O398"/>
      <c r="P398"/>
      <c r="Q398"/>
      <c r="R398"/>
      <c r="S398"/>
      <c r="T398" s="374"/>
      <c r="U398" s="374"/>
      <c r="V398" s="374"/>
      <c r="W398" s="96"/>
      <c r="X398" s="96"/>
      <c r="Y398" s="96"/>
    </row>
    <row r="399" spans="1:25">
      <c r="A399"/>
      <c r="B399"/>
      <c r="C399"/>
      <c r="D399"/>
      <c r="E399"/>
      <c r="F399"/>
      <c r="G399"/>
      <c r="H399"/>
      <c r="I399"/>
      <c r="J399"/>
      <c r="K399"/>
      <c r="L399"/>
      <c r="M399"/>
      <c r="N399"/>
      <c r="O399"/>
      <c r="P399"/>
      <c r="Q399"/>
      <c r="R399"/>
      <c r="S399"/>
      <c r="T399" s="374"/>
      <c r="U399" s="374"/>
      <c r="V399" s="374"/>
      <c r="W399" s="96"/>
      <c r="X399" s="96"/>
      <c r="Y399" s="96"/>
    </row>
    <row r="400" spans="1:25">
      <c r="A400"/>
      <c r="B400"/>
      <c r="C400"/>
      <c r="D400"/>
      <c r="E400"/>
      <c r="F400"/>
      <c r="G400"/>
      <c r="H400"/>
      <c r="I400"/>
      <c r="J400"/>
      <c r="K400"/>
      <c r="L400"/>
      <c r="M400"/>
      <c r="N400"/>
      <c r="O400"/>
      <c r="P400"/>
      <c r="Q400"/>
      <c r="R400"/>
      <c r="S400"/>
      <c r="T400" s="374"/>
      <c r="U400" s="374"/>
      <c r="V400" s="374"/>
      <c r="W400" s="96"/>
      <c r="X400" s="96"/>
      <c r="Y400" s="96"/>
    </row>
    <row r="401" spans="1:25">
      <c r="A401"/>
      <c r="B401"/>
      <c r="C401"/>
      <c r="D401"/>
      <c r="E401"/>
      <c r="F401"/>
      <c r="G401"/>
      <c r="H401"/>
      <c r="I401"/>
      <c r="J401"/>
      <c r="K401"/>
      <c r="L401"/>
      <c r="M401"/>
      <c r="N401"/>
      <c r="O401"/>
      <c r="P401"/>
      <c r="Q401"/>
      <c r="R401"/>
      <c r="S401"/>
      <c r="T401" s="374"/>
      <c r="U401" s="374"/>
      <c r="V401" s="374"/>
      <c r="W401" s="96"/>
      <c r="X401" s="96"/>
      <c r="Y401" s="96"/>
    </row>
    <row r="402" spans="1:25">
      <c r="A402"/>
      <c r="B402"/>
      <c r="C402"/>
      <c r="D402"/>
      <c r="E402"/>
      <c r="F402"/>
      <c r="G402"/>
      <c r="H402"/>
      <c r="I402"/>
      <c r="J402"/>
      <c r="K402"/>
      <c r="L402"/>
      <c r="M402"/>
      <c r="N402"/>
      <c r="O402"/>
      <c r="P402"/>
      <c r="Q402"/>
      <c r="R402"/>
      <c r="S402"/>
      <c r="T402" s="374"/>
      <c r="U402" s="374"/>
      <c r="V402" s="374"/>
      <c r="W402" s="96"/>
      <c r="X402" s="96"/>
      <c r="Y402" s="96"/>
    </row>
    <row r="403" spans="1:25">
      <c r="A403"/>
      <c r="B403"/>
      <c r="C403"/>
      <c r="D403"/>
      <c r="E403"/>
      <c r="F403"/>
      <c r="G403"/>
      <c r="H403"/>
      <c r="I403"/>
      <c r="J403"/>
      <c r="K403"/>
      <c r="L403"/>
      <c r="M403"/>
      <c r="N403"/>
      <c r="O403"/>
      <c r="P403"/>
      <c r="Q403"/>
      <c r="R403"/>
      <c r="S403"/>
      <c r="T403" s="374"/>
      <c r="U403" s="374"/>
      <c r="V403" s="374"/>
      <c r="W403" s="96"/>
      <c r="X403" s="96"/>
      <c r="Y403" s="96"/>
    </row>
    <row r="404" spans="1:25">
      <c r="A404"/>
      <c r="B404"/>
      <c r="C404"/>
      <c r="D404"/>
      <c r="E404"/>
      <c r="F404"/>
      <c r="G404"/>
      <c r="H404"/>
      <c r="I404"/>
      <c r="J404"/>
      <c r="K404"/>
      <c r="L404"/>
      <c r="M404"/>
      <c r="N404"/>
      <c r="O404"/>
      <c r="P404"/>
      <c r="Q404"/>
      <c r="R404"/>
      <c r="S404"/>
      <c r="T404" s="374"/>
      <c r="U404" s="374"/>
      <c r="V404" s="374"/>
      <c r="W404" s="96"/>
      <c r="X404" s="96"/>
      <c r="Y404" s="96"/>
    </row>
    <row r="405" spans="1:25">
      <c r="A405"/>
      <c r="B405"/>
      <c r="C405"/>
      <c r="D405"/>
      <c r="E405"/>
      <c r="F405"/>
      <c r="G405"/>
      <c r="H405"/>
      <c r="I405"/>
      <c r="J405"/>
      <c r="K405"/>
      <c r="L405"/>
      <c r="M405"/>
      <c r="N405"/>
      <c r="O405"/>
      <c r="P405"/>
      <c r="Q405"/>
      <c r="R405"/>
      <c r="S405"/>
      <c r="T405" s="374"/>
      <c r="U405" s="374"/>
      <c r="V405" s="374"/>
      <c r="W405" s="96"/>
      <c r="X405" s="96"/>
      <c r="Y405" s="96"/>
    </row>
    <row r="406" spans="1:25">
      <c r="A406"/>
      <c r="B406"/>
      <c r="C406"/>
      <c r="D406"/>
      <c r="E406"/>
      <c r="F406"/>
      <c r="G406"/>
      <c r="H406"/>
      <c r="I406"/>
      <c r="J406"/>
      <c r="K406"/>
      <c r="L406"/>
      <c r="M406"/>
      <c r="N406"/>
      <c r="O406"/>
      <c r="P406"/>
      <c r="Q406"/>
      <c r="R406"/>
      <c r="S406"/>
      <c r="T406" s="374"/>
      <c r="U406" s="374"/>
      <c r="V406" s="374"/>
      <c r="W406" s="96"/>
      <c r="X406" s="96"/>
      <c r="Y406" s="96"/>
    </row>
    <row r="407" spans="1:25">
      <c r="A407"/>
      <c r="B407"/>
      <c r="C407"/>
      <c r="D407"/>
      <c r="E407"/>
      <c r="F407"/>
      <c r="G407"/>
      <c r="H407"/>
      <c r="I407"/>
      <c r="J407"/>
      <c r="K407"/>
      <c r="L407"/>
      <c r="M407"/>
      <c r="N407"/>
      <c r="O407"/>
      <c r="P407"/>
      <c r="Q407"/>
      <c r="R407"/>
      <c r="S407"/>
      <c r="T407" s="374"/>
      <c r="U407" s="374"/>
      <c r="V407" s="374"/>
      <c r="W407" s="96"/>
      <c r="X407" s="96"/>
      <c r="Y407" s="96"/>
    </row>
    <row r="408" spans="1:25">
      <c r="A408"/>
      <c r="B408"/>
      <c r="C408"/>
      <c r="D408"/>
      <c r="E408"/>
      <c r="F408"/>
      <c r="G408"/>
      <c r="H408"/>
      <c r="I408"/>
      <c r="J408"/>
      <c r="K408"/>
      <c r="L408"/>
      <c r="M408"/>
      <c r="N408"/>
      <c r="O408"/>
      <c r="P408"/>
      <c r="Q408"/>
      <c r="R408"/>
      <c r="S408"/>
      <c r="T408" s="374"/>
      <c r="U408" s="374"/>
      <c r="V408" s="374"/>
      <c r="W408" s="96"/>
      <c r="X408" s="96"/>
      <c r="Y408" s="96"/>
    </row>
    <row r="409" spans="1:25">
      <c r="A409"/>
      <c r="B409"/>
      <c r="C409"/>
      <c r="D409"/>
      <c r="E409"/>
      <c r="F409"/>
      <c r="G409"/>
      <c r="H409"/>
      <c r="I409"/>
      <c r="J409"/>
      <c r="K409"/>
      <c r="L409"/>
      <c r="M409"/>
      <c r="N409"/>
      <c r="O409"/>
      <c r="P409"/>
      <c r="Q409"/>
      <c r="R409"/>
      <c r="S409"/>
      <c r="T409" s="374"/>
      <c r="U409" s="374"/>
      <c r="V409" s="374"/>
      <c r="W409" s="96"/>
      <c r="X409" s="96"/>
      <c r="Y409" s="96"/>
    </row>
    <row r="410" spans="1:25">
      <c r="A410"/>
      <c r="B410"/>
      <c r="C410"/>
      <c r="D410"/>
      <c r="E410"/>
      <c r="F410"/>
      <c r="G410"/>
      <c r="H410"/>
      <c r="I410"/>
      <c r="J410"/>
      <c r="K410"/>
      <c r="L410"/>
      <c r="M410"/>
      <c r="N410"/>
      <c r="O410"/>
      <c r="P410"/>
      <c r="Q410"/>
      <c r="R410"/>
      <c r="S410"/>
      <c r="T410" s="374"/>
      <c r="U410" s="374"/>
      <c r="V410" s="374"/>
      <c r="W410" s="96"/>
      <c r="X410" s="96"/>
      <c r="Y410" s="96"/>
    </row>
    <row r="411" spans="1:25">
      <c r="A411"/>
      <c r="B411"/>
      <c r="C411"/>
      <c r="D411"/>
      <c r="E411"/>
      <c r="F411"/>
      <c r="G411"/>
      <c r="H411"/>
      <c r="I411"/>
      <c r="J411"/>
      <c r="K411"/>
      <c r="L411"/>
      <c r="M411"/>
      <c r="N411"/>
      <c r="O411"/>
      <c r="P411"/>
      <c r="Q411"/>
      <c r="R411"/>
      <c r="S411"/>
      <c r="T411" s="374"/>
      <c r="U411" s="374"/>
      <c r="V411" s="374"/>
      <c r="W411" s="96"/>
      <c r="X411" s="96"/>
      <c r="Y411" s="96"/>
    </row>
    <row r="412" spans="1:25">
      <c r="A412"/>
      <c r="B412"/>
      <c r="C412"/>
      <c r="D412"/>
      <c r="E412"/>
      <c r="F412"/>
      <c r="G412"/>
      <c r="H412"/>
      <c r="I412"/>
      <c r="J412"/>
      <c r="K412"/>
      <c r="L412"/>
      <c r="M412"/>
      <c r="N412"/>
      <c r="O412"/>
      <c r="P412"/>
      <c r="Q412"/>
      <c r="R412"/>
      <c r="S412"/>
      <c r="T412" s="374"/>
      <c r="U412" s="374"/>
      <c r="V412" s="374"/>
      <c r="W412" s="96"/>
      <c r="X412" s="96"/>
      <c r="Y412" s="96"/>
    </row>
    <row r="413" spans="1:25">
      <c r="A413"/>
      <c r="B413"/>
      <c r="C413"/>
      <c r="D413"/>
      <c r="E413"/>
      <c r="F413"/>
      <c r="G413"/>
      <c r="H413"/>
      <c r="I413"/>
      <c r="J413"/>
      <c r="K413"/>
      <c r="L413"/>
      <c r="M413"/>
      <c r="N413"/>
      <c r="O413"/>
      <c r="P413"/>
      <c r="Q413"/>
      <c r="R413"/>
      <c r="S413"/>
      <c r="T413" s="374"/>
      <c r="U413" s="374"/>
      <c r="V413" s="374"/>
      <c r="W413" s="96"/>
      <c r="X413" s="96"/>
      <c r="Y413" s="96"/>
    </row>
    <row r="414" spans="1:25">
      <c r="A414"/>
      <c r="B414"/>
      <c r="C414"/>
      <c r="D414"/>
      <c r="E414"/>
      <c r="F414"/>
      <c r="G414"/>
      <c r="H414"/>
      <c r="I414"/>
      <c r="J414"/>
      <c r="K414"/>
      <c r="L414"/>
      <c r="M414"/>
      <c r="N414"/>
      <c r="O414"/>
      <c r="P414"/>
      <c r="Q414"/>
      <c r="R414"/>
      <c r="S414"/>
      <c r="T414" s="374"/>
      <c r="U414" s="374"/>
      <c r="V414" s="374"/>
      <c r="W414" s="96"/>
      <c r="X414" s="96"/>
      <c r="Y414" s="96"/>
    </row>
    <row r="415" spans="1:25">
      <c r="A415"/>
      <c r="B415"/>
      <c r="C415"/>
      <c r="D415"/>
      <c r="E415"/>
      <c r="F415"/>
      <c r="G415"/>
      <c r="H415"/>
      <c r="I415"/>
      <c r="J415"/>
      <c r="K415"/>
      <c r="L415"/>
      <c r="M415"/>
      <c r="N415"/>
      <c r="O415"/>
      <c r="P415"/>
      <c r="Q415"/>
      <c r="R415"/>
      <c r="S415"/>
      <c r="T415" s="374"/>
      <c r="U415" s="374"/>
      <c r="V415" s="374"/>
      <c r="W415" s="96"/>
      <c r="X415" s="96"/>
      <c r="Y415" s="96"/>
    </row>
    <row r="416" spans="1:25">
      <c r="A416"/>
      <c r="B416"/>
      <c r="C416"/>
      <c r="D416"/>
      <c r="E416"/>
      <c r="F416"/>
      <c r="G416"/>
      <c r="H416"/>
      <c r="I416"/>
      <c r="J416"/>
      <c r="K416"/>
      <c r="L416"/>
      <c r="M416"/>
      <c r="N416"/>
      <c r="O416"/>
      <c r="P416"/>
      <c r="Q416"/>
      <c r="R416"/>
      <c r="S416"/>
      <c r="T416" s="374"/>
      <c r="U416" s="374"/>
      <c r="V416" s="374"/>
      <c r="W416" s="96"/>
      <c r="X416" s="96"/>
      <c r="Y416" s="96"/>
    </row>
    <row r="417" spans="1:25">
      <c r="A417"/>
      <c r="B417"/>
      <c r="C417"/>
      <c r="D417"/>
      <c r="E417"/>
      <c r="F417"/>
      <c r="G417"/>
      <c r="H417"/>
      <c r="I417"/>
      <c r="J417"/>
      <c r="K417"/>
      <c r="L417"/>
      <c r="M417"/>
      <c r="N417"/>
      <c r="O417"/>
      <c r="P417"/>
      <c r="Q417"/>
      <c r="R417"/>
      <c r="S417"/>
      <c r="T417" s="374"/>
      <c r="U417" s="374"/>
      <c r="V417" s="374"/>
      <c r="W417" s="96"/>
      <c r="X417" s="96"/>
      <c r="Y417" s="96"/>
    </row>
    <row r="418" spans="1:25">
      <c r="A418"/>
      <c r="B418"/>
      <c r="C418"/>
      <c r="D418"/>
      <c r="E418"/>
      <c r="F418"/>
      <c r="G418"/>
      <c r="H418"/>
      <c r="I418"/>
      <c r="J418"/>
      <c r="K418"/>
      <c r="L418"/>
      <c r="M418"/>
      <c r="N418"/>
      <c r="O418"/>
      <c r="P418"/>
      <c r="Q418"/>
      <c r="R418"/>
      <c r="S418"/>
      <c r="T418" s="374"/>
      <c r="U418" s="374"/>
      <c r="V418" s="374"/>
      <c r="W418" s="96"/>
      <c r="X418" s="96"/>
      <c r="Y418" s="96"/>
    </row>
    <row r="419" spans="1:25">
      <c r="A419"/>
      <c r="B419"/>
      <c r="C419"/>
      <c r="D419"/>
      <c r="E419"/>
      <c r="F419"/>
      <c r="G419"/>
      <c r="H419"/>
      <c r="I419"/>
      <c r="J419"/>
      <c r="K419"/>
      <c r="L419"/>
      <c r="M419"/>
      <c r="N419"/>
      <c r="O419"/>
      <c r="P419"/>
      <c r="Q419"/>
      <c r="R419"/>
      <c r="S419"/>
      <c r="T419" s="374"/>
      <c r="U419" s="374"/>
      <c r="V419" s="374"/>
      <c r="W419" s="96"/>
      <c r="X419" s="96"/>
      <c r="Y419" s="96"/>
    </row>
    <row r="420" spans="1:25">
      <c r="A420"/>
      <c r="B420"/>
      <c r="C420"/>
      <c r="D420"/>
      <c r="E420"/>
      <c r="F420"/>
      <c r="G420"/>
      <c r="H420"/>
      <c r="I420"/>
      <c r="J420"/>
      <c r="K420"/>
      <c r="L420"/>
      <c r="M420"/>
      <c r="N420"/>
      <c r="O420"/>
      <c r="P420"/>
      <c r="Q420"/>
      <c r="R420"/>
      <c r="S420"/>
      <c r="T420" s="374"/>
      <c r="U420" s="374"/>
      <c r="V420" s="374"/>
      <c r="W420" s="96"/>
      <c r="X420" s="96"/>
      <c r="Y420" s="96"/>
    </row>
    <row r="421" spans="1:25">
      <c r="A421"/>
      <c r="B421"/>
      <c r="C421"/>
      <c r="D421"/>
      <c r="E421"/>
      <c r="F421"/>
      <c r="G421"/>
      <c r="H421"/>
      <c r="I421"/>
      <c r="J421"/>
      <c r="K421"/>
      <c r="L421"/>
      <c r="M421"/>
      <c r="N421"/>
      <c r="O421"/>
      <c r="P421"/>
      <c r="Q421"/>
      <c r="R421"/>
      <c r="S421"/>
      <c r="T421" s="374"/>
      <c r="U421" s="374"/>
      <c r="V421" s="374"/>
      <c r="W421" s="96"/>
      <c r="X421" s="96"/>
      <c r="Y421" s="96"/>
    </row>
    <row r="422" spans="1:25">
      <c r="A422"/>
      <c r="B422"/>
      <c r="C422"/>
      <c r="D422"/>
      <c r="E422"/>
      <c r="F422"/>
      <c r="G422"/>
      <c r="H422"/>
      <c r="I422"/>
      <c r="J422"/>
      <c r="K422"/>
      <c r="L422"/>
      <c r="M422"/>
      <c r="N422"/>
      <c r="O422"/>
      <c r="P422"/>
      <c r="Q422"/>
      <c r="R422"/>
      <c r="S422"/>
      <c r="T422" s="374"/>
      <c r="U422" s="374"/>
      <c r="V422" s="374"/>
      <c r="W422" s="96"/>
      <c r="X422" s="96"/>
      <c r="Y422" s="96"/>
    </row>
    <row r="423" spans="1:25">
      <c r="A423"/>
      <c r="B423"/>
      <c r="C423"/>
      <c r="D423"/>
      <c r="E423"/>
      <c r="F423"/>
      <c r="G423"/>
      <c r="H423"/>
      <c r="I423"/>
      <c r="J423"/>
      <c r="K423"/>
      <c r="L423"/>
      <c r="M423"/>
      <c r="N423"/>
      <c r="O423"/>
      <c r="P423"/>
      <c r="Q423"/>
      <c r="R423"/>
      <c r="S423"/>
      <c r="T423" s="374"/>
      <c r="U423" s="374"/>
      <c r="V423" s="374"/>
      <c r="W423" s="96"/>
      <c r="X423" s="96"/>
      <c r="Y423" s="96"/>
    </row>
    <row r="424" spans="1:25">
      <c r="A424"/>
      <c r="B424"/>
      <c r="C424"/>
      <c r="D424"/>
      <c r="E424"/>
      <c r="F424"/>
      <c r="G424"/>
      <c r="H424"/>
      <c r="I424"/>
      <c r="J424"/>
      <c r="K424"/>
      <c r="L424"/>
      <c r="M424"/>
      <c r="N424"/>
      <c r="O424"/>
      <c r="P424"/>
      <c r="Q424"/>
      <c r="R424"/>
      <c r="S424"/>
      <c r="T424" s="374"/>
      <c r="U424" s="374"/>
      <c r="V424" s="374"/>
      <c r="W424" s="96"/>
      <c r="X424" s="96"/>
      <c r="Y424" s="96"/>
    </row>
    <row r="425" spans="1:25">
      <c r="A425"/>
      <c r="B425"/>
      <c r="C425"/>
      <c r="D425"/>
      <c r="E425"/>
      <c r="F425"/>
      <c r="G425"/>
      <c r="H425"/>
      <c r="I425"/>
      <c r="J425"/>
      <c r="K425"/>
      <c r="L425"/>
      <c r="M425"/>
      <c r="N425"/>
      <c r="O425"/>
      <c r="P425"/>
      <c r="Q425"/>
      <c r="R425"/>
      <c r="S425"/>
      <c r="T425" s="374"/>
      <c r="U425" s="374"/>
      <c r="V425" s="374"/>
      <c r="W425" s="96"/>
      <c r="X425" s="96"/>
      <c r="Y425" s="96"/>
    </row>
    <row r="426" spans="1:25">
      <c r="A426"/>
      <c r="B426"/>
      <c r="C426"/>
      <c r="D426"/>
      <c r="E426"/>
      <c r="F426"/>
      <c r="G426"/>
      <c r="H426"/>
      <c r="I426"/>
      <c r="J426"/>
      <c r="K426"/>
      <c r="L426"/>
      <c r="M426"/>
      <c r="N426"/>
      <c r="O426"/>
      <c r="P426"/>
      <c r="Q426"/>
      <c r="R426"/>
      <c r="S426"/>
      <c r="T426" s="374"/>
      <c r="U426" s="374"/>
      <c r="V426" s="374"/>
      <c r="W426" s="96"/>
      <c r="X426" s="96"/>
      <c r="Y426" s="96"/>
    </row>
    <row r="427" spans="1:25">
      <c r="A427"/>
      <c r="B427"/>
      <c r="C427"/>
      <c r="D427"/>
      <c r="E427"/>
      <c r="F427"/>
      <c r="G427"/>
      <c r="H427"/>
      <c r="I427"/>
      <c r="J427"/>
      <c r="K427"/>
      <c r="L427"/>
      <c r="M427"/>
      <c r="N427"/>
      <c r="O427"/>
      <c r="P427"/>
      <c r="Q427"/>
      <c r="R427"/>
      <c r="S427"/>
      <c r="T427" s="374"/>
      <c r="U427" s="374"/>
      <c r="V427" s="374"/>
      <c r="W427" s="96"/>
      <c r="X427" s="96"/>
      <c r="Y427" s="96"/>
    </row>
    <row r="428" spans="1:25">
      <c r="A428"/>
      <c r="B428"/>
      <c r="C428"/>
      <c r="D428"/>
      <c r="E428"/>
      <c r="F428"/>
      <c r="G428"/>
      <c r="H428"/>
      <c r="I428"/>
      <c r="J428"/>
      <c r="K428"/>
      <c r="L428"/>
      <c r="M428"/>
      <c r="N428"/>
      <c r="O428"/>
      <c r="P428"/>
      <c r="Q428"/>
      <c r="R428"/>
      <c r="S428"/>
      <c r="T428" s="374"/>
      <c r="U428" s="374"/>
      <c r="V428" s="374"/>
      <c r="W428" s="96"/>
      <c r="X428" s="96"/>
      <c r="Y428" s="96"/>
    </row>
    <row r="429" spans="1:25">
      <c r="A429"/>
      <c r="B429"/>
      <c r="C429"/>
      <c r="D429"/>
      <c r="E429"/>
      <c r="F429"/>
      <c r="G429"/>
      <c r="H429"/>
      <c r="I429"/>
      <c r="J429"/>
      <c r="K429"/>
      <c r="L429"/>
      <c r="M429"/>
      <c r="N429"/>
      <c r="O429"/>
      <c r="P429"/>
      <c r="Q429"/>
      <c r="R429"/>
      <c r="S429"/>
      <c r="T429" s="374"/>
      <c r="U429" s="374"/>
      <c r="V429" s="374"/>
      <c r="W429" s="96"/>
      <c r="X429" s="96"/>
      <c r="Y429" s="96"/>
    </row>
    <row r="430" spans="1:25">
      <c r="A430"/>
      <c r="B430"/>
      <c r="C430"/>
      <c r="D430"/>
      <c r="E430"/>
      <c r="F430"/>
      <c r="G430"/>
      <c r="H430"/>
      <c r="I430"/>
      <c r="J430"/>
      <c r="K430"/>
      <c r="L430"/>
      <c r="M430"/>
      <c r="N430"/>
      <c r="O430"/>
      <c r="P430"/>
      <c r="Q430"/>
      <c r="R430"/>
      <c r="S430"/>
      <c r="T430" s="374"/>
      <c r="U430" s="374"/>
      <c r="V430" s="374"/>
      <c r="W430" s="96"/>
      <c r="X430" s="96"/>
      <c r="Y430" s="96"/>
    </row>
    <row r="431" spans="1:25">
      <c r="A431"/>
      <c r="B431"/>
      <c r="C431"/>
      <c r="D431"/>
      <c r="E431"/>
      <c r="F431"/>
      <c r="G431"/>
      <c r="H431"/>
      <c r="I431"/>
      <c r="J431"/>
      <c r="K431"/>
      <c r="L431"/>
      <c r="M431"/>
      <c r="N431"/>
      <c r="O431"/>
      <c r="P431"/>
      <c r="Q431"/>
      <c r="R431"/>
      <c r="S431"/>
      <c r="T431" s="374"/>
      <c r="U431" s="374"/>
      <c r="V431" s="374"/>
      <c r="W431" s="96"/>
      <c r="X431" s="96"/>
      <c r="Y431" s="96"/>
    </row>
    <row r="432" spans="1:25">
      <c r="A432"/>
      <c r="B432"/>
      <c r="C432"/>
      <c r="D432"/>
      <c r="E432"/>
      <c r="F432"/>
      <c r="G432"/>
      <c r="H432"/>
      <c r="I432"/>
      <c r="J432"/>
      <c r="K432"/>
      <c r="L432"/>
      <c r="M432"/>
      <c r="N432"/>
      <c r="O432"/>
      <c r="P432"/>
      <c r="Q432"/>
      <c r="R432"/>
      <c r="S432"/>
      <c r="T432" s="374"/>
      <c r="U432" s="374"/>
      <c r="V432" s="374"/>
      <c r="W432" s="96"/>
      <c r="X432" s="96"/>
      <c r="Y432" s="96"/>
    </row>
    <row r="433" spans="1:25">
      <c r="A433"/>
      <c r="B433"/>
      <c r="C433"/>
      <c r="D433"/>
      <c r="E433"/>
      <c r="F433"/>
      <c r="G433"/>
      <c r="H433"/>
      <c r="I433"/>
      <c r="J433"/>
      <c r="K433"/>
      <c r="L433"/>
      <c r="M433"/>
      <c r="N433"/>
      <c r="O433"/>
      <c r="P433"/>
      <c r="Q433"/>
      <c r="R433"/>
      <c r="S433"/>
      <c r="T433" s="374"/>
      <c r="U433" s="374"/>
      <c r="V433" s="374"/>
      <c r="W433" s="96"/>
      <c r="X433" s="96"/>
      <c r="Y433" s="96"/>
    </row>
    <row r="434" spans="1:25">
      <c r="A434"/>
      <c r="B434"/>
      <c r="C434"/>
      <c r="D434"/>
      <c r="E434"/>
      <c r="F434"/>
      <c r="G434"/>
      <c r="H434"/>
      <c r="I434"/>
      <c r="J434"/>
      <c r="K434"/>
      <c r="L434"/>
      <c r="M434"/>
      <c r="N434"/>
      <c r="O434"/>
      <c r="P434"/>
      <c r="Q434"/>
      <c r="R434"/>
      <c r="S434"/>
      <c r="T434" s="374"/>
      <c r="U434" s="374"/>
      <c r="V434" s="374"/>
      <c r="W434" s="96"/>
      <c r="X434" s="96"/>
      <c r="Y434" s="96"/>
    </row>
    <row r="435" spans="1:25">
      <c r="A435"/>
      <c r="B435"/>
      <c r="C435"/>
      <c r="D435"/>
      <c r="E435"/>
      <c r="F435"/>
      <c r="G435"/>
      <c r="H435"/>
      <c r="I435"/>
      <c r="J435"/>
      <c r="K435"/>
      <c r="L435"/>
      <c r="M435"/>
      <c r="N435"/>
      <c r="O435"/>
      <c r="P435"/>
      <c r="Q435"/>
      <c r="R435"/>
      <c r="S435"/>
      <c r="T435" s="374"/>
      <c r="U435" s="374"/>
      <c r="V435" s="374"/>
      <c r="W435" s="96"/>
      <c r="X435" s="96"/>
      <c r="Y435" s="96"/>
    </row>
    <row r="436" spans="1:25">
      <c r="A436"/>
      <c r="B436"/>
      <c r="C436"/>
      <c r="D436"/>
      <c r="E436"/>
      <c r="F436"/>
      <c r="G436"/>
      <c r="H436"/>
      <c r="I436"/>
      <c r="J436"/>
      <c r="K436"/>
      <c r="L436"/>
      <c r="M436"/>
      <c r="N436"/>
      <c r="O436"/>
      <c r="P436"/>
      <c r="Q436"/>
      <c r="R436"/>
      <c r="S436"/>
      <c r="T436" s="374"/>
      <c r="U436" s="374"/>
      <c r="V436" s="374"/>
      <c r="W436" s="96"/>
      <c r="X436" s="96"/>
      <c r="Y436" s="96"/>
    </row>
    <row r="437" spans="1:25">
      <c r="A437"/>
      <c r="B437"/>
      <c r="C437"/>
      <c r="D437"/>
      <c r="E437"/>
      <c r="F437"/>
      <c r="G437"/>
      <c r="H437"/>
      <c r="I437"/>
      <c r="J437"/>
      <c r="K437"/>
      <c r="L437"/>
      <c r="M437"/>
      <c r="N437"/>
      <c r="O437"/>
      <c r="P437"/>
      <c r="Q437"/>
      <c r="R437"/>
      <c r="S437"/>
      <c r="T437" s="374"/>
      <c r="U437" s="374"/>
      <c r="V437" s="374"/>
      <c r="W437" s="96"/>
      <c r="X437" s="96"/>
      <c r="Y437" s="96"/>
    </row>
    <row r="438" spans="1:25">
      <c r="A438"/>
      <c r="B438"/>
      <c r="C438"/>
      <c r="D438"/>
      <c r="E438"/>
      <c r="F438"/>
      <c r="G438"/>
      <c r="H438"/>
      <c r="I438"/>
      <c r="J438"/>
      <c r="K438"/>
      <c r="L438"/>
      <c r="M438"/>
      <c r="N438"/>
      <c r="O438"/>
      <c r="P438"/>
      <c r="Q438"/>
      <c r="R438"/>
      <c r="S438"/>
      <c r="T438" s="374"/>
      <c r="U438" s="374"/>
      <c r="V438" s="374"/>
      <c r="W438" s="96"/>
      <c r="X438" s="96"/>
      <c r="Y438" s="96"/>
    </row>
    <row r="439" spans="1:25">
      <c r="A439"/>
      <c r="B439"/>
      <c r="C439"/>
      <c r="D439"/>
      <c r="E439"/>
      <c r="F439"/>
      <c r="G439"/>
      <c r="H439"/>
      <c r="I439"/>
      <c r="J439"/>
      <c r="K439"/>
      <c r="L439"/>
      <c r="M439"/>
      <c r="N439"/>
      <c r="O439"/>
      <c r="P439"/>
      <c r="Q439"/>
      <c r="R439"/>
      <c r="S439"/>
      <c r="T439" s="374"/>
      <c r="U439" s="374"/>
      <c r="V439" s="374"/>
      <c r="W439" s="96"/>
      <c r="X439" s="96"/>
      <c r="Y439" s="96"/>
    </row>
    <row r="440" spans="1:25">
      <c r="A440"/>
      <c r="B440"/>
      <c r="C440"/>
      <c r="D440"/>
      <c r="E440"/>
      <c r="F440"/>
      <c r="G440"/>
      <c r="H440"/>
      <c r="I440"/>
      <c r="J440"/>
      <c r="K440"/>
      <c r="L440"/>
      <c r="M440"/>
      <c r="N440"/>
      <c r="O440"/>
      <c r="P440"/>
      <c r="Q440"/>
      <c r="R440"/>
      <c r="S440"/>
      <c r="T440" s="374"/>
      <c r="U440" s="374"/>
      <c r="V440" s="374"/>
      <c r="W440" s="96"/>
      <c r="X440" s="96"/>
      <c r="Y440" s="96"/>
    </row>
    <row r="441" spans="1:25">
      <c r="A441"/>
      <c r="B441"/>
      <c r="C441"/>
      <c r="D441"/>
      <c r="E441"/>
      <c r="F441"/>
      <c r="G441"/>
      <c r="H441"/>
      <c r="I441"/>
      <c r="J441"/>
      <c r="K441"/>
      <c r="L441"/>
      <c r="M441"/>
      <c r="N441"/>
      <c r="O441"/>
      <c r="P441"/>
      <c r="Q441"/>
      <c r="R441"/>
      <c r="S441"/>
      <c r="T441" s="374"/>
      <c r="U441" s="374"/>
      <c r="V441" s="374"/>
      <c r="W441" s="96"/>
      <c r="X441" s="96"/>
      <c r="Y441" s="96"/>
    </row>
    <row r="442" spans="1:25">
      <c r="A442"/>
      <c r="B442"/>
      <c r="C442"/>
      <c r="D442"/>
      <c r="E442"/>
      <c r="F442"/>
      <c r="G442"/>
      <c r="H442"/>
      <c r="I442"/>
      <c r="J442"/>
      <c r="K442"/>
      <c r="L442"/>
      <c r="M442"/>
      <c r="N442"/>
      <c r="O442"/>
      <c r="P442"/>
      <c r="Q442"/>
      <c r="R442"/>
      <c r="S442"/>
      <c r="T442" s="374"/>
      <c r="U442" s="374"/>
      <c r="V442" s="374"/>
      <c r="W442" s="96"/>
      <c r="X442" s="96"/>
      <c r="Y442" s="96"/>
    </row>
    <row r="443" spans="1:25">
      <c r="A443"/>
      <c r="B443"/>
      <c r="C443"/>
      <c r="D443"/>
      <c r="E443"/>
      <c r="F443"/>
      <c r="G443"/>
      <c r="H443"/>
      <c r="I443"/>
      <c r="J443"/>
      <c r="K443"/>
      <c r="L443"/>
      <c r="M443"/>
      <c r="N443"/>
      <c r="O443"/>
      <c r="P443"/>
      <c r="Q443"/>
      <c r="R443"/>
      <c r="S443"/>
      <c r="T443" s="374"/>
      <c r="U443" s="374"/>
      <c r="V443" s="374"/>
      <c r="W443" s="96"/>
      <c r="X443" s="96"/>
      <c r="Y443" s="96"/>
    </row>
    <row r="444" spans="1:25">
      <c r="A444"/>
      <c r="B444"/>
      <c r="C444"/>
      <c r="D444"/>
      <c r="E444"/>
      <c r="F444"/>
      <c r="G444"/>
      <c r="H444"/>
      <c r="I444"/>
      <c r="J444"/>
      <c r="K444"/>
      <c r="L444"/>
      <c r="M444"/>
      <c r="N444"/>
      <c r="O444"/>
      <c r="P444"/>
      <c r="Q444"/>
      <c r="R444"/>
      <c r="S444"/>
      <c r="T444" s="374"/>
      <c r="U444" s="374"/>
      <c r="V444" s="374"/>
      <c r="W444" s="96"/>
      <c r="X444" s="96"/>
      <c r="Y444" s="96"/>
    </row>
    <row r="445" spans="1:25">
      <c r="A445"/>
      <c r="B445"/>
      <c r="C445"/>
      <c r="D445"/>
      <c r="E445"/>
      <c r="F445"/>
      <c r="G445"/>
      <c r="H445"/>
      <c r="I445"/>
      <c r="J445"/>
      <c r="K445"/>
      <c r="L445"/>
      <c r="M445"/>
      <c r="N445"/>
      <c r="O445"/>
      <c r="P445"/>
      <c r="Q445"/>
      <c r="R445"/>
      <c r="S445"/>
      <c r="T445" s="374"/>
      <c r="U445" s="374"/>
      <c r="V445" s="374"/>
      <c r="W445" s="96"/>
      <c r="X445" s="96"/>
      <c r="Y445" s="96"/>
    </row>
    <row r="446" spans="1:25">
      <c r="A446"/>
      <c r="B446"/>
      <c r="C446"/>
      <c r="D446"/>
      <c r="E446"/>
      <c r="F446"/>
      <c r="G446"/>
      <c r="H446"/>
      <c r="I446"/>
      <c r="J446"/>
      <c r="K446"/>
      <c r="L446"/>
      <c r="M446"/>
      <c r="N446"/>
      <c r="O446"/>
      <c r="P446"/>
      <c r="Q446"/>
      <c r="R446"/>
      <c r="S446"/>
      <c r="T446" s="374"/>
      <c r="U446" s="374"/>
      <c r="V446" s="374"/>
      <c r="W446" s="96"/>
      <c r="X446" s="96"/>
      <c r="Y446" s="96"/>
    </row>
    <row r="447" spans="1:25">
      <c r="A447"/>
      <c r="B447"/>
      <c r="C447"/>
      <c r="D447"/>
      <c r="E447"/>
      <c r="F447"/>
      <c r="G447"/>
      <c r="H447"/>
      <c r="I447"/>
      <c r="J447"/>
      <c r="K447"/>
      <c r="L447"/>
      <c r="M447"/>
      <c r="N447"/>
      <c r="O447"/>
      <c r="P447"/>
      <c r="Q447"/>
      <c r="R447"/>
      <c r="S447"/>
      <c r="T447" s="374"/>
      <c r="U447" s="374"/>
      <c r="V447" s="374"/>
      <c r="W447" s="96"/>
      <c r="X447" s="96"/>
      <c r="Y447" s="96"/>
    </row>
    <row r="448" spans="1:25">
      <c r="A448"/>
      <c r="B448"/>
      <c r="C448"/>
      <c r="D448"/>
      <c r="E448"/>
      <c r="F448"/>
      <c r="G448"/>
      <c r="H448"/>
      <c r="I448"/>
      <c r="J448"/>
      <c r="K448"/>
      <c r="L448"/>
      <c r="M448"/>
      <c r="N448"/>
      <c r="O448"/>
      <c r="P448"/>
      <c r="Q448"/>
      <c r="R448"/>
      <c r="S448"/>
      <c r="T448" s="374"/>
      <c r="U448" s="374"/>
      <c r="V448" s="374"/>
      <c r="W448" s="96"/>
      <c r="X448" s="96"/>
      <c r="Y448" s="96"/>
    </row>
    <row r="449" spans="1:25">
      <c r="A449"/>
      <c r="B449"/>
      <c r="C449"/>
      <c r="D449"/>
      <c r="E449"/>
      <c r="F449"/>
      <c r="G449"/>
      <c r="H449"/>
      <c r="I449"/>
      <c r="J449"/>
      <c r="K449"/>
      <c r="L449"/>
      <c r="M449"/>
      <c r="N449"/>
      <c r="O449"/>
      <c r="P449"/>
      <c r="Q449"/>
      <c r="R449"/>
      <c r="S449"/>
      <c r="T449" s="374"/>
      <c r="U449" s="374"/>
      <c r="V449" s="374"/>
      <c r="W449" s="96"/>
      <c r="X449" s="96"/>
      <c r="Y449" s="96"/>
    </row>
    <row r="450" spans="1:25">
      <c r="A450"/>
      <c r="B450"/>
      <c r="C450"/>
      <c r="D450"/>
      <c r="E450"/>
      <c r="F450"/>
      <c r="G450"/>
      <c r="H450"/>
      <c r="I450"/>
      <c r="J450"/>
      <c r="K450"/>
      <c r="L450"/>
      <c r="M450"/>
      <c r="N450"/>
      <c r="O450"/>
      <c r="P450"/>
      <c r="Q450"/>
      <c r="R450"/>
      <c r="S450"/>
      <c r="T450" s="374"/>
      <c r="U450" s="374"/>
      <c r="V450" s="374"/>
      <c r="W450" s="96"/>
      <c r="X450" s="96"/>
      <c r="Y450" s="96"/>
    </row>
    <row r="451" spans="1:25">
      <c r="A451"/>
      <c r="B451"/>
      <c r="C451"/>
      <c r="D451"/>
      <c r="E451"/>
      <c r="F451"/>
      <c r="G451"/>
      <c r="H451"/>
      <c r="I451"/>
      <c r="J451"/>
      <c r="K451"/>
      <c r="L451"/>
      <c r="M451"/>
      <c r="N451"/>
      <c r="O451"/>
      <c r="P451"/>
      <c r="Q451"/>
      <c r="R451"/>
      <c r="S451"/>
      <c r="T451" s="374"/>
      <c r="U451" s="374"/>
      <c r="V451" s="374"/>
      <c r="W451" s="96"/>
      <c r="X451" s="96"/>
      <c r="Y451" s="96"/>
    </row>
    <row r="452" spans="1:25">
      <c r="A452"/>
      <c r="B452"/>
      <c r="C452"/>
      <c r="D452"/>
      <c r="E452"/>
      <c r="F452"/>
      <c r="G452"/>
      <c r="H452"/>
      <c r="I452"/>
      <c r="J452"/>
      <c r="K452"/>
      <c r="L452"/>
      <c r="M452"/>
      <c r="N452"/>
      <c r="O452"/>
      <c r="P452"/>
      <c r="Q452"/>
      <c r="R452"/>
      <c r="S452"/>
      <c r="T452" s="374"/>
      <c r="U452" s="374"/>
      <c r="V452" s="374"/>
      <c r="W452" s="96"/>
      <c r="X452" s="96"/>
      <c r="Y452" s="96"/>
    </row>
    <row r="453" spans="1:25">
      <c r="A453"/>
      <c r="B453"/>
      <c r="C453"/>
      <c r="D453"/>
      <c r="E453"/>
      <c r="F453"/>
      <c r="G453"/>
      <c r="H453"/>
      <c r="I453"/>
      <c r="J453"/>
      <c r="K453"/>
      <c r="L453"/>
      <c r="M453"/>
      <c r="N453"/>
      <c r="O453"/>
      <c r="P453"/>
      <c r="Q453"/>
      <c r="R453"/>
      <c r="S453"/>
      <c r="T453" s="374"/>
      <c r="U453" s="374"/>
      <c r="V453" s="374"/>
      <c r="W453" s="96"/>
      <c r="X453" s="96"/>
      <c r="Y453" s="96"/>
    </row>
    <row r="454" spans="1:25">
      <c r="A454"/>
      <c r="B454"/>
      <c r="C454"/>
      <c r="D454"/>
      <c r="E454"/>
      <c r="F454"/>
      <c r="G454"/>
      <c r="H454"/>
      <c r="I454"/>
      <c r="J454"/>
      <c r="K454"/>
      <c r="L454"/>
      <c r="M454"/>
      <c r="N454"/>
      <c r="O454"/>
      <c r="P454"/>
      <c r="Q454"/>
      <c r="R454"/>
      <c r="S454"/>
      <c r="T454" s="374"/>
      <c r="U454" s="374"/>
      <c r="V454" s="374"/>
      <c r="W454" s="96"/>
      <c r="X454" s="96"/>
      <c r="Y454" s="96"/>
    </row>
    <row r="455" spans="1:25">
      <c r="A455"/>
      <c r="B455"/>
      <c r="C455"/>
      <c r="D455"/>
      <c r="E455"/>
      <c r="F455"/>
      <c r="G455"/>
      <c r="H455"/>
      <c r="I455"/>
      <c r="J455"/>
      <c r="K455"/>
      <c r="L455"/>
      <c r="M455"/>
      <c r="N455"/>
      <c r="O455"/>
      <c r="P455"/>
      <c r="Q455"/>
      <c r="R455"/>
      <c r="S455"/>
      <c r="T455" s="374"/>
      <c r="U455" s="374"/>
      <c r="V455" s="374"/>
      <c r="W455" s="96"/>
      <c r="X455" s="96"/>
      <c r="Y455" s="96"/>
    </row>
    <row r="456" spans="1:25">
      <c r="A456"/>
      <c r="B456"/>
      <c r="C456"/>
      <c r="D456"/>
      <c r="E456"/>
      <c r="F456"/>
      <c r="G456"/>
      <c r="H456"/>
      <c r="I456"/>
      <c r="J456"/>
      <c r="K456"/>
      <c r="L456"/>
      <c r="M456"/>
      <c r="N456"/>
      <c r="O456"/>
      <c r="P456"/>
      <c r="Q456"/>
      <c r="R456"/>
      <c r="S456"/>
      <c r="T456" s="374"/>
      <c r="U456" s="374"/>
      <c r="V456" s="374"/>
      <c r="W456" s="96"/>
      <c r="X456" s="96"/>
      <c r="Y456" s="96"/>
    </row>
    <row r="457" spans="1:25">
      <c r="A457"/>
      <c r="B457"/>
      <c r="C457"/>
      <c r="D457"/>
      <c r="E457"/>
      <c r="F457"/>
      <c r="G457"/>
      <c r="H457"/>
      <c r="I457"/>
      <c r="J457"/>
      <c r="K457"/>
      <c r="L457"/>
      <c r="M457"/>
      <c r="N457"/>
      <c r="O457"/>
      <c r="P457"/>
      <c r="Q457"/>
      <c r="R457"/>
      <c r="S457"/>
      <c r="T457" s="374"/>
      <c r="U457" s="374"/>
      <c r="V457" s="374"/>
      <c r="W457" s="96"/>
      <c r="X457" s="96"/>
      <c r="Y457" s="96"/>
    </row>
    <row r="458" spans="1:25">
      <c r="A458"/>
      <c r="B458"/>
      <c r="C458"/>
      <c r="D458"/>
      <c r="E458"/>
      <c r="F458"/>
      <c r="G458"/>
      <c r="H458"/>
      <c r="I458"/>
      <c r="J458"/>
      <c r="K458"/>
      <c r="L458"/>
      <c r="M458"/>
      <c r="N458"/>
      <c r="O458"/>
      <c r="P458"/>
      <c r="Q458"/>
      <c r="R458"/>
      <c r="S458"/>
      <c r="T458" s="374"/>
      <c r="U458" s="374"/>
      <c r="V458" s="374"/>
      <c r="W458" s="96"/>
      <c r="X458" s="96"/>
      <c r="Y458" s="96"/>
    </row>
    <row r="459" spans="1:25">
      <c r="A459"/>
      <c r="B459"/>
      <c r="C459"/>
      <c r="D459"/>
      <c r="E459"/>
      <c r="F459"/>
      <c r="G459"/>
      <c r="H459"/>
      <c r="I459"/>
      <c r="J459"/>
      <c r="K459"/>
      <c r="L459"/>
      <c r="M459"/>
      <c r="N459"/>
      <c r="O459"/>
      <c r="P459"/>
      <c r="Q459"/>
      <c r="R459"/>
      <c r="S459"/>
      <c r="T459" s="374"/>
      <c r="U459" s="374"/>
      <c r="V459" s="374"/>
      <c r="W459" s="96"/>
      <c r="X459" s="96"/>
      <c r="Y459" s="96"/>
    </row>
    <row r="460" spans="1:25">
      <c r="A460"/>
      <c r="B460"/>
      <c r="C460"/>
      <c r="D460"/>
      <c r="E460"/>
      <c r="F460"/>
      <c r="G460"/>
      <c r="H460"/>
      <c r="I460"/>
      <c r="J460"/>
      <c r="K460"/>
      <c r="L460"/>
      <c r="M460"/>
      <c r="N460"/>
      <c r="O460"/>
      <c r="P460"/>
      <c r="Q460"/>
      <c r="R460"/>
      <c r="S460"/>
      <c r="T460" s="374"/>
      <c r="U460" s="374"/>
      <c r="V460" s="374"/>
      <c r="W460" s="96"/>
      <c r="X460" s="96"/>
      <c r="Y460" s="96"/>
    </row>
    <row r="461" spans="1:25">
      <c r="A461"/>
      <c r="B461"/>
      <c r="C461"/>
      <c r="D461"/>
      <c r="E461"/>
      <c r="F461"/>
      <c r="G461"/>
      <c r="H461"/>
      <c r="I461"/>
      <c r="J461"/>
      <c r="K461"/>
      <c r="L461"/>
      <c r="M461"/>
      <c r="N461"/>
      <c r="O461"/>
      <c r="P461"/>
      <c r="Q461"/>
      <c r="R461"/>
      <c r="S461"/>
      <c r="T461" s="374"/>
      <c r="U461" s="374"/>
      <c r="V461" s="374"/>
      <c r="W461" s="96"/>
      <c r="X461" s="96"/>
      <c r="Y461" s="96"/>
    </row>
    <row r="462" spans="1:25">
      <c r="A462"/>
      <c r="B462"/>
      <c r="C462"/>
      <c r="D462"/>
      <c r="E462"/>
      <c r="F462"/>
      <c r="G462"/>
      <c r="H462"/>
      <c r="I462"/>
      <c r="J462"/>
      <c r="K462"/>
      <c r="L462"/>
      <c r="M462"/>
      <c r="N462"/>
      <c r="O462"/>
      <c r="P462"/>
      <c r="Q462"/>
      <c r="R462"/>
      <c r="S462"/>
      <c r="T462" s="374"/>
      <c r="U462" s="374"/>
      <c r="V462" s="374"/>
      <c r="W462" s="96"/>
      <c r="X462" s="96"/>
      <c r="Y462" s="96"/>
    </row>
    <row r="463" spans="1:25">
      <c r="A463"/>
      <c r="B463"/>
      <c r="C463"/>
      <c r="D463"/>
      <c r="E463"/>
      <c r="F463"/>
      <c r="G463"/>
      <c r="H463"/>
      <c r="I463"/>
      <c r="J463"/>
      <c r="K463"/>
      <c r="L463"/>
      <c r="M463"/>
      <c r="N463"/>
      <c r="O463"/>
      <c r="P463"/>
      <c r="Q463"/>
      <c r="R463"/>
      <c r="S463"/>
      <c r="T463" s="374"/>
      <c r="U463" s="374"/>
      <c r="V463" s="374"/>
      <c r="W463" s="96"/>
      <c r="X463" s="96"/>
      <c r="Y463" s="96"/>
    </row>
    <row r="464" spans="1:25">
      <c r="A464"/>
      <c r="B464"/>
      <c r="C464"/>
      <c r="D464"/>
      <c r="E464"/>
      <c r="F464"/>
      <c r="G464"/>
      <c r="H464"/>
      <c r="I464"/>
      <c r="J464"/>
      <c r="K464"/>
      <c r="L464"/>
      <c r="M464"/>
      <c r="N464"/>
      <c r="O464"/>
      <c r="P464"/>
      <c r="Q464"/>
      <c r="R464"/>
      <c r="S464"/>
      <c r="T464" s="374"/>
      <c r="U464" s="374"/>
      <c r="V464" s="374"/>
      <c r="W464" s="96"/>
      <c r="X464" s="96"/>
      <c r="Y464" s="96"/>
    </row>
    <row r="465" spans="1:25">
      <c r="A465"/>
      <c r="B465"/>
      <c r="C465"/>
      <c r="D465"/>
      <c r="E465"/>
      <c r="F465"/>
      <c r="G465"/>
      <c r="H465"/>
      <c r="I465"/>
      <c r="J465"/>
      <c r="K465"/>
      <c r="L465"/>
      <c r="M465"/>
      <c r="N465"/>
      <c r="O465"/>
      <c r="P465"/>
      <c r="Q465"/>
      <c r="R465"/>
      <c r="S465"/>
      <c r="T465" s="374"/>
      <c r="U465" s="374"/>
      <c r="V465" s="374"/>
      <c r="W465" s="96"/>
      <c r="X465" s="96"/>
      <c r="Y465" s="96"/>
    </row>
    <row r="466" spans="1:25">
      <c r="A466"/>
      <c r="B466"/>
      <c r="C466"/>
      <c r="D466"/>
      <c r="E466"/>
      <c r="F466"/>
      <c r="G466"/>
      <c r="H466"/>
      <c r="I466"/>
      <c r="J466"/>
      <c r="K466"/>
      <c r="L466"/>
      <c r="M466"/>
      <c r="N466"/>
      <c r="O466"/>
      <c r="P466"/>
      <c r="Q466"/>
      <c r="R466"/>
      <c r="S466"/>
      <c r="T466" s="374"/>
      <c r="U466" s="374"/>
      <c r="V466" s="374"/>
      <c r="W466" s="96"/>
      <c r="X466" s="96"/>
      <c r="Y466" s="96"/>
    </row>
    <row r="467" spans="1:25">
      <c r="A467"/>
      <c r="B467"/>
      <c r="C467"/>
      <c r="D467"/>
      <c r="E467"/>
      <c r="F467"/>
      <c r="G467"/>
      <c r="H467"/>
      <c r="I467"/>
      <c r="J467"/>
      <c r="K467"/>
      <c r="L467"/>
      <c r="M467"/>
      <c r="N467"/>
      <c r="O467"/>
      <c r="P467"/>
      <c r="Q467"/>
      <c r="R467"/>
      <c r="S467"/>
      <c r="T467" s="374"/>
      <c r="U467" s="374"/>
      <c r="V467" s="374"/>
      <c r="W467" s="96"/>
      <c r="X467" s="96"/>
      <c r="Y467" s="96"/>
    </row>
    <row r="468" spans="1:25">
      <c r="A468"/>
      <c r="B468"/>
      <c r="C468"/>
      <c r="D468"/>
      <c r="E468"/>
      <c r="F468"/>
      <c r="G468"/>
      <c r="H468"/>
      <c r="I468"/>
      <c r="J468"/>
      <c r="K468"/>
      <c r="L468"/>
      <c r="M468"/>
      <c r="N468"/>
      <c r="O468"/>
      <c r="P468"/>
      <c r="Q468"/>
      <c r="R468"/>
      <c r="S468"/>
      <c r="T468" s="374"/>
      <c r="U468" s="374"/>
      <c r="V468" s="374"/>
      <c r="W468" s="96"/>
      <c r="X468" s="96"/>
      <c r="Y468" s="96"/>
    </row>
    <row r="469" spans="1:25">
      <c r="A469"/>
      <c r="B469"/>
      <c r="C469"/>
      <c r="D469"/>
      <c r="E469"/>
      <c r="F469"/>
      <c r="G469"/>
      <c r="H469"/>
      <c r="I469"/>
      <c r="J469"/>
      <c r="K469"/>
      <c r="L469"/>
      <c r="M469"/>
      <c r="N469"/>
      <c r="O469"/>
      <c r="P469"/>
      <c r="Q469"/>
      <c r="R469"/>
      <c r="S469"/>
      <c r="T469" s="374"/>
      <c r="U469" s="374"/>
      <c r="V469" s="374"/>
      <c r="W469" s="96"/>
      <c r="X469" s="96"/>
      <c r="Y469" s="96"/>
    </row>
    <row r="470" spans="1:25">
      <c r="A470"/>
      <c r="B470"/>
      <c r="C470"/>
      <c r="D470"/>
      <c r="E470"/>
      <c r="F470"/>
      <c r="G470"/>
      <c r="H470"/>
      <c r="I470"/>
      <c r="J470"/>
      <c r="K470"/>
      <c r="L470"/>
      <c r="M470"/>
      <c r="N470"/>
      <c r="O470"/>
      <c r="P470"/>
      <c r="Q470"/>
      <c r="R470"/>
      <c r="S470"/>
      <c r="T470" s="374"/>
      <c r="U470" s="374"/>
      <c r="V470" s="374"/>
      <c r="W470" s="96"/>
      <c r="X470" s="96"/>
      <c r="Y470" s="96"/>
    </row>
    <row r="471" spans="1:25">
      <c r="A471"/>
      <c r="B471"/>
      <c r="C471"/>
      <c r="D471"/>
      <c r="E471"/>
      <c r="F471"/>
      <c r="G471"/>
      <c r="H471"/>
      <c r="I471"/>
      <c r="J471"/>
      <c r="K471"/>
      <c r="L471"/>
      <c r="M471"/>
      <c r="N471"/>
      <c r="O471"/>
      <c r="P471"/>
      <c r="Q471"/>
      <c r="R471"/>
      <c r="S471"/>
      <c r="T471" s="374"/>
      <c r="U471" s="374"/>
      <c r="V471" s="374"/>
      <c r="W471" s="96"/>
      <c r="X471" s="96"/>
      <c r="Y471" s="96"/>
    </row>
    <row r="472" spans="1:25">
      <c r="A472"/>
      <c r="B472"/>
      <c r="C472"/>
      <c r="D472"/>
      <c r="E472"/>
      <c r="F472"/>
      <c r="G472"/>
      <c r="H472"/>
      <c r="I472"/>
      <c r="J472"/>
      <c r="K472"/>
      <c r="L472"/>
      <c r="M472"/>
      <c r="N472"/>
      <c r="O472"/>
      <c r="P472"/>
      <c r="Q472"/>
      <c r="R472"/>
      <c r="S472"/>
      <c r="T472" s="374"/>
      <c r="U472" s="374"/>
      <c r="V472" s="374"/>
      <c r="W472" s="96"/>
      <c r="X472" s="96"/>
      <c r="Y472" s="96"/>
    </row>
    <row r="473" spans="1:25">
      <c r="A473"/>
      <c r="B473"/>
      <c r="C473"/>
      <c r="D473"/>
      <c r="E473"/>
      <c r="F473"/>
      <c r="G473"/>
      <c r="H473"/>
      <c r="I473"/>
      <c r="J473"/>
      <c r="K473"/>
      <c r="L473"/>
      <c r="M473"/>
      <c r="N473"/>
      <c r="O473"/>
      <c r="P473"/>
      <c r="Q473"/>
      <c r="R473"/>
      <c r="S473"/>
      <c r="T473" s="374"/>
      <c r="U473" s="374"/>
      <c r="V473" s="374"/>
      <c r="W473" s="96"/>
      <c r="X473" s="96"/>
      <c r="Y473" s="96"/>
    </row>
    <row r="474" spans="1:25">
      <c r="A474"/>
      <c r="B474"/>
      <c r="C474"/>
      <c r="D474"/>
      <c r="E474"/>
      <c r="F474"/>
      <c r="G474"/>
      <c r="H474"/>
      <c r="I474"/>
      <c r="J474"/>
      <c r="K474"/>
      <c r="L474"/>
      <c r="M474"/>
      <c r="N474"/>
      <c r="O474"/>
      <c r="P474"/>
      <c r="Q474"/>
      <c r="R474"/>
      <c r="S474"/>
      <c r="T474" s="374"/>
      <c r="U474" s="374"/>
      <c r="V474" s="374"/>
      <c r="W474" s="96"/>
      <c r="X474" s="96"/>
      <c r="Y474" s="96"/>
    </row>
    <row r="475" spans="1:25">
      <c r="A475"/>
      <c r="B475"/>
      <c r="C475"/>
      <c r="D475"/>
      <c r="E475"/>
      <c r="F475"/>
      <c r="G475"/>
      <c r="H475"/>
      <c r="I475"/>
      <c r="J475"/>
      <c r="K475"/>
      <c r="L475"/>
      <c r="M475"/>
      <c r="N475"/>
      <c r="O475"/>
      <c r="P475"/>
      <c r="Q475"/>
      <c r="R475"/>
      <c r="S475"/>
      <c r="T475" s="374"/>
      <c r="U475" s="374"/>
      <c r="V475" s="374"/>
      <c r="W475" s="96"/>
      <c r="X475" s="96"/>
      <c r="Y475" s="96"/>
    </row>
    <row r="476" spans="1:25">
      <c r="A476"/>
      <c r="B476"/>
      <c r="C476"/>
      <c r="D476"/>
      <c r="E476"/>
      <c r="F476"/>
      <c r="G476"/>
      <c r="H476"/>
      <c r="I476"/>
      <c r="J476"/>
      <c r="K476"/>
      <c r="L476"/>
      <c r="M476"/>
      <c r="N476"/>
      <c r="O476"/>
      <c r="P476"/>
      <c r="Q476"/>
      <c r="R476"/>
      <c r="S476"/>
      <c r="T476" s="374"/>
      <c r="U476" s="374"/>
      <c r="V476" s="374"/>
      <c r="W476" s="96"/>
      <c r="X476" s="96"/>
      <c r="Y476" s="96"/>
    </row>
    <row r="477" spans="1:25">
      <c r="A477"/>
      <c r="B477"/>
      <c r="C477"/>
      <c r="D477"/>
      <c r="E477"/>
      <c r="F477"/>
      <c r="G477"/>
      <c r="H477"/>
      <c r="I477"/>
      <c r="J477"/>
      <c r="K477"/>
      <c r="L477"/>
      <c r="M477"/>
      <c r="N477"/>
      <c r="O477"/>
      <c r="P477"/>
      <c r="Q477"/>
      <c r="R477"/>
      <c r="S477"/>
      <c r="T477" s="374"/>
      <c r="U477" s="374"/>
      <c r="V477" s="374"/>
      <c r="W477" s="96"/>
      <c r="X477" s="96"/>
      <c r="Y477" s="96"/>
    </row>
    <row r="478" spans="1:25">
      <c r="A478"/>
      <c r="B478"/>
      <c r="C478"/>
      <c r="D478"/>
      <c r="E478"/>
      <c r="F478"/>
      <c r="G478"/>
      <c r="H478"/>
      <c r="I478"/>
      <c r="J478"/>
      <c r="K478"/>
      <c r="L478"/>
      <c r="M478"/>
      <c r="N478"/>
      <c r="O478"/>
      <c r="P478"/>
      <c r="Q478"/>
      <c r="R478"/>
      <c r="S478"/>
      <c r="T478" s="374"/>
      <c r="U478" s="374"/>
      <c r="V478" s="374"/>
      <c r="W478" s="96"/>
      <c r="X478" s="96"/>
      <c r="Y478" s="96"/>
    </row>
    <row r="479" spans="1:25">
      <c r="A479"/>
      <c r="B479"/>
      <c r="C479"/>
      <c r="D479"/>
      <c r="E479"/>
      <c r="F479"/>
      <c r="G479"/>
      <c r="H479"/>
      <c r="I479"/>
      <c r="J479"/>
      <c r="K479"/>
      <c r="L479"/>
      <c r="M479"/>
      <c r="N479"/>
      <c r="O479"/>
      <c r="P479"/>
      <c r="Q479"/>
      <c r="R479"/>
      <c r="S479"/>
      <c r="T479" s="374"/>
      <c r="U479" s="374"/>
      <c r="V479" s="374"/>
      <c r="W479" s="96"/>
      <c r="X479" s="96"/>
      <c r="Y479" s="96"/>
    </row>
    <row r="480" spans="1:25">
      <c r="A480"/>
      <c r="B480"/>
      <c r="C480"/>
      <c r="D480"/>
      <c r="E480"/>
      <c r="F480"/>
      <c r="G480"/>
      <c r="H480"/>
      <c r="I480"/>
      <c r="J480"/>
      <c r="K480"/>
      <c r="L480"/>
      <c r="M480"/>
      <c r="N480"/>
      <c r="O480"/>
      <c r="P480"/>
      <c r="Q480"/>
      <c r="R480"/>
      <c r="S480"/>
      <c r="T480" s="374"/>
      <c r="U480" s="374"/>
      <c r="V480" s="374"/>
      <c r="W480" s="96"/>
      <c r="X480" s="96"/>
      <c r="Y480" s="96"/>
    </row>
    <row r="481" spans="1:25">
      <c r="A481"/>
      <c r="B481"/>
      <c r="C481"/>
      <c r="D481"/>
      <c r="E481"/>
      <c r="F481"/>
      <c r="G481"/>
      <c r="H481"/>
      <c r="I481"/>
      <c r="J481"/>
      <c r="K481"/>
      <c r="L481"/>
      <c r="M481"/>
      <c r="N481"/>
      <c r="O481"/>
      <c r="P481"/>
      <c r="Q481"/>
      <c r="R481"/>
      <c r="S481"/>
      <c r="T481" s="374"/>
      <c r="U481" s="374"/>
      <c r="V481" s="374"/>
      <c r="W481" s="96"/>
      <c r="X481" s="96"/>
      <c r="Y481" s="96"/>
    </row>
    <row r="482" spans="1:25">
      <c r="A482"/>
      <c r="B482"/>
      <c r="C482"/>
      <c r="D482"/>
      <c r="E482"/>
      <c r="F482"/>
      <c r="G482"/>
      <c r="H482"/>
      <c r="I482"/>
      <c r="J482"/>
      <c r="K482"/>
      <c r="L482"/>
      <c r="M482"/>
      <c r="N482"/>
      <c r="O482"/>
      <c r="P482"/>
      <c r="Q482"/>
      <c r="R482"/>
      <c r="S482"/>
      <c r="T482" s="374"/>
      <c r="U482" s="374"/>
      <c r="V482" s="374"/>
      <c r="W482" s="96"/>
      <c r="X482" s="96"/>
      <c r="Y482" s="96"/>
    </row>
    <row r="483" spans="1:25">
      <c r="A483"/>
      <c r="B483"/>
      <c r="C483"/>
      <c r="D483"/>
      <c r="E483"/>
      <c r="F483"/>
      <c r="G483"/>
      <c r="H483"/>
      <c r="I483"/>
      <c r="J483"/>
      <c r="K483"/>
      <c r="L483"/>
      <c r="M483"/>
      <c r="N483"/>
      <c r="O483"/>
      <c r="P483"/>
      <c r="Q483"/>
      <c r="R483"/>
      <c r="S483"/>
      <c r="T483" s="374"/>
      <c r="U483" s="374"/>
      <c r="V483" s="374"/>
      <c r="W483" s="96"/>
      <c r="X483" s="96"/>
      <c r="Y483" s="96"/>
    </row>
    <row r="484" spans="1:25">
      <c r="A484"/>
      <c r="B484"/>
      <c r="C484"/>
      <c r="D484"/>
      <c r="E484"/>
      <c r="F484"/>
      <c r="G484"/>
      <c r="H484"/>
      <c r="I484"/>
      <c r="J484"/>
      <c r="K484"/>
      <c r="L484"/>
      <c r="M484"/>
      <c r="N484"/>
      <c r="O484"/>
      <c r="P484"/>
      <c r="Q484"/>
      <c r="R484"/>
      <c r="S484"/>
      <c r="T484" s="374"/>
      <c r="U484" s="374"/>
      <c r="V484" s="374"/>
      <c r="W484" s="96"/>
      <c r="X484" s="96"/>
      <c r="Y484" s="96"/>
    </row>
    <row r="485" spans="1:25">
      <c r="A485"/>
      <c r="B485"/>
      <c r="C485"/>
      <c r="D485"/>
      <c r="E485"/>
      <c r="F485"/>
      <c r="G485"/>
      <c r="H485"/>
      <c r="I485"/>
      <c r="J485"/>
      <c r="K485"/>
      <c r="L485"/>
      <c r="M485"/>
      <c r="N485"/>
      <c r="O485"/>
      <c r="P485"/>
      <c r="Q485"/>
      <c r="R485"/>
      <c r="S485"/>
      <c r="T485" s="374"/>
      <c r="U485" s="374"/>
      <c r="V485" s="374"/>
      <c r="W485" s="96"/>
      <c r="X485" s="96"/>
      <c r="Y485" s="96"/>
    </row>
    <row r="486" spans="1:25">
      <c r="A486"/>
      <c r="B486"/>
      <c r="C486"/>
      <c r="D486"/>
      <c r="E486"/>
      <c r="F486"/>
      <c r="G486"/>
      <c r="H486"/>
      <c r="I486"/>
      <c r="J486"/>
      <c r="K486"/>
      <c r="L486"/>
      <c r="M486"/>
      <c r="N486"/>
      <c r="O486"/>
      <c r="P486"/>
      <c r="Q486"/>
      <c r="R486"/>
      <c r="S486"/>
      <c r="T486" s="374"/>
      <c r="U486" s="374"/>
      <c r="V486" s="374"/>
      <c r="W486" s="96"/>
      <c r="X486" s="96"/>
      <c r="Y486" s="96"/>
    </row>
    <row r="487" spans="1:25">
      <c r="A487"/>
      <c r="B487"/>
      <c r="C487"/>
      <c r="D487"/>
      <c r="E487"/>
      <c r="F487"/>
      <c r="G487"/>
      <c r="H487"/>
      <c r="I487"/>
      <c r="J487"/>
      <c r="K487"/>
      <c r="L487"/>
      <c r="M487"/>
      <c r="N487"/>
      <c r="O487"/>
      <c r="P487"/>
      <c r="Q487"/>
      <c r="R487"/>
      <c r="S487"/>
      <c r="T487" s="374"/>
      <c r="U487" s="374"/>
      <c r="V487" s="374"/>
      <c r="W487" s="96"/>
      <c r="X487" s="96"/>
      <c r="Y487" s="96"/>
    </row>
    <row r="488" spans="1:25">
      <c r="A488"/>
      <c r="B488"/>
      <c r="C488"/>
      <c r="D488"/>
      <c r="E488"/>
      <c r="F488"/>
      <c r="G488"/>
      <c r="H488"/>
      <c r="I488"/>
      <c r="J488"/>
      <c r="K488"/>
      <c r="L488"/>
      <c r="M488"/>
      <c r="N488"/>
      <c r="O488"/>
      <c r="P488"/>
      <c r="Q488"/>
      <c r="R488"/>
      <c r="S488"/>
      <c r="T488" s="374"/>
      <c r="U488" s="374"/>
      <c r="V488" s="374"/>
      <c r="W488" s="96"/>
      <c r="X488" s="96"/>
      <c r="Y488" s="96"/>
    </row>
    <row r="489" spans="1:25">
      <c r="A489"/>
      <c r="B489"/>
      <c r="C489"/>
      <c r="D489"/>
      <c r="E489"/>
      <c r="F489"/>
      <c r="G489"/>
      <c r="H489"/>
      <c r="I489"/>
      <c r="J489"/>
      <c r="K489"/>
      <c r="L489"/>
      <c r="M489"/>
      <c r="N489"/>
      <c r="O489"/>
      <c r="P489"/>
      <c r="Q489"/>
      <c r="R489"/>
      <c r="S489"/>
      <c r="T489" s="374"/>
      <c r="U489" s="374"/>
      <c r="V489" s="374"/>
      <c r="W489" s="96"/>
      <c r="X489" s="96"/>
      <c r="Y489" s="96"/>
    </row>
    <row r="490" spans="1:25">
      <c r="A490"/>
      <c r="B490"/>
      <c r="C490"/>
      <c r="D490"/>
      <c r="E490"/>
      <c r="F490"/>
      <c r="G490"/>
      <c r="H490"/>
      <c r="I490"/>
      <c r="J490"/>
      <c r="K490"/>
      <c r="L490"/>
      <c r="M490"/>
      <c r="N490"/>
      <c r="O490"/>
      <c r="P490"/>
      <c r="Q490"/>
      <c r="R490"/>
      <c r="S490"/>
      <c r="T490" s="374"/>
      <c r="U490" s="374"/>
      <c r="V490" s="374"/>
      <c r="W490" s="96"/>
      <c r="X490" s="96"/>
      <c r="Y490" s="96"/>
    </row>
    <row r="491" spans="1:25">
      <c r="A491"/>
      <c r="B491"/>
      <c r="C491"/>
      <c r="D491"/>
      <c r="E491"/>
      <c r="F491"/>
      <c r="G491"/>
      <c r="H491"/>
      <c r="I491"/>
      <c r="J491"/>
      <c r="K491"/>
      <c r="L491"/>
      <c r="M491"/>
      <c r="N491"/>
      <c r="O491"/>
      <c r="P491"/>
      <c r="Q491"/>
      <c r="R491"/>
      <c r="S491"/>
      <c r="T491" s="374"/>
      <c r="U491" s="374"/>
      <c r="V491" s="374"/>
      <c r="W491" s="96"/>
      <c r="X491" s="96"/>
      <c r="Y491" s="96"/>
    </row>
    <row r="492" spans="1:25">
      <c r="A492"/>
      <c r="B492"/>
      <c r="C492"/>
      <c r="D492"/>
      <c r="E492"/>
      <c r="F492"/>
      <c r="G492"/>
      <c r="H492"/>
      <c r="I492"/>
      <c r="J492"/>
      <c r="K492"/>
      <c r="L492"/>
      <c r="M492"/>
      <c r="N492"/>
      <c r="O492"/>
      <c r="P492"/>
      <c r="Q492"/>
      <c r="R492"/>
      <c r="S492"/>
      <c r="T492" s="374"/>
      <c r="U492" s="374"/>
      <c r="V492" s="374"/>
      <c r="W492" s="96"/>
      <c r="X492" s="96"/>
      <c r="Y492" s="96"/>
    </row>
    <row r="493" spans="1:25">
      <c r="A493"/>
      <c r="B493"/>
      <c r="C493"/>
      <c r="D493"/>
      <c r="E493"/>
      <c r="F493"/>
      <c r="G493"/>
      <c r="H493"/>
      <c r="I493"/>
      <c r="J493"/>
      <c r="K493"/>
      <c r="L493"/>
      <c r="M493"/>
      <c r="N493"/>
      <c r="O493"/>
      <c r="P493"/>
      <c r="Q493"/>
      <c r="R493"/>
      <c r="S493"/>
      <c r="T493" s="374"/>
      <c r="U493" s="374"/>
      <c r="V493" s="374"/>
      <c r="W493" s="96"/>
      <c r="X493" s="96"/>
      <c r="Y493" s="96"/>
    </row>
    <row r="494" spans="1:25">
      <c r="A494"/>
      <c r="B494"/>
      <c r="C494"/>
      <c r="D494"/>
      <c r="E494"/>
      <c r="F494"/>
      <c r="G494"/>
      <c r="H494"/>
      <c r="I494"/>
      <c r="J494"/>
      <c r="K494"/>
      <c r="L494"/>
      <c r="M494"/>
      <c r="N494"/>
      <c r="O494"/>
      <c r="P494"/>
      <c r="Q494"/>
      <c r="R494"/>
      <c r="S494"/>
      <c r="T494" s="374"/>
      <c r="U494" s="374"/>
      <c r="V494" s="374"/>
      <c r="W494" s="96"/>
      <c r="X494" s="96"/>
      <c r="Y494" s="96"/>
    </row>
    <row r="495" spans="1:25">
      <c r="A495"/>
      <c r="B495"/>
      <c r="C495"/>
      <c r="D495"/>
      <c r="E495"/>
      <c r="F495"/>
      <c r="G495"/>
      <c r="H495"/>
      <c r="I495"/>
      <c r="J495"/>
      <c r="K495"/>
      <c r="L495"/>
      <c r="M495"/>
      <c r="N495"/>
      <c r="O495"/>
      <c r="P495"/>
      <c r="Q495"/>
      <c r="R495"/>
      <c r="S495"/>
      <c r="T495" s="374"/>
      <c r="U495" s="374"/>
      <c r="V495" s="374"/>
      <c r="W495" s="96"/>
      <c r="X495" s="96"/>
      <c r="Y495" s="96"/>
    </row>
    <row r="496" spans="1:25">
      <c r="A496"/>
      <c r="B496"/>
      <c r="C496"/>
      <c r="D496"/>
      <c r="E496"/>
      <c r="F496"/>
      <c r="G496"/>
      <c r="H496"/>
      <c r="I496"/>
      <c r="J496"/>
      <c r="K496"/>
      <c r="L496"/>
      <c r="M496"/>
      <c r="N496"/>
      <c r="O496"/>
      <c r="P496"/>
      <c r="Q496"/>
      <c r="R496"/>
      <c r="S496"/>
      <c r="T496" s="374"/>
      <c r="U496" s="374"/>
      <c r="V496" s="374"/>
      <c r="W496" s="96"/>
      <c r="X496" s="96"/>
      <c r="Y496" s="96"/>
    </row>
    <row r="497" spans="1:25">
      <c r="A497"/>
      <c r="B497"/>
      <c r="C497"/>
      <c r="D497"/>
      <c r="E497"/>
      <c r="F497"/>
      <c r="G497"/>
      <c r="H497"/>
      <c r="I497"/>
      <c r="J497"/>
      <c r="K497"/>
      <c r="L497"/>
      <c r="M497"/>
      <c r="N497"/>
      <c r="O497"/>
      <c r="P497"/>
      <c r="Q497"/>
      <c r="R497"/>
      <c r="S497"/>
      <c r="T497" s="374"/>
      <c r="U497" s="374"/>
      <c r="V497" s="374"/>
      <c r="W497" s="96"/>
      <c r="X497" s="96"/>
      <c r="Y497" s="96"/>
    </row>
    <row r="498" spans="1:25">
      <c r="A498"/>
      <c r="B498"/>
      <c r="C498"/>
      <c r="D498"/>
      <c r="E498"/>
      <c r="F498"/>
      <c r="G498"/>
      <c r="H498"/>
      <c r="I498"/>
      <c r="J498"/>
      <c r="K498"/>
      <c r="L498"/>
      <c r="M498"/>
      <c r="N498"/>
      <c r="O498"/>
      <c r="P498"/>
      <c r="Q498"/>
      <c r="R498"/>
      <c r="S498"/>
      <c r="T498" s="374"/>
      <c r="U498" s="374"/>
      <c r="V498" s="374"/>
      <c r="W498" s="96"/>
      <c r="X498" s="96"/>
      <c r="Y498" s="96"/>
    </row>
    <row r="499" spans="1:25">
      <c r="A499"/>
      <c r="B499"/>
      <c r="C499"/>
      <c r="D499"/>
      <c r="E499"/>
      <c r="F499"/>
      <c r="G499"/>
      <c r="H499"/>
      <c r="I499"/>
      <c r="J499"/>
      <c r="K499"/>
      <c r="L499"/>
      <c r="M499"/>
      <c r="N499"/>
      <c r="O499"/>
      <c r="P499"/>
      <c r="Q499"/>
      <c r="R499"/>
      <c r="S499"/>
      <c r="T499" s="374"/>
      <c r="U499" s="374"/>
      <c r="V499" s="374"/>
      <c r="W499" s="96"/>
      <c r="X499" s="96"/>
      <c r="Y499" s="96"/>
    </row>
    <row r="500" spans="1:25">
      <c r="A500"/>
      <c r="B500"/>
      <c r="C500"/>
      <c r="D500"/>
      <c r="E500"/>
      <c r="F500"/>
      <c r="G500"/>
      <c r="H500"/>
      <c r="I500"/>
      <c r="J500"/>
      <c r="K500"/>
      <c r="L500"/>
      <c r="M500"/>
      <c r="N500"/>
      <c r="O500"/>
      <c r="P500"/>
      <c r="Q500"/>
      <c r="R500"/>
      <c r="S500"/>
      <c r="T500" s="374"/>
      <c r="U500" s="374"/>
      <c r="V500" s="374"/>
      <c r="W500" s="96"/>
      <c r="X500" s="96"/>
      <c r="Y500" s="96"/>
    </row>
    <row r="501" spans="1:25">
      <c r="A501"/>
      <c r="B501"/>
      <c r="C501"/>
      <c r="D501"/>
      <c r="E501"/>
      <c r="F501"/>
      <c r="G501"/>
      <c r="H501"/>
      <c r="I501"/>
      <c r="J501"/>
      <c r="K501"/>
      <c r="L501"/>
      <c r="M501"/>
      <c r="N501"/>
      <c r="O501"/>
      <c r="P501"/>
      <c r="Q501"/>
      <c r="R501"/>
      <c r="S501"/>
      <c r="T501" s="374"/>
      <c r="U501" s="374"/>
      <c r="V501" s="374"/>
      <c r="W501" s="96"/>
      <c r="X501" s="96"/>
      <c r="Y501" s="96"/>
    </row>
    <row r="502" spans="1:25">
      <c r="A502"/>
      <c r="B502"/>
      <c r="C502"/>
      <c r="D502"/>
      <c r="E502"/>
      <c r="F502"/>
      <c r="G502"/>
      <c r="H502"/>
      <c r="I502"/>
      <c r="J502"/>
      <c r="K502"/>
      <c r="L502"/>
      <c r="M502"/>
      <c r="N502"/>
      <c r="O502"/>
      <c r="P502"/>
      <c r="Q502"/>
      <c r="R502"/>
      <c r="S502"/>
      <c r="T502" s="374"/>
      <c r="U502" s="374"/>
      <c r="V502" s="374"/>
      <c r="W502" s="96"/>
      <c r="X502" s="96"/>
      <c r="Y502" s="96"/>
    </row>
    <row r="503" spans="1:25">
      <c r="A503"/>
      <c r="B503"/>
      <c r="C503"/>
      <c r="D503"/>
      <c r="E503"/>
      <c r="F503"/>
      <c r="G503"/>
      <c r="H503"/>
      <c r="I503"/>
      <c r="J503"/>
      <c r="K503"/>
      <c r="L503"/>
      <c r="M503"/>
      <c r="N503"/>
      <c r="O503"/>
      <c r="P503"/>
      <c r="Q503"/>
      <c r="R503"/>
      <c r="S503"/>
      <c r="T503" s="374"/>
      <c r="U503" s="374"/>
      <c r="V503" s="374"/>
      <c r="W503" s="96"/>
      <c r="X503" s="96"/>
      <c r="Y503" s="96"/>
    </row>
    <row r="504" spans="1:25">
      <c r="A504"/>
      <c r="B504"/>
      <c r="C504"/>
      <c r="D504"/>
      <c r="E504"/>
      <c r="F504"/>
      <c r="G504"/>
      <c r="H504"/>
      <c r="I504"/>
      <c r="J504"/>
      <c r="K504"/>
      <c r="L504"/>
      <c r="M504"/>
      <c r="N504"/>
      <c r="O504"/>
      <c r="P504"/>
      <c r="Q504"/>
      <c r="R504"/>
      <c r="S504"/>
      <c r="T504" s="374"/>
      <c r="U504" s="374"/>
      <c r="V504" s="374"/>
      <c r="W504" s="96"/>
      <c r="X504" s="96"/>
      <c r="Y504" s="96"/>
    </row>
    <row r="505" spans="1:25">
      <c r="A505"/>
      <c r="B505"/>
      <c r="C505"/>
      <c r="D505"/>
      <c r="E505"/>
      <c r="F505"/>
      <c r="G505"/>
      <c r="H505"/>
      <c r="I505"/>
      <c r="J505"/>
      <c r="K505"/>
      <c r="L505"/>
      <c r="M505"/>
      <c r="N505"/>
      <c r="O505"/>
      <c r="P505"/>
      <c r="Q505"/>
      <c r="R505"/>
      <c r="S505"/>
      <c r="T505" s="374"/>
      <c r="U505" s="374"/>
      <c r="V505" s="374"/>
      <c r="W505" s="96"/>
      <c r="X505" s="96"/>
      <c r="Y505" s="96"/>
    </row>
    <row r="506" spans="1:25">
      <c r="A506"/>
      <c r="B506"/>
      <c r="C506"/>
      <c r="D506"/>
      <c r="E506"/>
      <c r="F506"/>
      <c r="G506"/>
      <c r="H506"/>
      <c r="I506"/>
      <c r="J506"/>
      <c r="K506"/>
      <c r="L506"/>
      <c r="M506"/>
      <c r="N506"/>
      <c r="O506"/>
      <c r="P506"/>
      <c r="Q506"/>
      <c r="R506"/>
      <c r="S506"/>
      <c r="T506" s="374"/>
      <c r="U506" s="374"/>
      <c r="V506" s="374"/>
      <c r="W506" s="96"/>
      <c r="X506" s="96"/>
      <c r="Y506" s="96"/>
    </row>
    <row r="507" spans="1:25">
      <c r="A507"/>
      <c r="B507"/>
      <c r="C507"/>
      <c r="D507"/>
      <c r="E507"/>
      <c r="F507"/>
      <c r="G507"/>
      <c r="H507"/>
      <c r="I507"/>
      <c r="J507"/>
      <c r="K507"/>
      <c r="L507"/>
      <c r="M507"/>
      <c r="N507"/>
      <c r="O507"/>
      <c r="P507"/>
      <c r="Q507"/>
      <c r="R507"/>
      <c r="S507"/>
      <c r="T507" s="374"/>
      <c r="U507" s="374"/>
      <c r="V507" s="374"/>
      <c r="W507" s="96"/>
      <c r="X507" s="96"/>
      <c r="Y507" s="96"/>
    </row>
    <row r="508" spans="1:25">
      <c r="A508"/>
      <c r="B508"/>
      <c r="C508"/>
      <c r="D508"/>
      <c r="E508"/>
      <c r="F508"/>
      <c r="G508"/>
      <c r="H508"/>
      <c r="I508"/>
      <c r="J508"/>
      <c r="K508"/>
      <c r="L508"/>
      <c r="M508"/>
      <c r="N508"/>
      <c r="O508"/>
      <c r="P508"/>
      <c r="Q508"/>
      <c r="R508"/>
      <c r="S508"/>
      <c r="T508" s="374"/>
      <c r="U508" s="374"/>
      <c r="V508" s="374"/>
      <c r="W508" s="96"/>
      <c r="X508" s="96"/>
      <c r="Y508" s="96"/>
    </row>
    <row r="509" spans="1:25">
      <c r="A509"/>
      <c r="B509"/>
      <c r="C509"/>
      <c r="D509"/>
      <c r="E509"/>
      <c r="F509"/>
      <c r="G509"/>
      <c r="H509"/>
      <c r="I509"/>
      <c r="J509"/>
      <c r="K509"/>
      <c r="L509"/>
      <c r="M509"/>
      <c r="N509"/>
      <c r="O509"/>
      <c r="P509"/>
      <c r="Q509"/>
      <c r="R509"/>
      <c r="S509"/>
      <c r="T509" s="374"/>
      <c r="U509" s="374"/>
      <c r="V509" s="374"/>
      <c r="W509" s="96"/>
      <c r="X509" s="96"/>
      <c r="Y509" s="96"/>
    </row>
    <row r="510" spans="1:25">
      <c r="A510"/>
      <c r="B510"/>
      <c r="C510"/>
      <c r="D510"/>
      <c r="E510"/>
      <c r="F510"/>
      <c r="G510"/>
      <c r="H510"/>
      <c r="I510"/>
      <c r="J510"/>
      <c r="K510"/>
      <c r="L510"/>
      <c r="M510"/>
      <c r="N510"/>
      <c r="O510"/>
      <c r="P510"/>
      <c r="Q510"/>
      <c r="R510"/>
      <c r="S510"/>
      <c r="T510" s="374"/>
      <c r="U510" s="374"/>
      <c r="V510" s="374"/>
      <c r="W510" s="96"/>
      <c r="X510" s="96"/>
      <c r="Y510" s="96"/>
    </row>
    <row r="511" spans="1:25">
      <c r="A511"/>
      <c r="B511"/>
      <c r="C511"/>
      <c r="D511"/>
      <c r="E511"/>
      <c r="F511"/>
      <c r="G511"/>
      <c r="H511"/>
      <c r="I511"/>
      <c r="J511"/>
      <c r="K511"/>
      <c r="L511"/>
      <c r="M511"/>
      <c r="N511"/>
      <c r="O511"/>
      <c r="P511"/>
      <c r="Q511"/>
      <c r="R511"/>
      <c r="S511"/>
      <c r="T511" s="374"/>
      <c r="U511" s="374"/>
      <c r="V511" s="374"/>
      <c r="W511" s="96"/>
      <c r="X511" s="96"/>
      <c r="Y511" s="96"/>
    </row>
    <row r="512" spans="1:25">
      <c r="A512"/>
      <c r="B512"/>
      <c r="C512"/>
      <c r="D512"/>
      <c r="E512"/>
      <c r="F512"/>
      <c r="G512"/>
      <c r="H512"/>
      <c r="I512"/>
      <c r="J512"/>
      <c r="K512"/>
      <c r="L512"/>
      <c r="M512"/>
      <c r="N512"/>
      <c r="O512"/>
      <c r="P512"/>
      <c r="Q512"/>
      <c r="R512"/>
      <c r="S512"/>
      <c r="T512" s="374"/>
      <c r="U512" s="374"/>
      <c r="V512" s="374"/>
      <c r="W512" s="96"/>
      <c r="X512" s="96"/>
      <c r="Y512" s="96"/>
    </row>
    <row r="513" spans="1:25">
      <c r="A513"/>
      <c r="B513"/>
      <c r="C513"/>
      <c r="D513"/>
      <c r="E513"/>
      <c r="F513"/>
      <c r="G513"/>
      <c r="H513"/>
      <c r="I513"/>
      <c r="J513"/>
      <c r="K513"/>
      <c r="L513"/>
      <c r="M513"/>
      <c r="N513"/>
      <c r="O513"/>
      <c r="P513"/>
      <c r="Q513"/>
      <c r="R513"/>
      <c r="S513"/>
      <c r="T513" s="374"/>
      <c r="U513" s="374"/>
      <c r="V513" s="374"/>
      <c r="W513" s="96"/>
      <c r="X513" s="96"/>
      <c r="Y513" s="96"/>
    </row>
    <row r="514" spans="1:25">
      <c r="A514"/>
      <c r="B514"/>
      <c r="C514"/>
      <c r="D514"/>
      <c r="E514"/>
      <c r="F514"/>
      <c r="G514"/>
      <c r="H514"/>
      <c r="I514"/>
      <c r="J514"/>
      <c r="K514"/>
      <c r="L514"/>
      <c r="M514"/>
      <c r="N514"/>
      <c r="O514"/>
      <c r="P514"/>
      <c r="Q514"/>
      <c r="R514"/>
      <c r="S514"/>
      <c r="T514" s="374"/>
      <c r="U514" s="374"/>
      <c r="V514" s="374"/>
      <c r="W514" s="96"/>
      <c r="X514" s="96"/>
      <c r="Y514" s="96"/>
    </row>
    <row r="515" spans="1:25">
      <c r="A515"/>
      <c r="B515"/>
      <c r="C515"/>
      <c r="D515"/>
      <c r="E515"/>
      <c r="F515"/>
      <c r="G515"/>
      <c r="H515"/>
      <c r="I515"/>
      <c r="J515"/>
      <c r="K515"/>
      <c r="L515"/>
      <c r="M515"/>
      <c r="N515"/>
      <c r="O515"/>
      <c r="P515"/>
      <c r="Q515"/>
      <c r="R515"/>
      <c r="S515"/>
      <c r="T515" s="374"/>
      <c r="U515" s="374"/>
      <c r="V515" s="374"/>
      <c r="W515" s="96"/>
      <c r="X515" s="96"/>
      <c r="Y515" s="96"/>
    </row>
    <row r="516" spans="1:25">
      <c r="A516"/>
      <c r="B516"/>
      <c r="C516"/>
      <c r="D516"/>
      <c r="E516"/>
      <c r="F516"/>
      <c r="G516"/>
      <c r="H516"/>
      <c r="I516"/>
      <c r="J516"/>
      <c r="K516"/>
      <c r="L516"/>
      <c r="M516"/>
      <c r="N516"/>
      <c r="O516"/>
      <c r="P516"/>
      <c r="Q516"/>
      <c r="R516"/>
      <c r="S516"/>
      <c r="T516" s="374"/>
      <c r="U516" s="374"/>
      <c r="V516" s="374"/>
      <c r="W516" s="96"/>
      <c r="X516" s="96"/>
      <c r="Y516" s="96"/>
    </row>
    <row r="517" spans="1:25">
      <c r="A517"/>
      <c r="B517"/>
      <c r="C517"/>
      <c r="D517"/>
      <c r="E517"/>
      <c r="F517"/>
      <c r="G517"/>
      <c r="H517"/>
      <c r="I517"/>
      <c r="J517"/>
      <c r="K517"/>
      <c r="L517"/>
      <c r="M517"/>
      <c r="N517"/>
      <c r="O517"/>
      <c r="P517"/>
      <c r="Q517"/>
      <c r="R517"/>
      <c r="S517"/>
      <c r="T517" s="374"/>
      <c r="U517" s="374"/>
      <c r="V517" s="374"/>
      <c r="W517" s="96"/>
      <c r="X517" s="96"/>
      <c r="Y517" s="96"/>
    </row>
    <row r="518" spans="1:25">
      <c r="A518"/>
      <c r="B518"/>
      <c r="C518"/>
      <c r="D518"/>
      <c r="E518"/>
      <c r="F518"/>
      <c r="G518"/>
      <c r="H518"/>
      <c r="I518"/>
      <c r="J518"/>
      <c r="K518"/>
      <c r="L518"/>
      <c r="M518"/>
      <c r="N518"/>
      <c r="O518"/>
      <c r="P518"/>
      <c r="Q518"/>
      <c r="R518"/>
      <c r="S518"/>
      <c r="T518" s="374"/>
      <c r="U518" s="374"/>
      <c r="V518" s="374"/>
      <c r="W518" s="96"/>
      <c r="X518" s="96"/>
      <c r="Y518" s="96"/>
    </row>
    <row r="519" spans="1:25">
      <c r="A519"/>
      <c r="B519"/>
      <c r="C519"/>
      <c r="D519"/>
      <c r="E519"/>
      <c r="F519"/>
      <c r="G519"/>
      <c r="H519"/>
      <c r="I519"/>
      <c r="J519"/>
      <c r="K519"/>
      <c r="L519"/>
      <c r="M519"/>
      <c r="N519"/>
      <c r="O519"/>
      <c r="P519"/>
      <c r="Q519"/>
      <c r="R519"/>
      <c r="S519"/>
      <c r="T519" s="374"/>
      <c r="U519" s="374"/>
      <c r="V519" s="374"/>
      <c r="W519" s="96"/>
      <c r="X519" s="96"/>
      <c r="Y519" s="96"/>
    </row>
    <row r="520" spans="1:25">
      <c r="A520"/>
      <c r="B520"/>
      <c r="C520"/>
      <c r="D520"/>
      <c r="E520"/>
      <c r="F520"/>
      <c r="G520"/>
      <c r="H520"/>
      <c r="I520"/>
      <c r="J520"/>
      <c r="K520"/>
      <c r="L520"/>
      <c r="M520"/>
      <c r="N520"/>
      <c r="O520"/>
      <c r="P520"/>
      <c r="Q520"/>
      <c r="R520"/>
      <c r="S520"/>
      <c r="T520" s="374"/>
      <c r="U520" s="374"/>
      <c r="V520" s="374"/>
      <c r="W520" s="96"/>
      <c r="X520" s="96"/>
      <c r="Y520" s="96"/>
    </row>
    <row r="521" spans="1:25">
      <c r="A521"/>
      <c r="B521"/>
      <c r="C521"/>
      <c r="D521"/>
      <c r="E521"/>
      <c r="F521"/>
      <c r="G521"/>
      <c r="H521"/>
      <c r="I521"/>
      <c r="J521"/>
      <c r="K521"/>
      <c r="L521"/>
      <c r="M521"/>
      <c r="N521"/>
      <c r="O521"/>
      <c r="P521"/>
      <c r="Q521"/>
      <c r="R521"/>
      <c r="S521"/>
      <c r="T521" s="374"/>
      <c r="U521" s="374"/>
      <c r="V521" s="374"/>
      <c r="W521" s="96"/>
      <c r="X521" s="96"/>
      <c r="Y521" s="96"/>
    </row>
    <row r="522" spans="1:25">
      <c r="A522"/>
      <c r="B522"/>
      <c r="C522"/>
      <c r="D522"/>
      <c r="E522"/>
      <c r="F522"/>
      <c r="G522"/>
      <c r="H522"/>
      <c r="I522"/>
      <c r="J522"/>
      <c r="K522"/>
      <c r="L522"/>
      <c r="M522"/>
      <c r="N522"/>
      <c r="O522"/>
      <c r="P522"/>
      <c r="Q522"/>
      <c r="R522"/>
      <c r="S522"/>
      <c r="T522" s="374"/>
      <c r="U522" s="374"/>
      <c r="V522" s="374"/>
      <c r="W522" s="96"/>
      <c r="X522" s="96"/>
      <c r="Y522" s="96"/>
    </row>
    <row r="523" spans="1:25">
      <c r="A523"/>
      <c r="B523"/>
      <c r="C523"/>
      <c r="D523"/>
      <c r="E523"/>
      <c r="F523"/>
      <c r="G523"/>
      <c r="H523"/>
      <c r="I523"/>
      <c r="J523"/>
      <c r="K523"/>
      <c r="L523"/>
      <c r="M523"/>
      <c r="N523"/>
      <c r="O523"/>
      <c r="P523"/>
      <c r="Q523"/>
      <c r="R523"/>
      <c r="S523"/>
      <c r="T523" s="374"/>
      <c r="U523" s="374"/>
      <c r="V523" s="374"/>
      <c r="W523" s="96"/>
      <c r="X523" s="96"/>
      <c r="Y523" s="96"/>
    </row>
    <row r="524" spans="1:25">
      <c r="A524"/>
      <c r="B524"/>
      <c r="C524"/>
      <c r="D524"/>
      <c r="E524"/>
      <c r="F524"/>
      <c r="G524"/>
      <c r="H524"/>
      <c r="I524"/>
      <c r="J524"/>
      <c r="K524"/>
      <c r="L524"/>
      <c r="M524"/>
      <c r="N524"/>
      <c r="O524"/>
      <c r="P524"/>
      <c r="Q524"/>
      <c r="R524"/>
      <c r="S524"/>
      <c r="T524" s="374"/>
      <c r="U524" s="374"/>
      <c r="V524" s="374"/>
      <c r="W524" s="96"/>
      <c r="X524" s="96"/>
      <c r="Y524" s="96"/>
    </row>
    <row r="525" spans="1:25">
      <c r="A525"/>
      <c r="B525"/>
      <c r="C525"/>
      <c r="D525"/>
      <c r="E525"/>
      <c r="F525"/>
      <c r="G525"/>
      <c r="H525"/>
      <c r="I525"/>
      <c r="J525"/>
      <c r="K525"/>
      <c r="L525"/>
      <c r="M525"/>
      <c r="N525"/>
      <c r="O525"/>
      <c r="P525"/>
      <c r="Q525"/>
      <c r="R525"/>
      <c r="S525"/>
      <c r="T525" s="374"/>
      <c r="U525" s="374"/>
      <c r="V525" s="374"/>
      <c r="W525" s="96"/>
      <c r="X525" s="96"/>
      <c r="Y525" s="96"/>
    </row>
    <row r="526" spans="1:25">
      <c r="A526"/>
      <c r="B526"/>
      <c r="C526"/>
      <c r="D526"/>
      <c r="E526"/>
      <c r="F526"/>
      <c r="G526"/>
      <c r="H526"/>
      <c r="I526"/>
      <c r="J526"/>
      <c r="K526"/>
      <c r="L526"/>
      <c r="M526"/>
      <c r="N526"/>
      <c r="O526"/>
      <c r="P526"/>
      <c r="Q526"/>
      <c r="R526"/>
      <c r="S526"/>
      <c r="T526" s="374"/>
      <c r="U526" s="374"/>
      <c r="V526" s="374"/>
      <c r="W526" s="96"/>
      <c r="X526" s="96"/>
      <c r="Y526" s="96"/>
    </row>
    <row r="527" spans="1:25">
      <c r="A527"/>
      <c r="B527"/>
      <c r="C527"/>
      <c r="D527"/>
      <c r="E527"/>
      <c r="F527"/>
      <c r="G527"/>
      <c r="H527"/>
      <c r="I527"/>
      <c r="J527"/>
      <c r="K527"/>
      <c r="L527"/>
      <c r="M527"/>
      <c r="N527"/>
      <c r="O527"/>
      <c r="P527"/>
      <c r="Q527"/>
      <c r="R527"/>
      <c r="S527"/>
      <c r="T527" s="374"/>
      <c r="U527" s="374"/>
      <c r="V527" s="374"/>
      <c r="W527" s="96"/>
      <c r="X527" s="96"/>
      <c r="Y527" s="96"/>
    </row>
    <row r="528" spans="1:25">
      <c r="A528"/>
      <c r="B528"/>
      <c r="C528"/>
      <c r="D528"/>
      <c r="E528"/>
      <c r="F528"/>
      <c r="G528"/>
      <c r="H528"/>
      <c r="I528"/>
      <c r="J528"/>
      <c r="K528"/>
      <c r="L528"/>
      <c r="M528"/>
      <c r="N528"/>
      <c r="O528"/>
      <c r="P528"/>
      <c r="Q528"/>
      <c r="R528"/>
      <c r="S528"/>
      <c r="T528" s="374"/>
      <c r="U528" s="374"/>
      <c r="V528" s="374"/>
      <c r="W528" s="96"/>
      <c r="X528" s="96"/>
      <c r="Y528" s="96"/>
    </row>
    <row r="529" spans="1:25">
      <c r="A529"/>
      <c r="B529"/>
      <c r="C529"/>
      <c r="D529"/>
      <c r="E529"/>
      <c r="F529"/>
      <c r="G529"/>
      <c r="H529"/>
      <c r="I529"/>
      <c r="J529"/>
      <c r="K529"/>
      <c r="L529"/>
      <c r="M529"/>
      <c r="N529"/>
      <c r="O529"/>
      <c r="P529"/>
      <c r="Q529"/>
      <c r="R529"/>
      <c r="S529"/>
      <c r="T529" s="374"/>
      <c r="U529" s="374"/>
      <c r="V529" s="374"/>
      <c r="W529" s="96"/>
      <c r="X529" s="96"/>
      <c r="Y529" s="96"/>
    </row>
    <row r="530" spans="1:25">
      <c r="A530"/>
      <c r="B530"/>
      <c r="C530"/>
      <c r="D530"/>
      <c r="E530"/>
      <c r="F530"/>
      <c r="G530"/>
      <c r="H530"/>
      <c r="I530"/>
      <c r="J530"/>
      <c r="K530"/>
      <c r="L530"/>
      <c r="M530"/>
      <c r="N530"/>
      <c r="O530"/>
      <c r="P530"/>
      <c r="Q530"/>
      <c r="R530"/>
      <c r="S530"/>
      <c r="T530" s="374"/>
      <c r="U530" s="374"/>
      <c r="V530" s="374"/>
      <c r="W530" s="96"/>
      <c r="X530" s="96"/>
      <c r="Y530" s="96"/>
    </row>
    <row r="531" spans="1:25">
      <c r="A531"/>
      <c r="B531"/>
      <c r="C531"/>
      <c r="D531"/>
      <c r="E531"/>
      <c r="F531"/>
      <c r="G531"/>
      <c r="H531"/>
      <c r="I531"/>
      <c r="J531"/>
      <c r="K531"/>
      <c r="L531"/>
      <c r="M531"/>
      <c r="N531"/>
      <c r="O531"/>
      <c r="P531"/>
      <c r="Q531"/>
      <c r="R531"/>
      <c r="S531"/>
      <c r="T531" s="374"/>
      <c r="U531" s="374"/>
      <c r="V531" s="374"/>
      <c r="W531" s="96"/>
      <c r="X531" s="96"/>
      <c r="Y531" s="96"/>
    </row>
    <row r="532" spans="1:25">
      <c r="A532"/>
      <c r="B532"/>
      <c r="C532"/>
      <c r="D532"/>
      <c r="E532"/>
      <c r="F532"/>
      <c r="G532"/>
      <c r="H532"/>
      <c r="I532"/>
      <c r="J532"/>
      <c r="K532"/>
      <c r="L532"/>
      <c r="M532"/>
      <c r="N532"/>
      <c r="O532"/>
      <c r="P532"/>
      <c r="Q532"/>
      <c r="R532"/>
      <c r="S532"/>
      <c r="T532" s="374"/>
      <c r="U532" s="374"/>
      <c r="V532" s="374"/>
      <c r="W532" s="96"/>
      <c r="X532" s="96"/>
      <c r="Y532" s="96"/>
    </row>
    <row r="533" spans="1:25">
      <c r="A533"/>
      <c r="B533"/>
      <c r="C533"/>
      <c r="D533"/>
      <c r="E533"/>
      <c r="F533"/>
      <c r="G533"/>
      <c r="H533"/>
      <c r="I533"/>
      <c r="J533"/>
      <c r="K533"/>
      <c r="L533"/>
      <c r="M533"/>
      <c r="N533"/>
      <c r="O533"/>
      <c r="P533"/>
      <c r="Q533"/>
      <c r="R533"/>
      <c r="S533"/>
      <c r="T533" s="374"/>
      <c r="U533" s="374"/>
      <c r="V533" s="374"/>
      <c r="W533" s="96"/>
      <c r="X533" s="96"/>
      <c r="Y533" s="96"/>
    </row>
    <row r="534" spans="1:25">
      <c r="A534"/>
      <c r="B534"/>
      <c r="C534"/>
      <c r="D534"/>
      <c r="E534"/>
      <c r="F534"/>
      <c r="G534"/>
      <c r="H534"/>
      <c r="I534"/>
      <c r="J534"/>
      <c r="K534"/>
      <c r="L534"/>
      <c r="M534"/>
      <c r="N534"/>
      <c r="O534"/>
      <c r="P534"/>
      <c r="Q534"/>
      <c r="R534"/>
      <c r="S534"/>
      <c r="T534" s="374"/>
      <c r="U534" s="374"/>
      <c r="V534" s="374"/>
      <c r="W534" s="96"/>
      <c r="X534" s="96"/>
      <c r="Y534" s="96"/>
    </row>
    <row r="535" spans="1:25">
      <c r="A535"/>
      <c r="B535"/>
      <c r="C535"/>
      <c r="D535"/>
      <c r="E535"/>
      <c r="F535"/>
      <c r="G535"/>
      <c r="H535"/>
      <c r="I535"/>
      <c r="J535"/>
      <c r="K535"/>
      <c r="L535"/>
      <c r="M535"/>
      <c r="N535"/>
      <c r="O535"/>
      <c r="P535"/>
      <c r="Q535"/>
      <c r="R535"/>
      <c r="S535"/>
      <c r="T535" s="374"/>
      <c r="U535" s="374"/>
      <c r="V535" s="374"/>
      <c r="W535" s="96"/>
      <c r="X535" s="96"/>
      <c r="Y535" s="96"/>
    </row>
    <row r="536" spans="1:25">
      <c r="A536"/>
      <c r="B536"/>
      <c r="C536"/>
      <c r="D536"/>
      <c r="E536"/>
      <c r="F536"/>
      <c r="G536"/>
      <c r="H536"/>
      <c r="I536"/>
      <c r="J536"/>
      <c r="K536"/>
      <c r="L536"/>
      <c r="M536"/>
      <c r="N536"/>
      <c r="O536"/>
      <c r="P536"/>
      <c r="Q536"/>
      <c r="R536"/>
      <c r="S536"/>
      <c r="T536" s="374"/>
      <c r="U536" s="374"/>
      <c r="V536" s="374"/>
      <c r="W536" s="96"/>
      <c r="X536" s="96"/>
      <c r="Y536" s="96"/>
    </row>
    <row r="537" spans="1:25">
      <c r="A537"/>
      <c r="B537"/>
      <c r="C537"/>
      <c r="D537"/>
      <c r="E537"/>
      <c r="F537"/>
      <c r="G537"/>
      <c r="H537"/>
      <c r="I537"/>
      <c r="J537"/>
      <c r="K537"/>
      <c r="L537"/>
      <c r="M537"/>
      <c r="N537"/>
      <c r="O537"/>
      <c r="P537"/>
      <c r="Q537"/>
      <c r="R537"/>
      <c r="S537"/>
      <c r="T537" s="374"/>
      <c r="U537" s="374"/>
      <c r="V537" s="374"/>
      <c r="W537" s="96"/>
      <c r="X537" s="96"/>
      <c r="Y537" s="96"/>
    </row>
    <row r="538" spans="1:25">
      <c r="A538"/>
      <c r="B538"/>
      <c r="C538"/>
      <c r="D538"/>
      <c r="E538"/>
      <c r="F538"/>
      <c r="G538"/>
      <c r="H538"/>
      <c r="I538"/>
      <c r="J538"/>
      <c r="K538"/>
      <c r="L538"/>
      <c r="M538"/>
      <c r="N538"/>
      <c r="O538"/>
      <c r="P538"/>
      <c r="Q538"/>
      <c r="R538"/>
      <c r="S538"/>
      <c r="T538" s="374"/>
      <c r="U538" s="374"/>
      <c r="V538" s="374"/>
      <c r="W538" s="96"/>
      <c r="X538" s="96"/>
      <c r="Y538" s="96"/>
    </row>
    <row r="539" spans="1:25">
      <c r="A539"/>
      <c r="B539"/>
      <c r="C539"/>
      <c r="D539"/>
      <c r="E539"/>
      <c r="F539"/>
      <c r="G539"/>
      <c r="H539"/>
      <c r="I539"/>
      <c r="J539"/>
      <c r="K539"/>
      <c r="L539"/>
      <c r="M539"/>
      <c r="N539"/>
      <c r="O539"/>
      <c r="P539"/>
      <c r="Q539"/>
      <c r="R539"/>
      <c r="S539"/>
      <c r="T539" s="374"/>
      <c r="U539" s="374"/>
      <c r="V539" s="374"/>
      <c r="W539" s="96"/>
      <c r="X539" s="96"/>
      <c r="Y539" s="96"/>
    </row>
    <row r="540" spans="1:25">
      <c r="A540"/>
      <c r="B540"/>
      <c r="C540"/>
      <c r="D540"/>
      <c r="E540"/>
      <c r="F540"/>
      <c r="G540"/>
      <c r="H540"/>
      <c r="I540"/>
      <c r="J540"/>
      <c r="K540"/>
      <c r="L540"/>
      <c r="M540"/>
      <c r="N540"/>
      <c r="O540"/>
      <c r="P540"/>
      <c r="Q540"/>
      <c r="R540"/>
      <c r="S540"/>
      <c r="T540" s="374"/>
      <c r="U540" s="374"/>
      <c r="V540" s="374"/>
      <c r="W540" s="96"/>
      <c r="X540" s="96"/>
      <c r="Y540" s="96"/>
    </row>
    <row r="541" spans="1:25">
      <c r="A541"/>
      <c r="B541"/>
      <c r="C541"/>
      <c r="D541"/>
      <c r="E541"/>
      <c r="F541"/>
      <c r="G541"/>
      <c r="H541"/>
      <c r="I541"/>
      <c r="J541"/>
      <c r="K541"/>
      <c r="L541"/>
      <c r="M541"/>
      <c r="N541"/>
      <c r="O541"/>
      <c r="P541"/>
      <c r="Q541"/>
      <c r="R541"/>
      <c r="S541"/>
      <c r="T541" s="374"/>
      <c r="U541" s="374"/>
      <c r="V541" s="374"/>
      <c r="W541" s="96"/>
      <c r="X541" s="96"/>
      <c r="Y541" s="96"/>
    </row>
    <row r="542" spans="1:25">
      <c r="A542"/>
      <c r="B542"/>
      <c r="C542"/>
      <c r="D542"/>
      <c r="E542"/>
      <c r="F542"/>
      <c r="G542"/>
      <c r="H542"/>
      <c r="I542"/>
      <c r="J542"/>
      <c r="K542"/>
      <c r="L542"/>
      <c r="M542"/>
      <c r="N542"/>
      <c r="O542"/>
      <c r="P542"/>
      <c r="Q542"/>
      <c r="R542"/>
      <c r="S542"/>
      <c r="T542" s="374"/>
      <c r="U542" s="374"/>
      <c r="V542" s="374"/>
      <c r="W542" s="96"/>
      <c r="X542" s="96"/>
      <c r="Y542" s="96"/>
    </row>
    <row r="543" spans="1:25">
      <c r="A543"/>
      <c r="B543"/>
      <c r="C543"/>
      <c r="D543"/>
      <c r="E543"/>
      <c r="F543"/>
      <c r="G543"/>
      <c r="H543"/>
      <c r="I543"/>
      <c r="J543"/>
      <c r="K543"/>
      <c r="L543"/>
      <c r="M543"/>
      <c r="N543"/>
      <c r="O543"/>
      <c r="P543"/>
      <c r="Q543"/>
      <c r="R543"/>
      <c r="S543"/>
      <c r="T543" s="374"/>
      <c r="U543" s="374"/>
      <c r="V543" s="374"/>
      <c r="W543" s="96"/>
      <c r="X543" s="96"/>
      <c r="Y543" s="96"/>
    </row>
    <row r="544" spans="1:25">
      <c r="A544"/>
      <c r="B544"/>
      <c r="C544"/>
      <c r="D544"/>
      <c r="E544"/>
      <c r="F544"/>
      <c r="G544"/>
      <c r="H544"/>
      <c r="I544"/>
      <c r="J544"/>
      <c r="K544"/>
      <c r="L544"/>
      <c r="M544"/>
      <c r="N544"/>
      <c r="O544"/>
      <c r="P544"/>
      <c r="Q544"/>
      <c r="R544"/>
      <c r="S544"/>
      <c r="T544" s="374"/>
      <c r="U544" s="374"/>
      <c r="V544" s="374"/>
      <c r="W544" s="96"/>
      <c r="X544" s="96"/>
      <c r="Y544" s="96"/>
    </row>
    <row r="545" spans="1:25">
      <c r="A545"/>
      <c r="B545"/>
      <c r="C545"/>
      <c r="D545"/>
      <c r="E545"/>
      <c r="F545"/>
      <c r="G545"/>
      <c r="H545"/>
      <c r="I545"/>
      <c r="J545"/>
      <c r="K545"/>
      <c r="L545"/>
      <c r="M545"/>
      <c r="N545"/>
      <c r="O545"/>
      <c r="P545"/>
      <c r="Q545"/>
      <c r="R545"/>
      <c r="S545"/>
      <c r="T545" s="374"/>
      <c r="U545" s="374"/>
      <c r="V545" s="374"/>
      <c r="W545" s="96"/>
      <c r="X545" s="96"/>
      <c r="Y545" s="96"/>
    </row>
    <row r="546" spans="1:25">
      <c r="A546"/>
      <c r="B546"/>
      <c r="C546"/>
      <c r="D546"/>
      <c r="E546"/>
      <c r="F546"/>
      <c r="G546"/>
      <c r="H546"/>
      <c r="I546"/>
      <c r="J546"/>
      <c r="K546"/>
      <c r="L546"/>
      <c r="M546"/>
      <c r="N546"/>
      <c r="O546"/>
      <c r="P546"/>
      <c r="Q546"/>
      <c r="R546"/>
      <c r="S546"/>
      <c r="T546" s="374"/>
      <c r="U546" s="374"/>
      <c r="V546" s="374"/>
      <c r="W546" s="96"/>
      <c r="X546" s="96"/>
      <c r="Y546" s="96"/>
    </row>
    <row r="547" spans="1:25">
      <c r="A547"/>
      <c r="B547"/>
      <c r="C547"/>
      <c r="D547"/>
      <c r="E547"/>
      <c r="F547"/>
      <c r="G547"/>
      <c r="H547"/>
      <c r="I547"/>
      <c r="J547"/>
      <c r="K547"/>
      <c r="L547"/>
      <c r="M547"/>
      <c r="N547"/>
      <c r="O547"/>
      <c r="P547"/>
      <c r="Q547"/>
      <c r="R547"/>
      <c r="S547"/>
      <c r="T547" s="374"/>
      <c r="U547" s="374"/>
      <c r="V547" s="374"/>
      <c r="W547" s="96"/>
      <c r="X547" s="96"/>
      <c r="Y547" s="96"/>
    </row>
    <row r="548" spans="1:25">
      <c r="A548"/>
      <c r="B548"/>
      <c r="C548"/>
      <c r="D548"/>
      <c r="E548"/>
      <c r="F548"/>
      <c r="G548"/>
      <c r="H548"/>
      <c r="I548"/>
      <c r="J548"/>
      <c r="K548"/>
      <c r="L548"/>
      <c r="M548"/>
      <c r="N548"/>
      <c r="O548"/>
      <c r="P548"/>
      <c r="Q548"/>
      <c r="R548"/>
      <c r="S548"/>
      <c r="T548" s="374"/>
      <c r="U548" s="374"/>
      <c r="V548" s="374"/>
      <c r="W548" s="96"/>
      <c r="X548" s="96"/>
      <c r="Y548" s="96"/>
    </row>
    <row r="549" spans="1:25">
      <c r="A549"/>
      <c r="B549"/>
      <c r="C549"/>
      <c r="D549"/>
      <c r="E549"/>
      <c r="F549"/>
      <c r="G549"/>
      <c r="H549"/>
      <c r="I549"/>
      <c r="J549"/>
      <c r="K549"/>
      <c r="L549"/>
      <c r="M549"/>
      <c r="N549"/>
      <c r="O549"/>
      <c r="P549"/>
      <c r="Q549"/>
      <c r="R549"/>
      <c r="S549"/>
      <c r="T549" s="374"/>
      <c r="U549" s="374"/>
      <c r="V549" s="374"/>
      <c r="W549" s="96"/>
      <c r="X549" s="96"/>
      <c r="Y549" s="96"/>
    </row>
    <row r="550" spans="1:25">
      <c r="A550"/>
      <c r="B550"/>
      <c r="C550"/>
      <c r="D550"/>
      <c r="E550"/>
      <c r="F550"/>
      <c r="G550"/>
      <c r="H550"/>
      <c r="I550"/>
      <c r="J550"/>
      <c r="K550"/>
      <c r="L550"/>
      <c r="M550"/>
      <c r="N550"/>
      <c r="O550"/>
      <c r="P550"/>
      <c r="Q550"/>
      <c r="R550"/>
      <c r="S550"/>
      <c r="T550" s="374"/>
      <c r="U550" s="374"/>
      <c r="V550" s="374"/>
      <c r="W550" s="96"/>
      <c r="X550" s="96"/>
      <c r="Y550" s="96"/>
    </row>
    <row r="551" spans="1:25">
      <c r="A551"/>
      <c r="B551"/>
      <c r="C551"/>
      <c r="D551"/>
      <c r="E551"/>
      <c r="F551"/>
      <c r="G551"/>
      <c r="H551"/>
      <c r="I551"/>
      <c r="J551"/>
      <c r="K551"/>
      <c r="L551"/>
      <c r="M551"/>
      <c r="N551"/>
      <c r="O551"/>
      <c r="P551"/>
      <c r="Q551"/>
      <c r="R551"/>
      <c r="S551"/>
      <c r="T551" s="374"/>
      <c r="U551" s="374"/>
      <c r="V551" s="374"/>
      <c r="W551" s="96"/>
      <c r="X551" s="96"/>
      <c r="Y551" s="96"/>
    </row>
    <row r="552" spans="1:25">
      <c r="A552"/>
      <c r="B552"/>
      <c r="C552"/>
      <c r="D552"/>
      <c r="E552"/>
      <c r="F552"/>
      <c r="G552"/>
      <c r="H552"/>
      <c r="I552"/>
      <c r="J552"/>
      <c r="K552"/>
      <c r="L552"/>
      <c r="M552"/>
      <c r="N552"/>
      <c r="O552"/>
      <c r="P552"/>
      <c r="Q552"/>
      <c r="R552"/>
      <c r="S552"/>
      <c r="T552" s="374"/>
      <c r="U552" s="374"/>
      <c r="V552" s="374"/>
      <c r="W552" s="96"/>
      <c r="X552" s="96"/>
      <c r="Y552" s="96"/>
    </row>
    <row r="553" spans="1:25">
      <c r="A553"/>
      <c r="B553"/>
      <c r="C553"/>
      <c r="D553"/>
      <c r="E553"/>
      <c r="F553"/>
      <c r="G553"/>
      <c r="H553"/>
      <c r="I553"/>
      <c r="J553"/>
      <c r="K553"/>
      <c r="L553"/>
      <c r="M553"/>
      <c r="N553"/>
      <c r="O553"/>
      <c r="P553"/>
      <c r="Q553"/>
      <c r="R553"/>
      <c r="S553"/>
      <c r="T553" s="374"/>
      <c r="U553" s="374"/>
      <c r="V553" s="374"/>
      <c r="W553" s="96"/>
      <c r="X553" s="96"/>
      <c r="Y553" s="96"/>
    </row>
    <row r="554" spans="1:25">
      <c r="A554"/>
      <c r="B554"/>
      <c r="C554"/>
      <c r="D554"/>
      <c r="E554"/>
      <c r="F554"/>
      <c r="G554"/>
      <c r="H554"/>
      <c r="I554"/>
      <c r="J554"/>
      <c r="K554"/>
      <c r="L554"/>
      <c r="M554"/>
      <c r="N554"/>
      <c r="O554"/>
      <c r="P554"/>
      <c r="Q554"/>
      <c r="R554"/>
      <c r="S554"/>
      <c r="T554" s="374"/>
      <c r="U554" s="374"/>
      <c r="V554" s="374"/>
      <c r="W554" s="96"/>
      <c r="X554" s="96"/>
      <c r="Y554" s="96"/>
    </row>
    <row r="555" spans="1:25">
      <c r="A555"/>
      <c r="B555"/>
      <c r="C555"/>
      <c r="D555"/>
      <c r="E555"/>
      <c r="F555"/>
      <c r="G555"/>
      <c r="H555"/>
      <c r="I555"/>
      <c r="J555"/>
      <c r="K555"/>
      <c r="L555"/>
      <c r="M555"/>
      <c r="N555"/>
      <c r="O555"/>
      <c r="P555"/>
      <c r="Q555"/>
      <c r="R555"/>
      <c r="S555"/>
      <c r="T555" s="374"/>
      <c r="U555" s="374"/>
      <c r="V555" s="374"/>
      <c r="W555" s="96"/>
      <c r="X555" s="96"/>
      <c r="Y555" s="96"/>
    </row>
    <row r="556" spans="1:25">
      <c r="A556"/>
      <c r="B556"/>
      <c r="C556"/>
      <c r="D556"/>
      <c r="E556"/>
      <c r="F556"/>
      <c r="G556"/>
      <c r="H556"/>
      <c r="I556"/>
      <c r="J556"/>
      <c r="K556"/>
      <c r="L556"/>
      <c r="M556"/>
      <c r="N556"/>
      <c r="O556"/>
      <c r="P556"/>
      <c r="Q556"/>
      <c r="R556"/>
      <c r="S556"/>
      <c r="T556" s="374"/>
      <c r="U556" s="374"/>
      <c r="V556" s="374"/>
      <c r="W556" s="96"/>
      <c r="X556" s="96"/>
      <c r="Y556" s="96"/>
    </row>
    <row r="557" spans="1:25">
      <c r="A557"/>
      <c r="B557"/>
      <c r="C557"/>
      <c r="D557"/>
      <c r="E557"/>
      <c r="F557"/>
      <c r="G557"/>
      <c r="H557"/>
      <c r="I557"/>
      <c r="J557"/>
      <c r="K557"/>
      <c r="L557"/>
      <c r="M557"/>
      <c r="N557"/>
      <c r="O557"/>
      <c r="P557"/>
      <c r="Q557"/>
      <c r="R557"/>
      <c r="S557"/>
      <c r="T557" s="374"/>
      <c r="U557" s="374"/>
      <c r="V557" s="374"/>
      <c r="W557" s="96"/>
      <c r="X557" s="96"/>
      <c r="Y557" s="96"/>
    </row>
    <row r="558" spans="1:25">
      <c r="A558"/>
      <c r="B558"/>
      <c r="C558"/>
      <c r="D558"/>
      <c r="E558"/>
      <c r="F558"/>
      <c r="G558"/>
      <c r="H558"/>
      <c r="I558"/>
      <c r="J558"/>
      <c r="K558"/>
      <c r="L558"/>
      <c r="M558"/>
      <c r="N558"/>
      <c r="O558"/>
      <c r="P558"/>
      <c r="Q558"/>
      <c r="R558"/>
      <c r="S558"/>
      <c r="T558" s="374"/>
      <c r="U558" s="374"/>
      <c r="V558" s="374"/>
      <c r="W558" s="96"/>
      <c r="X558" s="96"/>
      <c r="Y558" s="96"/>
    </row>
    <row r="559" spans="1:25">
      <c r="A559"/>
      <c r="B559"/>
      <c r="C559"/>
      <c r="D559"/>
      <c r="E559"/>
      <c r="F559"/>
      <c r="G559"/>
      <c r="H559"/>
      <c r="I559"/>
      <c r="J559"/>
      <c r="K559"/>
      <c r="L559"/>
      <c r="M559"/>
      <c r="N559"/>
      <c r="O559"/>
      <c r="P559"/>
      <c r="Q559"/>
      <c r="R559"/>
      <c r="S559"/>
      <c r="T559" s="374"/>
      <c r="U559" s="374"/>
      <c r="V559" s="374"/>
      <c r="W559" s="96"/>
      <c r="X559" s="96"/>
      <c r="Y559" s="96"/>
    </row>
    <row r="560" spans="1:25">
      <c r="A560"/>
      <c r="B560"/>
      <c r="C560"/>
      <c r="D560"/>
      <c r="E560"/>
      <c r="F560"/>
      <c r="G560"/>
      <c r="H560"/>
      <c r="I560"/>
      <c r="J560"/>
      <c r="K560"/>
      <c r="L560"/>
      <c r="M560"/>
      <c r="N560"/>
      <c r="O560"/>
      <c r="P560"/>
      <c r="Q560"/>
      <c r="R560"/>
      <c r="S560"/>
      <c r="T560" s="374"/>
      <c r="U560" s="374"/>
      <c r="V560" s="374"/>
      <c r="W560" s="96"/>
      <c r="X560" s="96"/>
      <c r="Y560" s="96"/>
    </row>
    <row r="561" spans="1:25">
      <c r="A561"/>
      <c r="B561"/>
      <c r="C561"/>
      <c r="D561"/>
      <c r="E561"/>
      <c r="F561"/>
      <c r="G561"/>
      <c r="H561"/>
      <c r="I561"/>
      <c r="J561"/>
      <c r="K561"/>
      <c r="L561"/>
      <c r="M561"/>
      <c r="N561"/>
      <c r="O561"/>
      <c r="P561"/>
      <c r="Q561"/>
      <c r="R561"/>
      <c r="S561"/>
      <c r="T561" s="374"/>
      <c r="U561" s="374"/>
      <c r="V561" s="374"/>
      <c r="W561" s="96"/>
      <c r="X561" s="96"/>
      <c r="Y561" s="96"/>
    </row>
    <row r="562" spans="1:25">
      <c r="A562"/>
      <c r="B562"/>
      <c r="C562"/>
      <c r="D562"/>
      <c r="E562"/>
      <c r="F562"/>
      <c r="G562"/>
      <c r="H562"/>
      <c r="I562"/>
      <c r="J562"/>
      <c r="K562"/>
      <c r="L562"/>
      <c r="M562"/>
      <c r="N562"/>
      <c r="O562"/>
      <c r="P562"/>
      <c r="Q562"/>
      <c r="R562"/>
      <c r="S562"/>
      <c r="T562" s="374"/>
      <c r="U562" s="374"/>
      <c r="V562" s="374"/>
      <c r="W562" s="96"/>
      <c r="X562" s="96"/>
      <c r="Y562" s="96"/>
    </row>
    <row r="563" spans="1:25">
      <c r="A563"/>
      <c r="B563"/>
      <c r="C563"/>
      <c r="D563"/>
      <c r="E563"/>
      <c r="F563"/>
      <c r="G563"/>
      <c r="H563"/>
      <c r="I563"/>
      <c r="J563"/>
      <c r="K563"/>
      <c r="L563"/>
      <c r="M563"/>
      <c r="N563"/>
      <c r="O563"/>
      <c r="P563"/>
      <c r="Q563"/>
      <c r="R563"/>
      <c r="S563"/>
      <c r="T563" s="374"/>
      <c r="U563" s="374"/>
      <c r="V563" s="374"/>
      <c r="W563" s="96"/>
      <c r="X563" s="96"/>
      <c r="Y563" s="96"/>
    </row>
    <row r="564" spans="1:25">
      <c r="A564"/>
      <c r="B564"/>
      <c r="C564"/>
      <c r="D564"/>
      <c r="E564"/>
      <c r="F564"/>
      <c r="G564"/>
      <c r="H564"/>
      <c r="I564"/>
      <c r="J564"/>
      <c r="K564"/>
      <c r="L564"/>
      <c r="M564"/>
      <c r="N564"/>
      <c r="O564"/>
      <c r="P564"/>
      <c r="Q564"/>
      <c r="R564"/>
      <c r="S564"/>
      <c r="T564" s="374"/>
      <c r="U564" s="374"/>
      <c r="V564" s="374"/>
      <c r="W564" s="96"/>
      <c r="X564" s="96"/>
      <c r="Y564" s="96"/>
    </row>
    <row r="565" spans="1:25">
      <c r="A565"/>
      <c r="B565"/>
      <c r="C565"/>
      <c r="D565"/>
      <c r="E565"/>
      <c r="F565"/>
      <c r="G565"/>
      <c r="H565"/>
      <c r="I565"/>
      <c r="J565"/>
      <c r="K565"/>
      <c r="L565"/>
      <c r="M565"/>
      <c r="N565"/>
      <c r="O565"/>
      <c r="P565"/>
      <c r="Q565"/>
      <c r="R565"/>
      <c r="S565"/>
      <c r="T565" s="374"/>
      <c r="U565" s="374"/>
      <c r="V565" s="374"/>
      <c r="W565" s="96"/>
      <c r="X565" s="96"/>
      <c r="Y565" s="96"/>
    </row>
    <row r="566" spans="1:25">
      <c r="A566"/>
      <c r="B566"/>
      <c r="C566"/>
      <c r="D566"/>
      <c r="E566"/>
      <c r="F566"/>
      <c r="G566"/>
      <c r="H566"/>
      <c r="I566"/>
      <c r="J566"/>
      <c r="K566"/>
      <c r="L566"/>
      <c r="M566"/>
      <c r="N566"/>
      <c r="O566"/>
      <c r="P566"/>
      <c r="Q566"/>
      <c r="R566"/>
      <c r="S566"/>
      <c r="T566" s="374"/>
      <c r="U566" s="374"/>
      <c r="V566" s="374"/>
      <c r="W566" s="96"/>
      <c r="X566" s="96"/>
      <c r="Y566" s="96"/>
    </row>
    <row r="567" spans="1:25">
      <c r="A567"/>
      <c r="B567"/>
      <c r="C567"/>
      <c r="D567"/>
      <c r="E567"/>
      <c r="F567"/>
      <c r="G567"/>
      <c r="H567"/>
      <c r="I567"/>
      <c r="J567"/>
      <c r="K567"/>
      <c r="L567"/>
      <c r="M567"/>
      <c r="N567"/>
      <c r="O567"/>
      <c r="P567"/>
      <c r="Q567"/>
      <c r="R567"/>
      <c r="S567"/>
      <c r="T567" s="374"/>
      <c r="U567" s="374"/>
      <c r="V567" s="374"/>
      <c r="W567" s="96"/>
      <c r="X567" s="96"/>
      <c r="Y567" s="96"/>
    </row>
    <row r="568" spans="1:25">
      <c r="A568"/>
      <c r="B568"/>
      <c r="C568"/>
      <c r="D568"/>
      <c r="E568"/>
      <c r="F568"/>
      <c r="G568"/>
      <c r="H568"/>
      <c r="I568"/>
      <c r="J568"/>
      <c r="K568"/>
      <c r="L568"/>
      <c r="M568"/>
      <c r="N568"/>
      <c r="O568"/>
      <c r="P568"/>
      <c r="Q568"/>
      <c r="R568"/>
      <c r="S568"/>
      <c r="T568" s="374"/>
      <c r="U568" s="374"/>
      <c r="V568" s="374"/>
      <c r="W568" s="96"/>
      <c r="X568" s="96"/>
      <c r="Y568" s="96"/>
    </row>
    <row r="569" spans="1:25">
      <c r="A569"/>
      <c r="B569"/>
      <c r="C569"/>
      <c r="D569"/>
      <c r="E569"/>
      <c r="F569"/>
      <c r="G569"/>
      <c r="H569"/>
      <c r="I569"/>
      <c r="J569"/>
      <c r="K569"/>
      <c r="L569"/>
      <c r="M569"/>
      <c r="N569"/>
      <c r="O569"/>
      <c r="P569"/>
      <c r="Q569"/>
      <c r="R569"/>
      <c r="S569"/>
      <c r="T569" s="374"/>
      <c r="U569" s="374"/>
      <c r="V569" s="374"/>
      <c r="W569" s="96"/>
      <c r="X569" s="96"/>
      <c r="Y569" s="96"/>
    </row>
    <row r="570" spans="1:25">
      <c r="A570"/>
      <c r="B570"/>
      <c r="C570"/>
      <c r="D570"/>
      <c r="E570"/>
      <c r="F570"/>
      <c r="G570"/>
      <c r="H570"/>
      <c r="I570"/>
      <c r="J570"/>
      <c r="K570"/>
      <c r="L570"/>
      <c r="M570"/>
      <c r="N570"/>
      <c r="O570"/>
      <c r="P570"/>
      <c r="Q570"/>
      <c r="R570"/>
      <c r="S570"/>
      <c r="T570" s="374"/>
      <c r="U570" s="374"/>
      <c r="V570" s="374"/>
      <c r="W570" s="96"/>
      <c r="X570" s="96"/>
      <c r="Y570" s="96"/>
    </row>
    <row r="571" spans="1:25">
      <c r="A571"/>
      <c r="B571"/>
      <c r="C571"/>
      <c r="D571"/>
      <c r="E571"/>
      <c r="F571"/>
      <c r="G571"/>
      <c r="H571"/>
      <c r="I571"/>
      <c r="J571"/>
      <c r="K571"/>
      <c r="L571"/>
      <c r="M571"/>
      <c r="N571"/>
      <c r="O571"/>
      <c r="P571"/>
      <c r="Q571"/>
      <c r="R571"/>
      <c r="S571"/>
      <c r="T571" s="374"/>
      <c r="U571" s="374"/>
      <c r="V571" s="374"/>
      <c r="W571" s="96"/>
      <c r="X571" s="96"/>
      <c r="Y571" s="96"/>
    </row>
    <row r="572" spans="1:25">
      <c r="A572"/>
      <c r="B572"/>
      <c r="C572"/>
      <c r="D572"/>
      <c r="E572"/>
      <c r="F572"/>
      <c r="G572"/>
      <c r="H572"/>
      <c r="I572"/>
      <c r="J572"/>
      <c r="K572"/>
      <c r="L572"/>
      <c r="M572"/>
      <c r="N572"/>
      <c r="O572"/>
      <c r="P572"/>
      <c r="Q572"/>
      <c r="R572"/>
      <c r="S572"/>
      <c r="T572" s="374"/>
      <c r="U572" s="374"/>
      <c r="V572" s="374"/>
      <c r="W572" s="96"/>
      <c r="X572" s="96"/>
      <c r="Y572" s="96"/>
    </row>
    <row r="573" spans="1:25">
      <c r="A573"/>
      <c r="B573"/>
      <c r="C573"/>
      <c r="D573"/>
      <c r="E573"/>
      <c r="F573"/>
      <c r="G573"/>
      <c r="H573"/>
      <c r="I573"/>
      <c r="J573"/>
      <c r="K573"/>
      <c r="L573"/>
      <c r="M573"/>
      <c r="N573"/>
      <c r="O573"/>
      <c r="P573"/>
      <c r="Q573"/>
      <c r="R573"/>
      <c r="S573"/>
      <c r="T573" s="374"/>
      <c r="U573" s="374"/>
      <c r="V573" s="374"/>
      <c r="W573" s="96"/>
      <c r="X573" s="96"/>
      <c r="Y573" s="96"/>
    </row>
    <row r="574" spans="1:25">
      <c r="A574"/>
      <c r="B574"/>
      <c r="C574"/>
      <c r="D574"/>
      <c r="E574"/>
      <c r="F574"/>
      <c r="G574"/>
      <c r="H574"/>
      <c r="I574"/>
      <c r="J574"/>
      <c r="K574"/>
      <c r="L574"/>
      <c r="M574"/>
      <c r="N574"/>
      <c r="O574"/>
      <c r="P574"/>
      <c r="Q574"/>
      <c r="R574"/>
      <c r="S574"/>
      <c r="T574" s="374"/>
      <c r="U574" s="374"/>
      <c r="V574" s="374"/>
      <c r="W574" s="96"/>
      <c r="X574" s="96"/>
      <c r="Y574" s="96"/>
    </row>
    <row r="575" spans="1:25">
      <c r="A575"/>
      <c r="B575"/>
      <c r="C575"/>
      <c r="D575"/>
      <c r="E575"/>
      <c r="F575"/>
      <c r="G575"/>
      <c r="H575"/>
      <c r="I575"/>
      <c r="J575"/>
      <c r="K575"/>
      <c r="L575"/>
      <c r="M575"/>
      <c r="N575"/>
      <c r="O575"/>
      <c r="P575"/>
      <c r="Q575"/>
      <c r="R575"/>
      <c r="S575"/>
      <c r="T575" s="374"/>
      <c r="U575" s="374"/>
      <c r="V575" s="374"/>
      <c r="W575" s="96"/>
      <c r="X575" s="96"/>
      <c r="Y575" s="96"/>
    </row>
    <row r="576" spans="1:25">
      <c r="A576"/>
      <c r="B576"/>
      <c r="C576"/>
      <c r="D576"/>
      <c r="E576"/>
      <c r="F576"/>
      <c r="G576"/>
      <c r="H576"/>
      <c r="I576"/>
      <c r="J576"/>
      <c r="K576"/>
      <c r="L576"/>
      <c r="M576"/>
      <c r="N576"/>
      <c r="O576"/>
      <c r="P576"/>
      <c r="Q576"/>
      <c r="R576"/>
      <c r="S576"/>
      <c r="T576" s="374"/>
      <c r="U576" s="374"/>
      <c r="V576" s="374"/>
      <c r="W576" s="96"/>
      <c r="X576" s="96"/>
      <c r="Y576" s="96"/>
    </row>
    <row r="577" spans="1:25">
      <c r="A577"/>
      <c r="B577"/>
      <c r="C577"/>
      <c r="D577"/>
      <c r="E577"/>
      <c r="F577"/>
      <c r="G577"/>
      <c r="H577"/>
      <c r="I577"/>
      <c r="J577"/>
      <c r="K577"/>
      <c r="L577"/>
      <c r="M577"/>
      <c r="N577"/>
      <c r="O577"/>
      <c r="P577"/>
      <c r="Q577"/>
      <c r="R577"/>
      <c r="S577"/>
      <c r="T577" s="374"/>
      <c r="U577" s="374"/>
      <c r="V577" s="374"/>
      <c r="W577" s="96"/>
      <c r="X577" s="96"/>
      <c r="Y577" s="96"/>
    </row>
    <row r="578" spans="1:25">
      <c r="A578"/>
      <c r="B578"/>
      <c r="C578"/>
      <c r="D578"/>
      <c r="E578"/>
      <c r="F578"/>
      <c r="G578"/>
      <c r="H578"/>
      <c r="I578"/>
      <c r="J578"/>
      <c r="K578"/>
      <c r="L578"/>
      <c r="M578"/>
      <c r="N578"/>
      <c r="O578"/>
      <c r="P578"/>
      <c r="Q578"/>
      <c r="R578"/>
      <c r="S578"/>
      <c r="T578" s="374"/>
      <c r="U578" s="374"/>
      <c r="V578" s="374"/>
      <c r="W578" s="96"/>
      <c r="X578" s="96"/>
      <c r="Y578" s="96"/>
    </row>
    <row r="579" spans="1:25">
      <c r="A579"/>
      <c r="B579"/>
      <c r="C579"/>
      <c r="D579"/>
      <c r="E579"/>
      <c r="F579"/>
      <c r="G579"/>
      <c r="H579"/>
      <c r="I579"/>
      <c r="J579"/>
      <c r="K579"/>
      <c r="L579"/>
      <c r="M579"/>
      <c r="N579"/>
      <c r="O579"/>
      <c r="P579"/>
      <c r="Q579"/>
      <c r="R579"/>
      <c r="S579"/>
      <c r="T579" s="374"/>
      <c r="U579" s="374"/>
      <c r="V579" s="374"/>
      <c r="W579" s="96"/>
      <c r="X579" s="96"/>
      <c r="Y579" s="96"/>
    </row>
    <row r="580" spans="1:25">
      <c r="A580"/>
      <c r="B580"/>
      <c r="C580"/>
      <c r="D580"/>
      <c r="E580"/>
      <c r="F580"/>
      <c r="G580"/>
      <c r="H580"/>
      <c r="I580"/>
      <c r="J580"/>
      <c r="K580"/>
      <c r="L580"/>
      <c r="M580"/>
      <c r="N580"/>
      <c r="O580"/>
      <c r="P580"/>
      <c r="Q580"/>
      <c r="R580"/>
      <c r="S580"/>
      <c r="T580" s="374"/>
      <c r="U580" s="374"/>
      <c r="V580" s="374"/>
      <c r="W580" s="96"/>
      <c r="X580" s="96"/>
      <c r="Y580" s="96"/>
    </row>
    <row r="581" spans="1:25">
      <c r="A581"/>
      <c r="B581"/>
      <c r="C581"/>
      <c r="D581"/>
      <c r="E581"/>
      <c r="F581"/>
      <c r="G581"/>
      <c r="H581"/>
      <c r="I581"/>
      <c r="J581"/>
      <c r="K581"/>
      <c r="L581"/>
      <c r="M581"/>
      <c r="N581"/>
      <c r="O581"/>
      <c r="P581"/>
      <c r="Q581"/>
      <c r="R581"/>
      <c r="S581"/>
      <c r="T581" s="374"/>
      <c r="U581" s="374"/>
      <c r="V581" s="374"/>
      <c r="W581" s="96"/>
      <c r="X581" s="96"/>
      <c r="Y581" s="96"/>
    </row>
    <row r="582" spans="1:25">
      <c r="A582"/>
      <c r="B582"/>
      <c r="C582"/>
      <c r="D582"/>
      <c r="E582"/>
      <c r="F582"/>
      <c r="G582"/>
      <c r="H582"/>
      <c r="I582"/>
      <c r="J582"/>
      <c r="K582"/>
      <c r="L582"/>
      <c r="M582"/>
      <c r="N582"/>
      <c r="O582"/>
      <c r="P582"/>
      <c r="Q582"/>
      <c r="R582"/>
      <c r="S582"/>
      <c r="T582" s="374"/>
      <c r="U582" s="374"/>
      <c r="V582" s="374"/>
      <c r="W582" s="96"/>
      <c r="X582" s="96"/>
      <c r="Y582" s="96"/>
    </row>
    <row r="583" spans="1:25">
      <c r="A583"/>
      <c r="B583"/>
      <c r="C583"/>
      <c r="D583"/>
      <c r="E583"/>
      <c r="F583"/>
      <c r="G583"/>
      <c r="H583"/>
      <c r="I583"/>
      <c r="J583"/>
      <c r="K583"/>
      <c r="L583"/>
      <c r="M583"/>
      <c r="N583"/>
      <c r="O583"/>
      <c r="P583"/>
      <c r="Q583"/>
      <c r="R583"/>
      <c r="S583"/>
      <c r="T583" s="374"/>
      <c r="U583" s="374"/>
      <c r="V583" s="374"/>
      <c r="W583" s="96"/>
      <c r="X583" s="96"/>
      <c r="Y583" s="96"/>
    </row>
    <row r="584" spans="1:25">
      <c r="A584"/>
      <c r="B584"/>
      <c r="C584"/>
      <c r="D584"/>
      <c r="E584"/>
      <c r="F584"/>
      <c r="G584"/>
      <c r="H584"/>
      <c r="I584"/>
      <c r="J584"/>
      <c r="K584"/>
      <c r="L584"/>
      <c r="M584"/>
      <c r="N584"/>
      <c r="O584"/>
      <c r="P584"/>
      <c r="Q584"/>
      <c r="R584"/>
      <c r="S584"/>
      <c r="T584" s="374"/>
      <c r="U584" s="374"/>
      <c r="V584" s="374"/>
      <c r="W584" s="96"/>
      <c r="X584" s="96"/>
      <c r="Y584" s="96"/>
    </row>
    <row r="585" spans="1:25">
      <c r="A585"/>
      <c r="B585"/>
      <c r="C585"/>
      <c r="D585"/>
      <c r="E585"/>
      <c r="F585"/>
      <c r="G585"/>
      <c r="H585"/>
      <c r="I585"/>
      <c r="J585"/>
      <c r="K585"/>
      <c r="L585"/>
      <c r="M585"/>
      <c r="N585"/>
      <c r="O585"/>
      <c r="P585"/>
      <c r="Q585"/>
      <c r="R585"/>
      <c r="S585"/>
      <c r="T585" s="374"/>
      <c r="U585" s="374"/>
      <c r="V585" s="374"/>
      <c r="W585" s="96"/>
      <c r="X585" s="96"/>
      <c r="Y585" s="96"/>
    </row>
    <row r="586" spans="1:25">
      <c r="A586"/>
      <c r="B586"/>
      <c r="C586"/>
      <c r="D586"/>
      <c r="E586"/>
      <c r="F586"/>
      <c r="G586"/>
      <c r="H586"/>
      <c r="I586"/>
      <c r="J586"/>
      <c r="K586"/>
      <c r="L586"/>
      <c r="M586"/>
      <c r="N586"/>
      <c r="O586"/>
      <c r="P586"/>
      <c r="Q586"/>
      <c r="R586"/>
      <c r="S586"/>
      <c r="T586" s="374"/>
      <c r="U586" s="374"/>
      <c r="V586" s="374"/>
      <c r="W586" s="96"/>
      <c r="X586" s="96"/>
      <c r="Y586" s="96"/>
    </row>
    <row r="587" spans="1:25">
      <c r="A587"/>
      <c r="B587"/>
      <c r="C587"/>
      <c r="D587"/>
      <c r="E587"/>
      <c r="F587"/>
      <c r="G587"/>
      <c r="H587"/>
      <c r="I587"/>
      <c r="J587"/>
      <c r="K587"/>
      <c r="L587"/>
      <c r="M587"/>
      <c r="N587"/>
      <c r="O587"/>
      <c r="P587"/>
      <c r="Q587"/>
      <c r="R587"/>
      <c r="S587"/>
      <c r="T587" s="374"/>
      <c r="U587" s="374"/>
      <c r="V587" s="374"/>
      <c r="W587" s="96"/>
      <c r="X587" s="96"/>
      <c r="Y587" s="96"/>
    </row>
    <row r="588" spans="1:25">
      <c r="A588"/>
      <c r="B588"/>
      <c r="C588"/>
      <c r="D588"/>
      <c r="E588"/>
      <c r="F588"/>
      <c r="G588"/>
      <c r="H588"/>
      <c r="I588"/>
      <c r="J588"/>
      <c r="K588"/>
      <c r="L588"/>
      <c r="M588"/>
      <c r="N588"/>
      <c r="O588"/>
      <c r="P588"/>
      <c r="Q588"/>
      <c r="R588"/>
      <c r="S588"/>
      <c r="T588" s="374"/>
      <c r="U588" s="374"/>
      <c r="V588" s="374"/>
      <c r="W588" s="96"/>
      <c r="X588" s="96"/>
      <c r="Y588" s="96"/>
    </row>
    <row r="589" spans="1:25">
      <c r="A589"/>
      <c r="B589"/>
      <c r="C589"/>
      <c r="D589"/>
      <c r="E589"/>
      <c r="F589"/>
      <c r="G589"/>
      <c r="H589"/>
      <c r="I589"/>
      <c r="J589"/>
      <c r="K589"/>
      <c r="L589"/>
      <c r="M589"/>
      <c r="N589"/>
      <c r="O589"/>
      <c r="P589"/>
      <c r="Q589"/>
      <c r="R589"/>
      <c r="S589"/>
      <c r="T589" s="374"/>
      <c r="U589" s="374"/>
      <c r="V589" s="374"/>
      <c r="W589" s="96"/>
      <c r="X589" s="96"/>
      <c r="Y589" s="96"/>
    </row>
    <row r="590" spans="1:25">
      <c r="A590"/>
      <c r="B590"/>
      <c r="C590"/>
      <c r="D590"/>
      <c r="E590"/>
      <c r="F590"/>
      <c r="G590"/>
      <c r="H590"/>
      <c r="I590"/>
      <c r="J590"/>
      <c r="K590"/>
      <c r="L590"/>
      <c r="M590"/>
      <c r="N590"/>
      <c r="O590"/>
      <c r="P590"/>
      <c r="Q590"/>
      <c r="R590"/>
      <c r="S590"/>
      <c r="T590" s="374"/>
      <c r="U590" s="374"/>
      <c r="V590" s="374"/>
      <c r="W590" s="96"/>
      <c r="X590" s="96"/>
      <c r="Y590" s="96"/>
    </row>
    <row r="591" spans="1:25">
      <c r="A591"/>
      <c r="B591"/>
      <c r="C591"/>
      <c r="D591"/>
      <c r="E591"/>
      <c r="F591"/>
      <c r="G591"/>
      <c r="H591"/>
      <c r="I591"/>
      <c r="J591"/>
      <c r="K591"/>
      <c r="L591"/>
      <c r="M591"/>
      <c r="N591"/>
      <c r="O591"/>
      <c r="P591"/>
      <c r="Q591"/>
      <c r="R591"/>
      <c r="S591"/>
      <c r="T591" s="374"/>
      <c r="U591" s="374"/>
      <c r="V591" s="374"/>
      <c r="W591" s="96"/>
      <c r="X591" s="96"/>
      <c r="Y591" s="96"/>
    </row>
    <row r="592" spans="1:25">
      <c r="A592"/>
      <c r="B592"/>
      <c r="C592"/>
      <c r="D592"/>
      <c r="E592"/>
      <c r="F592"/>
      <c r="G592"/>
      <c r="H592"/>
      <c r="I592"/>
      <c r="J592"/>
      <c r="K592"/>
      <c r="L592"/>
      <c r="M592"/>
      <c r="N592"/>
      <c r="O592"/>
      <c r="P592"/>
      <c r="Q592"/>
      <c r="R592"/>
      <c r="S592"/>
      <c r="T592" s="374"/>
      <c r="U592" s="374"/>
      <c r="V592" s="374"/>
      <c r="W592" s="96"/>
      <c r="X592" s="96"/>
      <c r="Y592" s="96"/>
    </row>
    <row r="593" spans="1:25">
      <c r="A593"/>
      <c r="B593"/>
      <c r="C593"/>
      <c r="D593"/>
      <c r="E593"/>
      <c r="F593"/>
      <c r="G593"/>
      <c r="H593"/>
      <c r="I593"/>
      <c r="J593"/>
      <c r="K593"/>
      <c r="L593"/>
      <c r="M593"/>
      <c r="N593"/>
      <c r="O593"/>
      <c r="P593"/>
      <c r="Q593"/>
      <c r="R593"/>
      <c r="S593"/>
      <c r="T593" s="374"/>
      <c r="U593" s="374"/>
      <c r="V593" s="374"/>
      <c r="W593" s="96"/>
      <c r="X593" s="96"/>
      <c r="Y593" s="96"/>
    </row>
    <row r="594" spans="1:25">
      <c r="A594"/>
      <c r="B594"/>
      <c r="C594"/>
      <c r="D594"/>
      <c r="E594"/>
      <c r="F594"/>
      <c r="G594"/>
      <c r="H594"/>
      <c r="I594"/>
      <c r="J594"/>
      <c r="K594"/>
      <c r="L594"/>
      <c r="M594"/>
      <c r="N594"/>
      <c r="O594"/>
      <c r="P594"/>
      <c r="Q594"/>
      <c r="R594"/>
      <c r="S594"/>
      <c r="T594" s="374"/>
      <c r="U594" s="374"/>
      <c r="V594" s="374"/>
      <c r="W594" s="96"/>
      <c r="X594" s="96"/>
      <c r="Y594" s="96"/>
    </row>
    <row r="595" spans="1:25">
      <c r="A595"/>
      <c r="B595"/>
      <c r="C595"/>
      <c r="D595"/>
      <c r="E595"/>
      <c r="F595"/>
      <c r="G595"/>
      <c r="H595"/>
      <c r="I595"/>
      <c r="J595"/>
      <c r="K595"/>
      <c r="L595"/>
      <c r="M595"/>
      <c r="N595"/>
      <c r="O595"/>
      <c r="P595"/>
      <c r="Q595"/>
      <c r="R595"/>
      <c r="S595"/>
      <c r="T595" s="374"/>
      <c r="U595" s="374"/>
      <c r="V595" s="374"/>
      <c r="W595" s="96"/>
      <c r="X595" s="96"/>
      <c r="Y595" s="96"/>
    </row>
    <row r="596" spans="1:25">
      <c r="A596"/>
      <c r="B596"/>
      <c r="C596"/>
      <c r="D596"/>
      <c r="E596"/>
      <c r="F596"/>
      <c r="G596"/>
      <c r="H596"/>
      <c r="I596"/>
      <c r="J596"/>
      <c r="K596"/>
      <c r="L596"/>
      <c r="M596"/>
      <c r="N596"/>
      <c r="O596"/>
      <c r="P596"/>
      <c r="Q596"/>
      <c r="R596"/>
      <c r="S596"/>
      <c r="T596" s="374"/>
      <c r="U596" s="374"/>
      <c r="V596" s="374"/>
      <c r="W596" s="96"/>
      <c r="X596" s="96"/>
      <c r="Y596" s="96"/>
    </row>
    <row r="597" spans="1:25">
      <c r="A597"/>
      <c r="B597"/>
      <c r="C597"/>
      <c r="D597"/>
      <c r="E597"/>
      <c r="F597"/>
      <c r="G597"/>
      <c r="H597"/>
      <c r="I597"/>
      <c r="J597"/>
      <c r="K597"/>
      <c r="L597"/>
      <c r="M597"/>
      <c r="N597"/>
      <c r="O597"/>
      <c r="P597"/>
      <c r="Q597"/>
      <c r="R597"/>
      <c r="S597"/>
      <c r="T597" s="374"/>
      <c r="U597" s="374"/>
      <c r="V597" s="374"/>
      <c r="W597" s="96"/>
      <c r="X597" s="96"/>
      <c r="Y597" s="96"/>
    </row>
    <row r="598" spans="1:25">
      <c r="A598"/>
      <c r="B598"/>
      <c r="C598"/>
      <c r="D598"/>
      <c r="E598"/>
      <c r="F598"/>
      <c r="G598"/>
      <c r="H598"/>
      <c r="I598"/>
      <c r="J598"/>
      <c r="K598"/>
      <c r="L598"/>
      <c r="M598"/>
      <c r="N598"/>
      <c r="O598"/>
      <c r="P598"/>
      <c r="Q598"/>
      <c r="R598"/>
      <c r="S598"/>
      <c r="T598" s="374"/>
      <c r="U598" s="374"/>
      <c r="V598" s="374"/>
      <c r="W598" s="96"/>
      <c r="X598" s="96"/>
      <c r="Y598" s="96"/>
    </row>
    <row r="599" spans="1:25">
      <c r="A599"/>
      <c r="B599"/>
      <c r="C599"/>
      <c r="D599"/>
      <c r="E599"/>
      <c r="F599"/>
      <c r="G599"/>
      <c r="H599"/>
      <c r="I599"/>
      <c r="J599"/>
      <c r="K599"/>
      <c r="L599"/>
      <c r="M599"/>
      <c r="N599"/>
      <c r="O599"/>
      <c r="P599"/>
      <c r="Q599"/>
      <c r="R599"/>
      <c r="S599"/>
      <c r="T599" s="374"/>
      <c r="U599" s="374"/>
      <c r="V599" s="374"/>
      <c r="W599" s="96"/>
      <c r="X599" s="96"/>
      <c r="Y599" s="96"/>
    </row>
    <row r="600" spans="1:25">
      <c r="A600"/>
      <c r="B600"/>
      <c r="C600"/>
      <c r="D600"/>
      <c r="E600"/>
      <c r="F600"/>
      <c r="G600"/>
      <c r="H600"/>
      <c r="I600"/>
      <c r="J600"/>
      <c r="K600"/>
      <c r="L600"/>
      <c r="M600"/>
      <c r="N600"/>
      <c r="O600"/>
      <c r="P600"/>
      <c r="Q600"/>
      <c r="R600"/>
      <c r="S600"/>
      <c r="T600" s="374"/>
      <c r="U600" s="374"/>
      <c r="V600" s="374"/>
      <c r="W600" s="96"/>
      <c r="X600" s="96"/>
      <c r="Y600" s="96"/>
    </row>
    <row r="601" spans="1:25">
      <c r="A601"/>
      <c r="B601"/>
      <c r="C601"/>
      <c r="D601"/>
      <c r="E601"/>
      <c r="F601"/>
      <c r="G601"/>
      <c r="H601"/>
      <c r="I601"/>
      <c r="J601"/>
      <c r="K601"/>
      <c r="L601"/>
      <c r="M601"/>
      <c r="N601"/>
      <c r="O601"/>
      <c r="P601"/>
      <c r="Q601"/>
      <c r="R601"/>
      <c r="S601"/>
      <c r="T601" s="374"/>
      <c r="U601" s="374"/>
      <c r="V601" s="374"/>
      <c r="W601" s="96"/>
      <c r="X601" s="96"/>
      <c r="Y601" s="96"/>
    </row>
    <row r="602" spans="1:25">
      <c r="A602"/>
      <c r="B602"/>
      <c r="C602"/>
      <c r="D602"/>
      <c r="E602"/>
      <c r="F602"/>
      <c r="G602"/>
      <c r="H602"/>
      <c r="I602"/>
      <c r="J602"/>
      <c r="K602"/>
      <c r="L602"/>
      <c r="M602"/>
      <c r="N602"/>
      <c r="O602"/>
      <c r="P602"/>
      <c r="Q602"/>
      <c r="R602"/>
      <c r="S602"/>
      <c r="T602" s="374"/>
      <c r="U602" s="374"/>
      <c r="V602" s="374"/>
      <c r="W602" s="96"/>
      <c r="X602" s="96"/>
      <c r="Y602" s="96"/>
    </row>
    <row r="603" spans="1:25">
      <c r="A603"/>
      <c r="B603"/>
      <c r="C603"/>
      <c r="D603"/>
      <c r="E603"/>
      <c r="F603"/>
      <c r="G603"/>
      <c r="H603"/>
      <c r="I603"/>
      <c r="J603"/>
      <c r="K603"/>
      <c r="L603"/>
      <c r="M603"/>
      <c r="N603"/>
      <c r="O603"/>
      <c r="P603"/>
      <c r="Q603"/>
      <c r="R603"/>
      <c r="S603"/>
      <c r="T603" s="374"/>
      <c r="U603" s="374"/>
      <c r="V603" s="374"/>
      <c r="W603" s="96"/>
      <c r="X603" s="96"/>
      <c r="Y603" s="96"/>
    </row>
    <row r="604" spans="1:25">
      <c r="B604" s="374"/>
      <c r="C604" s="374"/>
      <c r="D604" s="374"/>
      <c r="E604" s="374"/>
      <c r="F604" s="374"/>
      <c r="G604" s="374"/>
      <c r="H604" s="374"/>
      <c r="I604" s="374"/>
      <c r="J604" s="374"/>
      <c r="K604" s="374"/>
      <c r="L604" s="374"/>
      <c r="M604" s="374"/>
      <c r="N604" s="374"/>
      <c r="O604" s="374"/>
      <c r="P604" s="374"/>
      <c r="Q604" s="374"/>
      <c r="R604" s="374"/>
      <c r="S604" s="374"/>
      <c r="T604" s="374"/>
      <c r="U604" s="374"/>
      <c r="V604" s="374"/>
      <c r="W604" s="96"/>
      <c r="X604" s="96"/>
      <c r="Y604" s="96"/>
    </row>
    <row r="605" spans="1:25">
      <c r="B605" s="374"/>
      <c r="C605" s="374"/>
      <c r="D605" s="374"/>
      <c r="E605" s="374"/>
      <c r="F605" s="374"/>
      <c r="G605" s="374"/>
      <c r="H605" s="374"/>
      <c r="I605" s="374"/>
      <c r="J605" s="374"/>
      <c r="K605" s="374"/>
      <c r="L605" s="374"/>
      <c r="M605" s="374"/>
      <c r="N605" s="374"/>
      <c r="O605" s="374"/>
      <c r="P605" s="374"/>
      <c r="Q605" s="374"/>
      <c r="R605" s="374"/>
      <c r="S605" s="374"/>
      <c r="T605" s="374"/>
      <c r="U605" s="374"/>
      <c r="V605" s="374"/>
      <c r="W605" s="96"/>
      <c r="X605" s="96"/>
      <c r="Y605" s="96"/>
    </row>
    <row r="606" spans="1:25">
      <c r="B606" s="374"/>
      <c r="C606" s="374"/>
      <c r="D606" s="374"/>
      <c r="E606" s="374"/>
      <c r="F606" s="374"/>
      <c r="G606" s="374"/>
      <c r="H606" s="374"/>
      <c r="I606" s="374"/>
      <c r="J606" s="374"/>
      <c r="K606" s="374"/>
      <c r="L606" s="374"/>
      <c r="M606" s="374"/>
      <c r="N606" s="374"/>
      <c r="O606" s="374"/>
      <c r="P606" s="374"/>
      <c r="Q606" s="374"/>
      <c r="R606" s="374"/>
      <c r="S606" s="374"/>
      <c r="T606" s="374"/>
      <c r="U606" s="374"/>
      <c r="V606" s="374"/>
      <c r="W606" s="96"/>
      <c r="X606" s="96"/>
      <c r="Y606" s="96"/>
    </row>
    <row r="607" spans="1:25">
      <c r="B607" s="374"/>
      <c r="C607" s="374"/>
      <c r="D607" s="374"/>
      <c r="E607" s="374"/>
      <c r="F607" s="374"/>
      <c r="G607" s="374"/>
      <c r="H607" s="374"/>
      <c r="I607" s="374"/>
      <c r="J607" s="374"/>
      <c r="K607" s="374"/>
      <c r="L607" s="374"/>
      <c r="M607" s="374"/>
      <c r="N607" s="374"/>
      <c r="O607" s="374"/>
      <c r="P607" s="374"/>
      <c r="Q607" s="374"/>
      <c r="R607" s="374"/>
      <c r="S607" s="374"/>
      <c r="T607" s="374"/>
      <c r="U607" s="374"/>
      <c r="V607" s="374"/>
      <c r="W607" s="96"/>
      <c r="X607" s="96"/>
      <c r="Y607" s="96"/>
    </row>
    <row r="608" spans="1:25">
      <c r="B608" s="374"/>
      <c r="C608" s="374"/>
      <c r="D608" s="374"/>
      <c r="E608" s="374"/>
      <c r="F608" s="374"/>
      <c r="G608" s="374"/>
      <c r="H608" s="374"/>
      <c r="I608" s="374"/>
      <c r="J608" s="374"/>
      <c r="K608" s="374"/>
      <c r="L608" s="374"/>
      <c r="M608" s="374"/>
      <c r="N608" s="374"/>
      <c r="O608" s="374"/>
      <c r="P608" s="374"/>
      <c r="Q608" s="374"/>
      <c r="R608" s="374"/>
      <c r="S608" s="374"/>
      <c r="T608" s="374"/>
      <c r="U608" s="374"/>
      <c r="V608" s="374"/>
      <c r="W608" s="96"/>
      <c r="X608" s="96"/>
      <c r="Y608" s="96"/>
    </row>
    <row r="609" spans="2:25">
      <c r="B609" s="374"/>
      <c r="C609" s="374"/>
      <c r="D609" s="374"/>
      <c r="E609" s="374"/>
      <c r="F609" s="374"/>
      <c r="G609" s="374"/>
      <c r="H609" s="374"/>
      <c r="I609" s="374"/>
      <c r="J609" s="374"/>
      <c r="K609" s="374"/>
      <c r="L609" s="374"/>
      <c r="M609" s="374"/>
      <c r="N609" s="374"/>
      <c r="O609" s="374"/>
      <c r="P609" s="374"/>
      <c r="Q609" s="374"/>
      <c r="R609" s="374"/>
      <c r="S609" s="374"/>
      <c r="T609" s="374"/>
      <c r="U609" s="374"/>
      <c r="V609" s="374"/>
      <c r="W609" s="96"/>
      <c r="X609" s="96"/>
      <c r="Y609" s="96"/>
    </row>
    <row r="610" spans="2:25">
      <c r="B610" s="374"/>
      <c r="C610" s="374"/>
      <c r="D610" s="374"/>
      <c r="E610" s="374"/>
      <c r="F610" s="374"/>
      <c r="G610" s="374"/>
      <c r="H610" s="374"/>
      <c r="I610" s="374"/>
      <c r="J610" s="374"/>
      <c r="K610" s="374"/>
      <c r="L610" s="374"/>
      <c r="M610" s="374"/>
      <c r="N610" s="374"/>
      <c r="O610" s="374"/>
      <c r="P610" s="374"/>
      <c r="Q610" s="374"/>
      <c r="R610" s="374"/>
      <c r="S610" s="374"/>
      <c r="T610" s="374"/>
      <c r="U610" s="374"/>
      <c r="V610" s="374"/>
      <c r="W610" s="96"/>
      <c r="X610" s="96"/>
      <c r="Y610" s="96"/>
    </row>
    <row r="611" spans="2:25">
      <c r="B611" s="374"/>
      <c r="C611" s="374"/>
      <c r="D611" s="374"/>
      <c r="E611" s="374"/>
      <c r="F611" s="374"/>
      <c r="G611" s="374"/>
      <c r="H611" s="374"/>
      <c r="I611" s="374"/>
      <c r="J611" s="374"/>
      <c r="K611" s="374"/>
      <c r="L611" s="374"/>
      <c r="M611" s="374"/>
      <c r="N611" s="374"/>
      <c r="O611" s="374"/>
      <c r="P611" s="374"/>
      <c r="Q611" s="374"/>
      <c r="R611" s="374"/>
      <c r="S611" s="374"/>
      <c r="T611" s="374"/>
      <c r="U611" s="374"/>
      <c r="V611" s="374"/>
      <c r="W611" s="96"/>
      <c r="X611" s="96"/>
      <c r="Y611" s="96"/>
    </row>
    <row r="612" spans="2:25">
      <c r="B612" s="374"/>
      <c r="C612" s="374"/>
      <c r="D612" s="374"/>
      <c r="E612" s="374"/>
      <c r="F612" s="374"/>
      <c r="G612" s="374"/>
      <c r="H612" s="374"/>
      <c r="I612" s="374"/>
      <c r="J612" s="374"/>
      <c r="K612" s="374"/>
      <c r="L612" s="374"/>
      <c r="M612" s="374"/>
      <c r="N612" s="374"/>
      <c r="O612" s="374"/>
      <c r="P612" s="374"/>
      <c r="Q612" s="374"/>
      <c r="R612" s="374"/>
      <c r="S612" s="374"/>
      <c r="T612" s="374"/>
      <c r="U612" s="374"/>
      <c r="V612" s="374"/>
      <c r="W612" s="96"/>
      <c r="X612" s="96"/>
      <c r="Y612" s="96"/>
    </row>
    <row r="613" spans="2:25">
      <c r="B613" s="374"/>
      <c r="C613" s="374"/>
      <c r="D613" s="374"/>
      <c r="E613" s="374"/>
      <c r="F613" s="374"/>
      <c r="G613" s="374"/>
      <c r="H613" s="374"/>
      <c r="I613" s="374"/>
      <c r="J613" s="374"/>
      <c r="K613" s="374"/>
      <c r="L613" s="374"/>
      <c r="M613" s="374"/>
      <c r="N613" s="374"/>
      <c r="O613" s="374"/>
      <c r="P613" s="374"/>
      <c r="Q613" s="374"/>
      <c r="R613" s="374"/>
      <c r="S613" s="374"/>
      <c r="T613" s="374"/>
      <c r="U613" s="374"/>
      <c r="V613" s="374"/>
      <c r="W613" s="96"/>
      <c r="X613" s="96"/>
      <c r="Y613" s="96"/>
    </row>
    <row r="614" spans="2:25">
      <c r="B614" s="374"/>
      <c r="C614" s="374"/>
      <c r="D614" s="374"/>
      <c r="E614" s="374"/>
      <c r="F614" s="374"/>
      <c r="G614" s="374"/>
      <c r="H614" s="374"/>
      <c r="I614" s="374"/>
      <c r="J614" s="374"/>
      <c r="K614" s="374"/>
      <c r="L614" s="374"/>
      <c r="M614" s="374"/>
      <c r="N614" s="374"/>
      <c r="O614" s="374"/>
      <c r="P614" s="374"/>
      <c r="Q614" s="374"/>
      <c r="R614" s="374"/>
      <c r="S614" s="374"/>
      <c r="T614" s="374"/>
      <c r="U614" s="374"/>
      <c r="V614" s="374"/>
      <c r="W614" s="96"/>
      <c r="X614" s="96"/>
      <c r="Y614" s="96"/>
    </row>
    <row r="615" spans="2:25">
      <c r="B615" s="374"/>
      <c r="C615" s="374"/>
      <c r="D615" s="374"/>
      <c r="E615" s="374"/>
      <c r="F615" s="374"/>
      <c r="G615" s="374"/>
      <c r="H615" s="374"/>
      <c r="I615" s="374"/>
      <c r="J615" s="374"/>
      <c r="K615" s="374"/>
      <c r="L615" s="374"/>
      <c r="M615" s="374"/>
      <c r="N615" s="374"/>
      <c r="O615" s="374"/>
      <c r="P615" s="374"/>
      <c r="Q615" s="374"/>
      <c r="R615" s="374"/>
      <c r="S615" s="374"/>
      <c r="T615" s="374"/>
      <c r="U615" s="374"/>
      <c r="V615" s="374"/>
      <c r="W615" s="96"/>
      <c r="X615" s="96"/>
      <c r="Y615" s="96"/>
    </row>
    <row r="616" spans="2:25">
      <c r="B616" s="374"/>
      <c r="C616" s="374"/>
      <c r="D616" s="374"/>
      <c r="E616" s="374"/>
      <c r="F616" s="374"/>
      <c r="G616" s="374"/>
      <c r="H616" s="374"/>
      <c r="I616" s="374"/>
      <c r="J616" s="374"/>
      <c r="K616" s="374"/>
      <c r="L616" s="374"/>
      <c r="M616" s="374"/>
      <c r="N616" s="374"/>
      <c r="O616" s="374"/>
      <c r="P616" s="374"/>
      <c r="Q616" s="374"/>
      <c r="R616" s="374"/>
      <c r="S616" s="374"/>
      <c r="T616" s="374"/>
      <c r="U616" s="374"/>
      <c r="V616" s="374"/>
      <c r="W616" s="96"/>
      <c r="X616" s="96"/>
      <c r="Y616" s="96"/>
    </row>
    <row r="617" spans="2:25">
      <c r="B617" s="374"/>
      <c r="C617" s="374"/>
      <c r="D617" s="374"/>
      <c r="E617" s="374"/>
      <c r="F617" s="374"/>
      <c r="G617" s="374"/>
      <c r="H617" s="374"/>
      <c r="I617" s="374"/>
      <c r="J617" s="374"/>
      <c r="K617" s="374"/>
      <c r="L617" s="374"/>
      <c r="M617" s="374"/>
      <c r="N617" s="374"/>
      <c r="O617" s="374"/>
      <c r="P617" s="374"/>
      <c r="Q617" s="374"/>
      <c r="R617" s="374"/>
      <c r="S617" s="374"/>
      <c r="T617" s="374"/>
      <c r="U617" s="374"/>
      <c r="V617" s="374"/>
      <c r="W617" s="96"/>
      <c r="X617" s="96"/>
      <c r="Y617" s="96"/>
    </row>
    <row r="618" spans="2:25">
      <c r="B618" s="374"/>
      <c r="C618" s="374"/>
      <c r="D618" s="374"/>
      <c r="E618" s="374"/>
      <c r="F618" s="374"/>
      <c r="G618" s="374"/>
      <c r="H618" s="374"/>
      <c r="I618" s="374"/>
      <c r="J618" s="374"/>
      <c r="K618" s="374"/>
      <c r="L618" s="374"/>
      <c r="M618" s="374"/>
      <c r="N618" s="374"/>
      <c r="O618" s="374"/>
      <c r="P618" s="374"/>
      <c r="Q618" s="374"/>
      <c r="R618" s="374"/>
      <c r="S618" s="374"/>
      <c r="T618" s="374"/>
      <c r="U618" s="374"/>
      <c r="V618" s="374"/>
      <c r="W618" s="96"/>
      <c r="X618" s="96"/>
      <c r="Y618" s="96"/>
    </row>
    <row r="619" spans="2:25">
      <c r="B619" s="374"/>
      <c r="C619" s="374"/>
      <c r="D619" s="374"/>
      <c r="E619" s="374"/>
      <c r="F619" s="374"/>
      <c r="G619" s="374"/>
      <c r="H619" s="374"/>
      <c r="I619" s="374"/>
      <c r="J619" s="374"/>
      <c r="K619" s="374"/>
      <c r="L619" s="374"/>
      <c r="M619" s="374"/>
      <c r="N619" s="374"/>
      <c r="O619" s="374"/>
      <c r="P619" s="374"/>
      <c r="Q619" s="374"/>
      <c r="R619" s="374"/>
      <c r="S619" s="374"/>
      <c r="T619" s="374"/>
      <c r="U619" s="374"/>
      <c r="V619" s="374"/>
      <c r="W619" s="96"/>
      <c r="X619" s="96"/>
      <c r="Y619" s="96"/>
    </row>
    <row r="620" spans="2:25">
      <c r="B620" s="374"/>
      <c r="C620" s="374"/>
      <c r="D620" s="374"/>
      <c r="E620" s="374"/>
      <c r="F620" s="374"/>
      <c r="G620" s="374"/>
      <c r="H620" s="374"/>
      <c r="I620" s="374"/>
      <c r="J620" s="374"/>
      <c r="K620" s="374"/>
      <c r="L620" s="374"/>
      <c r="M620" s="374"/>
      <c r="N620" s="374"/>
      <c r="O620" s="374"/>
      <c r="P620" s="374"/>
      <c r="Q620" s="374"/>
      <c r="R620" s="374"/>
      <c r="S620" s="374"/>
      <c r="T620" s="374"/>
      <c r="U620" s="374"/>
      <c r="V620" s="374"/>
      <c r="W620" s="96"/>
      <c r="X620" s="96"/>
      <c r="Y620" s="96"/>
    </row>
    <row r="621" spans="2:25">
      <c r="B621" s="374"/>
      <c r="C621" s="374"/>
      <c r="D621" s="374"/>
      <c r="E621" s="374"/>
      <c r="F621" s="374"/>
      <c r="G621" s="374"/>
      <c r="H621" s="374"/>
      <c r="I621" s="374"/>
      <c r="J621" s="374"/>
      <c r="K621" s="374"/>
      <c r="L621" s="374"/>
      <c r="M621" s="374"/>
      <c r="N621" s="374"/>
      <c r="O621" s="374"/>
      <c r="P621" s="374"/>
      <c r="Q621" s="374"/>
      <c r="R621" s="374"/>
      <c r="S621" s="374"/>
      <c r="T621" s="374"/>
      <c r="U621" s="374"/>
      <c r="V621" s="374"/>
      <c r="W621" s="96"/>
      <c r="X621" s="96"/>
      <c r="Y621" s="96"/>
    </row>
    <row r="622" spans="2:25">
      <c r="B622" s="374"/>
      <c r="C622" s="374"/>
      <c r="D622" s="374"/>
      <c r="E622" s="374"/>
      <c r="F622" s="374"/>
      <c r="G622" s="374"/>
      <c r="H622" s="374"/>
      <c r="I622" s="374"/>
      <c r="J622" s="374"/>
      <c r="K622" s="374"/>
      <c r="L622" s="374"/>
      <c r="M622" s="374"/>
      <c r="N622" s="374"/>
      <c r="O622" s="374"/>
      <c r="P622" s="374"/>
      <c r="Q622" s="374"/>
      <c r="R622" s="374"/>
      <c r="S622" s="374"/>
      <c r="T622" s="374"/>
      <c r="U622" s="374"/>
      <c r="V622" s="374"/>
      <c r="W622" s="96"/>
      <c r="X622" s="96"/>
      <c r="Y622" s="96"/>
    </row>
    <row r="623" spans="2:25">
      <c r="B623" s="374"/>
      <c r="C623" s="374"/>
      <c r="D623" s="374"/>
      <c r="E623" s="374"/>
      <c r="F623" s="374"/>
      <c r="G623" s="374"/>
      <c r="H623" s="374"/>
      <c r="I623" s="374"/>
      <c r="J623" s="374"/>
      <c r="K623" s="374"/>
      <c r="L623" s="374"/>
      <c r="M623" s="374"/>
      <c r="N623" s="374"/>
      <c r="O623" s="374"/>
      <c r="P623" s="374"/>
      <c r="Q623" s="374"/>
      <c r="R623" s="374"/>
      <c r="S623" s="374"/>
      <c r="T623" s="374"/>
      <c r="U623" s="374"/>
      <c r="V623" s="374"/>
      <c r="W623" s="96"/>
      <c r="X623" s="96"/>
      <c r="Y623" s="96"/>
    </row>
    <row r="624" spans="2:25">
      <c r="B624" s="374"/>
      <c r="C624" s="374"/>
      <c r="D624" s="374"/>
      <c r="E624" s="374"/>
      <c r="F624" s="374"/>
      <c r="G624" s="374"/>
      <c r="H624" s="374"/>
      <c r="I624" s="374"/>
      <c r="J624" s="374"/>
      <c r="K624" s="374"/>
      <c r="L624" s="374"/>
      <c r="M624" s="374"/>
      <c r="N624" s="374"/>
      <c r="O624" s="374"/>
      <c r="P624" s="374"/>
      <c r="Q624" s="374"/>
      <c r="R624" s="374"/>
      <c r="S624" s="374"/>
      <c r="T624" s="374"/>
      <c r="U624" s="374"/>
      <c r="V624" s="374"/>
      <c r="W624" s="96"/>
      <c r="X624" s="96"/>
      <c r="Y624" s="96"/>
    </row>
    <row r="625" spans="2:25">
      <c r="B625" s="374"/>
      <c r="C625" s="374"/>
      <c r="D625" s="374"/>
      <c r="E625" s="374"/>
      <c r="F625" s="374"/>
      <c r="G625" s="374"/>
      <c r="H625" s="374"/>
      <c r="I625" s="374"/>
      <c r="J625" s="374"/>
      <c r="K625" s="374"/>
      <c r="L625" s="374"/>
      <c r="M625" s="374"/>
      <c r="N625" s="374"/>
      <c r="O625" s="374"/>
      <c r="P625" s="374"/>
      <c r="Q625" s="374"/>
      <c r="R625" s="374"/>
      <c r="S625" s="374"/>
      <c r="T625" s="374"/>
      <c r="U625" s="374"/>
      <c r="V625" s="374"/>
      <c r="W625" s="96"/>
      <c r="X625" s="96"/>
      <c r="Y625" s="96"/>
    </row>
    <row r="626" spans="2:25">
      <c r="B626" s="374"/>
      <c r="C626" s="374"/>
      <c r="D626" s="374"/>
      <c r="E626" s="374"/>
      <c r="F626" s="374"/>
      <c r="G626" s="374"/>
      <c r="H626" s="374"/>
      <c r="I626" s="374"/>
      <c r="J626" s="374"/>
      <c r="K626" s="374"/>
      <c r="L626" s="374"/>
      <c r="M626" s="374"/>
      <c r="N626" s="374"/>
      <c r="O626" s="374"/>
      <c r="P626" s="374"/>
      <c r="Q626" s="374"/>
      <c r="R626" s="374"/>
      <c r="S626" s="374"/>
      <c r="T626" s="374"/>
      <c r="U626" s="374"/>
      <c r="V626" s="374"/>
      <c r="W626" s="96"/>
      <c r="X626" s="96"/>
      <c r="Y626" s="96"/>
    </row>
    <row r="627" spans="2:25">
      <c r="B627" s="374"/>
      <c r="C627" s="374"/>
      <c r="D627" s="374"/>
      <c r="E627" s="374"/>
      <c r="F627" s="374"/>
      <c r="G627" s="374"/>
      <c r="H627" s="374"/>
      <c r="I627" s="374"/>
      <c r="J627" s="374"/>
      <c r="K627" s="374"/>
      <c r="L627" s="374"/>
      <c r="M627" s="374"/>
      <c r="N627" s="374"/>
      <c r="O627" s="374"/>
      <c r="P627" s="374"/>
      <c r="Q627" s="374"/>
      <c r="R627" s="374"/>
      <c r="S627" s="374"/>
      <c r="T627" s="374"/>
      <c r="U627" s="374"/>
      <c r="V627" s="374"/>
      <c r="W627" s="96"/>
      <c r="X627" s="96"/>
      <c r="Y627" s="96"/>
    </row>
    <row r="628" spans="2:25">
      <c r="B628" s="374"/>
      <c r="C628" s="374"/>
      <c r="D628" s="374"/>
      <c r="E628" s="374"/>
      <c r="F628" s="374"/>
      <c r="G628" s="374"/>
      <c r="H628" s="374"/>
      <c r="I628" s="374"/>
      <c r="J628" s="374"/>
      <c r="K628" s="374"/>
      <c r="L628" s="374"/>
      <c r="M628" s="374"/>
      <c r="N628" s="374"/>
      <c r="O628" s="374"/>
      <c r="P628" s="374"/>
      <c r="Q628" s="374"/>
      <c r="R628" s="374"/>
      <c r="S628" s="374"/>
      <c r="T628" s="374"/>
      <c r="U628" s="374"/>
      <c r="V628" s="374"/>
      <c r="W628" s="96"/>
      <c r="X628" s="96"/>
      <c r="Y628" s="96"/>
    </row>
    <row r="629" spans="2:25">
      <c r="B629" s="374"/>
      <c r="C629" s="374"/>
      <c r="D629" s="374"/>
      <c r="E629" s="374"/>
      <c r="F629" s="374"/>
      <c r="G629" s="374"/>
      <c r="H629" s="374"/>
      <c r="I629" s="374"/>
      <c r="J629" s="374"/>
      <c r="K629" s="374"/>
      <c r="L629" s="374"/>
      <c r="M629" s="374"/>
      <c r="N629" s="374"/>
      <c r="O629" s="374"/>
      <c r="P629" s="374"/>
      <c r="Q629" s="374"/>
      <c r="R629" s="374"/>
      <c r="S629" s="374"/>
      <c r="T629" s="374"/>
      <c r="U629" s="374"/>
      <c r="V629" s="374"/>
      <c r="W629" s="96"/>
      <c r="X629" s="96"/>
      <c r="Y629" s="96"/>
    </row>
    <row r="630" spans="2:25">
      <c r="B630" s="374"/>
      <c r="C630" s="374"/>
      <c r="D630" s="374"/>
      <c r="E630" s="374"/>
      <c r="F630" s="374"/>
      <c r="G630" s="374"/>
      <c r="H630" s="374"/>
      <c r="I630" s="374"/>
      <c r="J630" s="374"/>
      <c r="K630" s="374"/>
      <c r="L630" s="374"/>
      <c r="M630" s="374"/>
      <c r="N630" s="374"/>
      <c r="O630" s="374"/>
      <c r="P630" s="374"/>
      <c r="Q630" s="374"/>
      <c r="R630" s="374"/>
      <c r="S630" s="374"/>
      <c r="T630" s="374"/>
      <c r="U630" s="374"/>
      <c r="V630" s="374"/>
      <c r="W630" s="96"/>
      <c r="X630" s="96"/>
      <c r="Y630" s="96"/>
    </row>
    <row r="631" spans="2:25">
      <c r="B631" s="374"/>
      <c r="C631" s="374"/>
      <c r="D631" s="374"/>
      <c r="E631" s="374"/>
      <c r="F631" s="374"/>
      <c r="G631" s="374"/>
      <c r="H631" s="374"/>
      <c r="I631" s="374"/>
      <c r="J631" s="374"/>
      <c r="K631" s="374"/>
      <c r="L631" s="374"/>
      <c r="M631" s="374"/>
      <c r="N631" s="374"/>
      <c r="O631" s="374"/>
      <c r="P631" s="374"/>
      <c r="Q631" s="374"/>
      <c r="R631" s="374"/>
      <c r="S631" s="374"/>
      <c r="T631" s="374"/>
      <c r="U631" s="374"/>
      <c r="V631" s="374"/>
      <c r="W631" s="96"/>
      <c r="X631" s="96"/>
      <c r="Y631" s="96"/>
    </row>
    <row r="632" spans="2:25">
      <c r="B632" s="374"/>
      <c r="C632" s="374"/>
      <c r="D632" s="374"/>
      <c r="E632" s="374"/>
      <c r="F632" s="374"/>
      <c r="G632" s="374"/>
      <c r="H632" s="374"/>
      <c r="I632" s="374"/>
      <c r="J632" s="374"/>
      <c r="K632" s="374"/>
      <c r="L632" s="374"/>
      <c r="M632" s="374"/>
      <c r="N632" s="374"/>
      <c r="O632" s="374"/>
      <c r="P632" s="374"/>
      <c r="Q632" s="374"/>
      <c r="R632" s="374"/>
      <c r="S632" s="374"/>
      <c r="T632" s="374"/>
      <c r="U632" s="374"/>
      <c r="V632" s="374"/>
      <c r="W632" s="96"/>
      <c r="X632" s="96"/>
      <c r="Y632" s="96"/>
    </row>
    <row r="633" spans="2:25">
      <c r="B633" s="374"/>
      <c r="C633" s="374"/>
      <c r="D633" s="374"/>
      <c r="E633" s="374"/>
      <c r="F633" s="374"/>
      <c r="G633" s="374"/>
      <c r="H633" s="374"/>
      <c r="I633" s="374"/>
      <c r="J633" s="374"/>
      <c r="K633" s="374"/>
      <c r="L633" s="374"/>
      <c r="M633" s="374"/>
      <c r="N633" s="374"/>
      <c r="O633" s="374"/>
      <c r="P633" s="374"/>
      <c r="Q633" s="374"/>
      <c r="R633" s="374"/>
      <c r="S633" s="374"/>
      <c r="T633" s="374"/>
      <c r="U633" s="374"/>
      <c r="V633" s="374"/>
      <c r="W633" s="96"/>
      <c r="X633" s="96"/>
      <c r="Y633" s="96"/>
    </row>
    <row r="634" spans="2:25">
      <c r="B634" s="374"/>
      <c r="C634" s="374"/>
      <c r="D634" s="374"/>
      <c r="E634" s="374"/>
      <c r="F634" s="374"/>
      <c r="G634" s="374"/>
      <c r="H634" s="374"/>
      <c r="I634" s="374"/>
      <c r="J634" s="374"/>
      <c r="K634" s="374"/>
      <c r="L634" s="374"/>
      <c r="M634" s="374"/>
      <c r="N634" s="374"/>
      <c r="O634" s="374"/>
      <c r="P634" s="374"/>
      <c r="Q634" s="374"/>
      <c r="R634" s="374"/>
      <c r="S634" s="374"/>
      <c r="T634" s="374"/>
      <c r="U634" s="374"/>
      <c r="V634" s="374"/>
      <c r="W634" s="96"/>
      <c r="X634" s="96"/>
      <c r="Y634" s="96"/>
    </row>
    <row r="635" spans="2:25">
      <c r="B635" s="374"/>
      <c r="C635" s="374"/>
      <c r="D635" s="374"/>
      <c r="E635" s="374"/>
      <c r="F635" s="374"/>
      <c r="G635" s="374"/>
      <c r="H635" s="374"/>
      <c r="I635" s="374"/>
      <c r="J635" s="374"/>
      <c r="K635" s="374"/>
      <c r="L635" s="374"/>
      <c r="M635" s="374"/>
      <c r="N635" s="374"/>
      <c r="O635" s="374"/>
      <c r="P635" s="374"/>
      <c r="Q635" s="374"/>
      <c r="R635" s="374"/>
      <c r="S635" s="374"/>
      <c r="T635" s="374"/>
      <c r="U635" s="374"/>
      <c r="V635" s="374"/>
      <c r="W635" s="96"/>
      <c r="X635" s="96"/>
      <c r="Y635" s="96"/>
    </row>
    <row r="636" spans="2:25">
      <c r="B636" s="374"/>
      <c r="C636" s="374"/>
      <c r="D636" s="374"/>
      <c r="E636" s="374"/>
      <c r="F636" s="374"/>
      <c r="G636" s="374"/>
      <c r="H636" s="374"/>
      <c r="I636" s="374"/>
      <c r="J636" s="374"/>
      <c r="K636" s="374"/>
      <c r="L636" s="374"/>
      <c r="M636" s="374"/>
      <c r="N636" s="374"/>
      <c r="O636" s="374"/>
      <c r="P636" s="374"/>
      <c r="Q636" s="374"/>
      <c r="R636" s="374"/>
      <c r="S636" s="374"/>
      <c r="T636" s="374"/>
      <c r="U636" s="374"/>
      <c r="V636" s="374"/>
      <c r="W636" s="96"/>
      <c r="X636" s="96"/>
      <c r="Y636" s="96"/>
    </row>
    <row r="637" spans="2:25">
      <c r="B637" s="374"/>
      <c r="C637" s="374"/>
      <c r="D637" s="374"/>
      <c r="E637" s="374"/>
      <c r="F637" s="374"/>
      <c r="G637" s="374"/>
      <c r="H637" s="374"/>
      <c r="I637" s="374"/>
      <c r="J637" s="374"/>
      <c r="K637" s="374"/>
      <c r="L637" s="374"/>
      <c r="M637" s="374"/>
      <c r="N637" s="374"/>
      <c r="O637" s="374"/>
      <c r="P637" s="374"/>
      <c r="Q637" s="374"/>
      <c r="R637" s="374"/>
      <c r="S637" s="374"/>
      <c r="T637" s="374"/>
      <c r="U637" s="374"/>
      <c r="V637" s="374"/>
      <c r="W637" s="96"/>
      <c r="X637" s="96"/>
      <c r="Y637" s="96"/>
    </row>
    <row r="638" spans="2:25">
      <c r="B638" s="374"/>
      <c r="C638" s="374"/>
      <c r="D638" s="374"/>
      <c r="E638" s="374"/>
      <c r="F638" s="374"/>
      <c r="G638" s="374"/>
      <c r="H638" s="374"/>
      <c r="I638" s="374"/>
      <c r="J638" s="374"/>
      <c r="K638" s="374"/>
      <c r="L638" s="374"/>
      <c r="M638" s="374"/>
      <c r="N638" s="374"/>
      <c r="O638" s="374"/>
      <c r="P638" s="374"/>
      <c r="Q638" s="374"/>
      <c r="R638" s="374"/>
      <c r="S638" s="374"/>
      <c r="T638" s="374"/>
      <c r="U638" s="374"/>
      <c r="V638" s="374"/>
      <c r="W638" s="96"/>
      <c r="X638" s="96"/>
      <c r="Y638" s="96"/>
    </row>
    <row r="639" spans="2:25">
      <c r="B639" s="374"/>
      <c r="C639" s="374"/>
      <c r="D639" s="374"/>
      <c r="E639" s="374"/>
      <c r="F639" s="374"/>
      <c r="G639" s="374"/>
      <c r="H639" s="374"/>
      <c r="I639" s="374"/>
      <c r="J639" s="374"/>
      <c r="K639" s="374"/>
      <c r="L639" s="374"/>
      <c r="M639" s="374"/>
      <c r="N639" s="374"/>
      <c r="O639" s="374"/>
      <c r="P639" s="374"/>
      <c r="Q639" s="374"/>
      <c r="R639" s="374"/>
      <c r="S639" s="374"/>
      <c r="T639" s="374"/>
      <c r="U639" s="374"/>
      <c r="V639" s="374"/>
      <c r="W639" s="96"/>
      <c r="X639" s="96"/>
      <c r="Y639" s="96"/>
    </row>
    <row r="640" spans="2:25">
      <c r="B640" s="374"/>
      <c r="C640" s="374"/>
      <c r="D640" s="374"/>
      <c r="E640" s="374"/>
      <c r="F640" s="374"/>
      <c r="G640" s="374"/>
      <c r="H640" s="374"/>
      <c r="I640" s="374"/>
      <c r="J640" s="374"/>
      <c r="K640" s="374"/>
      <c r="L640" s="374"/>
      <c r="M640" s="374"/>
      <c r="N640" s="374"/>
      <c r="O640" s="374"/>
      <c r="P640" s="374"/>
      <c r="Q640" s="374"/>
      <c r="R640" s="374"/>
      <c r="S640" s="374"/>
      <c r="T640" s="374"/>
      <c r="U640" s="374"/>
      <c r="V640" s="374"/>
      <c r="W640" s="96"/>
      <c r="X640" s="96"/>
      <c r="Y640" s="96"/>
    </row>
    <row r="641" spans="2:25">
      <c r="B641" s="374"/>
      <c r="C641" s="374"/>
      <c r="D641" s="374"/>
      <c r="E641" s="374"/>
      <c r="F641" s="374"/>
      <c r="G641" s="374"/>
      <c r="H641" s="374"/>
      <c r="I641" s="374"/>
      <c r="J641" s="374"/>
      <c r="K641" s="374"/>
      <c r="L641" s="374"/>
      <c r="M641" s="374"/>
      <c r="N641" s="374"/>
      <c r="O641" s="374"/>
      <c r="P641" s="374"/>
      <c r="Q641" s="374"/>
      <c r="R641" s="374"/>
      <c r="S641" s="374"/>
      <c r="T641" s="374"/>
      <c r="U641" s="374"/>
      <c r="V641" s="374"/>
      <c r="W641" s="96"/>
      <c r="X641" s="96"/>
      <c r="Y641" s="96"/>
    </row>
    <row r="642" spans="2:25">
      <c r="B642" s="374"/>
      <c r="C642" s="374"/>
      <c r="D642" s="374"/>
      <c r="E642" s="374"/>
      <c r="F642" s="374"/>
      <c r="G642" s="374"/>
      <c r="H642" s="374"/>
      <c r="I642" s="374"/>
      <c r="J642" s="374"/>
      <c r="K642" s="374"/>
      <c r="L642" s="374"/>
      <c r="M642" s="374"/>
      <c r="N642" s="374"/>
      <c r="O642" s="374"/>
      <c r="P642" s="374"/>
      <c r="Q642" s="374"/>
      <c r="R642" s="374"/>
      <c r="S642" s="374"/>
      <c r="T642" s="374"/>
      <c r="U642" s="374"/>
      <c r="V642" s="374"/>
      <c r="W642" s="96"/>
      <c r="X642" s="96"/>
      <c r="Y642" s="96"/>
    </row>
    <row r="643" spans="2:25">
      <c r="B643" s="374"/>
      <c r="C643" s="374"/>
      <c r="D643" s="374"/>
      <c r="E643" s="374"/>
      <c r="F643" s="374"/>
      <c r="G643" s="374"/>
      <c r="H643" s="374"/>
      <c r="I643" s="374"/>
      <c r="J643" s="374"/>
      <c r="K643" s="374"/>
      <c r="L643" s="374"/>
      <c r="M643" s="374"/>
      <c r="N643" s="374"/>
      <c r="O643" s="374"/>
      <c r="P643" s="374"/>
      <c r="Q643" s="374"/>
      <c r="R643" s="374"/>
      <c r="S643" s="374"/>
      <c r="T643" s="374"/>
      <c r="U643" s="374"/>
      <c r="V643" s="374"/>
      <c r="W643" s="96"/>
      <c r="X643" s="96"/>
      <c r="Y643" s="96"/>
    </row>
    <row r="644" spans="2:25">
      <c r="B644" s="374"/>
      <c r="C644" s="374"/>
      <c r="D644" s="374"/>
      <c r="E644" s="374"/>
      <c r="F644" s="374"/>
      <c r="G644" s="374"/>
      <c r="H644" s="374"/>
      <c r="I644" s="374"/>
      <c r="J644" s="374"/>
      <c r="K644" s="374"/>
      <c r="L644" s="374"/>
      <c r="M644" s="374"/>
      <c r="N644" s="374"/>
      <c r="O644" s="374"/>
      <c r="P644" s="374"/>
      <c r="Q644" s="374"/>
      <c r="R644" s="374"/>
      <c r="S644" s="374"/>
      <c r="T644" s="374"/>
      <c r="U644" s="374"/>
      <c r="V644" s="374"/>
      <c r="W644" s="96"/>
      <c r="X644" s="96"/>
      <c r="Y644" s="96"/>
    </row>
    <row r="645" spans="2:25">
      <c r="B645" s="374"/>
      <c r="C645" s="374"/>
      <c r="D645" s="374"/>
      <c r="E645" s="374"/>
      <c r="F645" s="374"/>
      <c r="G645" s="374"/>
      <c r="H645" s="374"/>
      <c r="I645" s="374"/>
      <c r="J645" s="374"/>
      <c r="K645" s="374"/>
      <c r="L645" s="374"/>
      <c r="M645" s="374"/>
      <c r="N645" s="374"/>
      <c r="O645" s="374"/>
      <c r="P645" s="374"/>
      <c r="Q645" s="374"/>
      <c r="R645" s="374"/>
      <c r="S645" s="374"/>
      <c r="T645" s="374"/>
      <c r="U645" s="374"/>
      <c r="V645" s="374"/>
      <c r="W645" s="96"/>
      <c r="X645" s="96"/>
      <c r="Y645" s="96"/>
    </row>
    <row r="646" spans="2:25">
      <c r="B646" s="374"/>
      <c r="C646" s="374"/>
      <c r="D646" s="374"/>
      <c r="E646" s="374"/>
      <c r="F646" s="374"/>
      <c r="G646" s="374"/>
      <c r="H646" s="374"/>
      <c r="I646" s="374"/>
      <c r="J646" s="374"/>
      <c r="K646" s="374"/>
      <c r="L646" s="374"/>
      <c r="M646" s="374"/>
      <c r="N646" s="374"/>
      <c r="O646" s="374"/>
      <c r="P646" s="374"/>
      <c r="Q646" s="374"/>
      <c r="R646" s="374"/>
      <c r="S646" s="374"/>
      <c r="T646" s="374"/>
      <c r="U646" s="374"/>
      <c r="V646" s="374"/>
      <c r="W646" s="96"/>
      <c r="X646" s="96"/>
      <c r="Y646" s="96"/>
    </row>
    <row r="647" spans="2:25">
      <c r="B647" s="374"/>
      <c r="C647" s="374"/>
      <c r="D647" s="374"/>
      <c r="E647" s="374"/>
      <c r="F647" s="374"/>
      <c r="G647" s="374"/>
      <c r="H647" s="374"/>
      <c r="I647" s="374"/>
      <c r="J647" s="374"/>
      <c r="K647" s="374"/>
      <c r="L647" s="374"/>
      <c r="M647" s="374"/>
      <c r="N647" s="374"/>
      <c r="O647" s="374"/>
      <c r="P647" s="374"/>
      <c r="Q647" s="374"/>
      <c r="R647" s="374"/>
      <c r="S647" s="374"/>
      <c r="T647" s="374"/>
      <c r="U647" s="374"/>
      <c r="V647" s="374"/>
      <c r="W647" s="96"/>
      <c r="X647" s="96"/>
      <c r="Y647" s="96"/>
    </row>
    <row r="648" spans="2:25">
      <c r="B648" s="374"/>
      <c r="C648" s="374"/>
      <c r="D648" s="374"/>
      <c r="E648" s="374"/>
      <c r="F648" s="374"/>
      <c r="G648" s="374"/>
      <c r="H648" s="374"/>
      <c r="I648" s="374"/>
      <c r="J648" s="374"/>
      <c r="K648" s="374"/>
      <c r="L648" s="374"/>
      <c r="M648" s="374"/>
      <c r="N648" s="374"/>
      <c r="O648" s="374"/>
      <c r="P648" s="374"/>
      <c r="Q648" s="374"/>
      <c r="R648" s="374"/>
      <c r="S648" s="374"/>
      <c r="T648" s="374"/>
      <c r="U648" s="374"/>
      <c r="V648" s="374"/>
      <c r="W648" s="96"/>
      <c r="X648" s="96"/>
      <c r="Y648" s="96"/>
    </row>
    <row r="649" spans="2:25">
      <c r="B649" s="374"/>
      <c r="C649" s="374"/>
      <c r="D649" s="374"/>
      <c r="E649" s="374"/>
      <c r="F649" s="374"/>
      <c r="G649" s="374"/>
      <c r="H649" s="374"/>
      <c r="I649" s="374"/>
      <c r="J649" s="374"/>
      <c r="K649" s="374"/>
      <c r="L649" s="374"/>
      <c r="M649" s="374"/>
      <c r="N649" s="374"/>
      <c r="O649" s="374"/>
      <c r="P649" s="374"/>
      <c r="Q649" s="374"/>
      <c r="R649" s="374"/>
      <c r="S649" s="374"/>
      <c r="T649" s="374"/>
      <c r="U649" s="374"/>
      <c r="V649" s="374"/>
      <c r="W649" s="96"/>
      <c r="X649" s="96"/>
      <c r="Y649" s="96"/>
    </row>
    <row r="650" spans="2:25">
      <c r="B650" s="374"/>
      <c r="C650" s="374"/>
      <c r="D650" s="374"/>
      <c r="E650" s="374"/>
      <c r="F650" s="374"/>
      <c r="G650" s="374"/>
      <c r="H650" s="374"/>
      <c r="I650" s="374"/>
      <c r="J650" s="374"/>
      <c r="K650" s="374"/>
      <c r="L650" s="374"/>
      <c r="M650" s="374"/>
      <c r="N650" s="374"/>
      <c r="O650" s="374"/>
      <c r="P650" s="374"/>
      <c r="Q650" s="374"/>
      <c r="R650" s="374"/>
      <c r="S650" s="374"/>
      <c r="T650" s="374"/>
      <c r="U650" s="374"/>
      <c r="V650" s="374"/>
      <c r="W650" s="96"/>
      <c r="X650" s="96"/>
      <c r="Y650" s="96"/>
    </row>
    <row r="651" spans="2:25">
      <c r="B651" s="374"/>
      <c r="C651" s="374"/>
      <c r="D651" s="374"/>
      <c r="E651" s="374"/>
      <c r="F651" s="374"/>
      <c r="G651" s="374"/>
      <c r="H651" s="374"/>
      <c r="I651" s="374"/>
      <c r="J651" s="374"/>
      <c r="K651" s="374"/>
      <c r="L651" s="374"/>
      <c r="M651" s="374"/>
      <c r="N651" s="374"/>
      <c r="O651" s="374"/>
      <c r="P651" s="374"/>
      <c r="Q651" s="374"/>
      <c r="R651" s="374"/>
      <c r="S651" s="374"/>
      <c r="T651" s="374"/>
      <c r="U651" s="374"/>
      <c r="V651" s="374"/>
      <c r="W651" s="96"/>
      <c r="X651" s="96"/>
      <c r="Y651" s="96"/>
    </row>
    <row r="652" spans="2:25">
      <c r="B652" s="374"/>
      <c r="C652" s="374"/>
      <c r="D652" s="374"/>
      <c r="E652" s="374"/>
      <c r="F652" s="374"/>
      <c r="G652" s="374"/>
      <c r="H652" s="374"/>
      <c r="I652" s="374"/>
      <c r="J652" s="374"/>
      <c r="K652" s="374"/>
      <c r="L652" s="374"/>
      <c r="M652" s="374"/>
      <c r="N652" s="374"/>
      <c r="O652" s="374"/>
      <c r="P652" s="374"/>
      <c r="Q652" s="374"/>
      <c r="R652" s="374"/>
      <c r="S652" s="374"/>
      <c r="T652" s="374"/>
      <c r="U652" s="374"/>
      <c r="V652" s="374"/>
      <c r="W652" s="96"/>
      <c r="X652" s="96"/>
      <c r="Y652" s="96"/>
    </row>
    <row r="653" spans="2:25">
      <c r="B653" s="374"/>
      <c r="C653" s="374"/>
      <c r="D653" s="374"/>
      <c r="E653" s="374"/>
      <c r="F653" s="374"/>
      <c r="G653" s="374"/>
      <c r="H653" s="374"/>
      <c r="I653" s="374"/>
      <c r="J653" s="374"/>
      <c r="K653" s="374"/>
      <c r="L653" s="374"/>
      <c r="M653" s="374"/>
      <c r="N653" s="374"/>
      <c r="O653" s="374"/>
      <c r="P653" s="374"/>
      <c r="Q653" s="374"/>
      <c r="R653" s="374"/>
      <c r="S653" s="374"/>
      <c r="T653" s="374"/>
      <c r="U653" s="374"/>
      <c r="V653" s="374"/>
      <c r="W653" s="96"/>
      <c r="X653" s="96"/>
      <c r="Y653" s="96"/>
    </row>
    <row r="654" spans="2:25">
      <c r="B654" s="374"/>
      <c r="C654" s="374"/>
      <c r="D654" s="374"/>
      <c r="E654" s="374"/>
      <c r="F654" s="374"/>
      <c r="G654" s="374"/>
      <c r="H654" s="374"/>
      <c r="I654" s="374"/>
      <c r="J654" s="374"/>
      <c r="K654" s="374"/>
      <c r="L654" s="374"/>
      <c r="M654" s="374"/>
      <c r="N654" s="374"/>
      <c r="O654" s="374"/>
      <c r="P654" s="374"/>
      <c r="Q654" s="374"/>
      <c r="R654" s="374"/>
      <c r="S654" s="374"/>
      <c r="T654" s="374"/>
      <c r="U654" s="374"/>
      <c r="V654" s="374"/>
      <c r="W654" s="96"/>
      <c r="X654" s="96"/>
      <c r="Y654" s="96"/>
    </row>
    <row r="655" spans="2:25">
      <c r="B655" s="374"/>
      <c r="C655" s="374"/>
      <c r="D655" s="374"/>
      <c r="E655" s="374"/>
      <c r="F655" s="374"/>
      <c r="G655" s="374"/>
      <c r="H655" s="374"/>
      <c r="I655" s="374"/>
      <c r="J655" s="374"/>
      <c r="K655" s="374"/>
      <c r="L655" s="374"/>
      <c r="M655" s="374"/>
      <c r="N655" s="374"/>
      <c r="O655" s="374"/>
      <c r="P655" s="374"/>
      <c r="Q655" s="374"/>
      <c r="R655" s="374"/>
      <c r="S655" s="374"/>
      <c r="T655" s="374"/>
      <c r="U655" s="374"/>
      <c r="V655" s="374"/>
      <c r="W655" s="96"/>
      <c r="X655" s="96"/>
      <c r="Y655" s="96"/>
    </row>
    <row r="656" spans="2:25">
      <c r="B656" s="374"/>
      <c r="C656" s="374"/>
      <c r="D656" s="374"/>
      <c r="E656" s="374"/>
      <c r="F656" s="374"/>
      <c r="G656" s="374"/>
      <c r="H656" s="374"/>
      <c r="I656" s="374"/>
      <c r="J656" s="374"/>
      <c r="K656" s="374"/>
      <c r="L656" s="374"/>
      <c r="M656" s="374"/>
      <c r="N656" s="374"/>
      <c r="O656" s="374"/>
      <c r="P656" s="374"/>
      <c r="Q656" s="374"/>
      <c r="R656" s="374"/>
      <c r="S656" s="374"/>
      <c r="T656" s="374"/>
      <c r="U656" s="374"/>
      <c r="V656" s="374"/>
      <c r="W656" s="96"/>
      <c r="X656" s="96"/>
      <c r="Y656" s="96"/>
    </row>
    <row r="657" spans="2:25">
      <c r="B657" s="374"/>
      <c r="C657" s="374"/>
      <c r="D657" s="374"/>
      <c r="E657" s="374"/>
      <c r="F657" s="374"/>
      <c r="G657" s="374"/>
      <c r="H657" s="374"/>
      <c r="I657" s="374"/>
      <c r="J657" s="374"/>
      <c r="K657" s="374"/>
      <c r="L657" s="374"/>
      <c r="M657" s="374"/>
      <c r="N657" s="374"/>
      <c r="O657" s="374"/>
      <c r="P657" s="374"/>
      <c r="Q657" s="374"/>
      <c r="R657" s="374"/>
      <c r="S657" s="374"/>
      <c r="T657" s="374"/>
      <c r="U657" s="374"/>
      <c r="V657" s="374"/>
      <c r="W657" s="96"/>
      <c r="X657" s="96"/>
      <c r="Y657" s="96"/>
    </row>
    <row r="658" spans="2:25">
      <c r="B658" s="374"/>
      <c r="C658" s="374"/>
      <c r="D658" s="374"/>
      <c r="E658" s="374"/>
      <c r="F658" s="374"/>
      <c r="G658" s="374"/>
      <c r="H658" s="374"/>
      <c r="I658" s="374"/>
      <c r="J658" s="374"/>
      <c r="K658" s="374"/>
      <c r="L658" s="374"/>
      <c r="M658" s="374"/>
      <c r="N658" s="374"/>
      <c r="O658" s="374"/>
      <c r="P658" s="374"/>
      <c r="Q658" s="374"/>
      <c r="R658" s="374"/>
      <c r="S658" s="374"/>
      <c r="T658" s="374"/>
      <c r="U658" s="374"/>
      <c r="V658" s="374"/>
      <c r="W658" s="96"/>
      <c r="X658" s="96"/>
      <c r="Y658" s="96"/>
    </row>
    <row r="659" spans="2:25">
      <c r="B659" s="374"/>
      <c r="C659" s="374"/>
      <c r="D659" s="374"/>
      <c r="E659" s="374"/>
      <c r="F659" s="374"/>
      <c r="G659" s="374"/>
      <c r="H659" s="374"/>
      <c r="I659" s="374"/>
      <c r="J659" s="374"/>
      <c r="K659" s="374"/>
      <c r="L659" s="374"/>
      <c r="M659" s="374"/>
      <c r="N659" s="374"/>
      <c r="O659" s="374"/>
      <c r="P659" s="374"/>
      <c r="Q659" s="374"/>
      <c r="R659" s="374"/>
      <c r="S659" s="374"/>
      <c r="T659" s="374"/>
      <c r="U659" s="374"/>
      <c r="V659" s="374"/>
      <c r="W659" s="96"/>
      <c r="X659" s="96"/>
      <c r="Y659" s="96"/>
    </row>
    <row r="660" spans="2:25">
      <c r="B660" s="374"/>
      <c r="C660" s="374"/>
      <c r="D660" s="374"/>
      <c r="E660" s="374"/>
      <c r="F660" s="374"/>
      <c r="G660" s="374"/>
      <c r="H660" s="374"/>
      <c r="I660" s="374"/>
      <c r="J660" s="374"/>
      <c r="K660" s="374"/>
      <c r="L660" s="374"/>
      <c r="M660" s="374"/>
      <c r="N660" s="374"/>
      <c r="O660" s="374"/>
      <c r="P660" s="374"/>
      <c r="Q660" s="374"/>
      <c r="R660" s="374"/>
      <c r="S660" s="374"/>
      <c r="T660" s="374"/>
      <c r="U660" s="374"/>
      <c r="V660" s="374"/>
      <c r="W660" s="96"/>
      <c r="X660" s="96"/>
      <c r="Y660" s="96"/>
    </row>
    <row r="661" spans="2:25">
      <c r="B661" s="374"/>
      <c r="C661" s="374"/>
      <c r="D661" s="374"/>
      <c r="E661" s="374"/>
      <c r="F661" s="374"/>
      <c r="G661" s="374"/>
      <c r="H661" s="374"/>
      <c r="I661" s="374"/>
      <c r="J661" s="374"/>
      <c r="K661" s="374"/>
      <c r="L661" s="374"/>
      <c r="M661" s="374"/>
      <c r="N661" s="374"/>
      <c r="O661" s="374"/>
      <c r="P661" s="374"/>
      <c r="Q661" s="374"/>
      <c r="R661" s="374"/>
      <c r="S661" s="374"/>
      <c r="T661" s="374"/>
      <c r="U661" s="374"/>
      <c r="V661" s="374"/>
      <c r="W661" s="96"/>
      <c r="X661" s="96"/>
      <c r="Y661" s="96"/>
    </row>
    <row r="662" spans="2:25">
      <c r="B662" s="374"/>
      <c r="C662" s="374"/>
      <c r="D662" s="374"/>
      <c r="E662" s="374"/>
      <c r="F662" s="374"/>
      <c r="G662" s="374"/>
      <c r="H662" s="374"/>
      <c r="I662" s="374"/>
      <c r="J662" s="374"/>
      <c r="K662" s="374"/>
      <c r="L662" s="374"/>
      <c r="M662" s="374"/>
      <c r="N662" s="374"/>
      <c r="O662" s="374"/>
      <c r="P662" s="374"/>
      <c r="Q662" s="374"/>
      <c r="R662" s="374"/>
      <c r="S662" s="374"/>
      <c r="T662" s="374"/>
      <c r="U662" s="374"/>
      <c r="V662" s="374"/>
      <c r="W662" s="96"/>
      <c r="X662" s="96"/>
      <c r="Y662" s="96"/>
    </row>
    <row r="663" spans="2:25">
      <c r="B663" s="374"/>
      <c r="C663" s="374"/>
      <c r="D663" s="374"/>
      <c r="E663" s="374"/>
      <c r="F663" s="374"/>
      <c r="G663" s="374"/>
      <c r="H663" s="374"/>
      <c r="I663" s="374"/>
      <c r="J663" s="374"/>
      <c r="K663" s="374"/>
      <c r="L663" s="374"/>
      <c r="M663" s="374"/>
      <c r="N663" s="374"/>
      <c r="O663" s="374"/>
      <c r="P663" s="374"/>
      <c r="Q663" s="374"/>
      <c r="R663" s="374"/>
      <c r="S663" s="374"/>
      <c r="T663" s="374"/>
      <c r="U663" s="374"/>
      <c r="V663" s="374"/>
      <c r="W663" s="96"/>
      <c r="X663" s="96"/>
      <c r="Y663" s="96"/>
    </row>
    <row r="664" spans="2:25">
      <c r="B664" s="374"/>
      <c r="C664" s="374"/>
      <c r="D664" s="374"/>
      <c r="E664" s="374"/>
      <c r="F664" s="374"/>
      <c r="G664" s="374"/>
      <c r="H664" s="374"/>
      <c r="I664" s="374"/>
      <c r="J664" s="374"/>
      <c r="K664" s="374"/>
      <c r="L664" s="374"/>
      <c r="M664" s="374"/>
      <c r="N664" s="374"/>
      <c r="O664" s="374"/>
      <c r="P664" s="374"/>
      <c r="Q664" s="374"/>
      <c r="R664" s="374"/>
      <c r="S664" s="374"/>
      <c r="T664" s="374"/>
      <c r="U664" s="374"/>
      <c r="V664" s="374"/>
      <c r="W664" s="96"/>
      <c r="X664" s="96"/>
      <c r="Y664" s="96"/>
    </row>
    <row r="665" spans="2:25">
      <c r="B665" s="374"/>
      <c r="C665" s="374"/>
      <c r="D665" s="374"/>
      <c r="E665" s="374"/>
      <c r="F665" s="374"/>
      <c r="G665" s="374"/>
      <c r="H665" s="374"/>
      <c r="I665" s="374"/>
      <c r="J665" s="374"/>
      <c r="K665" s="374"/>
      <c r="L665" s="374"/>
      <c r="M665" s="374"/>
      <c r="N665" s="374"/>
      <c r="O665" s="374"/>
      <c r="P665" s="374"/>
      <c r="Q665" s="374"/>
      <c r="R665" s="374"/>
      <c r="S665" s="374"/>
      <c r="T665" s="374"/>
      <c r="U665" s="374"/>
      <c r="V665" s="374"/>
      <c r="W665" s="96"/>
      <c r="X665" s="96"/>
      <c r="Y665" s="96"/>
    </row>
    <row r="666" spans="2:25">
      <c r="B666" s="374"/>
      <c r="C666" s="374"/>
      <c r="D666" s="374"/>
      <c r="E666" s="374"/>
      <c r="F666" s="374"/>
      <c r="G666" s="374"/>
      <c r="H666" s="374"/>
      <c r="I666" s="374"/>
      <c r="J666" s="374"/>
      <c r="K666" s="374"/>
      <c r="L666" s="374"/>
      <c r="M666" s="374"/>
      <c r="N666" s="374"/>
      <c r="O666" s="374"/>
      <c r="P666" s="374"/>
      <c r="Q666" s="374"/>
      <c r="R666" s="374"/>
      <c r="S666" s="374"/>
      <c r="T666" s="374"/>
      <c r="U666" s="374"/>
      <c r="V666" s="374"/>
      <c r="W666" s="96"/>
      <c r="X666" s="96"/>
      <c r="Y666" s="96"/>
    </row>
    <row r="667" spans="2:25">
      <c r="B667" s="374"/>
      <c r="C667" s="374"/>
      <c r="D667" s="374"/>
      <c r="E667" s="374"/>
      <c r="F667" s="374"/>
      <c r="G667" s="374"/>
      <c r="H667" s="374"/>
      <c r="I667" s="374"/>
      <c r="J667" s="374"/>
      <c r="K667" s="374"/>
      <c r="L667" s="374"/>
      <c r="M667" s="374"/>
      <c r="N667" s="374"/>
      <c r="O667" s="374"/>
      <c r="P667" s="374"/>
      <c r="Q667" s="374"/>
      <c r="R667" s="374"/>
      <c r="S667" s="374"/>
      <c r="T667" s="374"/>
      <c r="U667" s="374"/>
      <c r="V667" s="374"/>
      <c r="W667" s="96"/>
      <c r="X667" s="96"/>
      <c r="Y667" s="96"/>
    </row>
    <row r="668" spans="2:25">
      <c r="B668" s="374"/>
      <c r="C668" s="374"/>
      <c r="D668" s="374"/>
      <c r="E668" s="374"/>
      <c r="F668" s="374"/>
      <c r="G668" s="374"/>
      <c r="H668" s="374"/>
      <c r="I668" s="374"/>
      <c r="J668" s="374"/>
      <c r="K668" s="374"/>
      <c r="L668" s="374"/>
      <c r="M668" s="374"/>
      <c r="N668" s="374"/>
      <c r="O668" s="374"/>
      <c r="P668" s="374"/>
      <c r="Q668" s="374"/>
      <c r="R668" s="374"/>
      <c r="S668" s="374"/>
      <c r="T668" s="374"/>
      <c r="U668" s="374"/>
      <c r="V668" s="374"/>
      <c r="W668" s="96"/>
      <c r="X668" s="96"/>
      <c r="Y668" s="96"/>
    </row>
    <row r="669" spans="2:25">
      <c r="B669" s="374"/>
      <c r="C669" s="374"/>
      <c r="D669" s="374"/>
      <c r="E669" s="374"/>
      <c r="F669" s="374"/>
      <c r="G669" s="374"/>
      <c r="H669" s="374"/>
      <c r="I669" s="374"/>
      <c r="J669" s="374"/>
      <c r="K669" s="374"/>
      <c r="L669" s="374"/>
      <c r="M669" s="374"/>
      <c r="N669" s="374"/>
      <c r="O669" s="374"/>
      <c r="P669" s="374"/>
      <c r="Q669" s="374"/>
      <c r="R669" s="374"/>
      <c r="S669" s="374"/>
      <c r="T669" s="374"/>
      <c r="U669" s="374"/>
      <c r="V669" s="374"/>
      <c r="W669" s="96"/>
      <c r="X669" s="96"/>
      <c r="Y669" s="96"/>
    </row>
    <row r="670" spans="2:25">
      <c r="B670" s="374"/>
      <c r="C670" s="374"/>
      <c r="D670" s="374"/>
      <c r="E670" s="374"/>
      <c r="F670" s="374"/>
      <c r="G670" s="374"/>
      <c r="H670" s="374"/>
      <c r="I670" s="374"/>
      <c r="J670" s="374"/>
      <c r="K670" s="374"/>
      <c r="L670" s="374"/>
      <c r="M670" s="374"/>
      <c r="N670" s="374"/>
      <c r="O670" s="374"/>
      <c r="P670" s="374"/>
      <c r="Q670" s="374"/>
      <c r="R670" s="374"/>
      <c r="S670" s="374"/>
      <c r="T670" s="374"/>
      <c r="U670" s="374"/>
      <c r="V670" s="374"/>
      <c r="W670" s="96"/>
      <c r="X670" s="96"/>
      <c r="Y670" s="96"/>
    </row>
    <row r="671" spans="2:25">
      <c r="B671" s="374"/>
      <c r="C671" s="374"/>
      <c r="D671" s="374"/>
      <c r="E671" s="374"/>
      <c r="F671" s="374"/>
      <c r="G671" s="374"/>
      <c r="H671" s="374"/>
      <c r="I671" s="374"/>
      <c r="J671" s="374"/>
      <c r="K671" s="374"/>
      <c r="L671" s="374"/>
      <c r="M671" s="374"/>
      <c r="N671" s="374"/>
      <c r="O671" s="374"/>
      <c r="P671" s="374"/>
      <c r="Q671" s="374"/>
      <c r="R671" s="374"/>
      <c r="S671" s="374"/>
      <c r="T671" s="374"/>
      <c r="U671" s="374"/>
      <c r="V671" s="374"/>
      <c r="W671" s="96"/>
      <c r="X671" s="96"/>
      <c r="Y671" s="96"/>
    </row>
    <row r="672" spans="2:25">
      <c r="B672" s="374"/>
      <c r="C672" s="374"/>
      <c r="D672" s="374"/>
      <c r="E672" s="374"/>
      <c r="F672" s="374"/>
      <c r="G672" s="374"/>
      <c r="H672" s="374"/>
      <c r="I672" s="374"/>
      <c r="J672" s="374"/>
      <c r="K672" s="374"/>
      <c r="L672" s="374"/>
      <c r="M672" s="374"/>
      <c r="N672" s="374"/>
      <c r="O672" s="374"/>
      <c r="P672" s="374"/>
      <c r="Q672" s="374"/>
      <c r="R672" s="374"/>
      <c r="S672" s="374"/>
      <c r="T672" s="374"/>
      <c r="U672" s="374"/>
      <c r="V672" s="374"/>
      <c r="W672" s="96"/>
      <c r="X672" s="96"/>
      <c r="Y672" s="96"/>
    </row>
    <row r="673" spans="2:25">
      <c r="B673" s="374"/>
      <c r="C673" s="374"/>
      <c r="D673" s="374"/>
      <c r="E673" s="374"/>
      <c r="F673" s="374"/>
      <c r="G673" s="374"/>
      <c r="H673" s="374"/>
      <c r="I673" s="374"/>
      <c r="J673" s="374"/>
      <c r="K673" s="374"/>
      <c r="L673" s="374"/>
      <c r="M673" s="374"/>
      <c r="N673" s="374"/>
      <c r="O673" s="374"/>
      <c r="P673" s="374"/>
      <c r="Q673" s="374"/>
      <c r="R673" s="374"/>
      <c r="S673" s="374"/>
      <c r="T673" s="374"/>
      <c r="U673" s="374"/>
      <c r="V673" s="374"/>
      <c r="W673" s="96"/>
      <c r="X673" s="96"/>
      <c r="Y673" s="96"/>
    </row>
    <row r="674" spans="2:25">
      <c r="B674" s="374"/>
      <c r="C674" s="374"/>
      <c r="D674" s="374"/>
      <c r="E674" s="374"/>
      <c r="F674" s="374"/>
      <c r="G674" s="374"/>
      <c r="H674" s="374"/>
      <c r="I674" s="374"/>
      <c r="J674" s="374"/>
      <c r="K674" s="374"/>
      <c r="L674" s="374"/>
      <c r="M674" s="374"/>
      <c r="N674" s="374"/>
      <c r="O674" s="374"/>
      <c r="P674" s="374"/>
      <c r="Q674" s="374"/>
      <c r="R674" s="374"/>
      <c r="S674" s="374"/>
      <c r="T674" s="374"/>
      <c r="U674" s="374"/>
      <c r="V674" s="374"/>
      <c r="W674" s="96"/>
      <c r="X674" s="96"/>
      <c r="Y674" s="96"/>
    </row>
    <row r="675" spans="2:25">
      <c r="B675" s="374"/>
      <c r="C675" s="374"/>
      <c r="D675" s="374"/>
      <c r="E675" s="374"/>
      <c r="F675" s="374"/>
      <c r="G675" s="374"/>
      <c r="H675" s="374"/>
      <c r="I675" s="374"/>
      <c r="J675" s="374"/>
      <c r="K675" s="374"/>
      <c r="L675" s="374"/>
      <c r="M675" s="374"/>
      <c r="N675" s="374"/>
      <c r="O675" s="374"/>
      <c r="P675" s="374"/>
      <c r="Q675" s="374"/>
      <c r="R675" s="374"/>
      <c r="S675" s="374"/>
      <c r="T675" s="374"/>
      <c r="U675" s="374"/>
      <c r="V675" s="374"/>
      <c r="W675" s="96"/>
      <c r="X675" s="96"/>
      <c r="Y675" s="96"/>
    </row>
    <row r="676" spans="2:25">
      <c r="B676" s="374"/>
      <c r="C676" s="374"/>
      <c r="D676" s="374"/>
      <c r="E676" s="374"/>
      <c r="F676" s="374"/>
      <c r="G676" s="374"/>
      <c r="H676" s="374"/>
      <c r="I676" s="374"/>
      <c r="J676" s="374"/>
      <c r="K676" s="374"/>
      <c r="L676" s="374"/>
      <c r="M676" s="374"/>
      <c r="N676" s="374"/>
      <c r="O676" s="374"/>
      <c r="P676" s="374"/>
      <c r="Q676" s="374"/>
      <c r="R676" s="374"/>
      <c r="S676" s="374"/>
      <c r="T676" s="374"/>
      <c r="U676" s="374"/>
      <c r="V676" s="374"/>
      <c r="W676" s="96"/>
      <c r="X676" s="96"/>
      <c r="Y676" s="96"/>
    </row>
    <row r="677" spans="2:25">
      <c r="B677" s="374"/>
      <c r="C677" s="374"/>
      <c r="D677" s="374"/>
      <c r="E677" s="374"/>
      <c r="F677" s="374"/>
      <c r="G677" s="374"/>
      <c r="H677" s="374"/>
      <c r="I677" s="374"/>
      <c r="J677" s="374"/>
      <c r="K677" s="374"/>
      <c r="L677" s="374"/>
      <c r="M677" s="374"/>
      <c r="N677" s="374"/>
      <c r="O677" s="374"/>
      <c r="P677" s="374"/>
      <c r="Q677" s="374"/>
      <c r="R677" s="374"/>
      <c r="S677" s="374"/>
      <c r="T677" s="374"/>
      <c r="U677" s="374"/>
      <c r="V677" s="374"/>
      <c r="W677" s="96"/>
      <c r="X677" s="96"/>
      <c r="Y677" s="96"/>
    </row>
    <row r="678" spans="2:25">
      <c r="B678" s="374"/>
      <c r="C678" s="374"/>
      <c r="D678" s="374"/>
      <c r="E678" s="374"/>
      <c r="F678" s="374"/>
      <c r="G678" s="374"/>
      <c r="H678" s="374"/>
      <c r="I678" s="374"/>
      <c r="J678" s="374"/>
      <c r="K678" s="374"/>
      <c r="L678" s="374"/>
      <c r="M678" s="374"/>
      <c r="N678" s="374"/>
      <c r="O678" s="374"/>
      <c r="P678" s="374"/>
      <c r="Q678" s="374"/>
      <c r="R678" s="374"/>
      <c r="S678" s="374"/>
      <c r="T678" s="374"/>
      <c r="U678" s="374"/>
      <c r="V678" s="374"/>
      <c r="W678" s="96"/>
      <c r="X678" s="96"/>
      <c r="Y678" s="96"/>
    </row>
    <row r="679" spans="2:25">
      <c r="B679" s="374"/>
      <c r="C679" s="374"/>
      <c r="D679" s="374"/>
      <c r="E679" s="374"/>
      <c r="F679" s="374"/>
      <c r="G679" s="374"/>
      <c r="H679" s="374"/>
      <c r="I679" s="374"/>
      <c r="J679" s="374"/>
      <c r="K679" s="374"/>
      <c r="L679" s="374"/>
      <c r="M679" s="374"/>
      <c r="N679" s="374"/>
      <c r="O679" s="374"/>
      <c r="P679" s="374"/>
      <c r="Q679" s="374"/>
      <c r="R679" s="374"/>
      <c r="S679" s="374"/>
      <c r="T679" s="374"/>
      <c r="U679" s="374"/>
      <c r="V679" s="374"/>
      <c r="W679" s="96"/>
      <c r="X679" s="96"/>
      <c r="Y679" s="96"/>
    </row>
    <row r="680" spans="2:25">
      <c r="B680" s="374"/>
      <c r="C680" s="374"/>
      <c r="D680" s="374"/>
      <c r="E680" s="374"/>
      <c r="F680" s="374"/>
      <c r="G680" s="374"/>
      <c r="H680" s="374"/>
      <c r="I680" s="374"/>
      <c r="J680" s="374"/>
      <c r="K680" s="374"/>
      <c r="L680" s="374"/>
      <c r="M680" s="374"/>
      <c r="N680" s="374"/>
      <c r="O680" s="374"/>
      <c r="P680" s="374"/>
      <c r="Q680" s="374"/>
      <c r="R680" s="374"/>
      <c r="S680" s="374"/>
      <c r="T680" s="374"/>
      <c r="U680" s="374"/>
      <c r="V680" s="374"/>
      <c r="W680" s="96"/>
      <c r="X680" s="96"/>
      <c r="Y680" s="96"/>
    </row>
    <row r="681" spans="2:25">
      <c r="B681" s="374"/>
      <c r="C681" s="374"/>
      <c r="D681" s="374"/>
      <c r="E681" s="374"/>
      <c r="F681" s="374"/>
      <c r="G681" s="374"/>
      <c r="H681" s="374"/>
      <c r="I681" s="374"/>
      <c r="J681" s="374"/>
      <c r="K681" s="374"/>
      <c r="L681" s="374"/>
      <c r="M681" s="374"/>
      <c r="N681" s="374"/>
      <c r="O681" s="374"/>
      <c r="P681" s="374"/>
      <c r="Q681" s="374"/>
      <c r="R681" s="374"/>
      <c r="S681" s="374"/>
      <c r="T681" s="374"/>
      <c r="U681" s="374"/>
      <c r="V681" s="374"/>
      <c r="W681" s="96"/>
      <c r="X681" s="96"/>
      <c r="Y681" s="96"/>
    </row>
    <row r="682" spans="2:25">
      <c r="B682" s="374"/>
      <c r="C682" s="374"/>
      <c r="D682" s="374"/>
      <c r="E682" s="374"/>
      <c r="F682" s="374"/>
      <c r="G682" s="374"/>
      <c r="H682" s="374"/>
      <c r="I682" s="374"/>
      <c r="J682" s="374"/>
      <c r="K682" s="374"/>
      <c r="L682" s="374"/>
      <c r="M682" s="374"/>
      <c r="N682" s="374"/>
      <c r="O682" s="374"/>
      <c r="P682" s="374"/>
      <c r="Q682" s="374"/>
      <c r="R682" s="374"/>
      <c r="S682" s="374"/>
      <c r="T682" s="374"/>
      <c r="U682" s="374"/>
      <c r="V682" s="374"/>
      <c r="W682" s="96"/>
      <c r="X682" s="96"/>
      <c r="Y682" s="96"/>
    </row>
    <row r="683" spans="2:25">
      <c r="B683" s="374"/>
      <c r="C683" s="374"/>
      <c r="D683" s="374"/>
      <c r="E683" s="374"/>
      <c r="F683" s="374"/>
      <c r="G683" s="374"/>
      <c r="H683" s="374"/>
      <c r="I683" s="374"/>
      <c r="J683" s="374"/>
      <c r="K683" s="374"/>
      <c r="L683" s="374"/>
      <c r="M683" s="374"/>
      <c r="N683" s="374"/>
      <c r="O683" s="374"/>
      <c r="P683" s="374"/>
      <c r="Q683" s="374"/>
      <c r="R683" s="374"/>
      <c r="S683" s="374"/>
      <c r="T683" s="374"/>
      <c r="U683" s="374"/>
      <c r="V683" s="374"/>
      <c r="W683" s="96"/>
      <c r="X683" s="96"/>
      <c r="Y683" s="96"/>
    </row>
    <row r="684" spans="2:25">
      <c r="B684" s="374"/>
      <c r="C684" s="374"/>
      <c r="D684" s="374"/>
      <c r="E684" s="374"/>
      <c r="F684" s="374"/>
      <c r="G684" s="374"/>
      <c r="H684" s="374"/>
      <c r="I684" s="374"/>
      <c r="J684" s="374"/>
      <c r="K684" s="374"/>
      <c r="L684" s="374"/>
      <c r="M684" s="374"/>
      <c r="N684" s="374"/>
      <c r="O684" s="374"/>
      <c r="P684" s="374"/>
      <c r="Q684" s="374"/>
      <c r="R684" s="374"/>
      <c r="S684" s="374"/>
      <c r="T684" s="374"/>
      <c r="U684" s="374"/>
      <c r="V684" s="374"/>
      <c r="W684" s="96"/>
      <c r="X684" s="96"/>
      <c r="Y684" s="96"/>
    </row>
    <row r="685" spans="2:25">
      <c r="B685" s="374"/>
      <c r="C685" s="374"/>
      <c r="D685" s="374"/>
      <c r="E685" s="374"/>
      <c r="F685" s="374"/>
      <c r="G685" s="374"/>
      <c r="H685" s="374"/>
      <c r="I685" s="374"/>
      <c r="J685" s="374"/>
      <c r="K685" s="374"/>
      <c r="L685" s="374"/>
      <c r="M685" s="374"/>
      <c r="N685" s="374"/>
      <c r="O685" s="374"/>
      <c r="P685" s="374"/>
      <c r="Q685" s="374"/>
      <c r="R685" s="374"/>
      <c r="S685" s="374"/>
      <c r="T685" s="374"/>
      <c r="U685" s="374"/>
      <c r="V685" s="374"/>
      <c r="W685" s="96"/>
      <c r="X685" s="96"/>
      <c r="Y685" s="96"/>
    </row>
    <row r="686" spans="2:25">
      <c r="B686" s="374"/>
      <c r="C686" s="374"/>
      <c r="D686" s="374"/>
      <c r="E686" s="374"/>
      <c r="F686" s="374"/>
      <c r="G686" s="374"/>
      <c r="H686" s="374"/>
      <c r="I686" s="374"/>
      <c r="J686" s="374"/>
      <c r="K686" s="374"/>
      <c r="L686" s="374"/>
      <c r="M686" s="374"/>
      <c r="N686" s="374"/>
      <c r="O686" s="374"/>
      <c r="P686" s="374"/>
      <c r="Q686" s="374"/>
      <c r="R686" s="374"/>
      <c r="S686" s="374"/>
      <c r="T686" s="374"/>
      <c r="U686" s="374"/>
      <c r="V686" s="374"/>
      <c r="W686" s="96"/>
      <c r="X686" s="96"/>
      <c r="Y686" s="96"/>
    </row>
    <row r="687" spans="2:25">
      <c r="B687" s="374"/>
      <c r="C687" s="374"/>
      <c r="D687" s="374"/>
      <c r="E687" s="374"/>
      <c r="F687" s="374"/>
      <c r="G687" s="374"/>
      <c r="H687" s="374"/>
      <c r="I687" s="374"/>
      <c r="J687" s="374"/>
      <c r="K687" s="374"/>
      <c r="L687" s="374"/>
      <c r="M687" s="374"/>
      <c r="N687" s="374"/>
      <c r="O687" s="374"/>
      <c r="P687" s="374"/>
      <c r="Q687" s="374"/>
      <c r="R687" s="374"/>
      <c r="S687" s="374"/>
      <c r="T687" s="374"/>
      <c r="U687" s="374"/>
      <c r="V687" s="374"/>
      <c r="W687" s="96"/>
      <c r="X687" s="96"/>
      <c r="Y687" s="96"/>
    </row>
    <row r="688" spans="2:25">
      <c r="B688" s="374"/>
      <c r="C688" s="374"/>
      <c r="D688" s="374"/>
      <c r="E688" s="374"/>
      <c r="F688" s="374"/>
      <c r="G688" s="374"/>
      <c r="H688" s="374"/>
      <c r="I688" s="374"/>
      <c r="J688" s="374"/>
      <c r="K688" s="374"/>
      <c r="L688" s="374"/>
      <c r="M688" s="374"/>
      <c r="N688" s="374"/>
      <c r="O688" s="374"/>
      <c r="P688" s="374"/>
      <c r="Q688" s="374"/>
      <c r="R688" s="374"/>
      <c r="S688" s="374"/>
      <c r="T688" s="374"/>
      <c r="U688" s="374"/>
      <c r="V688" s="374"/>
      <c r="W688" s="96"/>
      <c r="X688" s="96"/>
      <c r="Y688" s="96"/>
    </row>
    <row r="689" spans="2:25">
      <c r="B689" s="374"/>
      <c r="C689" s="374"/>
      <c r="D689" s="374"/>
      <c r="E689" s="374"/>
      <c r="F689" s="374"/>
      <c r="G689" s="374"/>
      <c r="H689" s="374"/>
      <c r="I689" s="374"/>
      <c r="J689" s="374"/>
      <c r="K689" s="374"/>
      <c r="L689" s="374"/>
      <c r="M689" s="374"/>
      <c r="N689" s="374"/>
      <c r="O689" s="374"/>
      <c r="P689" s="374"/>
      <c r="Q689" s="374"/>
      <c r="R689" s="374"/>
      <c r="S689" s="374"/>
      <c r="T689" s="374"/>
      <c r="U689" s="374"/>
      <c r="V689" s="374"/>
      <c r="W689" s="96"/>
      <c r="X689" s="96"/>
      <c r="Y689" s="96"/>
    </row>
    <row r="690" spans="2:25">
      <c r="B690" s="374"/>
      <c r="C690" s="374"/>
      <c r="D690" s="374"/>
      <c r="E690" s="374"/>
      <c r="F690" s="374"/>
      <c r="G690" s="374"/>
      <c r="H690" s="374"/>
      <c r="I690" s="374"/>
      <c r="J690" s="374"/>
      <c r="K690" s="374"/>
      <c r="L690" s="374"/>
      <c r="M690" s="374"/>
      <c r="N690" s="374"/>
      <c r="O690" s="374"/>
      <c r="P690" s="374"/>
      <c r="Q690" s="374"/>
      <c r="R690" s="374"/>
      <c r="S690" s="374"/>
      <c r="T690" s="374"/>
      <c r="U690" s="374"/>
      <c r="V690" s="374"/>
      <c r="W690" s="96"/>
      <c r="X690" s="96"/>
      <c r="Y690" s="96"/>
    </row>
    <row r="691" spans="2:25">
      <c r="B691" s="374"/>
      <c r="C691" s="374"/>
      <c r="D691" s="374"/>
      <c r="E691" s="374"/>
      <c r="F691" s="374"/>
      <c r="G691" s="374"/>
      <c r="H691" s="374"/>
      <c r="I691" s="374"/>
      <c r="J691" s="374"/>
      <c r="K691" s="374"/>
      <c r="L691" s="374"/>
      <c r="M691" s="374"/>
      <c r="N691" s="374"/>
      <c r="O691" s="374"/>
      <c r="P691" s="374"/>
      <c r="Q691" s="374"/>
      <c r="R691" s="374"/>
      <c r="S691" s="374"/>
      <c r="T691" s="374"/>
      <c r="U691" s="374"/>
      <c r="V691" s="374"/>
      <c r="W691" s="96"/>
      <c r="X691" s="96"/>
      <c r="Y691" s="96"/>
    </row>
    <row r="692" spans="2:25">
      <c r="B692" s="374"/>
      <c r="C692" s="374"/>
      <c r="D692" s="374"/>
      <c r="E692" s="374"/>
      <c r="F692" s="374"/>
      <c r="G692" s="374"/>
      <c r="H692" s="374"/>
      <c r="I692" s="374"/>
      <c r="J692" s="374"/>
      <c r="K692" s="374"/>
      <c r="L692" s="374"/>
      <c r="M692" s="374"/>
      <c r="N692" s="374"/>
      <c r="O692" s="374"/>
      <c r="P692" s="374"/>
      <c r="Q692" s="374"/>
      <c r="R692" s="374"/>
      <c r="S692" s="374"/>
      <c r="T692" s="374"/>
      <c r="U692" s="374"/>
      <c r="V692" s="374"/>
      <c r="W692" s="96"/>
      <c r="X692" s="96"/>
      <c r="Y692" s="96"/>
    </row>
    <row r="693" spans="2:25">
      <c r="B693" s="374"/>
      <c r="C693" s="374"/>
      <c r="D693" s="374"/>
      <c r="E693" s="374"/>
      <c r="F693" s="374"/>
      <c r="G693" s="374"/>
      <c r="H693" s="374"/>
      <c r="I693" s="374"/>
      <c r="J693" s="374"/>
      <c r="K693" s="374"/>
      <c r="L693" s="374"/>
      <c r="M693" s="374"/>
      <c r="N693" s="374"/>
      <c r="O693" s="374"/>
      <c r="P693" s="374"/>
      <c r="Q693" s="374"/>
      <c r="R693" s="374"/>
      <c r="S693" s="374"/>
      <c r="T693" s="374"/>
      <c r="U693" s="374"/>
      <c r="V693" s="374"/>
      <c r="W693" s="96"/>
      <c r="X693" s="96"/>
      <c r="Y693" s="96"/>
    </row>
    <row r="694" spans="2:25">
      <c r="B694" s="374"/>
      <c r="C694" s="374"/>
      <c r="D694" s="374"/>
      <c r="E694" s="374"/>
      <c r="F694" s="374"/>
      <c r="G694" s="374"/>
      <c r="H694" s="374"/>
      <c r="I694" s="374"/>
      <c r="J694" s="374"/>
      <c r="K694" s="374"/>
      <c r="L694" s="374"/>
      <c r="M694" s="374"/>
      <c r="N694" s="374"/>
      <c r="O694" s="374"/>
      <c r="P694" s="374"/>
      <c r="Q694" s="374"/>
      <c r="R694" s="374"/>
      <c r="S694" s="374"/>
      <c r="T694" s="374"/>
      <c r="U694" s="374"/>
      <c r="V694" s="374"/>
      <c r="W694" s="96"/>
      <c r="X694" s="96"/>
      <c r="Y694" s="96"/>
    </row>
    <row r="695" spans="2:25">
      <c r="B695" s="374"/>
      <c r="C695" s="374"/>
      <c r="D695" s="374"/>
      <c r="E695" s="374"/>
      <c r="F695" s="374"/>
      <c r="G695" s="374"/>
      <c r="H695" s="374"/>
      <c r="I695" s="374"/>
      <c r="J695" s="374"/>
      <c r="K695" s="374"/>
      <c r="L695" s="374"/>
      <c r="M695" s="374"/>
      <c r="N695" s="374"/>
      <c r="O695" s="374"/>
      <c r="P695" s="374"/>
      <c r="Q695" s="374"/>
      <c r="R695" s="374"/>
      <c r="S695" s="374"/>
      <c r="T695" s="374"/>
      <c r="U695" s="374"/>
      <c r="V695" s="374"/>
      <c r="W695" s="96"/>
      <c r="X695" s="96"/>
      <c r="Y695" s="96"/>
    </row>
    <row r="696" spans="2:25">
      <c r="B696" s="374"/>
      <c r="C696" s="374"/>
      <c r="D696" s="374"/>
      <c r="E696" s="374"/>
      <c r="F696" s="374"/>
      <c r="G696" s="374"/>
      <c r="H696" s="374"/>
      <c r="I696" s="374"/>
      <c r="J696" s="374"/>
      <c r="K696" s="374"/>
      <c r="L696" s="374"/>
      <c r="M696" s="374"/>
      <c r="N696" s="374"/>
      <c r="O696" s="374"/>
      <c r="P696" s="374"/>
      <c r="Q696" s="374"/>
      <c r="R696" s="374"/>
      <c r="S696" s="374"/>
      <c r="T696" s="374"/>
      <c r="U696" s="374"/>
      <c r="V696" s="374"/>
      <c r="W696" s="96"/>
      <c r="X696" s="96"/>
      <c r="Y696" s="96"/>
    </row>
    <row r="697" spans="2:25">
      <c r="B697" s="374"/>
      <c r="C697" s="374"/>
      <c r="D697" s="374"/>
      <c r="E697" s="374"/>
      <c r="F697" s="374"/>
      <c r="G697" s="374"/>
      <c r="H697" s="374"/>
      <c r="I697" s="374"/>
      <c r="J697" s="374"/>
      <c r="K697" s="374"/>
      <c r="L697" s="374"/>
      <c r="M697" s="374"/>
      <c r="N697" s="374"/>
      <c r="O697" s="374"/>
      <c r="P697" s="374"/>
      <c r="Q697" s="374"/>
      <c r="R697" s="374"/>
      <c r="S697" s="374"/>
      <c r="T697" s="374"/>
      <c r="U697" s="374"/>
      <c r="V697" s="374"/>
      <c r="W697" s="96"/>
      <c r="X697" s="96"/>
      <c r="Y697" s="96"/>
    </row>
    <row r="698" spans="2:25">
      <c r="B698" s="374"/>
      <c r="C698" s="374"/>
      <c r="D698" s="374"/>
      <c r="E698" s="374"/>
      <c r="F698" s="374"/>
      <c r="G698" s="374"/>
      <c r="H698" s="374"/>
      <c r="I698" s="374"/>
      <c r="J698" s="374"/>
      <c r="K698" s="374"/>
      <c r="L698" s="374"/>
      <c r="M698" s="374"/>
      <c r="N698" s="374"/>
      <c r="O698" s="374"/>
      <c r="P698" s="374"/>
      <c r="Q698" s="374"/>
      <c r="R698" s="374"/>
      <c r="S698" s="374"/>
      <c r="T698" s="374"/>
      <c r="U698" s="374"/>
      <c r="V698" s="374"/>
      <c r="W698" s="96"/>
      <c r="X698" s="96"/>
      <c r="Y698" s="96"/>
    </row>
    <row r="699" spans="2:25">
      <c r="B699" s="374"/>
      <c r="C699" s="374"/>
      <c r="D699" s="374"/>
      <c r="E699" s="374"/>
      <c r="F699" s="374"/>
      <c r="G699" s="374"/>
      <c r="H699" s="374"/>
      <c r="I699" s="374"/>
      <c r="J699" s="374"/>
      <c r="K699" s="374"/>
      <c r="L699" s="374"/>
      <c r="M699" s="374"/>
      <c r="N699" s="374"/>
      <c r="O699" s="374"/>
      <c r="P699" s="374"/>
      <c r="Q699" s="374"/>
      <c r="R699" s="374"/>
      <c r="S699" s="374"/>
      <c r="T699" s="374"/>
      <c r="U699" s="374"/>
      <c r="V699" s="374"/>
      <c r="W699" s="96"/>
      <c r="X699" s="96"/>
      <c r="Y699" s="96"/>
    </row>
    <row r="700" spans="2:25">
      <c r="B700" s="374"/>
      <c r="C700" s="374"/>
      <c r="D700" s="374"/>
      <c r="E700" s="374"/>
      <c r="F700" s="374"/>
      <c r="G700" s="374"/>
      <c r="H700" s="374"/>
      <c r="I700" s="374"/>
      <c r="J700" s="374"/>
      <c r="K700" s="374"/>
      <c r="L700" s="374"/>
      <c r="M700" s="374"/>
      <c r="N700" s="374"/>
      <c r="O700" s="374"/>
      <c r="P700" s="374"/>
      <c r="Q700" s="374"/>
      <c r="R700" s="374"/>
      <c r="S700" s="374"/>
      <c r="T700" s="374"/>
      <c r="U700" s="374"/>
      <c r="V700" s="374"/>
      <c r="W700" s="96"/>
      <c r="X700" s="96"/>
      <c r="Y700" s="96"/>
    </row>
    <row r="701" spans="2:25">
      <c r="B701" s="374"/>
      <c r="C701" s="374"/>
      <c r="D701" s="374"/>
      <c r="E701" s="374"/>
      <c r="F701" s="374"/>
      <c r="G701" s="374"/>
      <c r="H701" s="374"/>
      <c r="I701" s="374"/>
      <c r="J701" s="374"/>
      <c r="K701" s="374"/>
      <c r="L701" s="374"/>
      <c r="M701" s="374"/>
      <c r="N701" s="374"/>
      <c r="O701" s="374"/>
      <c r="P701" s="374"/>
      <c r="Q701" s="374"/>
      <c r="R701" s="374"/>
      <c r="S701" s="374"/>
      <c r="T701" s="374"/>
      <c r="U701" s="374"/>
      <c r="V701" s="374"/>
      <c r="W701" s="96"/>
      <c r="X701" s="96"/>
      <c r="Y701" s="96"/>
    </row>
    <row r="702" spans="2:25">
      <c r="B702" s="374"/>
      <c r="C702" s="374"/>
      <c r="D702" s="374"/>
      <c r="E702" s="374"/>
      <c r="F702" s="374"/>
      <c r="G702" s="374"/>
      <c r="H702" s="374"/>
      <c r="I702" s="374"/>
      <c r="J702" s="374"/>
      <c r="K702" s="374"/>
      <c r="L702" s="374"/>
      <c r="M702" s="374"/>
      <c r="N702" s="374"/>
      <c r="O702" s="374"/>
      <c r="P702" s="374"/>
      <c r="Q702" s="374"/>
      <c r="R702" s="374"/>
      <c r="S702" s="374"/>
      <c r="T702" s="374"/>
      <c r="U702" s="374"/>
      <c r="V702" s="374"/>
      <c r="W702" s="96"/>
      <c r="X702" s="96"/>
      <c r="Y702" s="96"/>
    </row>
    <row r="703" spans="2:25">
      <c r="B703" s="374"/>
      <c r="C703" s="374"/>
      <c r="D703" s="374"/>
      <c r="E703" s="374"/>
      <c r="F703" s="374"/>
      <c r="G703" s="374"/>
      <c r="H703" s="374"/>
      <c r="I703" s="374"/>
      <c r="J703" s="374"/>
      <c r="K703" s="374"/>
      <c r="L703" s="374"/>
      <c r="M703" s="374"/>
      <c r="N703" s="374"/>
      <c r="O703" s="374"/>
      <c r="P703" s="374"/>
      <c r="Q703" s="374"/>
      <c r="R703" s="374"/>
      <c r="S703" s="374"/>
      <c r="T703" s="374"/>
      <c r="U703" s="374"/>
      <c r="V703" s="374"/>
      <c r="W703" s="96"/>
      <c r="X703" s="96"/>
      <c r="Y703" s="96"/>
    </row>
    <row r="704" spans="2:25">
      <c r="B704" s="374"/>
      <c r="C704" s="374"/>
      <c r="D704" s="374"/>
      <c r="E704" s="374"/>
      <c r="F704" s="374"/>
      <c r="G704" s="374"/>
      <c r="H704" s="374"/>
      <c r="I704" s="374"/>
      <c r="J704" s="374"/>
      <c r="K704" s="374"/>
      <c r="L704" s="374"/>
      <c r="M704" s="374"/>
      <c r="N704" s="374"/>
      <c r="O704" s="374"/>
      <c r="P704" s="374"/>
      <c r="Q704" s="374"/>
      <c r="R704" s="374"/>
      <c r="S704" s="374"/>
      <c r="T704" s="374"/>
      <c r="U704" s="374"/>
      <c r="V704" s="374"/>
      <c r="W704" s="96"/>
      <c r="X704" s="96"/>
      <c r="Y704" s="96"/>
    </row>
    <row r="705" spans="2:25">
      <c r="B705" s="374"/>
      <c r="C705" s="374"/>
      <c r="D705" s="374"/>
      <c r="E705" s="374"/>
      <c r="F705" s="374"/>
      <c r="G705" s="374"/>
      <c r="H705" s="374"/>
      <c r="I705" s="374"/>
      <c r="J705" s="374"/>
      <c r="K705" s="374"/>
      <c r="L705" s="374"/>
      <c r="M705" s="374"/>
      <c r="N705" s="374"/>
      <c r="O705" s="374"/>
      <c r="P705" s="374"/>
      <c r="Q705" s="374"/>
      <c r="R705" s="374"/>
      <c r="S705" s="374"/>
      <c r="T705" s="374"/>
      <c r="U705" s="374"/>
      <c r="V705" s="374"/>
      <c r="W705" s="96"/>
      <c r="X705" s="96"/>
      <c r="Y705" s="96"/>
    </row>
    <row r="706" spans="2:25">
      <c r="B706" s="374"/>
      <c r="C706" s="374"/>
      <c r="D706" s="374"/>
      <c r="E706" s="374"/>
      <c r="F706" s="374"/>
      <c r="G706" s="374"/>
      <c r="H706" s="374"/>
      <c r="I706" s="374"/>
      <c r="J706" s="374"/>
      <c r="K706" s="374"/>
      <c r="L706" s="374"/>
      <c r="M706" s="374"/>
      <c r="N706" s="374"/>
      <c r="O706" s="374"/>
      <c r="P706" s="374"/>
      <c r="Q706" s="374"/>
      <c r="R706" s="374"/>
      <c r="S706" s="374"/>
      <c r="T706" s="374"/>
      <c r="U706" s="374"/>
      <c r="V706" s="374"/>
      <c r="W706" s="96"/>
      <c r="X706" s="96"/>
      <c r="Y706" s="96"/>
    </row>
    <row r="707" spans="2:25">
      <c r="B707" s="374"/>
      <c r="C707" s="374"/>
      <c r="D707" s="374"/>
      <c r="E707" s="374"/>
      <c r="F707" s="374"/>
      <c r="G707" s="374"/>
      <c r="H707" s="374"/>
      <c r="I707" s="374"/>
      <c r="J707" s="374"/>
      <c r="K707" s="374"/>
      <c r="L707" s="374"/>
      <c r="M707" s="374"/>
      <c r="N707" s="374"/>
      <c r="O707" s="374"/>
      <c r="P707" s="374"/>
      <c r="Q707" s="374"/>
      <c r="R707" s="374"/>
      <c r="S707" s="374"/>
      <c r="T707" s="374"/>
      <c r="U707" s="374"/>
      <c r="V707" s="374"/>
      <c r="W707" s="96"/>
      <c r="X707" s="96"/>
      <c r="Y707" s="96"/>
    </row>
    <row r="708" spans="2:25">
      <c r="B708" s="374"/>
      <c r="C708" s="374"/>
      <c r="D708" s="374"/>
      <c r="E708" s="374"/>
      <c r="F708" s="374"/>
      <c r="G708" s="374"/>
      <c r="H708" s="374"/>
      <c r="I708" s="374"/>
      <c r="J708" s="374"/>
      <c r="K708" s="374"/>
      <c r="L708" s="374"/>
      <c r="M708" s="374"/>
      <c r="N708" s="374"/>
      <c r="O708" s="374"/>
      <c r="P708" s="374"/>
      <c r="Q708" s="374"/>
      <c r="R708" s="374"/>
      <c r="S708" s="374"/>
      <c r="T708" s="374"/>
      <c r="U708" s="374"/>
      <c r="V708" s="374"/>
      <c r="W708" s="96"/>
      <c r="X708" s="96"/>
      <c r="Y708" s="96"/>
    </row>
    <row r="709" spans="2:25">
      <c r="B709" s="374"/>
      <c r="C709" s="374"/>
      <c r="D709" s="374"/>
      <c r="E709" s="374"/>
      <c r="F709" s="374"/>
      <c r="G709" s="374"/>
      <c r="H709" s="374"/>
      <c r="I709" s="374"/>
      <c r="J709" s="374"/>
      <c r="K709" s="374"/>
      <c r="L709" s="374"/>
      <c r="M709" s="374"/>
      <c r="N709" s="374"/>
      <c r="O709" s="374"/>
      <c r="P709" s="374"/>
      <c r="Q709" s="374"/>
      <c r="R709" s="374"/>
      <c r="S709" s="374"/>
      <c r="T709" s="374"/>
      <c r="U709" s="374"/>
      <c r="V709" s="374"/>
      <c r="W709" s="96"/>
      <c r="X709" s="96"/>
      <c r="Y709" s="96"/>
    </row>
    <row r="710" spans="2:25">
      <c r="B710" s="374"/>
      <c r="C710" s="374"/>
      <c r="D710" s="374"/>
      <c r="E710" s="374"/>
      <c r="F710" s="374"/>
      <c r="G710" s="374"/>
      <c r="H710" s="374"/>
      <c r="I710" s="374"/>
      <c r="J710" s="374"/>
      <c r="K710" s="374"/>
      <c r="L710" s="374"/>
      <c r="M710" s="374"/>
      <c r="N710" s="374"/>
      <c r="O710" s="374"/>
      <c r="P710" s="374"/>
      <c r="Q710" s="374"/>
      <c r="R710" s="374"/>
      <c r="S710" s="374"/>
      <c r="T710" s="374"/>
      <c r="U710" s="374"/>
      <c r="V710" s="374"/>
      <c r="W710" s="96"/>
      <c r="X710" s="96"/>
      <c r="Y710" s="96"/>
    </row>
    <row r="711" spans="2:25">
      <c r="B711" s="374"/>
      <c r="C711" s="374"/>
      <c r="D711" s="374"/>
      <c r="E711" s="374"/>
      <c r="F711" s="374"/>
      <c r="G711" s="374"/>
      <c r="H711" s="374"/>
      <c r="I711" s="374"/>
      <c r="J711" s="374"/>
      <c r="K711" s="374"/>
      <c r="L711" s="374"/>
      <c r="M711" s="374"/>
      <c r="N711" s="374"/>
      <c r="O711" s="374"/>
      <c r="P711" s="374"/>
      <c r="Q711" s="374"/>
      <c r="R711" s="374"/>
      <c r="S711" s="374"/>
      <c r="T711" s="374"/>
      <c r="U711" s="374"/>
      <c r="V711" s="374"/>
      <c r="W711" s="96"/>
      <c r="X711" s="96"/>
      <c r="Y711" s="96"/>
    </row>
    <row r="712" spans="2:25">
      <c r="B712" s="374"/>
      <c r="C712" s="374"/>
      <c r="D712" s="374"/>
      <c r="E712" s="374"/>
      <c r="F712" s="374"/>
      <c r="G712" s="374"/>
      <c r="H712" s="374"/>
      <c r="I712" s="374"/>
      <c r="J712" s="374"/>
      <c r="K712" s="374"/>
      <c r="L712" s="374"/>
      <c r="M712" s="374"/>
      <c r="N712" s="374"/>
      <c r="O712" s="374"/>
      <c r="P712" s="374"/>
      <c r="Q712" s="374"/>
      <c r="R712" s="374"/>
      <c r="S712" s="374"/>
      <c r="T712" s="374"/>
      <c r="U712" s="374"/>
      <c r="V712" s="374"/>
      <c r="W712" s="96"/>
      <c r="X712" s="96"/>
      <c r="Y712" s="96"/>
    </row>
    <row r="713" spans="2:25">
      <c r="B713" s="374"/>
      <c r="C713" s="374"/>
      <c r="D713" s="374"/>
      <c r="E713" s="374"/>
      <c r="F713" s="374"/>
      <c r="G713" s="374"/>
      <c r="H713" s="374"/>
      <c r="I713" s="374"/>
      <c r="J713" s="374"/>
      <c r="K713" s="374"/>
      <c r="L713" s="374"/>
      <c r="M713" s="374"/>
      <c r="N713" s="374"/>
      <c r="O713" s="374"/>
      <c r="P713" s="374"/>
      <c r="Q713" s="374"/>
      <c r="R713" s="374"/>
      <c r="S713" s="374"/>
      <c r="T713" s="374"/>
      <c r="U713" s="374"/>
      <c r="V713" s="374"/>
      <c r="W713" s="96"/>
      <c r="X713" s="96"/>
      <c r="Y713" s="96"/>
    </row>
    <row r="714" spans="2:25">
      <c r="B714" s="374"/>
      <c r="C714" s="374"/>
      <c r="D714" s="374"/>
      <c r="E714" s="374"/>
      <c r="F714" s="374"/>
      <c r="G714" s="374"/>
      <c r="H714" s="374"/>
      <c r="I714" s="374"/>
      <c r="J714" s="374"/>
      <c r="K714" s="374"/>
      <c r="L714" s="374"/>
      <c r="M714" s="374"/>
      <c r="N714" s="374"/>
      <c r="O714" s="374"/>
      <c r="P714" s="374"/>
      <c r="Q714" s="374"/>
      <c r="R714" s="374"/>
      <c r="S714" s="374"/>
      <c r="T714" s="374"/>
      <c r="U714" s="374"/>
      <c r="V714" s="374"/>
      <c r="W714" s="96"/>
      <c r="X714" s="96"/>
      <c r="Y714" s="96"/>
    </row>
    <row r="715" spans="2:25">
      <c r="B715" s="374"/>
      <c r="C715" s="374"/>
      <c r="D715" s="374"/>
      <c r="E715" s="374"/>
      <c r="F715" s="374"/>
      <c r="G715" s="374"/>
      <c r="H715" s="374"/>
      <c r="I715" s="374"/>
      <c r="J715" s="374"/>
      <c r="K715" s="374"/>
      <c r="L715" s="374"/>
      <c r="M715" s="374"/>
      <c r="N715" s="374"/>
      <c r="O715" s="374"/>
      <c r="P715" s="374"/>
      <c r="Q715" s="374"/>
      <c r="R715" s="374"/>
      <c r="S715" s="374"/>
      <c r="T715" s="374"/>
      <c r="U715" s="374"/>
      <c r="V715" s="374"/>
      <c r="W715" s="96"/>
      <c r="X715" s="96"/>
      <c r="Y715" s="96"/>
    </row>
    <row r="716" spans="2:25">
      <c r="B716" s="374"/>
      <c r="C716" s="374"/>
      <c r="D716" s="374"/>
      <c r="E716" s="374"/>
      <c r="F716" s="374"/>
      <c r="G716" s="374"/>
      <c r="H716" s="374"/>
      <c r="I716" s="374"/>
      <c r="J716" s="374"/>
      <c r="K716" s="374"/>
      <c r="L716" s="374"/>
      <c r="M716" s="374"/>
      <c r="N716" s="374"/>
      <c r="O716" s="374"/>
      <c r="P716" s="374"/>
      <c r="Q716" s="374"/>
      <c r="R716" s="374"/>
      <c r="S716" s="374"/>
      <c r="T716" s="374"/>
      <c r="U716" s="374"/>
      <c r="V716" s="374"/>
      <c r="W716" s="96"/>
      <c r="X716" s="96"/>
      <c r="Y716" s="96"/>
    </row>
    <row r="717" spans="2:25">
      <c r="B717" s="374"/>
      <c r="C717" s="374"/>
      <c r="D717" s="374"/>
      <c r="E717" s="374"/>
      <c r="F717" s="374"/>
      <c r="G717" s="374"/>
      <c r="H717" s="374"/>
      <c r="I717" s="374"/>
      <c r="J717" s="374"/>
      <c r="K717" s="374"/>
      <c r="L717" s="374"/>
      <c r="M717" s="374"/>
      <c r="N717" s="374"/>
      <c r="O717" s="374"/>
      <c r="P717" s="374"/>
      <c r="Q717" s="374"/>
      <c r="R717" s="374"/>
      <c r="S717" s="374"/>
      <c r="T717" s="374"/>
      <c r="U717" s="374"/>
      <c r="V717" s="374"/>
      <c r="W717" s="96"/>
      <c r="X717" s="96"/>
      <c r="Y717" s="96"/>
    </row>
    <row r="718" spans="2:25">
      <c r="B718" s="374"/>
      <c r="C718" s="374"/>
      <c r="D718" s="374"/>
      <c r="E718" s="374"/>
      <c r="F718" s="374"/>
      <c r="G718" s="374"/>
      <c r="H718" s="374"/>
      <c r="I718" s="374"/>
      <c r="J718" s="374"/>
      <c r="K718" s="374"/>
      <c r="L718" s="374"/>
      <c r="M718" s="374"/>
      <c r="N718" s="374"/>
      <c r="O718" s="374"/>
      <c r="P718" s="374"/>
      <c r="Q718" s="374"/>
      <c r="R718" s="374"/>
      <c r="S718" s="374"/>
      <c r="T718" s="374"/>
      <c r="U718" s="374"/>
      <c r="V718" s="374"/>
      <c r="W718" s="96"/>
      <c r="X718" s="96"/>
      <c r="Y718" s="96"/>
    </row>
    <row r="719" spans="2:25">
      <c r="B719" s="374"/>
      <c r="C719" s="374"/>
      <c r="D719" s="374"/>
      <c r="E719" s="374"/>
      <c r="F719" s="374"/>
      <c r="G719" s="374"/>
      <c r="H719" s="374"/>
      <c r="I719" s="374"/>
      <c r="J719" s="374"/>
      <c r="K719" s="374"/>
      <c r="L719" s="374"/>
      <c r="M719" s="374"/>
      <c r="N719" s="374"/>
      <c r="O719" s="374"/>
      <c r="P719" s="374"/>
      <c r="Q719" s="374"/>
      <c r="R719" s="374"/>
      <c r="S719" s="374"/>
      <c r="T719" s="374"/>
      <c r="U719" s="374"/>
      <c r="V719" s="374"/>
      <c r="W719" s="96"/>
      <c r="X719" s="96"/>
      <c r="Y719" s="96"/>
    </row>
    <row r="720" spans="2:25">
      <c r="B720" s="374"/>
      <c r="C720" s="374"/>
      <c r="D720" s="374"/>
      <c r="E720" s="374"/>
      <c r="F720" s="374"/>
      <c r="G720" s="374"/>
      <c r="H720" s="374"/>
      <c r="I720" s="374"/>
      <c r="J720" s="374"/>
      <c r="K720" s="374"/>
      <c r="L720" s="374"/>
      <c r="M720" s="374"/>
      <c r="N720" s="374"/>
      <c r="O720" s="374"/>
      <c r="P720" s="374"/>
      <c r="Q720" s="374"/>
      <c r="R720" s="374"/>
      <c r="S720" s="374"/>
      <c r="T720" s="374"/>
      <c r="U720" s="374"/>
      <c r="V720" s="374"/>
      <c r="W720" s="96"/>
      <c r="X720" s="96"/>
      <c r="Y720" s="96"/>
    </row>
    <row r="721" spans="2:25">
      <c r="B721" s="374"/>
      <c r="C721" s="374"/>
      <c r="D721" s="374"/>
      <c r="E721" s="374"/>
      <c r="F721" s="374"/>
      <c r="G721" s="374"/>
      <c r="H721" s="374"/>
      <c r="I721" s="374"/>
      <c r="J721" s="374"/>
      <c r="K721" s="374"/>
      <c r="L721" s="374"/>
      <c r="M721" s="374"/>
      <c r="N721" s="374"/>
      <c r="O721" s="374"/>
      <c r="P721" s="374"/>
      <c r="Q721" s="374"/>
      <c r="R721" s="374"/>
      <c r="S721" s="374"/>
      <c r="T721" s="374"/>
      <c r="U721" s="374"/>
      <c r="V721" s="374"/>
      <c r="W721" s="96"/>
      <c r="X721" s="96"/>
      <c r="Y721" s="96"/>
    </row>
    <row r="722" spans="2:25">
      <c r="B722" s="374"/>
      <c r="C722" s="374"/>
      <c r="D722" s="374"/>
      <c r="E722" s="374"/>
      <c r="F722" s="374"/>
      <c r="G722" s="374"/>
      <c r="H722" s="374"/>
      <c r="I722" s="374"/>
      <c r="J722" s="374"/>
      <c r="K722" s="374"/>
      <c r="L722" s="374"/>
      <c r="M722" s="374"/>
      <c r="N722" s="374"/>
      <c r="O722" s="374"/>
      <c r="P722" s="374"/>
      <c r="Q722" s="374"/>
      <c r="R722" s="374"/>
      <c r="S722" s="374"/>
      <c r="T722" s="374"/>
      <c r="U722" s="374"/>
      <c r="V722" s="374"/>
      <c r="W722" s="96"/>
      <c r="X722" s="96"/>
      <c r="Y722" s="96"/>
    </row>
    <row r="723" spans="2:25">
      <c r="B723" s="374"/>
      <c r="C723" s="374"/>
      <c r="D723" s="374"/>
      <c r="E723" s="374"/>
      <c r="F723" s="374"/>
      <c r="G723" s="374"/>
      <c r="H723" s="374"/>
      <c r="I723" s="374"/>
      <c r="J723" s="374"/>
      <c r="K723" s="374"/>
      <c r="L723" s="374"/>
      <c r="M723" s="374"/>
      <c r="N723" s="374"/>
      <c r="O723" s="374"/>
      <c r="P723" s="374"/>
      <c r="Q723" s="374"/>
      <c r="R723" s="374"/>
      <c r="S723" s="374"/>
      <c r="T723" s="374"/>
      <c r="U723" s="374"/>
      <c r="V723" s="374"/>
      <c r="W723" s="96"/>
      <c r="X723" s="96"/>
      <c r="Y723" s="96"/>
    </row>
    <row r="724" spans="2:25">
      <c r="B724" s="374"/>
      <c r="C724" s="374"/>
      <c r="D724" s="374"/>
      <c r="E724" s="374"/>
      <c r="F724" s="374"/>
      <c r="G724" s="374"/>
      <c r="H724" s="374"/>
      <c r="I724" s="374"/>
      <c r="J724" s="374"/>
      <c r="K724" s="374"/>
      <c r="L724" s="374"/>
      <c r="M724" s="374"/>
      <c r="N724" s="374"/>
      <c r="O724" s="374"/>
      <c r="P724" s="374"/>
      <c r="Q724" s="374"/>
      <c r="R724" s="374"/>
      <c r="S724" s="374"/>
      <c r="T724" s="374"/>
      <c r="U724" s="374"/>
      <c r="V724" s="374"/>
      <c r="W724" s="96"/>
      <c r="X724" s="96"/>
      <c r="Y724" s="96"/>
    </row>
    <row r="725" spans="2:25">
      <c r="B725" s="374"/>
      <c r="C725" s="374"/>
      <c r="D725" s="374"/>
      <c r="E725" s="374"/>
      <c r="F725" s="374"/>
      <c r="G725" s="374"/>
      <c r="H725" s="374"/>
      <c r="I725" s="374"/>
      <c r="J725" s="374"/>
      <c r="K725" s="374"/>
      <c r="L725" s="374"/>
      <c r="M725" s="374"/>
      <c r="N725" s="374"/>
      <c r="O725" s="374"/>
      <c r="P725" s="374"/>
      <c r="Q725" s="374"/>
      <c r="R725" s="374"/>
      <c r="S725" s="374"/>
      <c r="T725" s="374"/>
      <c r="U725" s="374"/>
      <c r="V725" s="374"/>
      <c r="W725" s="96"/>
      <c r="X725" s="96"/>
      <c r="Y725" s="96"/>
    </row>
    <row r="726" spans="2:25">
      <c r="B726" s="374"/>
      <c r="C726" s="374"/>
      <c r="D726" s="374"/>
      <c r="E726" s="374"/>
      <c r="F726" s="374"/>
      <c r="G726" s="374"/>
      <c r="H726" s="374"/>
      <c r="I726" s="374"/>
      <c r="J726" s="374"/>
      <c r="K726" s="374"/>
      <c r="L726" s="374"/>
      <c r="M726" s="374"/>
      <c r="N726" s="374"/>
      <c r="O726" s="374"/>
      <c r="P726" s="374"/>
      <c r="Q726" s="374"/>
      <c r="R726" s="374"/>
      <c r="S726" s="374"/>
      <c r="T726" s="374"/>
      <c r="U726" s="374"/>
      <c r="V726" s="374"/>
      <c r="W726" s="96"/>
      <c r="X726" s="96"/>
      <c r="Y726" s="96"/>
    </row>
    <row r="727" spans="2:25">
      <c r="B727" s="374"/>
      <c r="C727" s="374"/>
      <c r="D727" s="374"/>
      <c r="E727" s="374"/>
      <c r="F727" s="374"/>
      <c r="G727" s="374"/>
      <c r="H727" s="374"/>
      <c r="I727" s="374"/>
      <c r="J727" s="374"/>
      <c r="K727" s="374"/>
      <c r="L727" s="374"/>
      <c r="M727" s="374"/>
      <c r="N727" s="374"/>
      <c r="O727" s="374"/>
      <c r="P727" s="374"/>
      <c r="Q727" s="374"/>
      <c r="R727" s="374"/>
      <c r="S727" s="374"/>
      <c r="T727" s="374"/>
      <c r="U727" s="374"/>
      <c r="V727" s="374"/>
      <c r="W727" s="96"/>
      <c r="X727" s="96"/>
      <c r="Y727" s="96"/>
    </row>
    <row r="728" spans="2:25">
      <c r="B728" s="374"/>
      <c r="C728" s="374"/>
      <c r="D728" s="374"/>
      <c r="E728" s="374"/>
      <c r="F728" s="374"/>
      <c r="G728" s="374"/>
      <c r="H728" s="374"/>
      <c r="I728" s="374"/>
      <c r="J728" s="374"/>
      <c r="K728" s="374"/>
      <c r="L728" s="374"/>
      <c r="M728" s="374"/>
      <c r="N728" s="374"/>
      <c r="O728" s="374"/>
      <c r="P728" s="374"/>
      <c r="Q728" s="374"/>
      <c r="R728" s="374"/>
      <c r="S728" s="374"/>
      <c r="T728" s="374"/>
      <c r="U728" s="374"/>
      <c r="V728" s="374"/>
      <c r="W728" s="96"/>
      <c r="X728" s="96"/>
      <c r="Y728" s="96"/>
    </row>
    <row r="729" spans="2:25">
      <c r="B729" s="374"/>
      <c r="C729" s="374"/>
      <c r="D729" s="374"/>
      <c r="E729" s="374"/>
      <c r="F729" s="374"/>
      <c r="G729" s="374"/>
      <c r="H729" s="374"/>
      <c r="I729" s="374"/>
      <c r="J729" s="374"/>
      <c r="K729" s="374"/>
      <c r="L729" s="374"/>
      <c r="M729" s="374"/>
      <c r="N729" s="374"/>
      <c r="O729" s="374"/>
      <c r="P729" s="374"/>
      <c r="Q729" s="374"/>
      <c r="R729" s="374"/>
      <c r="S729" s="374"/>
      <c r="T729" s="374"/>
      <c r="U729" s="374"/>
      <c r="V729" s="374"/>
      <c r="W729" s="96"/>
      <c r="X729" s="96"/>
      <c r="Y729" s="96"/>
    </row>
    <row r="730" spans="2:25">
      <c r="B730" s="374"/>
      <c r="C730" s="374"/>
      <c r="D730" s="374"/>
      <c r="E730" s="374"/>
      <c r="F730" s="374"/>
      <c r="G730" s="374"/>
      <c r="H730" s="374"/>
      <c r="I730" s="374"/>
      <c r="J730" s="374"/>
      <c r="K730" s="374"/>
      <c r="L730" s="374"/>
      <c r="M730" s="374"/>
      <c r="N730" s="374"/>
      <c r="O730" s="374"/>
      <c r="P730" s="374"/>
      <c r="Q730" s="374"/>
      <c r="R730" s="374"/>
      <c r="S730" s="374"/>
      <c r="T730" s="374"/>
      <c r="U730" s="374"/>
      <c r="V730" s="374"/>
      <c r="W730" s="96"/>
      <c r="X730" s="96"/>
      <c r="Y730" s="96"/>
    </row>
    <row r="731" spans="2:25">
      <c r="B731" s="374"/>
      <c r="C731" s="374"/>
      <c r="D731" s="374"/>
      <c r="E731" s="374"/>
      <c r="F731" s="374"/>
      <c r="G731" s="374"/>
      <c r="H731" s="374"/>
      <c r="I731" s="374"/>
      <c r="J731" s="374"/>
      <c r="K731" s="374"/>
      <c r="L731" s="374"/>
      <c r="M731" s="374"/>
      <c r="N731" s="374"/>
      <c r="O731" s="374"/>
      <c r="P731" s="374"/>
      <c r="Q731" s="374"/>
      <c r="R731" s="374"/>
      <c r="S731" s="374"/>
      <c r="T731" s="374"/>
      <c r="U731" s="374"/>
      <c r="V731" s="374"/>
      <c r="W731" s="96"/>
      <c r="X731" s="96"/>
      <c r="Y731" s="96"/>
    </row>
    <row r="732" spans="2:25">
      <c r="B732" s="374"/>
      <c r="C732" s="374"/>
      <c r="D732" s="374"/>
      <c r="E732" s="374"/>
      <c r="F732" s="374"/>
      <c r="G732" s="374"/>
      <c r="H732" s="374"/>
      <c r="I732" s="374"/>
      <c r="J732" s="374"/>
      <c r="K732" s="374"/>
      <c r="L732" s="374"/>
      <c r="M732" s="374"/>
      <c r="N732" s="374"/>
      <c r="O732" s="374"/>
      <c r="P732" s="374"/>
      <c r="Q732" s="374"/>
      <c r="R732" s="374"/>
      <c r="S732" s="374"/>
      <c r="T732" s="374"/>
      <c r="U732" s="374"/>
      <c r="V732" s="374"/>
      <c r="W732" s="96"/>
      <c r="X732" s="96"/>
      <c r="Y732" s="96"/>
    </row>
    <row r="733" spans="2:25">
      <c r="B733" s="374"/>
      <c r="C733" s="374"/>
      <c r="D733" s="374"/>
      <c r="E733" s="374"/>
      <c r="F733" s="374"/>
      <c r="G733" s="374"/>
      <c r="H733" s="374"/>
      <c r="I733" s="374"/>
      <c r="J733" s="374"/>
      <c r="K733" s="374"/>
      <c r="L733" s="374"/>
      <c r="M733" s="374"/>
      <c r="N733" s="374"/>
      <c r="O733" s="374"/>
      <c r="P733" s="374"/>
      <c r="Q733" s="374"/>
      <c r="R733" s="374"/>
      <c r="S733" s="374"/>
      <c r="T733" s="374"/>
      <c r="U733" s="374"/>
      <c r="V733" s="374"/>
      <c r="W733" s="96"/>
      <c r="X733" s="96"/>
      <c r="Y733" s="96"/>
    </row>
    <row r="734" spans="2:25">
      <c r="B734" s="374"/>
      <c r="C734" s="374"/>
      <c r="D734" s="374"/>
      <c r="E734" s="374"/>
      <c r="F734" s="374"/>
      <c r="G734" s="374"/>
      <c r="H734" s="374"/>
      <c r="I734" s="374"/>
      <c r="J734" s="374"/>
      <c r="K734" s="374"/>
      <c r="L734" s="374"/>
      <c r="M734" s="374"/>
      <c r="N734" s="374"/>
      <c r="O734" s="374"/>
      <c r="P734" s="374"/>
      <c r="Q734" s="374"/>
      <c r="R734" s="374"/>
      <c r="S734" s="374"/>
      <c r="T734" s="374"/>
      <c r="U734" s="374"/>
      <c r="V734" s="374"/>
      <c r="W734" s="96"/>
      <c r="X734" s="96"/>
      <c r="Y734" s="96"/>
    </row>
    <row r="735" spans="2:25">
      <c r="B735" s="374"/>
      <c r="C735" s="374"/>
      <c r="D735" s="374"/>
      <c r="E735" s="374"/>
      <c r="F735" s="374"/>
      <c r="G735" s="374"/>
      <c r="H735" s="374"/>
      <c r="I735" s="374"/>
      <c r="J735" s="374"/>
      <c r="K735" s="374"/>
      <c r="L735" s="374"/>
      <c r="M735" s="374"/>
      <c r="N735" s="374"/>
      <c r="O735" s="374"/>
      <c r="P735" s="374"/>
      <c r="Q735" s="374"/>
      <c r="R735" s="374"/>
      <c r="S735" s="374"/>
      <c r="T735" s="374"/>
      <c r="U735" s="374"/>
      <c r="V735" s="374"/>
      <c r="W735" s="96"/>
      <c r="X735" s="96"/>
      <c r="Y735" s="96"/>
    </row>
    <row r="736" spans="2:25">
      <c r="B736" s="374"/>
      <c r="C736" s="374"/>
      <c r="D736" s="374"/>
      <c r="E736" s="374"/>
      <c r="F736" s="374"/>
      <c r="G736" s="374"/>
      <c r="H736" s="374"/>
      <c r="I736" s="374"/>
      <c r="J736" s="374"/>
      <c r="K736" s="374"/>
      <c r="L736" s="374"/>
      <c r="M736" s="374"/>
      <c r="N736" s="374"/>
      <c r="O736" s="374"/>
      <c r="P736" s="374"/>
      <c r="Q736" s="374"/>
      <c r="R736" s="374"/>
      <c r="S736" s="374"/>
      <c r="T736" s="374"/>
      <c r="U736" s="374"/>
      <c r="V736" s="374"/>
      <c r="W736" s="96"/>
      <c r="X736" s="96"/>
      <c r="Y736" s="96"/>
    </row>
    <row r="737" spans="2:25">
      <c r="B737" s="374"/>
      <c r="C737" s="374"/>
      <c r="D737" s="374"/>
      <c r="E737" s="374"/>
      <c r="F737" s="374"/>
      <c r="G737" s="374"/>
      <c r="H737" s="374"/>
      <c r="I737" s="374"/>
      <c r="J737" s="374"/>
      <c r="K737" s="374"/>
      <c r="L737" s="374"/>
      <c r="M737" s="374"/>
      <c r="N737" s="374"/>
      <c r="O737" s="374"/>
      <c r="P737" s="374"/>
      <c r="Q737" s="374"/>
      <c r="R737" s="374"/>
      <c r="S737" s="374"/>
      <c r="T737" s="374"/>
      <c r="U737" s="374"/>
      <c r="V737" s="374"/>
      <c r="W737" s="96"/>
      <c r="X737" s="96"/>
      <c r="Y737" s="96"/>
    </row>
    <row r="738" spans="2:25">
      <c r="B738" s="374"/>
      <c r="C738" s="374"/>
      <c r="D738" s="374"/>
      <c r="E738" s="374"/>
      <c r="F738" s="374"/>
      <c r="G738" s="374"/>
      <c r="H738" s="374"/>
      <c r="I738" s="374"/>
      <c r="J738" s="374"/>
      <c r="K738" s="374"/>
      <c r="L738" s="374"/>
      <c r="M738" s="374"/>
      <c r="N738" s="374"/>
      <c r="O738" s="374"/>
      <c r="P738" s="374"/>
      <c r="Q738" s="374"/>
      <c r="R738" s="374"/>
      <c r="S738" s="374"/>
      <c r="T738" s="374"/>
      <c r="U738" s="374"/>
      <c r="V738" s="374"/>
      <c r="W738" s="96"/>
      <c r="X738" s="96"/>
      <c r="Y738" s="96"/>
    </row>
    <row r="739" spans="2:25">
      <c r="B739" s="374"/>
      <c r="C739" s="374"/>
      <c r="D739" s="374"/>
      <c r="E739" s="374"/>
      <c r="F739" s="374"/>
      <c r="G739" s="374"/>
      <c r="H739" s="374"/>
      <c r="I739" s="374"/>
      <c r="J739" s="374"/>
      <c r="K739" s="374"/>
      <c r="L739" s="374"/>
      <c r="M739" s="374"/>
      <c r="N739" s="374"/>
      <c r="O739" s="374"/>
      <c r="P739" s="374"/>
      <c r="Q739" s="374"/>
      <c r="R739" s="374"/>
      <c r="S739" s="374"/>
      <c r="T739" s="374"/>
      <c r="U739" s="374"/>
      <c r="V739" s="374"/>
      <c r="W739" s="96"/>
      <c r="X739" s="96"/>
      <c r="Y739" s="96"/>
    </row>
    <row r="740" spans="2:25">
      <c r="B740" s="374"/>
      <c r="C740" s="374"/>
      <c r="D740" s="374"/>
      <c r="E740" s="374"/>
      <c r="F740" s="374"/>
      <c r="G740" s="374"/>
      <c r="H740" s="374"/>
      <c r="I740" s="374"/>
      <c r="J740" s="374"/>
      <c r="K740" s="374"/>
      <c r="L740" s="374"/>
      <c r="M740" s="374"/>
      <c r="N740" s="374"/>
      <c r="O740" s="374"/>
      <c r="P740" s="374"/>
      <c r="Q740" s="374"/>
      <c r="R740" s="374"/>
      <c r="S740" s="374"/>
      <c r="T740" s="374"/>
      <c r="U740" s="374"/>
      <c r="V740" s="374"/>
      <c r="W740" s="96"/>
      <c r="X740" s="96"/>
      <c r="Y740" s="96"/>
    </row>
    <row r="741" spans="2:25">
      <c r="B741" s="374"/>
      <c r="C741" s="374"/>
      <c r="D741" s="374"/>
      <c r="E741" s="374"/>
      <c r="F741" s="374"/>
      <c r="G741" s="374"/>
      <c r="H741" s="374"/>
      <c r="I741" s="374"/>
      <c r="J741" s="374"/>
      <c r="K741" s="374"/>
      <c r="L741" s="374"/>
      <c r="M741" s="374"/>
      <c r="N741" s="374"/>
      <c r="O741" s="374"/>
      <c r="P741" s="374"/>
      <c r="Q741" s="374"/>
      <c r="R741" s="374"/>
      <c r="S741" s="374"/>
      <c r="T741" s="374"/>
      <c r="U741" s="374"/>
      <c r="V741" s="374"/>
      <c r="W741" s="96"/>
      <c r="X741" s="96"/>
      <c r="Y741" s="96"/>
    </row>
    <row r="742" spans="2:25">
      <c r="B742" s="374"/>
      <c r="C742" s="374"/>
      <c r="D742" s="374"/>
      <c r="E742" s="374"/>
      <c r="F742" s="374"/>
      <c r="G742" s="374"/>
      <c r="H742" s="374"/>
      <c r="I742" s="374"/>
      <c r="J742" s="374"/>
      <c r="K742" s="374"/>
      <c r="L742" s="374"/>
      <c r="M742" s="374"/>
      <c r="N742" s="374"/>
      <c r="O742" s="374"/>
      <c r="P742" s="374"/>
      <c r="Q742" s="374"/>
      <c r="R742" s="374"/>
      <c r="S742" s="374"/>
      <c r="T742" s="374"/>
      <c r="U742" s="374"/>
      <c r="V742" s="374"/>
      <c r="W742" s="96"/>
      <c r="X742" s="96"/>
      <c r="Y742" s="96"/>
    </row>
    <row r="743" spans="2:25">
      <c r="B743" s="374"/>
      <c r="C743" s="374"/>
      <c r="D743" s="374"/>
      <c r="E743" s="374"/>
      <c r="F743" s="374"/>
      <c r="G743" s="374"/>
      <c r="H743" s="374"/>
      <c r="I743" s="374"/>
      <c r="J743" s="374"/>
      <c r="K743" s="374"/>
      <c r="L743" s="374"/>
      <c r="M743" s="374"/>
      <c r="N743" s="374"/>
      <c r="O743" s="374"/>
      <c r="P743" s="374"/>
      <c r="Q743" s="374"/>
      <c r="R743" s="374"/>
      <c r="S743" s="374"/>
      <c r="T743" s="374"/>
      <c r="U743" s="374"/>
      <c r="V743" s="374"/>
      <c r="W743" s="96"/>
      <c r="X743" s="96"/>
      <c r="Y743" s="96"/>
    </row>
    <row r="744" spans="2:25">
      <c r="B744" s="374"/>
      <c r="C744" s="374"/>
      <c r="D744" s="374"/>
      <c r="E744" s="374"/>
      <c r="F744" s="374"/>
      <c r="G744" s="374"/>
      <c r="H744" s="374"/>
      <c r="I744" s="374"/>
      <c r="J744" s="374"/>
      <c r="K744" s="374"/>
      <c r="L744" s="374"/>
      <c r="M744" s="374"/>
      <c r="N744" s="374"/>
      <c r="O744" s="374"/>
      <c r="P744" s="374"/>
      <c r="Q744" s="374"/>
      <c r="R744" s="374"/>
      <c r="S744" s="374"/>
      <c r="T744" s="374"/>
      <c r="U744" s="374"/>
      <c r="V744" s="374"/>
      <c r="W744" s="96"/>
      <c r="X744" s="96"/>
      <c r="Y744" s="96"/>
    </row>
    <row r="745" spans="2:25">
      <c r="B745" s="374"/>
      <c r="C745" s="374"/>
      <c r="D745" s="374"/>
      <c r="E745" s="374"/>
      <c r="F745" s="374"/>
      <c r="G745" s="374"/>
      <c r="H745" s="374"/>
      <c r="I745" s="374"/>
      <c r="J745" s="374"/>
      <c r="K745" s="374"/>
      <c r="L745" s="374"/>
      <c r="M745" s="374"/>
      <c r="N745" s="374"/>
      <c r="O745" s="374"/>
      <c r="P745" s="374"/>
      <c r="Q745" s="374"/>
      <c r="R745" s="374"/>
      <c r="S745" s="374"/>
      <c r="T745" s="374"/>
      <c r="U745" s="374"/>
      <c r="V745" s="374"/>
      <c r="W745" s="96"/>
      <c r="X745" s="96"/>
      <c r="Y745" s="96"/>
    </row>
    <row r="746" spans="2:25">
      <c r="B746" s="374"/>
      <c r="C746" s="374"/>
      <c r="D746" s="374"/>
      <c r="E746" s="374"/>
      <c r="F746" s="374"/>
      <c r="G746" s="374"/>
      <c r="H746" s="374"/>
      <c r="I746" s="374"/>
      <c r="J746" s="374"/>
      <c r="K746" s="374"/>
      <c r="L746" s="374"/>
      <c r="M746" s="374"/>
      <c r="N746" s="374"/>
      <c r="O746" s="374"/>
      <c r="P746" s="374"/>
      <c r="Q746" s="374"/>
      <c r="R746" s="374"/>
      <c r="S746" s="374"/>
      <c r="T746" s="374"/>
      <c r="U746" s="374"/>
      <c r="V746" s="374"/>
      <c r="W746" s="96"/>
      <c r="X746" s="96"/>
      <c r="Y746" s="96"/>
    </row>
    <row r="747" spans="2:25">
      <c r="B747" s="374"/>
      <c r="C747" s="374"/>
      <c r="D747" s="374"/>
      <c r="E747" s="374"/>
      <c r="F747" s="374"/>
      <c r="G747" s="374"/>
      <c r="H747" s="374"/>
      <c r="I747" s="374"/>
      <c r="J747" s="374"/>
      <c r="K747" s="374"/>
      <c r="L747" s="374"/>
      <c r="M747" s="374"/>
      <c r="N747" s="374"/>
      <c r="O747" s="374"/>
      <c r="P747" s="374"/>
      <c r="Q747" s="374"/>
      <c r="R747" s="374"/>
      <c r="S747" s="374"/>
      <c r="T747" s="374"/>
      <c r="U747" s="374"/>
      <c r="V747" s="374"/>
      <c r="W747" s="96"/>
      <c r="X747" s="96"/>
      <c r="Y747" s="96"/>
    </row>
    <row r="748" spans="2:25">
      <c r="B748" s="374"/>
      <c r="C748" s="374"/>
      <c r="D748" s="374"/>
      <c r="E748" s="374"/>
      <c r="F748" s="374"/>
      <c r="G748" s="374"/>
      <c r="H748" s="374"/>
      <c r="I748" s="374"/>
      <c r="J748" s="374"/>
      <c r="K748" s="374"/>
      <c r="L748" s="374"/>
      <c r="M748" s="374"/>
      <c r="N748" s="374"/>
      <c r="O748" s="374"/>
      <c r="P748" s="374"/>
      <c r="Q748" s="374"/>
      <c r="R748" s="374"/>
      <c r="S748" s="374"/>
      <c r="T748" s="374"/>
      <c r="U748" s="374"/>
      <c r="V748" s="374"/>
      <c r="W748" s="96"/>
      <c r="X748" s="96"/>
      <c r="Y748" s="96"/>
    </row>
    <row r="749" spans="2:25">
      <c r="B749" s="374"/>
      <c r="C749" s="374"/>
      <c r="D749" s="374"/>
      <c r="E749" s="374"/>
      <c r="F749" s="374"/>
      <c r="G749" s="374"/>
      <c r="H749" s="374"/>
      <c r="I749" s="374"/>
      <c r="J749" s="374"/>
      <c r="K749" s="374"/>
      <c r="L749" s="374"/>
      <c r="M749" s="374"/>
      <c r="N749" s="374"/>
      <c r="O749" s="374"/>
      <c r="P749" s="374"/>
      <c r="Q749" s="374"/>
      <c r="R749" s="374"/>
      <c r="S749" s="374"/>
      <c r="T749" s="374"/>
      <c r="U749" s="374"/>
      <c r="V749" s="374"/>
      <c r="W749" s="96"/>
      <c r="X749" s="96"/>
      <c r="Y749" s="96"/>
    </row>
    <row r="750" spans="2:25">
      <c r="B750" s="374"/>
      <c r="C750" s="374"/>
      <c r="D750" s="374"/>
      <c r="E750" s="374"/>
      <c r="F750" s="374"/>
      <c r="G750" s="374"/>
      <c r="H750" s="374"/>
      <c r="I750" s="374"/>
      <c r="J750" s="374"/>
      <c r="K750" s="374"/>
      <c r="L750" s="374"/>
      <c r="M750" s="374"/>
      <c r="N750" s="374"/>
      <c r="O750" s="374"/>
      <c r="P750" s="374"/>
      <c r="Q750" s="374"/>
      <c r="R750" s="374"/>
      <c r="S750" s="374"/>
      <c r="T750" s="374"/>
      <c r="U750" s="374"/>
      <c r="V750" s="374"/>
      <c r="W750" s="96"/>
      <c r="X750" s="96"/>
      <c r="Y750" s="96"/>
    </row>
    <row r="751" spans="2:25">
      <c r="B751" s="374"/>
      <c r="C751" s="374"/>
      <c r="D751" s="374"/>
      <c r="E751" s="374"/>
      <c r="F751" s="374"/>
      <c r="G751" s="374"/>
      <c r="H751" s="374"/>
      <c r="I751" s="374"/>
      <c r="J751" s="374"/>
      <c r="K751" s="374"/>
      <c r="L751" s="374"/>
      <c r="M751" s="374"/>
      <c r="N751" s="374"/>
      <c r="O751" s="374"/>
      <c r="P751" s="374"/>
      <c r="Q751" s="374"/>
      <c r="R751" s="374"/>
      <c r="S751" s="374"/>
      <c r="T751" s="374"/>
      <c r="U751" s="374"/>
      <c r="V751" s="374"/>
      <c r="W751" s="96"/>
      <c r="X751" s="96"/>
      <c r="Y751" s="96"/>
    </row>
    <row r="752" spans="2:25">
      <c r="B752" s="374"/>
      <c r="C752" s="374"/>
      <c r="D752" s="374"/>
      <c r="E752" s="374"/>
      <c r="F752" s="374"/>
      <c r="G752" s="374"/>
      <c r="H752" s="374"/>
      <c r="I752" s="374"/>
      <c r="J752" s="374"/>
      <c r="K752" s="374"/>
      <c r="L752" s="374"/>
      <c r="M752" s="374"/>
      <c r="N752" s="374"/>
      <c r="O752" s="374"/>
      <c r="P752" s="374"/>
      <c r="Q752" s="374"/>
      <c r="R752" s="374"/>
      <c r="S752" s="374"/>
      <c r="T752" s="374"/>
      <c r="U752" s="374"/>
      <c r="V752" s="374"/>
      <c r="W752" s="96"/>
      <c r="X752" s="96"/>
      <c r="Y752" s="96"/>
    </row>
    <row r="753" spans="2:25">
      <c r="B753" s="374"/>
      <c r="C753" s="374"/>
      <c r="D753" s="374"/>
      <c r="E753" s="374"/>
      <c r="F753" s="374"/>
      <c r="G753" s="374"/>
      <c r="H753" s="374"/>
      <c r="I753" s="374"/>
      <c r="J753" s="374"/>
      <c r="K753" s="374"/>
      <c r="L753" s="374"/>
      <c r="M753" s="374"/>
      <c r="N753" s="374"/>
      <c r="O753" s="374"/>
      <c r="P753" s="374"/>
      <c r="Q753" s="374"/>
      <c r="R753" s="374"/>
      <c r="S753" s="374"/>
      <c r="T753" s="374"/>
      <c r="U753" s="374"/>
      <c r="V753" s="374"/>
      <c r="W753" s="96"/>
      <c r="X753" s="96"/>
      <c r="Y753" s="96"/>
    </row>
    <row r="754" spans="2:25">
      <c r="B754" s="374"/>
      <c r="C754" s="374"/>
      <c r="D754" s="374"/>
      <c r="E754" s="374"/>
      <c r="F754" s="374"/>
      <c r="G754" s="374"/>
      <c r="H754" s="374"/>
      <c r="I754" s="374"/>
      <c r="J754" s="374"/>
      <c r="K754" s="374"/>
      <c r="L754" s="374"/>
      <c r="M754" s="374"/>
      <c r="N754" s="374"/>
      <c r="O754" s="374"/>
      <c r="P754" s="374"/>
      <c r="Q754" s="374"/>
      <c r="R754" s="374"/>
      <c r="S754" s="374"/>
      <c r="T754" s="374"/>
      <c r="U754" s="374"/>
      <c r="V754" s="374"/>
      <c r="W754" s="96"/>
      <c r="X754" s="96"/>
      <c r="Y754" s="96"/>
    </row>
    <row r="755" spans="2:25">
      <c r="B755" s="374"/>
      <c r="C755" s="374"/>
      <c r="D755" s="374"/>
      <c r="E755" s="374"/>
      <c r="F755" s="374"/>
      <c r="G755" s="374"/>
      <c r="H755" s="374"/>
      <c r="I755" s="374"/>
      <c r="J755" s="374"/>
      <c r="K755" s="374"/>
      <c r="L755" s="374"/>
      <c r="M755" s="374"/>
      <c r="N755" s="374"/>
      <c r="O755" s="374"/>
      <c r="P755" s="374"/>
      <c r="Q755" s="374"/>
      <c r="R755" s="374"/>
      <c r="S755" s="374"/>
      <c r="T755" s="374"/>
      <c r="U755" s="374"/>
      <c r="V755" s="374"/>
      <c r="W755" s="96"/>
      <c r="X755" s="96"/>
      <c r="Y755" s="96"/>
    </row>
    <row r="756" spans="2:25">
      <c r="B756" s="374"/>
      <c r="C756" s="374"/>
      <c r="D756" s="374"/>
      <c r="E756" s="374"/>
      <c r="F756" s="374"/>
      <c r="G756" s="374"/>
      <c r="H756" s="374"/>
      <c r="I756" s="374"/>
      <c r="J756" s="374"/>
      <c r="K756" s="374"/>
      <c r="L756" s="374"/>
      <c r="M756" s="374"/>
      <c r="N756" s="374"/>
      <c r="O756" s="374"/>
      <c r="P756" s="374"/>
      <c r="Q756" s="374"/>
      <c r="R756" s="374"/>
      <c r="S756" s="374"/>
      <c r="T756" s="374"/>
      <c r="U756" s="374"/>
      <c r="V756" s="374"/>
      <c r="W756" s="96"/>
      <c r="X756" s="96"/>
      <c r="Y756" s="96"/>
    </row>
    <row r="757" spans="2:25">
      <c r="B757" s="374"/>
      <c r="C757" s="374"/>
      <c r="D757" s="374"/>
      <c r="E757" s="374"/>
      <c r="F757" s="374"/>
      <c r="G757" s="374"/>
      <c r="H757" s="374"/>
      <c r="I757" s="374"/>
      <c r="J757" s="374"/>
      <c r="K757" s="374"/>
      <c r="L757" s="374"/>
      <c r="M757" s="374"/>
      <c r="N757" s="374"/>
      <c r="O757" s="374"/>
      <c r="P757" s="374"/>
      <c r="Q757" s="374"/>
      <c r="R757" s="374"/>
      <c r="S757" s="374"/>
      <c r="T757" s="374"/>
      <c r="U757" s="374"/>
      <c r="V757" s="374"/>
      <c r="W757" s="96"/>
      <c r="X757" s="96"/>
      <c r="Y757" s="96"/>
    </row>
    <row r="758" spans="2:25">
      <c r="B758" s="374"/>
      <c r="C758" s="374"/>
      <c r="D758" s="374"/>
      <c r="E758" s="374"/>
      <c r="F758" s="374"/>
      <c r="G758" s="374"/>
      <c r="H758" s="374"/>
      <c r="I758" s="374"/>
      <c r="J758" s="374"/>
      <c r="K758" s="374"/>
      <c r="L758" s="374"/>
      <c r="M758" s="374"/>
      <c r="N758" s="374"/>
      <c r="O758" s="374"/>
      <c r="P758" s="374"/>
      <c r="Q758" s="374"/>
      <c r="R758" s="374"/>
      <c r="S758" s="374"/>
      <c r="T758" s="374"/>
      <c r="U758" s="374"/>
      <c r="V758" s="374"/>
      <c r="W758" s="96"/>
      <c r="X758" s="96"/>
      <c r="Y758" s="96"/>
    </row>
    <row r="759" spans="2:25">
      <c r="B759" s="374"/>
      <c r="C759" s="374"/>
      <c r="D759" s="374"/>
      <c r="E759" s="374"/>
      <c r="F759" s="374"/>
      <c r="G759" s="374"/>
      <c r="H759" s="374"/>
      <c r="I759" s="374"/>
      <c r="J759" s="374"/>
      <c r="K759" s="374"/>
      <c r="L759" s="374"/>
      <c r="M759" s="374"/>
      <c r="N759" s="374"/>
      <c r="O759" s="374"/>
      <c r="P759" s="374"/>
      <c r="Q759" s="374"/>
      <c r="R759" s="374"/>
      <c r="S759" s="374"/>
      <c r="T759" s="374"/>
      <c r="U759" s="374"/>
      <c r="V759" s="374"/>
      <c r="W759" s="96"/>
      <c r="X759" s="96"/>
      <c r="Y759" s="96"/>
    </row>
    <row r="760" spans="2:25">
      <c r="B760" s="374"/>
      <c r="C760" s="374"/>
      <c r="D760" s="374"/>
      <c r="E760" s="374"/>
      <c r="F760" s="374"/>
      <c r="G760" s="374"/>
      <c r="H760" s="374"/>
      <c r="I760" s="374"/>
      <c r="J760" s="374"/>
      <c r="K760" s="374"/>
      <c r="L760" s="374"/>
      <c r="M760" s="374"/>
      <c r="N760" s="374"/>
      <c r="O760" s="374"/>
      <c r="P760" s="374"/>
      <c r="Q760" s="374"/>
      <c r="R760" s="374"/>
      <c r="S760" s="374"/>
      <c r="T760" s="374"/>
      <c r="U760" s="374"/>
      <c r="V760" s="374"/>
      <c r="W760" s="96"/>
      <c r="X760" s="96"/>
      <c r="Y760" s="96"/>
    </row>
    <row r="761" spans="2:25">
      <c r="B761" s="374"/>
      <c r="C761" s="374"/>
      <c r="D761" s="374"/>
      <c r="E761" s="374"/>
      <c r="F761" s="374"/>
      <c r="G761" s="374"/>
      <c r="H761" s="374"/>
      <c r="I761" s="374"/>
      <c r="J761" s="374"/>
      <c r="K761" s="374"/>
      <c r="L761" s="374"/>
      <c r="M761" s="374"/>
      <c r="N761" s="374"/>
      <c r="O761" s="374"/>
      <c r="P761" s="374"/>
      <c r="Q761" s="374"/>
      <c r="R761" s="374"/>
      <c r="S761" s="374"/>
      <c r="T761" s="374"/>
      <c r="U761" s="374"/>
      <c r="V761" s="374"/>
      <c r="W761" s="96"/>
      <c r="X761" s="96"/>
      <c r="Y761" s="96"/>
    </row>
    <row r="762" spans="2:25">
      <c r="B762" s="374"/>
      <c r="C762" s="374"/>
      <c r="D762" s="374"/>
      <c r="E762" s="374"/>
      <c r="F762" s="374"/>
      <c r="G762" s="374"/>
      <c r="H762" s="374"/>
      <c r="I762" s="374"/>
      <c r="J762" s="374"/>
      <c r="K762" s="374"/>
      <c r="L762" s="374"/>
      <c r="M762" s="374"/>
      <c r="N762" s="374"/>
      <c r="O762" s="374"/>
      <c r="P762" s="374"/>
      <c r="Q762" s="374"/>
      <c r="R762" s="374"/>
      <c r="S762" s="374"/>
      <c r="T762" s="374"/>
      <c r="U762" s="374"/>
      <c r="V762" s="374"/>
      <c r="W762" s="96"/>
      <c r="X762" s="96"/>
      <c r="Y762" s="96"/>
    </row>
    <row r="763" spans="2:25">
      <c r="B763" s="374"/>
      <c r="C763" s="374"/>
      <c r="D763" s="374"/>
      <c r="E763" s="374"/>
      <c r="F763" s="374"/>
      <c r="G763" s="374"/>
      <c r="H763" s="374"/>
      <c r="I763" s="374"/>
      <c r="J763" s="374"/>
      <c r="K763" s="374"/>
      <c r="L763" s="374"/>
      <c r="M763" s="374"/>
      <c r="N763" s="374"/>
      <c r="O763" s="374"/>
      <c r="P763" s="374"/>
      <c r="Q763" s="374"/>
      <c r="R763" s="374"/>
      <c r="S763" s="374"/>
      <c r="T763" s="374"/>
      <c r="U763" s="374"/>
      <c r="V763" s="374"/>
      <c r="W763" s="96"/>
      <c r="X763" s="96"/>
      <c r="Y763" s="96"/>
    </row>
    <row r="764" spans="2:25">
      <c r="B764" s="374"/>
      <c r="C764" s="374"/>
      <c r="D764" s="374"/>
      <c r="E764" s="374"/>
      <c r="F764" s="374"/>
      <c r="G764" s="374"/>
      <c r="H764" s="374"/>
      <c r="I764" s="374"/>
      <c r="J764" s="374"/>
      <c r="K764" s="374"/>
      <c r="L764" s="374"/>
      <c r="M764" s="374"/>
      <c r="N764" s="374"/>
      <c r="O764" s="374"/>
      <c r="P764" s="374"/>
      <c r="Q764" s="374"/>
      <c r="R764" s="374"/>
      <c r="S764" s="374"/>
      <c r="T764" s="374"/>
      <c r="U764" s="374"/>
      <c r="V764" s="374"/>
      <c r="W764" s="96"/>
      <c r="X764" s="96"/>
      <c r="Y764" s="96"/>
    </row>
    <row r="765" spans="2:25">
      <c r="B765" s="374"/>
      <c r="C765" s="374"/>
      <c r="D765" s="374"/>
      <c r="E765" s="374"/>
      <c r="F765" s="374"/>
      <c r="G765" s="374"/>
      <c r="H765" s="374"/>
      <c r="I765" s="374"/>
      <c r="J765" s="374"/>
      <c r="K765" s="374"/>
      <c r="L765" s="374"/>
      <c r="M765" s="374"/>
      <c r="N765" s="374"/>
      <c r="O765" s="374"/>
      <c r="P765" s="374"/>
      <c r="Q765" s="374"/>
      <c r="R765" s="374"/>
      <c r="S765" s="374"/>
      <c r="T765" s="374"/>
      <c r="U765" s="374"/>
      <c r="V765" s="374"/>
      <c r="W765" s="96"/>
      <c r="X765" s="96"/>
      <c r="Y765" s="96"/>
    </row>
    <row r="766" spans="2:25">
      <c r="B766" s="374"/>
      <c r="C766" s="374"/>
      <c r="D766" s="374"/>
      <c r="E766" s="374"/>
      <c r="F766" s="374"/>
      <c r="G766" s="374"/>
      <c r="H766" s="374"/>
      <c r="I766" s="374"/>
      <c r="J766" s="374"/>
      <c r="K766" s="374"/>
      <c r="L766" s="374"/>
      <c r="M766" s="374"/>
      <c r="N766" s="374"/>
      <c r="O766" s="374"/>
      <c r="P766" s="374"/>
      <c r="Q766" s="374"/>
      <c r="R766" s="374"/>
      <c r="S766" s="374"/>
      <c r="T766" s="374"/>
      <c r="U766" s="374"/>
      <c r="V766" s="374"/>
      <c r="W766" s="96"/>
      <c r="X766" s="96"/>
      <c r="Y766" s="96"/>
    </row>
    <row r="767" spans="2:25">
      <c r="B767" s="374"/>
      <c r="C767" s="374"/>
      <c r="D767" s="374"/>
      <c r="E767" s="374"/>
      <c r="F767" s="374"/>
      <c r="G767" s="374"/>
      <c r="H767" s="374"/>
      <c r="I767" s="374"/>
      <c r="J767" s="374"/>
      <c r="K767" s="374"/>
      <c r="L767" s="374"/>
      <c r="M767" s="374"/>
      <c r="N767" s="374"/>
      <c r="O767" s="374"/>
      <c r="P767" s="374"/>
      <c r="Q767" s="374"/>
      <c r="R767" s="374"/>
      <c r="S767" s="374"/>
      <c r="T767" s="374"/>
      <c r="U767" s="374"/>
      <c r="V767" s="374"/>
      <c r="W767" s="96"/>
      <c r="X767" s="96"/>
      <c r="Y767" s="96"/>
    </row>
    <row r="768" spans="2:25">
      <c r="B768" s="374"/>
      <c r="C768" s="374"/>
      <c r="D768" s="374"/>
      <c r="E768" s="374"/>
      <c r="F768" s="374"/>
      <c r="G768" s="374"/>
      <c r="H768" s="374"/>
      <c r="I768" s="374"/>
      <c r="J768" s="374"/>
      <c r="K768" s="374"/>
      <c r="L768" s="374"/>
      <c r="M768" s="374"/>
      <c r="N768" s="374"/>
      <c r="O768" s="374"/>
      <c r="P768" s="374"/>
      <c r="Q768" s="374"/>
      <c r="R768" s="374"/>
      <c r="S768" s="374"/>
      <c r="T768" s="374"/>
      <c r="U768" s="374"/>
      <c r="V768" s="374"/>
      <c r="W768" s="96"/>
      <c r="X768" s="96"/>
      <c r="Y768" s="96"/>
    </row>
    <row r="769" spans="2:25">
      <c r="B769" s="374"/>
      <c r="C769" s="374"/>
      <c r="D769" s="374"/>
      <c r="E769" s="374"/>
      <c r="F769" s="374"/>
      <c r="G769" s="374"/>
      <c r="H769" s="374"/>
      <c r="I769" s="374"/>
      <c r="J769" s="374"/>
      <c r="K769" s="374"/>
      <c r="L769" s="374"/>
      <c r="M769" s="374"/>
      <c r="N769" s="374"/>
      <c r="O769" s="374"/>
      <c r="P769" s="374"/>
      <c r="Q769" s="374"/>
      <c r="R769" s="374"/>
      <c r="S769" s="374"/>
      <c r="T769" s="374"/>
      <c r="U769" s="374"/>
      <c r="V769" s="374"/>
      <c r="W769" s="96"/>
      <c r="X769" s="96"/>
      <c r="Y769" s="96"/>
    </row>
    <row r="770" spans="2:25">
      <c r="B770" s="374"/>
      <c r="C770" s="374"/>
      <c r="D770" s="374"/>
      <c r="E770" s="374"/>
      <c r="F770" s="374"/>
      <c r="G770" s="374"/>
      <c r="H770" s="374"/>
      <c r="I770" s="374"/>
      <c r="J770" s="374"/>
      <c r="K770" s="374"/>
      <c r="L770" s="374"/>
      <c r="M770" s="374"/>
      <c r="N770" s="374"/>
      <c r="O770" s="374"/>
      <c r="P770" s="374"/>
      <c r="Q770" s="374"/>
      <c r="R770" s="374"/>
      <c r="S770" s="374"/>
      <c r="T770" s="374"/>
      <c r="U770" s="374"/>
      <c r="V770" s="374"/>
      <c r="W770" s="96"/>
      <c r="X770" s="96"/>
      <c r="Y770" s="96"/>
    </row>
    <row r="771" spans="2:25">
      <c r="B771" s="374"/>
      <c r="C771" s="374"/>
      <c r="D771" s="374"/>
      <c r="E771" s="374"/>
      <c r="F771" s="374"/>
      <c r="G771" s="374"/>
      <c r="H771" s="374"/>
      <c r="I771" s="374"/>
      <c r="J771" s="374"/>
      <c r="K771" s="374"/>
      <c r="L771" s="374"/>
      <c r="M771" s="374"/>
      <c r="N771" s="374"/>
      <c r="O771" s="374"/>
      <c r="P771" s="374"/>
      <c r="Q771" s="374"/>
      <c r="R771" s="374"/>
      <c r="S771" s="374"/>
      <c r="T771" s="374"/>
      <c r="U771" s="374"/>
      <c r="V771" s="374"/>
      <c r="W771" s="96"/>
      <c r="X771" s="96"/>
      <c r="Y771" s="96"/>
    </row>
    <row r="772" spans="2:25">
      <c r="B772" s="374"/>
      <c r="C772" s="374"/>
      <c r="D772" s="374"/>
      <c r="E772" s="374"/>
      <c r="F772" s="374"/>
      <c r="G772" s="374"/>
      <c r="H772" s="374"/>
      <c r="I772" s="374"/>
      <c r="J772" s="374"/>
      <c r="K772" s="374"/>
      <c r="L772" s="374"/>
      <c r="M772" s="374"/>
      <c r="N772" s="374"/>
      <c r="O772" s="374"/>
      <c r="P772" s="374"/>
      <c r="Q772" s="374"/>
      <c r="R772" s="374"/>
      <c r="S772" s="374"/>
      <c r="T772" s="374"/>
      <c r="U772" s="374"/>
      <c r="V772" s="374"/>
      <c r="W772" s="96"/>
      <c r="X772" s="96"/>
      <c r="Y772" s="96"/>
    </row>
    <row r="773" spans="2:25">
      <c r="B773" s="374"/>
      <c r="C773" s="374"/>
      <c r="D773" s="374"/>
      <c r="E773" s="374"/>
      <c r="F773" s="374"/>
      <c r="G773" s="374"/>
      <c r="H773" s="374"/>
      <c r="I773" s="374"/>
      <c r="J773" s="374"/>
      <c r="K773" s="374"/>
      <c r="L773" s="374"/>
      <c r="M773" s="374"/>
      <c r="N773" s="374"/>
      <c r="O773" s="374"/>
      <c r="P773" s="374"/>
      <c r="Q773" s="374"/>
      <c r="R773" s="374"/>
      <c r="S773" s="374"/>
      <c r="T773" s="374"/>
      <c r="U773" s="374"/>
      <c r="V773" s="374"/>
      <c r="W773" s="96"/>
      <c r="X773" s="96"/>
      <c r="Y773" s="96"/>
    </row>
    <row r="774" spans="2:25">
      <c r="B774" s="374"/>
      <c r="C774" s="374"/>
      <c r="D774" s="374"/>
      <c r="E774" s="374"/>
      <c r="F774" s="374"/>
      <c r="G774" s="374"/>
      <c r="H774" s="374"/>
      <c r="I774" s="374"/>
      <c r="J774" s="374"/>
      <c r="K774" s="374"/>
      <c r="L774" s="374"/>
      <c r="M774" s="374"/>
      <c r="N774" s="374"/>
      <c r="O774" s="374"/>
      <c r="P774" s="374"/>
      <c r="Q774" s="374"/>
      <c r="R774" s="374"/>
      <c r="S774" s="374"/>
      <c r="T774" s="374"/>
      <c r="U774" s="374"/>
      <c r="V774" s="374"/>
      <c r="W774" s="96"/>
      <c r="X774" s="96"/>
      <c r="Y774" s="96"/>
    </row>
    <row r="775" spans="2:25">
      <c r="B775" s="374"/>
      <c r="C775" s="374"/>
      <c r="D775" s="374"/>
      <c r="E775" s="374"/>
      <c r="F775" s="374"/>
      <c r="G775" s="374"/>
      <c r="H775" s="374"/>
      <c r="I775" s="374"/>
      <c r="J775" s="374"/>
      <c r="K775" s="374"/>
      <c r="L775" s="374"/>
      <c r="M775" s="374"/>
      <c r="N775" s="374"/>
      <c r="O775" s="374"/>
      <c r="P775" s="374"/>
      <c r="Q775" s="374"/>
      <c r="R775" s="374"/>
      <c r="S775" s="374"/>
      <c r="T775" s="374"/>
      <c r="U775" s="374"/>
      <c r="V775" s="374"/>
      <c r="W775" s="96"/>
      <c r="X775" s="96"/>
      <c r="Y775" s="96"/>
    </row>
    <row r="776" spans="2:25">
      <c r="B776" s="374"/>
      <c r="C776" s="374"/>
      <c r="D776" s="374"/>
      <c r="E776" s="374"/>
      <c r="F776" s="374"/>
      <c r="G776" s="374"/>
      <c r="H776" s="374"/>
      <c r="I776" s="374"/>
      <c r="J776" s="374"/>
      <c r="K776" s="374"/>
      <c r="L776" s="374"/>
      <c r="M776" s="374"/>
      <c r="N776" s="374"/>
      <c r="O776" s="374"/>
      <c r="P776" s="374"/>
      <c r="Q776" s="374"/>
      <c r="R776" s="374"/>
      <c r="S776" s="374"/>
      <c r="T776" s="374"/>
      <c r="U776" s="374"/>
      <c r="V776" s="374"/>
      <c r="W776" s="96"/>
      <c r="X776" s="96"/>
      <c r="Y776" s="96"/>
    </row>
    <row r="777" spans="2:25">
      <c r="B777" s="374"/>
      <c r="C777" s="374"/>
      <c r="D777" s="374"/>
      <c r="E777" s="374"/>
      <c r="F777" s="374"/>
      <c r="G777" s="374"/>
      <c r="H777" s="374"/>
      <c r="I777" s="374"/>
      <c r="J777" s="374"/>
      <c r="K777" s="374"/>
      <c r="L777" s="374"/>
      <c r="M777" s="374"/>
      <c r="N777" s="374"/>
      <c r="O777" s="374"/>
      <c r="P777" s="374"/>
      <c r="Q777" s="374"/>
      <c r="R777" s="374"/>
      <c r="S777" s="374"/>
      <c r="T777" s="374"/>
      <c r="U777" s="374"/>
      <c r="V777" s="374"/>
      <c r="W777" s="96"/>
      <c r="X777" s="96"/>
      <c r="Y777" s="96"/>
    </row>
    <row r="778" spans="2:25">
      <c r="B778" s="374"/>
      <c r="C778" s="374"/>
      <c r="D778" s="374"/>
      <c r="E778" s="374"/>
      <c r="F778" s="374"/>
      <c r="G778" s="374"/>
      <c r="H778" s="374"/>
      <c r="I778" s="374"/>
      <c r="J778" s="374"/>
      <c r="K778" s="374"/>
      <c r="L778" s="374"/>
      <c r="M778" s="374"/>
      <c r="N778" s="374"/>
      <c r="O778" s="374"/>
      <c r="P778" s="374"/>
      <c r="Q778" s="374"/>
      <c r="R778" s="374"/>
      <c r="S778" s="374"/>
      <c r="T778" s="374"/>
      <c r="U778" s="374"/>
      <c r="V778" s="374"/>
      <c r="W778" s="96"/>
      <c r="X778" s="96"/>
      <c r="Y778" s="96"/>
    </row>
    <row r="779" spans="2:25">
      <c r="B779" s="374"/>
      <c r="C779" s="374"/>
      <c r="D779" s="374"/>
      <c r="E779" s="374"/>
      <c r="F779" s="374"/>
      <c r="G779" s="374"/>
      <c r="H779" s="374"/>
      <c r="I779" s="374"/>
      <c r="J779" s="374"/>
      <c r="K779" s="374"/>
      <c r="L779" s="374"/>
      <c r="M779" s="374"/>
      <c r="N779" s="374"/>
      <c r="O779" s="374"/>
      <c r="P779" s="374"/>
      <c r="Q779" s="374"/>
      <c r="R779" s="374"/>
      <c r="S779" s="374"/>
      <c r="T779" s="374"/>
      <c r="U779" s="374"/>
      <c r="V779" s="374"/>
      <c r="W779" s="96"/>
      <c r="X779" s="96"/>
      <c r="Y779" s="96"/>
    </row>
    <row r="780" spans="2:25">
      <c r="B780" s="374"/>
      <c r="C780" s="374"/>
      <c r="D780" s="374"/>
      <c r="E780" s="374"/>
      <c r="F780" s="374"/>
      <c r="G780" s="374"/>
      <c r="H780" s="374"/>
      <c r="I780" s="374"/>
      <c r="J780" s="374"/>
      <c r="K780" s="374"/>
      <c r="L780" s="374"/>
      <c r="M780" s="374"/>
      <c r="N780" s="374"/>
      <c r="O780" s="374"/>
      <c r="P780" s="374"/>
      <c r="Q780" s="374"/>
      <c r="R780" s="374"/>
      <c r="S780" s="374"/>
      <c r="T780" s="374"/>
      <c r="U780" s="374"/>
      <c r="V780" s="374"/>
      <c r="W780" s="96"/>
      <c r="X780" s="96"/>
      <c r="Y780" s="96"/>
    </row>
    <row r="781" spans="2:25">
      <c r="B781" s="374"/>
      <c r="C781" s="374"/>
      <c r="D781" s="374"/>
      <c r="E781" s="374"/>
      <c r="F781" s="374"/>
      <c r="G781" s="374"/>
      <c r="H781" s="374"/>
      <c r="I781" s="374"/>
      <c r="J781" s="374"/>
      <c r="K781" s="374"/>
      <c r="L781" s="374"/>
      <c r="M781" s="374"/>
      <c r="N781" s="374"/>
      <c r="O781" s="374"/>
      <c r="P781" s="374"/>
      <c r="Q781" s="374"/>
      <c r="R781" s="374"/>
      <c r="S781" s="374"/>
      <c r="T781" s="374"/>
      <c r="U781" s="374"/>
      <c r="V781" s="374"/>
      <c r="W781" s="96"/>
      <c r="X781" s="96"/>
      <c r="Y781" s="96"/>
    </row>
    <row r="782" spans="2:25">
      <c r="B782" s="374"/>
      <c r="C782" s="374"/>
      <c r="D782" s="374"/>
      <c r="E782" s="374"/>
      <c r="F782" s="374"/>
      <c r="G782" s="374"/>
      <c r="H782" s="374"/>
      <c r="I782" s="374"/>
      <c r="J782" s="374"/>
      <c r="K782" s="374"/>
      <c r="L782" s="374"/>
      <c r="M782" s="374"/>
      <c r="N782" s="374"/>
      <c r="O782" s="374"/>
      <c r="P782" s="374"/>
      <c r="Q782" s="374"/>
      <c r="R782" s="374"/>
      <c r="S782" s="374"/>
      <c r="T782" s="374"/>
      <c r="U782" s="374"/>
      <c r="V782" s="374"/>
      <c r="W782" s="96"/>
      <c r="X782" s="96"/>
      <c r="Y782" s="96"/>
    </row>
    <row r="783" spans="2:25">
      <c r="B783" s="374"/>
      <c r="C783" s="374"/>
      <c r="D783" s="374"/>
      <c r="E783" s="374"/>
      <c r="F783" s="374"/>
      <c r="G783" s="374"/>
      <c r="H783" s="374"/>
      <c r="I783" s="374"/>
      <c r="J783" s="374"/>
      <c r="K783" s="374"/>
      <c r="L783" s="374"/>
      <c r="M783" s="374"/>
      <c r="N783" s="374"/>
      <c r="O783" s="374"/>
      <c r="P783" s="374"/>
      <c r="Q783" s="374"/>
      <c r="R783" s="374"/>
      <c r="S783" s="374"/>
      <c r="T783" s="374"/>
      <c r="U783" s="374"/>
      <c r="V783" s="374"/>
      <c r="W783" s="96"/>
      <c r="X783" s="96"/>
      <c r="Y783" s="96"/>
    </row>
    <row r="784" spans="2:25">
      <c r="B784" s="374"/>
      <c r="C784" s="374"/>
      <c r="D784" s="374"/>
      <c r="E784" s="374"/>
      <c r="F784" s="374"/>
      <c r="G784" s="374"/>
      <c r="H784" s="374"/>
      <c r="I784" s="374"/>
      <c r="J784" s="374"/>
      <c r="K784" s="374"/>
      <c r="L784" s="374"/>
      <c r="M784" s="374"/>
      <c r="N784" s="374"/>
      <c r="O784" s="374"/>
      <c r="P784" s="374"/>
      <c r="Q784" s="374"/>
      <c r="R784" s="374"/>
      <c r="S784" s="374"/>
      <c r="T784" s="374"/>
      <c r="U784" s="374"/>
      <c r="V784" s="374"/>
      <c r="W784" s="96"/>
      <c r="X784" s="96"/>
      <c r="Y784" s="96"/>
    </row>
    <row r="785" spans="2:25">
      <c r="B785" s="374"/>
      <c r="C785" s="374"/>
      <c r="D785" s="374"/>
      <c r="E785" s="374"/>
      <c r="F785" s="374"/>
      <c r="G785" s="374"/>
      <c r="H785" s="374"/>
      <c r="I785" s="374"/>
      <c r="J785" s="374"/>
      <c r="K785" s="374"/>
      <c r="L785" s="374"/>
      <c r="M785" s="374"/>
      <c r="N785" s="374"/>
      <c r="O785" s="374"/>
      <c r="P785" s="374"/>
      <c r="Q785" s="374"/>
      <c r="R785" s="374"/>
      <c r="S785" s="374"/>
      <c r="T785" s="374"/>
      <c r="U785" s="374"/>
      <c r="V785" s="374"/>
      <c r="W785" s="96"/>
      <c r="X785" s="96"/>
      <c r="Y785" s="96"/>
    </row>
    <row r="786" spans="2:25">
      <c r="B786" s="374"/>
      <c r="C786" s="374"/>
      <c r="D786" s="374"/>
      <c r="E786" s="374"/>
      <c r="F786" s="374"/>
      <c r="G786" s="374"/>
      <c r="H786" s="374"/>
      <c r="I786" s="374"/>
      <c r="J786" s="374"/>
      <c r="K786" s="374"/>
      <c r="L786" s="374"/>
      <c r="M786" s="374"/>
      <c r="N786" s="374"/>
      <c r="O786" s="374"/>
      <c r="P786" s="374"/>
      <c r="Q786" s="374"/>
      <c r="R786" s="374"/>
      <c r="S786" s="374"/>
      <c r="T786" s="374"/>
      <c r="U786" s="374"/>
      <c r="V786" s="374"/>
      <c r="W786" s="96"/>
      <c r="X786" s="96"/>
      <c r="Y786" s="96"/>
    </row>
    <row r="787" spans="2:25">
      <c r="B787" s="374"/>
      <c r="C787" s="374"/>
      <c r="D787" s="374"/>
      <c r="E787" s="374"/>
      <c r="F787" s="374"/>
      <c r="G787" s="374"/>
      <c r="H787" s="374"/>
      <c r="I787" s="374"/>
      <c r="J787" s="374"/>
      <c r="K787" s="374"/>
      <c r="L787" s="374"/>
      <c r="M787" s="374"/>
      <c r="N787" s="374"/>
      <c r="O787" s="374"/>
      <c r="P787" s="374"/>
      <c r="Q787" s="374"/>
      <c r="R787" s="374"/>
      <c r="S787" s="374"/>
      <c r="T787" s="374"/>
      <c r="U787" s="374"/>
      <c r="V787" s="374"/>
      <c r="W787" s="96"/>
      <c r="X787" s="96"/>
      <c r="Y787" s="96"/>
    </row>
    <row r="788" spans="2:25">
      <c r="B788" s="374"/>
      <c r="C788" s="374"/>
      <c r="D788" s="374"/>
      <c r="E788" s="374"/>
      <c r="F788" s="374"/>
      <c r="G788" s="374"/>
      <c r="H788" s="374"/>
      <c r="I788" s="374"/>
      <c r="J788" s="374"/>
      <c r="K788" s="374"/>
      <c r="L788" s="374"/>
      <c r="M788" s="374"/>
      <c r="N788" s="374"/>
      <c r="O788" s="374"/>
      <c r="P788" s="374"/>
      <c r="Q788" s="374"/>
      <c r="R788" s="374"/>
      <c r="S788" s="374"/>
      <c r="T788" s="374"/>
      <c r="U788" s="374"/>
      <c r="V788" s="374"/>
      <c r="W788" s="96"/>
      <c r="X788" s="96"/>
      <c r="Y788" s="96"/>
    </row>
    <row r="789" spans="2:25">
      <c r="B789" s="374"/>
      <c r="C789" s="374"/>
      <c r="D789" s="374"/>
      <c r="E789" s="374"/>
      <c r="F789" s="374"/>
      <c r="G789" s="374"/>
      <c r="H789" s="374"/>
      <c r="I789" s="374"/>
      <c r="J789" s="374"/>
      <c r="K789" s="374"/>
      <c r="L789" s="374"/>
      <c r="M789" s="374"/>
      <c r="N789" s="374"/>
      <c r="O789" s="374"/>
      <c r="P789" s="374"/>
      <c r="Q789" s="374"/>
      <c r="R789" s="374"/>
      <c r="S789" s="374"/>
      <c r="T789" s="374"/>
      <c r="U789" s="374"/>
      <c r="V789" s="374"/>
      <c r="W789" s="96"/>
      <c r="X789" s="96"/>
      <c r="Y789" s="96"/>
    </row>
    <row r="790" spans="2:25">
      <c r="B790" s="374"/>
      <c r="C790" s="374"/>
      <c r="D790" s="374"/>
      <c r="E790" s="374"/>
      <c r="F790" s="374"/>
      <c r="G790" s="374"/>
      <c r="H790" s="374"/>
      <c r="I790" s="374"/>
      <c r="J790" s="374"/>
      <c r="K790" s="374"/>
      <c r="L790" s="374"/>
      <c r="M790" s="374"/>
      <c r="N790" s="374"/>
      <c r="O790" s="374"/>
      <c r="P790" s="374"/>
      <c r="Q790" s="374"/>
      <c r="R790" s="374"/>
      <c r="S790" s="374"/>
      <c r="T790" s="374"/>
      <c r="U790" s="374"/>
      <c r="V790" s="374"/>
      <c r="W790" s="96"/>
      <c r="X790" s="96"/>
      <c r="Y790" s="96"/>
    </row>
    <row r="791" spans="2:25">
      <c r="B791" s="374"/>
      <c r="C791" s="374"/>
      <c r="D791" s="374"/>
      <c r="E791" s="374"/>
      <c r="F791" s="374"/>
      <c r="G791" s="374"/>
      <c r="H791" s="374"/>
      <c r="I791" s="374"/>
      <c r="J791" s="374"/>
      <c r="K791" s="374"/>
      <c r="L791" s="374"/>
      <c r="M791" s="374"/>
      <c r="N791" s="374"/>
      <c r="O791" s="374"/>
      <c r="P791" s="374"/>
      <c r="Q791" s="374"/>
      <c r="R791" s="374"/>
      <c r="S791" s="374"/>
      <c r="T791" s="374"/>
      <c r="U791" s="374"/>
      <c r="V791" s="374"/>
      <c r="W791" s="96"/>
      <c r="X791" s="96"/>
      <c r="Y791" s="96"/>
    </row>
    <row r="792" spans="2:25">
      <c r="B792" s="374"/>
      <c r="C792" s="374"/>
      <c r="D792" s="374"/>
      <c r="E792" s="374"/>
      <c r="F792" s="374"/>
      <c r="G792" s="374"/>
      <c r="H792" s="374"/>
      <c r="I792" s="374"/>
      <c r="J792" s="374"/>
      <c r="K792" s="374"/>
      <c r="L792" s="374"/>
      <c r="M792" s="374"/>
      <c r="N792" s="374"/>
      <c r="O792" s="374"/>
      <c r="P792" s="374"/>
      <c r="Q792" s="374"/>
      <c r="R792" s="374"/>
      <c r="S792" s="374"/>
      <c r="T792" s="374"/>
      <c r="U792" s="374"/>
      <c r="V792" s="374"/>
      <c r="W792" s="96"/>
      <c r="X792" s="96"/>
      <c r="Y792" s="96"/>
    </row>
    <row r="793" spans="2:25">
      <c r="B793" s="374"/>
      <c r="C793" s="374"/>
      <c r="D793" s="374"/>
      <c r="E793" s="374"/>
      <c r="F793" s="374"/>
      <c r="G793" s="374"/>
      <c r="H793" s="374"/>
      <c r="I793" s="374"/>
      <c r="J793" s="374"/>
      <c r="K793" s="374"/>
      <c r="L793" s="374"/>
      <c r="M793" s="374"/>
      <c r="N793" s="374"/>
      <c r="O793" s="374"/>
      <c r="P793" s="374"/>
      <c r="Q793" s="374"/>
      <c r="R793" s="374"/>
      <c r="S793" s="374"/>
      <c r="T793" s="374"/>
      <c r="U793" s="374"/>
      <c r="V793" s="374"/>
      <c r="W793" s="96"/>
      <c r="X793" s="96"/>
      <c r="Y793" s="96"/>
    </row>
    <row r="794" spans="2:25">
      <c r="B794" s="374"/>
      <c r="C794" s="374"/>
      <c r="D794" s="374"/>
      <c r="E794" s="374"/>
      <c r="F794" s="374"/>
      <c r="G794" s="374"/>
      <c r="H794" s="374"/>
      <c r="I794" s="374"/>
      <c r="J794" s="374"/>
      <c r="K794" s="374"/>
      <c r="L794" s="374"/>
      <c r="M794" s="374"/>
      <c r="N794" s="374"/>
      <c r="O794" s="374"/>
      <c r="P794" s="374"/>
      <c r="Q794" s="374"/>
      <c r="R794" s="374"/>
      <c r="S794" s="374"/>
      <c r="T794" s="374"/>
      <c r="U794" s="374"/>
      <c r="V794" s="374"/>
      <c r="W794" s="96"/>
      <c r="X794" s="96"/>
      <c r="Y794" s="96"/>
    </row>
    <row r="795" spans="2:25">
      <c r="B795" s="374"/>
      <c r="C795" s="374"/>
      <c r="D795" s="374"/>
      <c r="E795" s="374"/>
      <c r="F795" s="374"/>
      <c r="G795" s="374"/>
      <c r="H795" s="374"/>
      <c r="I795" s="374"/>
      <c r="J795" s="374"/>
      <c r="K795" s="374"/>
      <c r="L795" s="374"/>
      <c r="M795" s="374"/>
      <c r="N795" s="374"/>
      <c r="O795" s="374"/>
      <c r="P795" s="374"/>
      <c r="Q795" s="374"/>
      <c r="R795" s="374"/>
      <c r="S795" s="374"/>
      <c r="T795" s="374"/>
      <c r="U795" s="374"/>
      <c r="V795" s="374"/>
      <c r="W795" s="96"/>
      <c r="X795" s="96"/>
      <c r="Y795" s="96"/>
    </row>
    <row r="796" spans="2:25">
      <c r="B796" s="374"/>
      <c r="C796" s="374"/>
      <c r="D796" s="374"/>
      <c r="E796" s="374"/>
      <c r="F796" s="374"/>
      <c r="G796" s="374"/>
      <c r="H796" s="374"/>
      <c r="I796" s="374"/>
      <c r="J796" s="374"/>
      <c r="K796" s="374"/>
      <c r="L796" s="374"/>
      <c r="M796" s="374"/>
      <c r="N796" s="374"/>
      <c r="O796" s="374"/>
      <c r="P796" s="374"/>
      <c r="Q796" s="374"/>
      <c r="R796" s="374"/>
      <c r="S796" s="374"/>
      <c r="T796" s="374"/>
      <c r="U796" s="374"/>
      <c r="V796" s="374"/>
      <c r="W796" s="96"/>
      <c r="X796" s="96"/>
      <c r="Y796" s="96"/>
    </row>
    <row r="797" spans="2:25">
      <c r="B797" s="374"/>
      <c r="C797" s="374"/>
      <c r="D797" s="374"/>
      <c r="E797" s="374"/>
      <c r="F797" s="374"/>
      <c r="G797" s="374"/>
      <c r="H797" s="374"/>
      <c r="I797" s="374"/>
      <c r="J797" s="374"/>
      <c r="K797" s="374"/>
      <c r="L797" s="374"/>
      <c r="M797" s="374"/>
      <c r="N797" s="374"/>
      <c r="O797" s="374"/>
      <c r="P797" s="374"/>
      <c r="Q797" s="374"/>
      <c r="R797" s="374"/>
      <c r="S797" s="374"/>
      <c r="T797" s="374"/>
      <c r="U797" s="374"/>
      <c r="V797" s="374"/>
      <c r="W797" s="96"/>
      <c r="X797" s="96"/>
      <c r="Y797" s="96"/>
    </row>
    <row r="798" spans="2:25">
      <c r="B798" s="374"/>
      <c r="C798" s="374"/>
      <c r="D798" s="374"/>
      <c r="E798" s="374"/>
      <c r="F798" s="374"/>
      <c r="G798" s="374"/>
      <c r="H798" s="374"/>
      <c r="I798" s="374"/>
      <c r="J798" s="374"/>
      <c r="K798" s="374"/>
      <c r="L798" s="374"/>
      <c r="M798" s="374"/>
      <c r="N798" s="374"/>
      <c r="O798" s="374"/>
      <c r="P798" s="374"/>
      <c r="Q798" s="374"/>
      <c r="R798" s="374"/>
      <c r="S798" s="374"/>
      <c r="T798" s="374"/>
      <c r="U798" s="374"/>
      <c r="V798" s="374"/>
      <c r="W798" s="96"/>
      <c r="X798" s="96"/>
      <c r="Y798" s="96"/>
    </row>
    <row r="799" spans="2:25">
      <c r="B799" s="374"/>
      <c r="C799" s="374"/>
      <c r="D799" s="374"/>
      <c r="E799" s="374"/>
      <c r="F799" s="374"/>
      <c r="G799" s="374"/>
      <c r="H799" s="374"/>
      <c r="I799" s="374"/>
      <c r="J799" s="374"/>
      <c r="K799" s="374"/>
      <c r="L799" s="374"/>
      <c r="M799" s="374"/>
      <c r="N799" s="374"/>
      <c r="O799" s="374"/>
      <c r="P799" s="374"/>
      <c r="Q799" s="374"/>
      <c r="R799" s="374"/>
      <c r="S799" s="374"/>
      <c r="T799" s="374"/>
      <c r="U799" s="374"/>
      <c r="V799" s="374"/>
      <c r="W799" s="96"/>
      <c r="X799" s="96"/>
      <c r="Y799" s="96"/>
    </row>
    <row r="800" spans="2:25">
      <c r="B800" s="374"/>
      <c r="C800" s="374"/>
      <c r="D800" s="374"/>
      <c r="E800" s="374"/>
      <c r="F800" s="374"/>
      <c r="G800" s="374"/>
      <c r="H800" s="374"/>
      <c r="I800" s="374"/>
      <c r="J800" s="374"/>
      <c r="K800" s="374"/>
      <c r="L800" s="374"/>
      <c r="M800" s="374"/>
      <c r="N800" s="374"/>
      <c r="O800" s="374"/>
      <c r="P800" s="374"/>
      <c r="Q800" s="374"/>
      <c r="R800" s="374"/>
      <c r="S800" s="374"/>
      <c r="T800" s="374"/>
      <c r="U800" s="374"/>
      <c r="V800" s="374"/>
      <c r="W800" s="96"/>
      <c r="X800" s="96"/>
      <c r="Y800" s="96"/>
    </row>
    <row r="801" spans="2:25">
      <c r="B801" s="374"/>
      <c r="C801" s="374"/>
      <c r="D801" s="374"/>
      <c r="E801" s="374"/>
      <c r="F801" s="374"/>
      <c r="G801" s="374"/>
      <c r="H801" s="374"/>
      <c r="I801" s="374"/>
      <c r="J801" s="374"/>
      <c r="K801" s="374"/>
      <c r="L801" s="374"/>
      <c r="M801" s="374"/>
      <c r="N801" s="374"/>
      <c r="O801" s="374"/>
      <c r="P801" s="374"/>
      <c r="Q801" s="374"/>
      <c r="R801" s="374"/>
      <c r="S801" s="374"/>
      <c r="T801" s="374"/>
      <c r="U801" s="374"/>
      <c r="V801" s="374"/>
      <c r="W801" s="96"/>
      <c r="X801" s="96"/>
      <c r="Y801" s="96"/>
    </row>
    <row r="802" spans="2:25">
      <c r="B802" s="374"/>
      <c r="C802" s="374"/>
      <c r="D802" s="374"/>
      <c r="E802" s="374"/>
      <c r="F802" s="374"/>
      <c r="G802" s="374"/>
      <c r="H802" s="374"/>
      <c r="I802" s="374"/>
      <c r="J802" s="374"/>
      <c r="K802" s="374"/>
      <c r="L802" s="374"/>
      <c r="M802" s="374"/>
      <c r="N802" s="374"/>
      <c r="O802" s="374"/>
      <c r="P802" s="374"/>
      <c r="Q802" s="374"/>
      <c r="R802" s="374"/>
      <c r="S802" s="374"/>
      <c r="T802" s="374"/>
      <c r="U802" s="374"/>
      <c r="V802" s="374"/>
      <c r="W802" s="96"/>
      <c r="X802" s="96"/>
      <c r="Y802" s="96"/>
    </row>
    <row r="803" spans="2:25">
      <c r="B803" s="374"/>
      <c r="C803" s="374"/>
      <c r="D803" s="374"/>
      <c r="E803" s="374"/>
      <c r="F803" s="374"/>
      <c r="G803" s="374"/>
      <c r="H803" s="374"/>
      <c r="I803" s="374"/>
      <c r="J803" s="374"/>
      <c r="K803" s="374"/>
      <c r="L803" s="374"/>
      <c r="M803" s="374"/>
      <c r="N803" s="374"/>
      <c r="O803" s="374"/>
      <c r="P803" s="374"/>
      <c r="Q803" s="374"/>
      <c r="R803" s="374"/>
      <c r="S803" s="374"/>
      <c r="T803" s="374"/>
      <c r="U803" s="374"/>
      <c r="V803" s="374"/>
      <c r="W803" s="96"/>
      <c r="X803" s="96"/>
      <c r="Y803" s="96"/>
    </row>
    <row r="804" spans="2:25">
      <c r="B804" s="374"/>
      <c r="C804" s="374"/>
      <c r="D804" s="374"/>
      <c r="E804" s="374"/>
      <c r="F804" s="374"/>
      <c r="G804" s="374"/>
      <c r="H804" s="374"/>
      <c r="I804" s="374"/>
      <c r="J804" s="374"/>
      <c r="K804" s="374"/>
      <c r="L804" s="374"/>
      <c r="M804" s="374"/>
      <c r="N804" s="374"/>
      <c r="O804" s="374"/>
      <c r="P804" s="374"/>
      <c r="Q804" s="374"/>
      <c r="R804" s="374"/>
      <c r="S804" s="374"/>
      <c r="T804" s="374"/>
      <c r="U804" s="374"/>
      <c r="V804" s="374"/>
      <c r="W804" s="96"/>
      <c r="X804" s="96"/>
      <c r="Y804" s="96"/>
    </row>
    <row r="805" spans="2:25">
      <c r="B805" s="374"/>
      <c r="C805" s="374"/>
      <c r="D805" s="374"/>
      <c r="E805" s="374"/>
      <c r="F805" s="374"/>
      <c r="G805" s="374"/>
      <c r="H805" s="374"/>
      <c r="I805" s="374"/>
      <c r="J805" s="374"/>
      <c r="K805" s="374"/>
      <c r="L805" s="374"/>
      <c r="M805" s="374"/>
      <c r="N805" s="374"/>
      <c r="O805" s="374"/>
      <c r="P805" s="374"/>
      <c r="Q805" s="374"/>
      <c r="R805" s="374"/>
      <c r="S805" s="374"/>
      <c r="T805" s="374"/>
      <c r="U805" s="374"/>
      <c r="V805" s="374"/>
      <c r="W805" s="96"/>
      <c r="X805" s="96"/>
      <c r="Y805" s="96"/>
    </row>
    <row r="806" spans="2:25">
      <c r="B806" s="374"/>
      <c r="C806" s="374"/>
      <c r="D806" s="374"/>
      <c r="E806" s="374"/>
      <c r="F806" s="374"/>
      <c r="G806" s="374"/>
      <c r="H806" s="374"/>
      <c r="I806" s="374"/>
      <c r="J806" s="374"/>
      <c r="K806" s="374"/>
      <c r="L806" s="374"/>
      <c r="M806" s="374"/>
      <c r="N806" s="374"/>
      <c r="O806" s="374"/>
      <c r="P806" s="374"/>
      <c r="Q806" s="374"/>
      <c r="R806" s="374"/>
      <c r="S806" s="374"/>
      <c r="T806" s="374"/>
      <c r="U806" s="374"/>
      <c r="V806" s="374"/>
      <c r="W806" s="96"/>
      <c r="X806" s="96"/>
      <c r="Y806" s="96"/>
    </row>
    <row r="807" spans="2:25">
      <c r="B807" s="374"/>
      <c r="C807" s="374"/>
      <c r="D807" s="374"/>
      <c r="E807" s="374"/>
      <c r="F807" s="374"/>
      <c r="G807" s="374"/>
      <c r="H807" s="374"/>
      <c r="I807" s="374"/>
      <c r="J807" s="374"/>
      <c r="K807" s="374"/>
      <c r="L807" s="374"/>
      <c r="M807" s="374"/>
      <c r="N807" s="374"/>
      <c r="O807" s="374"/>
      <c r="P807" s="374"/>
      <c r="Q807" s="374"/>
      <c r="R807" s="374"/>
      <c r="S807" s="374"/>
      <c r="T807" s="374"/>
      <c r="U807" s="374"/>
      <c r="V807" s="374"/>
      <c r="W807" s="96"/>
      <c r="X807" s="96"/>
      <c r="Y807" s="96"/>
    </row>
    <row r="808" spans="2:25">
      <c r="B808" s="374"/>
      <c r="C808" s="374"/>
      <c r="D808" s="374"/>
      <c r="E808" s="374"/>
      <c r="F808" s="374"/>
      <c r="G808" s="374"/>
      <c r="H808" s="374"/>
      <c r="I808" s="374"/>
      <c r="J808" s="374"/>
      <c r="K808" s="374"/>
      <c r="L808" s="374"/>
      <c r="M808" s="374"/>
      <c r="N808" s="374"/>
      <c r="O808" s="374"/>
      <c r="P808" s="374"/>
      <c r="Q808" s="374"/>
      <c r="R808" s="374"/>
      <c r="S808" s="374"/>
      <c r="T808" s="374"/>
      <c r="U808" s="374"/>
      <c r="V808" s="374"/>
      <c r="W808" s="96"/>
      <c r="X808" s="96"/>
      <c r="Y808" s="96"/>
    </row>
    <row r="809" spans="2:25">
      <c r="B809" s="374"/>
      <c r="C809" s="374"/>
      <c r="D809" s="374"/>
      <c r="E809" s="374"/>
      <c r="F809" s="374"/>
      <c r="G809" s="374"/>
      <c r="H809" s="374"/>
      <c r="I809" s="374"/>
      <c r="J809" s="374"/>
      <c r="K809" s="374"/>
      <c r="L809" s="374"/>
      <c r="M809" s="374"/>
      <c r="N809" s="374"/>
      <c r="O809" s="374"/>
      <c r="P809" s="374"/>
      <c r="Q809" s="374"/>
      <c r="R809" s="374"/>
      <c r="S809" s="374"/>
      <c r="T809" s="374"/>
      <c r="U809" s="374"/>
      <c r="V809" s="374"/>
      <c r="W809" s="96"/>
      <c r="X809" s="96"/>
      <c r="Y809" s="96"/>
    </row>
    <row r="810" spans="2:25">
      <c r="B810" s="374"/>
      <c r="C810" s="374"/>
      <c r="D810" s="374"/>
      <c r="E810" s="374"/>
      <c r="F810" s="374"/>
      <c r="G810" s="374"/>
      <c r="H810" s="374"/>
      <c r="I810" s="374"/>
      <c r="J810" s="374"/>
      <c r="K810" s="374"/>
      <c r="L810" s="374"/>
      <c r="M810" s="374"/>
      <c r="N810" s="374"/>
      <c r="O810" s="374"/>
      <c r="P810" s="374"/>
      <c r="Q810" s="374"/>
      <c r="R810" s="374"/>
      <c r="S810" s="374"/>
      <c r="T810" s="374"/>
      <c r="U810" s="374"/>
      <c r="V810" s="374"/>
      <c r="W810" s="96"/>
      <c r="X810" s="96"/>
      <c r="Y810" s="96"/>
    </row>
    <row r="811" spans="2:25">
      <c r="B811" s="374"/>
      <c r="C811" s="374"/>
      <c r="D811" s="374"/>
      <c r="E811" s="374"/>
      <c r="F811" s="374"/>
      <c r="G811" s="374"/>
      <c r="H811" s="374"/>
      <c r="I811" s="374"/>
      <c r="J811" s="374"/>
      <c r="K811" s="374"/>
      <c r="L811" s="374"/>
      <c r="M811" s="374"/>
      <c r="N811" s="374"/>
      <c r="O811" s="374"/>
      <c r="P811" s="374"/>
      <c r="Q811" s="374"/>
      <c r="R811" s="374"/>
      <c r="S811" s="374"/>
      <c r="T811" s="374"/>
      <c r="U811" s="374"/>
      <c r="V811" s="374"/>
      <c r="W811" s="96"/>
      <c r="X811" s="96"/>
      <c r="Y811" s="96"/>
    </row>
    <row r="812" spans="2:25">
      <c r="B812" s="374"/>
      <c r="C812" s="374"/>
      <c r="D812" s="374"/>
      <c r="E812" s="374"/>
      <c r="F812" s="374"/>
      <c r="G812" s="374"/>
      <c r="H812" s="374"/>
      <c r="I812" s="374"/>
      <c r="J812" s="374"/>
      <c r="K812" s="374"/>
      <c r="L812" s="374"/>
      <c r="M812" s="374"/>
      <c r="N812" s="374"/>
      <c r="O812" s="374"/>
      <c r="P812" s="374"/>
      <c r="Q812" s="374"/>
      <c r="R812" s="374"/>
      <c r="S812" s="374"/>
      <c r="T812" s="374"/>
      <c r="U812" s="374"/>
      <c r="V812" s="374"/>
      <c r="W812" s="96"/>
      <c r="X812" s="96"/>
      <c r="Y812" s="96"/>
    </row>
    <row r="813" spans="2:25">
      <c r="B813" s="374"/>
      <c r="C813" s="374"/>
      <c r="D813" s="374"/>
      <c r="E813" s="374"/>
      <c r="F813" s="374"/>
      <c r="G813" s="374"/>
      <c r="H813" s="374"/>
      <c r="I813" s="374"/>
      <c r="J813" s="374"/>
      <c r="K813" s="374"/>
      <c r="L813" s="374"/>
      <c r="M813" s="374"/>
      <c r="N813" s="374"/>
      <c r="O813" s="374"/>
      <c r="P813" s="374"/>
      <c r="Q813" s="374"/>
      <c r="R813" s="374"/>
      <c r="S813" s="374"/>
      <c r="T813" s="374"/>
      <c r="U813" s="374"/>
      <c r="V813" s="374"/>
      <c r="W813" s="96"/>
      <c r="X813" s="96"/>
      <c r="Y813" s="96"/>
    </row>
    <row r="814" spans="2:25">
      <c r="B814" s="374"/>
      <c r="C814" s="374"/>
      <c r="D814" s="374"/>
      <c r="E814" s="374"/>
      <c r="F814" s="374"/>
      <c r="G814" s="374"/>
      <c r="H814" s="374"/>
      <c r="I814" s="374"/>
      <c r="J814" s="374"/>
      <c r="K814" s="374"/>
      <c r="L814" s="374"/>
      <c r="M814" s="374"/>
      <c r="N814" s="374"/>
      <c r="O814" s="374"/>
      <c r="P814" s="374"/>
      <c r="Q814" s="374"/>
      <c r="R814" s="374"/>
      <c r="S814" s="374"/>
      <c r="T814" s="374"/>
      <c r="U814" s="374"/>
      <c r="V814" s="374"/>
      <c r="W814" s="96"/>
      <c r="X814" s="96"/>
      <c r="Y814" s="96"/>
    </row>
    <row r="815" spans="2:25">
      <c r="B815" s="374"/>
      <c r="C815" s="374"/>
      <c r="D815" s="374"/>
      <c r="E815" s="374"/>
      <c r="F815" s="374"/>
      <c r="G815" s="374"/>
      <c r="H815" s="374"/>
      <c r="I815" s="374"/>
      <c r="J815" s="374"/>
      <c r="K815" s="374"/>
      <c r="L815" s="374"/>
      <c r="M815" s="374"/>
      <c r="N815" s="374"/>
      <c r="O815" s="374"/>
      <c r="P815" s="374"/>
      <c r="Q815" s="374"/>
      <c r="R815" s="374"/>
      <c r="S815" s="374"/>
      <c r="T815" s="374"/>
      <c r="U815" s="374"/>
      <c r="V815" s="374"/>
      <c r="W815" s="96"/>
      <c r="X815" s="96"/>
      <c r="Y815" s="96"/>
    </row>
    <row r="816" spans="2:25">
      <c r="B816" s="374"/>
      <c r="C816" s="374"/>
      <c r="D816" s="374"/>
      <c r="E816" s="374"/>
      <c r="F816" s="374"/>
      <c r="G816" s="374"/>
      <c r="H816" s="374"/>
      <c r="I816" s="374"/>
      <c r="J816" s="374"/>
      <c r="K816" s="374"/>
      <c r="L816" s="374"/>
      <c r="M816" s="374"/>
      <c r="N816" s="374"/>
      <c r="O816" s="374"/>
      <c r="P816" s="374"/>
      <c r="Q816" s="374"/>
      <c r="R816" s="374"/>
      <c r="S816" s="374"/>
      <c r="T816" s="374"/>
      <c r="U816" s="374"/>
      <c r="V816" s="374"/>
      <c r="W816" s="96"/>
      <c r="X816" s="96"/>
      <c r="Y816" s="96"/>
    </row>
    <row r="817" spans="2:25">
      <c r="B817" s="374"/>
      <c r="C817" s="374"/>
      <c r="D817" s="374"/>
      <c r="E817" s="374"/>
      <c r="F817" s="374"/>
      <c r="G817" s="374"/>
      <c r="H817" s="374"/>
      <c r="I817" s="374"/>
      <c r="J817" s="374"/>
      <c r="K817" s="374"/>
      <c r="L817" s="374"/>
      <c r="M817" s="374"/>
      <c r="N817" s="374"/>
      <c r="O817" s="374"/>
      <c r="P817" s="374"/>
      <c r="Q817" s="374"/>
      <c r="R817" s="374"/>
      <c r="S817" s="374"/>
      <c r="T817" s="374"/>
      <c r="U817" s="374"/>
      <c r="V817" s="374"/>
      <c r="W817" s="96"/>
      <c r="X817" s="96"/>
      <c r="Y817" s="96"/>
    </row>
    <row r="818" spans="2:25">
      <c r="B818" s="374"/>
      <c r="C818" s="374"/>
      <c r="D818" s="374"/>
      <c r="E818" s="374"/>
      <c r="F818" s="374"/>
      <c r="G818" s="374"/>
      <c r="H818" s="374"/>
      <c r="I818" s="374"/>
      <c r="J818" s="374"/>
      <c r="K818" s="374"/>
      <c r="L818" s="374"/>
      <c r="M818" s="374"/>
      <c r="N818" s="374"/>
      <c r="O818" s="374"/>
      <c r="P818" s="374"/>
      <c r="Q818" s="374"/>
      <c r="R818" s="374"/>
      <c r="S818" s="374"/>
      <c r="T818" s="374"/>
      <c r="U818" s="374"/>
      <c r="V818" s="374"/>
      <c r="W818" s="96"/>
      <c r="X818" s="96"/>
      <c r="Y818" s="96"/>
    </row>
    <row r="819" spans="2:25">
      <c r="B819" s="374"/>
      <c r="C819" s="374"/>
      <c r="D819" s="374"/>
      <c r="E819" s="374"/>
      <c r="F819" s="374"/>
      <c r="G819" s="374"/>
      <c r="H819" s="374"/>
      <c r="I819" s="374"/>
      <c r="J819" s="374"/>
      <c r="K819" s="374"/>
      <c r="L819" s="374"/>
      <c r="M819" s="374"/>
      <c r="N819" s="374"/>
      <c r="O819" s="374"/>
      <c r="P819" s="374"/>
      <c r="Q819" s="374"/>
      <c r="R819" s="374"/>
      <c r="S819" s="374"/>
      <c r="T819" s="374"/>
      <c r="U819" s="374"/>
      <c r="V819" s="374"/>
      <c r="W819" s="96"/>
      <c r="X819" s="96"/>
      <c r="Y819" s="96"/>
    </row>
    <row r="820" spans="2:25">
      <c r="B820" s="374"/>
      <c r="C820" s="374"/>
      <c r="D820" s="374"/>
      <c r="E820" s="374"/>
      <c r="F820" s="374"/>
      <c r="G820" s="374"/>
      <c r="H820" s="374"/>
      <c r="I820" s="374"/>
      <c r="J820" s="374"/>
      <c r="K820" s="374"/>
      <c r="L820" s="374"/>
      <c r="M820" s="374"/>
      <c r="N820" s="374"/>
      <c r="O820" s="374"/>
      <c r="P820" s="374"/>
      <c r="Q820" s="374"/>
      <c r="R820" s="374"/>
      <c r="S820" s="374"/>
      <c r="T820" s="374"/>
      <c r="U820" s="374"/>
      <c r="V820" s="374"/>
      <c r="W820" s="96"/>
      <c r="X820" s="96"/>
      <c r="Y820" s="96"/>
    </row>
    <row r="821" spans="2:25">
      <c r="B821" s="374"/>
      <c r="C821" s="374"/>
      <c r="D821" s="374"/>
      <c r="E821" s="374"/>
      <c r="F821" s="374"/>
      <c r="G821" s="374"/>
      <c r="H821" s="374"/>
      <c r="I821" s="374"/>
      <c r="J821" s="374"/>
      <c r="K821" s="374"/>
      <c r="L821" s="374"/>
      <c r="M821" s="374"/>
      <c r="N821" s="374"/>
      <c r="O821" s="374"/>
      <c r="P821" s="374"/>
      <c r="Q821" s="374"/>
      <c r="R821" s="374"/>
      <c r="S821" s="374"/>
      <c r="T821" s="374"/>
      <c r="U821" s="374"/>
      <c r="V821" s="374"/>
      <c r="W821" s="96"/>
      <c r="X821" s="96"/>
      <c r="Y821" s="96"/>
    </row>
    <row r="822" spans="2:25">
      <c r="B822" s="374"/>
      <c r="C822" s="374"/>
      <c r="D822" s="374"/>
      <c r="E822" s="374"/>
      <c r="F822" s="374"/>
      <c r="G822" s="374"/>
      <c r="H822" s="374"/>
      <c r="I822" s="374"/>
      <c r="J822" s="374"/>
      <c r="K822" s="374"/>
      <c r="L822" s="374"/>
      <c r="M822" s="374"/>
      <c r="N822" s="374"/>
      <c r="O822" s="374"/>
      <c r="P822" s="374"/>
      <c r="Q822" s="374"/>
      <c r="R822" s="374"/>
      <c r="S822" s="374"/>
      <c r="T822" s="374"/>
      <c r="U822" s="374"/>
      <c r="V822" s="374"/>
      <c r="W822" s="96"/>
      <c r="X822" s="96"/>
      <c r="Y822" s="96"/>
    </row>
    <row r="823" spans="2:25">
      <c r="B823" s="374"/>
      <c r="C823" s="374"/>
      <c r="D823" s="374"/>
      <c r="E823" s="374"/>
      <c r="F823" s="374"/>
      <c r="G823" s="374"/>
      <c r="H823" s="374"/>
      <c r="I823" s="374"/>
      <c r="J823" s="374"/>
      <c r="K823" s="374"/>
      <c r="L823" s="374"/>
      <c r="M823" s="374"/>
      <c r="N823" s="374"/>
      <c r="O823" s="374"/>
      <c r="P823" s="374"/>
      <c r="Q823" s="374"/>
      <c r="R823" s="374"/>
      <c r="S823" s="374"/>
      <c r="T823" s="374"/>
      <c r="U823" s="374"/>
      <c r="V823" s="374"/>
      <c r="W823" s="96"/>
      <c r="X823" s="96"/>
      <c r="Y823" s="96"/>
    </row>
    <row r="824" spans="2:25">
      <c r="B824" s="374"/>
      <c r="C824" s="374"/>
      <c r="D824" s="374"/>
      <c r="E824" s="374"/>
      <c r="F824" s="374"/>
      <c r="G824" s="374"/>
      <c r="H824" s="374"/>
      <c r="I824" s="374"/>
      <c r="J824" s="374"/>
      <c r="K824" s="374"/>
      <c r="L824" s="374"/>
      <c r="M824" s="374"/>
      <c r="N824" s="374"/>
      <c r="O824" s="374"/>
      <c r="P824" s="374"/>
      <c r="Q824" s="374"/>
      <c r="R824" s="374"/>
      <c r="S824" s="374"/>
      <c r="T824" s="374"/>
      <c r="U824" s="374"/>
      <c r="V824" s="374"/>
      <c r="W824" s="96"/>
      <c r="X824" s="96"/>
      <c r="Y824" s="96"/>
    </row>
    <row r="825" spans="2:25">
      <c r="B825" s="374"/>
      <c r="C825" s="374"/>
      <c r="D825" s="374"/>
      <c r="E825" s="374"/>
      <c r="F825" s="374"/>
      <c r="G825" s="374"/>
      <c r="H825" s="374"/>
      <c r="I825" s="374"/>
      <c r="J825" s="374"/>
      <c r="K825" s="374"/>
      <c r="L825" s="374"/>
      <c r="M825" s="374"/>
      <c r="N825" s="374"/>
      <c r="O825" s="374"/>
      <c r="P825" s="374"/>
      <c r="Q825" s="374"/>
      <c r="R825" s="374"/>
      <c r="S825" s="374"/>
      <c r="T825" s="374"/>
      <c r="U825" s="374"/>
      <c r="V825" s="374"/>
      <c r="W825" s="96"/>
      <c r="X825" s="96"/>
      <c r="Y825" s="96"/>
    </row>
    <row r="826" spans="2:25">
      <c r="B826" s="374"/>
      <c r="C826" s="374"/>
      <c r="D826" s="374"/>
      <c r="E826" s="374"/>
      <c r="F826" s="374"/>
      <c r="G826" s="374"/>
      <c r="H826" s="374"/>
      <c r="I826" s="374"/>
      <c r="J826" s="374"/>
      <c r="K826" s="374"/>
      <c r="L826" s="374"/>
      <c r="M826" s="374"/>
      <c r="N826" s="374"/>
      <c r="O826" s="374"/>
      <c r="P826" s="374"/>
      <c r="Q826" s="374"/>
      <c r="R826" s="374"/>
      <c r="S826" s="374"/>
      <c r="T826" s="374"/>
      <c r="U826" s="374"/>
      <c r="V826" s="374"/>
      <c r="W826" s="96"/>
      <c r="X826" s="96"/>
      <c r="Y826" s="96"/>
    </row>
    <row r="827" spans="2:25">
      <c r="B827" s="374"/>
      <c r="C827" s="374"/>
      <c r="D827" s="374"/>
      <c r="E827" s="374"/>
      <c r="F827" s="374"/>
      <c r="G827" s="374"/>
      <c r="H827" s="374"/>
      <c r="I827" s="374"/>
      <c r="J827" s="374"/>
      <c r="K827" s="374"/>
      <c r="L827" s="374"/>
      <c r="M827" s="374"/>
      <c r="N827" s="374"/>
      <c r="O827" s="374"/>
      <c r="P827" s="374"/>
      <c r="Q827" s="374"/>
      <c r="R827" s="374"/>
      <c r="S827" s="374"/>
      <c r="T827" s="374"/>
      <c r="U827" s="374"/>
      <c r="V827" s="374"/>
      <c r="W827" s="96"/>
      <c r="X827" s="96"/>
      <c r="Y827" s="96"/>
    </row>
    <row r="828" spans="2:25">
      <c r="B828" s="374"/>
      <c r="C828" s="374"/>
      <c r="D828" s="374"/>
      <c r="E828" s="374"/>
      <c r="F828" s="374"/>
      <c r="G828" s="374"/>
      <c r="H828" s="374"/>
      <c r="I828" s="374"/>
      <c r="J828" s="374"/>
      <c r="K828" s="374"/>
      <c r="L828" s="374"/>
      <c r="M828" s="374"/>
      <c r="N828" s="374"/>
      <c r="O828" s="374"/>
      <c r="P828" s="374"/>
      <c r="Q828" s="374"/>
      <c r="R828" s="374"/>
      <c r="S828" s="374"/>
      <c r="T828" s="374"/>
      <c r="U828" s="374"/>
      <c r="V828" s="374"/>
      <c r="W828" s="96"/>
      <c r="X828" s="96"/>
      <c r="Y828" s="96"/>
    </row>
    <row r="829" spans="2:25">
      <c r="B829" s="374"/>
      <c r="C829" s="374"/>
      <c r="D829" s="374"/>
      <c r="E829" s="374"/>
      <c r="F829" s="374"/>
      <c r="G829" s="374"/>
      <c r="H829" s="374"/>
      <c r="I829" s="374"/>
      <c r="J829" s="374"/>
      <c r="K829" s="374"/>
      <c r="L829" s="374"/>
      <c r="M829" s="374"/>
      <c r="N829" s="374"/>
      <c r="O829" s="374"/>
      <c r="P829" s="374"/>
      <c r="Q829" s="374"/>
      <c r="R829" s="374"/>
      <c r="S829" s="374"/>
      <c r="T829" s="374"/>
      <c r="U829" s="374"/>
      <c r="V829" s="374"/>
      <c r="W829" s="96"/>
      <c r="X829" s="96"/>
      <c r="Y829" s="96"/>
    </row>
    <row r="830" spans="2:25">
      <c r="B830" s="374"/>
      <c r="C830" s="374"/>
      <c r="D830" s="374"/>
      <c r="E830" s="374"/>
      <c r="F830" s="374"/>
      <c r="G830" s="374"/>
      <c r="H830" s="374"/>
      <c r="I830" s="374"/>
      <c r="J830" s="374"/>
      <c r="K830" s="374"/>
      <c r="L830" s="374"/>
      <c r="M830" s="374"/>
      <c r="N830" s="374"/>
      <c r="O830" s="374"/>
      <c r="P830" s="374"/>
      <c r="Q830" s="374"/>
      <c r="R830" s="374"/>
      <c r="S830" s="374"/>
      <c r="T830" s="374"/>
      <c r="U830" s="374"/>
      <c r="V830" s="374"/>
      <c r="W830" s="96"/>
      <c r="X830" s="96"/>
      <c r="Y830" s="96"/>
    </row>
    <row r="831" spans="2:25">
      <c r="B831" s="374"/>
      <c r="C831" s="374"/>
      <c r="D831" s="374"/>
      <c r="E831" s="374"/>
      <c r="F831" s="374"/>
      <c r="G831" s="374"/>
      <c r="H831" s="374"/>
      <c r="I831" s="374"/>
      <c r="J831" s="374"/>
      <c r="K831" s="374"/>
      <c r="L831" s="374"/>
      <c r="M831" s="374"/>
      <c r="N831" s="374"/>
      <c r="O831" s="374"/>
      <c r="P831" s="374"/>
      <c r="Q831" s="374"/>
      <c r="R831" s="374"/>
      <c r="S831" s="374"/>
      <c r="T831" s="374"/>
      <c r="U831" s="374"/>
      <c r="V831" s="374"/>
      <c r="W831" s="96"/>
      <c r="X831" s="96"/>
      <c r="Y831" s="96"/>
    </row>
    <row r="832" spans="2:25">
      <c r="B832" s="374"/>
      <c r="C832" s="374"/>
      <c r="D832" s="374"/>
      <c r="E832" s="374"/>
      <c r="F832" s="374"/>
      <c r="G832" s="374"/>
      <c r="H832" s="374"/>
      <c r="I832" s="374"/>
      <c r="J832" s="374"/>
      <c r="K832" s="374"/>
      <c r="L832" s="374"/>
      <c r="M832" s="374"/>
      <c r="N832" s="374"/>
      <c r="O832" s="374"/>
      <c r="P832" s="374"/>
      <c r="Q832" s="374"/>
      <c r="R832" s="374"/>
      <c r="S832" s="374"/>
      <c r="T832" s="374"/>
      <c r="U832" s="374"/>
      <c r="V832" s="374"/>
      <c r="W832" s="96"/>
      <c r="X832" s="96"/>
      <c r="Y832" s="96"/>
    </row>
    <row r="833" spans="2:25">
      <c r="B833" s="374"/>
      <c r="C833" s="374"/>
      <c r="D833" s="374"/>
      <c r="E833" s="374"/>
      <c r="F833" s="374"/>
      <c r="G833" s="374"/>
      <c r="H833" s="374"/>
      <c r="I833" s="374"/>
      <c r="J833" s="374"/>
      <c r="K833" s="374"/>
      <c r="L833" s="374"/>
      <c r="M833" s="374"/>
      <c r="N833" s="374"/>
      <c r="O833" s="374"/>
      <c r="P833" s="374"/>
      <c r="Q833" s="374"/>
      <c r="R833" s="374"/>
      <c r="S833" s="374"/>
      <c r="T833" s="374"/>
      <c r="U833" s="374"/>
      <c r="V833" s="374"/>
      <c r="W833" s="96"/>
      <c r="X833" s="96"/>
      <c r="Y833" s="96"/>
    </row>
    <row r="834" spans="2:25">
      <c r="B834" s="374"/>
      <c r="C834" s="374"/>
      <c r="D834" s="374"/>
      <c r="E834" s="374"/>
      <c r="F834" s="374"/>
      <c r="G834" s="374"/>
      <c r="H834" s="374"/>
      <c r="I834" s="374"/>
      <c r="J834" s="374"/>
      <c r="K834" s="374"/>
      <c r="L834" s="374"/>
      <c r="M834" s="374"/>
      <c r="N834" s="374"/>
      <c r="O834" s="374"/>
      <c r="P834" s="374"/>
      <c r="Q834" s="374"/>
      <c r="R834" s="374"/>
      <c r="S834" s="374"/>
      <c r="T834" s="374"/>
      <c r="U834" s="374"/>
      <c r="V834" s="374"/>
      <c r="W834" s="96"/>
      <c r="X834" s="96"/>
      <c r="Y834" s="96"/>
    </row>
    <row r="835" spans="2:25">
      <c r="B835" s="374"/>
      <c r="C835" s="374"/>
      <c r="D835" s="374"/>
      <c r="E835" s="374"/>
      <c r="F835" s="374"/>
      <c r="G835" s="374"/>
      <c r="H835" s="374"/>
      <c r="I835" s="374"/>
      <c r="J835" s="374"/>
      <c r="K835" s="374"/>
      <c r="L835" s="374"/>
      <c r="M835" s="374"/>
      <c r="N835" s="374"/>
      <c r="O835" s="374"/>
      <c r="P835" s="374"/>
      <c r="Q835" s="374"/>
      <c r="R835" s="374"/>
      <c r="S835" s="374"/>
      <c r="T835" s="374"/>
      <c r="U835" s="374"/>
      <c r="V835" s="374"/>
      <c r="W835" s="96"/>
      <c r="X835" s="96"/>
      <c r="Y835" s="96"/>
    </row>
    <row r="836" spans="2:25">
      <c r="B836" s="374"/>
      <c r="C836" s="374"/>
      <c r="D836" s="374"/>
      <c r="E836" s="374"/>
      <c r="F836" s="374"/>
      <c r="G836" s="374"/>
      <c r="H836" s="374"/>
      <c r="I836" s="374"/>
      <c r="J836" s="374"/>
      <c r="K836" s="374"/>
      <c r="L836" s="374"/>
      <c r="M836" s="374"/>
      <c r="N836" s="374"/>
      <c r="O836" s="374"/>
      <c r="P836" s="374"/>
      <c r="Q836" s="374"/>
      <c r="R836" s="374"/>
      <c r="S836" s="374"/>
      <c r="T836" s="374"/>
      <c r="U836" s="374"/>
      <c r="V836" s="374"/>
      <c r="W836" s="96"/>
      <c r="X836" s="96"/>
      <c r="Y836" s="96"/>
    </row>
    <row r="837" spans="2:25">
      <c r="B837" s="374"/>
      <c r="C837" s="374"/>
      <c r="D837" s="374"/>
      <c r="E837" s="374"/>
      <c r="F837" s="374"/>
      <c r="G837" s="374"/>
      <c r="H837" s="374"/>
      <c r="I837" s="374"/>
      <c r="J837" s="374"/>
      <c r="K837" s="374"/>
      <c r="L837" s="374"/>
      <c r="M837" s="374"/>
      <c r="N837" s="374"/>
      <c r="O837" s="374"/>
      <c r="P837" s="374"/>
      <c r="Q837" s="374"/>
      <c r="R837" s="374"/>
      <c r="S837" s="374"/>
      <c r="T837" s="374"/>
      <c r="U837" s="374"/>
      <c r="V837" s="374"/>
      <c r="W837" s="96"/>
      <c r="X837" s="96"/>
      <c r="Y837" s="96"/>
    </row>
    <row r="838" spans="2:25">
      <c r="B838" s="374"/>
      <c r="C838" s="374"/>
      <c r="D838" s="374"/>
      <c r="E838" s="374"/>
      <c r="F838" s="374"/>
      <c r="G838" s="374"/>
      <c r="H838" s="374"/>
      <c r="I838" s="374"/>
      <c r="J838" s="374"/>
      <c r="K838" s="374"/>
      <c r="L838" s="374"/>
      <c r="M838" s="374"/>
      <c r="N838" s="374"/>
      <c r="O838" s="374"/>
      <c r="P838" s="374"/>
      <c r="Q838" s="374"/>
      <c r="R838" s="374"/>
      <c r="S838" s="374"/>
      <c r="T838" s="374"/>
      <c r="U838" s="374"/>
      <c r="V838" s="374"/>
      <c r="W838" s="96"/>
      <c r="X838" s="96"/>
      <c r="Y838" s="96"/>
    </row>
    <row r="839" spans="2:25">
      <c r="B839" s="374"/>
      <c r="C839" s="374"/>
      <c r="D839" s="374"/>
      <c r="E839" s="374"/>
      <c r="F839" s="374"/>
      <c r="G839" s="374"/>
      <c r="H839" s="374"/>
      <c r="I839" s="374"/>
      <c r="J839" s="374"/>
      <c r="K839" s="374"/>
      <c r="L839" s="374"/>
      <c r="M839" s="374"/>
      <c r="N839" s="374"/>
      <c r="O839" s="374"/>
      <c r="P839" s="374"/>
      <c r="Q839" s="374"/>
      <c r="R839" s="374"/>
      <c r="S839" s="374"/>
      <c r="T839" s="374"/>
      <c r="U839" s="374"/>
      <c r="V839" s="374"/>
      <c r="W839" s="96"/>
      <c r="X839" s="96"/>
      <c r="Y839" s="96"/>
    </row>
    <row r="840" spans="2:25">
      <c r="B840" s="374"/>
      <c r="C840" s="374"/>
      <c r="D840" s="374"/>
      <c r="E840" s="374"/>
      <c r="F840" s="374"/>
      <c r="G840" s="374"/>
      <c r="H840" s="374"/>
      <c r="I840" s="374"/>
      <c r="J840" s="374"/>
      <c r="K840" s="374"/>
      <c r="L840" s="374"/>
      <c r="M840" s="374"/>
      <c r="N840" s="374"/>
      <c r="O840" s="374"/>
      <c r="P840" s="374"/>
      <c r="Q840" s="374"/>
      <c r="R840" s="374"/>
      <c r="S840" s="374"/>
      <c r="T840" s="374"/>
      <c r="U840" s="374"/>
      <c r="V840" s="374"/>
      <c r="W840" s="96"/>
      <c r="X840" s="96"/>
      <c r="Y840" s="96"/>
    </row>
    <row r="841" spans="2:25">
      <c r="B841" s="374"/>
      <c r="C841" s="374"/>
      <c r="D841" s="374"/>
      <c r="E841" s="374"/>
      <c r="F841" s="374"/>
      <c r="G841" s="374"/>
      <c r="H841" s="374"/>
      <c r="I841" s="374"/>
      <c r="J841" s="374"/>
      <c r="K841" s="374"/>
      <c r="L841" s="374"/>
      <c r="M841" s="374"/>
      <c r="N841" s="374"/>
      <c r="O841" s="374"/>
      <c r="P841" s="374"/>
      <c r="Q841" s="374"/>
      <c r="R841" s="374"/>
      <c r="S841" s="374"/>
      <c r="T841" s="374"/>
      <c r="U841" s="374"/>
      <c r="V841" s="374"/>
      <c r="W841" s="96"/>
      <c r="X841" s="96"/>
      <c r="Y841" s="96"/>
    </row>
    <row r="842" spans="2:25">
      <c r="B842" s="374"/>
      <c r="C842" s="374"/>
      <c r="D842" s="374"/>
      <c r="E842" s="374"/>
      <c r="F842" s="374"/>
      <c r="G842" s="374"/>
      <c r="H842" s="374"/>
      <c r="I842" s="374"/>
      <c r="J842" s="374"/>
      <c r="K842" s="374"/>
      <c r="L842" s="374"/>
      <c r="M842" s="374"/>
      <c r="N842" s="374"/>
      <c r="O842" s="374"/>
      <c r="P842" s="374"/>
      <c r="Q842" s="374"/>
      <c r="R842" s="374"/>
      <c r="S842" s="374"/>
      <c r="T842" s="374"/>
      <c r="U842" s="374"/>
      <c r="V842" s="374"/>
      <c r="W842" s="96"/>
      <c r="X842" s="96"/>
      <c r="Y842" s="96"/>
    </row>
    <row r="843" spans="2:25">
      <c r="B843" s="374"/>
      <c r="C843" s="374"/>
      <c r="D843" s="374"/>
      <c r="E843" s="374"/>
      <c r="F843" s="374"/>
      <c r="G843" s="374"/>
      <c r="H843" s="374"/>
      <c r="I843" s="374"/>
      <c r="J843" s="374"/>
      <c r="K843" s="374"/>
      <c r="L843" s="374"/>
      <c r="M843" s="374"/>
      <c r="N843" s="374"/>
      <c r="O843" s="374"/>
      <c r="P843" s="374"/>
      <c r="Q843" s="374"/>
      <c r="R843" s="374"/>
      <c r="S843" s="374"/>
      <c r="T843" s="374"/>
      <c r="U843" s="374"/>
      <c r="V843" s="374"/>
      <c r="W843" s="96"/>
      <c r="X843" s="96"/>
      <c r="Y843" s="96"/>
    </row>
    <row r="844" spans="2:25">
      <c r="B844" s="374"/>
      <c r="C844" s="374"/>
      <c r="D844" s="374"/>
      <c r="E844" s="374"/>
      <c r="F844" s="374"/>
      <c r="G844" s="374"/>
      <c r="H844" s="374"/>
      <c r="I844" s="374"/>
      <c r="J844" s="374"/>
      <c r="K844" s="374"/>
      <c r="L844" s="374"/>
      <c r="M844" s="374"/>
      <c r="N844" s="374"/>
      <c r="O844" s="374"/>
      <c r="P844" s="374"/>
      <c r="Q844" s="374"/>
      <c r="R844" s="374"/>
      <c r="S844" s="374"/>
      <c r="T844" s="374"/>
      <c r="U844" s="374"/>
      <c r="V844" s="374"/>
      <c r="W844" s="96"/>
      <c r="X844" s="96"/>
      <c r="Y844" s="96"/>
    </row>
    <row r="845" spans="2:25">
      <c r="B845" s="374"/>
      <c r="C845" s="374"/>
      <c r="D845" s="374"/>
      <c r="E845" s="374"/>
      <c r="F845" s="374"/>
      <c r="G845" s="374"/>
      <c r="H845" s="374"/>
      <c r="I845" s="374"/>
      <c r="J845" s="374"/>
      <c r="K845" s="374"/>
      <c r="L845" s="374"/>
      <c r="M845" s="374"/>
      <c r="N845" s="374"/>
      <c r="O845" s="374"/>
      <c r="P845" s="374"/>
      <c r="Q845" s="374"/>
      <c r="R845" s="374"/>
      <c r="S845" s="374"/>
      <c r="T845" s="374"/>
      <c r="U845" s="374"/>
      <c r="V845" s="374"/>
      <c r="W845" s="96"/>
      <c r="X845" s="96"/>
      <c r="Y845" s="96"/>
    </row>
    <row r="846" spans="2:25">
      <c r="B846" s="374"/>
      <c r="C846" s="374"/>
      <c r="D846" s="374"/>
      <c r="E846" s="374"/>
      <c r="F846" s="374"/>
      <c r="G846" s="374"/>
      <c r="H846" s="374"/>
      <c r="I846" s="374"/>
      <c r="J846" s="374"/>
      <c r="K846" s="374"/>
      <c r="L846" s="374"/>
      <c r="M846" s="374"/>
      <c r="N846" s="374"/>
      <c r="O846" s="374"/>
      <c r="P846" s="374"/>
      <c r="Q846" s="374"/>
      <c r="R846" s="374"/>
      <c r="S846" s="374"/>
      <c r="T846" s="374"/>
      <c r="U846" s="374"/>
      <c r="V846" s="374"/>
      <c r="W846" s="96"/>
      <c r="X846" s="96"/>
      <c r="Y846" s="96"/>
    </row>
    <row r="847" spans="2:25">
      <c r="B847" s="374"/>
      <c r="C847" s="374"/>
      <c r="D847" s="374"/>
      <c r="E847" s="374"/>
      <c r="F847" s="374"/>
      <c r="G847" s="374"/>
      <c r="H847" s="374"/>
      <c r="I847" s="374"/>
      <c r="J847" s="374"/>
      <c r="K847" s="374"/>
      <c r="L847" s="374"/>
      <c r="M847" s="374"/>
      <c r="N847" s="374"/>
      <c r="O847" s="374"/>
      <c r="P847" s="374"/>
      <c r="Q847" s="374"/>
      <c r="R847" s="374"/>
      <c r="S847" s="374"/>
      <c r="T847" s="374"/>
      <c r="U847" s="374"/>
      <c r="V847" s="374"/>
      <c r="W847" s="96"/>
      <c r="X847" s="96"/>
      <c r="Y847" s="96"/>
    </row>
    <row r="848" spans="2:25">
      <c r="B848" s="374"/>
      <c r="C848" s="374"/>
      <c r="D848" s="374"/>
      <c r="E848" s="374"/>
      <c r="F848" s="374"/>
      <c r="G848" s="374"/>
      <c r="H848" s="374"/>
      <c r="I848" s="374"/>
      <c r="J848" s="374"/>
      <c r="K848" s="374"/>
      <c r="L848" s="374"/>
      <c r="M848" s="374"/>
      <c r="N848" s="374"/>
      <c r="O848" s="374"/>
      <c r="P848" s="374"/>
      <c r="Q848" s="374"/>
      <c r="R848" s="374"/>
      <c r="S848" s="374"/>
      <c r="T848" s="374"/>
      <c r="U848" s="374"/>
      <c r="V848" s="374"/>
      <c r="W848" s="96"/>
      <c r="X848" s="96"/>
      <c r="Y848" s="96"/>
    </row>
    <row r="849" spans="2:25">
      <c r="B849" s="374"/>
      <c r="C849" s="374"/>
      <c r="D849" s="374"/>
      <c r="E849" s="374"/>
      <c r="F849" s="374"/>
      <c r="G849" s="374"/>
      <c r="H849" s="374"/>
      <c r="I849" s="374"/>
      <c r="J849" s="374"/>
      <c r="K849" s="374"/>
      <c r="L849" s="374"/>
      <c r="M849" s="374"/>
      <c r="N849" s="374"/>
      <c r="O849" s="374"/>
      <c r="P849" s="374"/>
      <c r="Q849" s="374"/>
      <c r="R849" s="374"/>
      <c r="S849" s="374"/>
      <c r="T849" s="374"/>
      <c r="U849" s="374"/>
      <c r="V849" s="374"/>
      <c r="W849" s="96"/>
      <c r="X849" s="96"/>
      <c r="Y849" s="96"/>
    </row>
    <row r="850" spans="2:25">
      <c r="B850" s="374"/>
      <c r="C850" s="374"/>
      <c r="D850" s="374"/>
      <c r="E850" s="374"/>
      <c r="F850" s="374"/>
      <c r="G850" s="374"/>
      <c r="H850" s="374"/>
      <c r="I850" s="374"/>
      <c r="J850" s="374"/>
      <c r="K850" s="374"/>
      <c r="L850" s="374"/>
      <c r="M850" s="374"/>
      <c r="N850" s="374"/>
      <c r="O850" s="374"/>
      <c r="P850" s="374"/>
      <c r="Q850" s="374"/>
      <c r="R850" s="374"/>
      <c r="S850" s="374"/>
      <c r="T850" s="374"/>
      <c r="U850" s="374"/>
      <c r="V850" s="374"/>
      <c r="W850" s="96"/>
      <c r="X850" s="96"/>
      <c r="Y850" s="96"/>
    </row>
    <row r="851" spans="2:25">
      <c r="B851" s="374"/>
      <c r="C851" s="374"/>
      <c r="D851" s="374"/>
      <c r="E851" s="374"/>
      <c r="F851" s="374"/>
      <c r="G851" s="374"/>
      <c r="H851" s="374"/>
      <c r="I851" s="374"/>
      <c r="J851" s="374"/>
      <c r="K851" s="374"/>
      <c r="L851" s="374"/>
      <c r="M851" s="374"/>
      <c r="N851" s="374"/>
      <c r="O851" s="374"/>
      <c r="P851" s="374"/>
      <c r="Q851" s="374"/>
      <c r="R851" s="374"/>
      <c r="S851" s="374"/>
      <c r="T851" s="374"/>
      <c r="U851" s="374"/>
      <c r="V851" s="374"/>
      <c r="W851" s="96"/>
      <c r="X851" s="96"/>
      <c r="Y851" s="96"/>
    </row>
    <row r="852" spans="2:25">
      <c r="B852" s="374"/>
      <c r="C852" s="374"/>
      <c r="D852" s="374"/>
      <c r="E852" s="374"/>
      <c r="F852" s="374"/>
      <c r="G852" s="374"/>
      <c r="H852" s="374"/>
      <c r="I852" s="374"/>
      <c r="J852" s="374"/>
      <c r="K852" s="374"/>
      <c r="L852" s="374"/>
      <c r="M852" s="374"/>
      <c r="N852" s="374"/>
      <c r="O852" s="374"/>
      <c r="P852" s="374"/>
      <c r="Q852" s="374"/>
      <c r="R852" s="374"/>
      <c r="S852" s="374"/>
      <c r="T852" s="374"/>
      <c r="U852" s="374"/>
      <c r="V852" s="374"/>
      <c r="W852" s="96"/>
      <c r="X852" s="96"/>
      <c r="Y852" s="96"/>
    </row>
    <row r="853" spans="2:25">
      <c r="B853" s="374"/>
      <c r="C853" s="374"/>
      <c r="D853" s="374"/>
      <c r="E853" s="374"/>
      <c r="F853" s="374"/>
      <c r="G853" s="374"/>
      <c r="H853" s="374"/>
      <c r="I853" s="374"/>
      <c r="J853" s="374"/>
      <c r="K853" s="374"/>
      <c r="L853" s="374"/>
      <c r="M853" s="374"/>
      <c r="N853" s="374"/>
      <c r="O853" s="374"/>
      <c r="P853" s="374"/>
      <c r="Q853" s="374"/>
      <c r="R853" s="374"/>
      <c r="S853" s="374"/>
      <c r="T853" s="374"/>
      <c r="U853" s="374"/>
      <c r="V853" s="374"/>
      <c r="W853" s="96"/>
      <c r="X853" s="96"/>
      <c r="Y853" s="96"/>
    </row>
    <row r="854" spans="2:25">
      <c r="B854" s="374"/>
      <c r="C854" s="374"/>
      <c r="D854" s="374"/>
      <c r="E854" s="374"/>
      <c r="F854" s="374"/>
      <c r="G854" s="374"/>
      <c r="H854" s="374"/>
      <c r="I854" s="374"/>
      <c r="J854" s="374"/>
      <c r="K854" s="374"/>
      <c r="L854" s="374"/>
      <c r="M854" s="374"/>
      <c r="N854" s="374"/>
      <c r="O854" s="374"/>
      <c r="P854" s="374"/>
      <c r="Q854" s="374"/>
      <c r="R854" s="374"/>
      <c r="S854" s="374"/>
      <c r="T854" s="374"/>
      <c r="U854" s="374"/>
      <c r="V854" s="374"/>
      <c r="W854" s="96"/>
      <c r="X854" s="96"/>
      <c r="Y854" s="96"/>
    </row>
    <row r="855" spans="2:25">
      <c r="B855" s="374"/>
      <c r="C855" s="374"/>
      <c r="D855" s="374"/>
      <c r="E855" s="374"/>
      <c r="F855" s="374"/>
      <c r="G855" s="374"/>
      <c r="H855" s="374"/>
      <c r="I855" s="374"/>
      <c r="J855" s="374"/>
      <c r="K855" s="374"/>
      <c r="L855" s="374"/>
      <c r="M855" s="374"/>
      <c r="N855" s="374"/>
      <c r="O855" s="374"/>
      <c r="P855" s="374"/>
      <c r="Q855" s="374"/>
      <c r="R855" s="374"/>
      <c r="S855" s="374"/>
      <c r="T855" s="374"/>
      <c r="U855" s="374"/>
      <c r="V855" s="374"/>
      <c r="W855" s="96"/>
      <c r="X855" s="96"/>
      <c r="Y855" s="96"/>
    </row>
    <row r="856" spans="2:25">
      <c r="B856" s="374"/>
      <c r="C856" s="374"/>
      <c r="D856" s="374"/>
      <c r="E856" s="374"/>
      <c r="F856" s="374"/>
      <c r="G856" s="374"/>
      <c r="H856" s="374"/>
      <c r="I856" s="374"/>
      <c r="J856" s="374"/>
      <c r="K856" s="374"/>
      <c r="L856" s="374"/>
      <c r="M856" s="374"/>
      <c r="N856" s="374"/>
      <c r="O856" s="374"/>
      <c r="P856" s="374"/>
      <c r="Q856" s="374"/>
      <c r="R856" s="374"/>
      <c r="S856" s="374"/>
      <c r="T856" s="374"/>
      <c r="U856" s="374"/>
      <c r="V856" s="374"/>
      <c r="W856" s="96"/>
      <c r="X856" s="96"/>
      <c r="Y856" s="96"/>
    </row>
    <row r="857" spans="2:25">
      <c r="B857" s="374"/>
      <c r="C857" s="374"/>
      <c r="D857" s="374"/>
      <c r="E857" s="374"/>
      <c r="F857" s="374"/>
      <c r="G857" s="374"/>
      <c r="H857" s="374"/>
      <c r="I857" s="374"/>
      <c r="J857" s="374"/>
      <c r="K857" s="374"/>
      <c r="L857" s="374"/>
      <c r="M857" s="374"/>
      <c r="N857" s="374"/>
      <c r="O857" s="374"/>
      <c r="P857" s="374"/>
      <c r="Q857" s="374"/>
      <c r="R857" s="374"/>
      <c r="S857" s="374"/>
      <c r="T857" s="374"/>
      <c r="U857" s="374"/>
      <c r="V857" s="374"/>
      <c r="W857" s="96"/>
      <c r="X857" s="96"/>
      <c r="Y857" s="96"/>
    </row>
    <row r="858" spans="2:25">
      <c r="B858" s="374"/>
      <c r="C858" s="374"/>
      <c r="D858" s="374"/>
      <c r="E858" s="374"/>
      <c r="F858" s="374"/>
      <c r="G858" s="374"/>
      <c r="H858" s="374"/>
      <c r="I858" s="374"/>
      <c r="J858" s="374"/>
      <c r="K858" s="374"/>
      <c r="L858" s="374"/>
      <c r="M858" s="374"/>
      <c r="N858" s="374"/>
      <c r="O858" s="374"/>
      <c r="P858" s="374"/>
      <c r="Q858" s="374"/>
      <c r="R858" s="374"/>
      <c r="S858" s="374"/>
      <c r="T858" s="374"/>
      <c r="U858" s="374"/>
      <c r="V858" s="374"/>
      <c r="W858" s="96"/>
      <c r="X858" s="96"/>
      <c r="Y858" s="96"/>
    </row>
    <row r="859" spans="2:25">
      <c r="B859" s="374"/>
      <c r="C859" s="374"/>
      <c r="D859" s="374"/>
      <c r="E859" s="374"/>
      <c r="F859" s="374"/>
      <c r="G859" s="374"/>
      <c r="H859" s="374"/>
      <c r="I859" s="374"/>
      <c r="J859" s="374"/>
      <c r="K859" s="374"/>
      <c r="L859" s="374"/>
      <c r="M859" s="374"/>
      <c r="N859" s="374"/>
      <c r="O859" s="374"/>
      <c r="P859" s="374"/>
      <c r="Q859" s="374"/>
      <c r="R859" s="374"/>
      <c r="S859" s="374"/>
      <c r="T859" s="374"/>
      <c r="U859" s="374"/>
      <c r="V859" s="374"/>
      <c r="W859" s="96"/>
      <c r="X859" s="96"/>
      <c r="Y859" s="96"/>
    </row>
    <row r="860" spans="2:25">
      <c r="B860" s="374"/>
      <c r="C860" s="374"/>
      <c r="D860" s="374"/>
      <c r="E860" s="374"/>
      <c r="F860" s="374"/>
      <c r="G860" s="374"/>
      <c r="H860" s="374"/>
      <c r="I860" s="374"/>
      <c r="J860" s="374"/>
      <c r="K860" s="374"/>
      <c r="L860" s="374"/>
      <c r="M860" s="374"/>
      <c r="N860" s="374"/>
      <c r="O860" s="374"/>
      <c r="P860" s="374"/>
      <c r="Q860" s="374"/>
      <c r="R860" s="374"/>
      <c r="S860" s="374"/>
      <c r="T860" s="374"/>
      <c r="U860" s="374"/>
      <c r="V860" s="374"/>
      <c r="W860" s="96"/>
      <c r="X860" s="96"/>
      <c r="Y860" s="96"/>
    </row>
    <row r="861" spans="2:25">
      <c r="B861" s="374"/>
      <c r="C861" s="374"/>
      <c r="D861" s="374"/>
      <c r="E861" s="374"/>
      <c r="F861" s="374"/>
      <c r="G861" s="374"/>
      <c r="H861" s="374"/>
      <c r="I861" s="374"/>
      <c r="J861" s="374"/>
      <c r="K861" s="374"/>
      <c r="L861" s="374"/>
      <c r="M861" s="374"/>
      <c r="N861" s="374"/>
      <c r="O861" s="374"/>
      <c r="P861" s="374"/>
      <c r="Q861" s="374"/>
      <c r="R861" s="374"/>
      <c r="S861" s="374"/>
      <c r="T861" s="374"/>
      <c r="U861" s="374"/>
      <c r="V861" s="374"/>
      <c r="W861" s="96"/>
      <c r="X861" s="96"/>
      <c r="Y861" s="96"/>
    </row>
    <row r="862" spans="2:25">
      <c r="B862" s="374"/>
      <c r="C862" s="374"/>
      <c r="D862" s="374"/>
      <c r="E862" s="374"/>
      <c r="F862" s="374"/>
      <c r="G862" s="374"/>
      <c r="H862" s="374"/>
      <c r="I862" s="374"/>
      <c r="J862" s="374"/>
      <c r="K862" s="374"/>
      <c r="L862" s="374"/>
      <c r="M862" s="374"/>
      <c r="N862" s="374"/>
      <c r="O862" s="374"/>
      <c r="P862" s="374"/>
      <c r="Q862" s="374"/>
      <c r="R862" s="374"/>
      <c r="S862" s="374"/>
      <c r="T862" s="374"/>
      <c r="U862" s="374"/>
      <c r="V862" s="374"/>
      <c r="W862" s="96"/>
      <c r="X862" s="96"/>
      <c r="Y862" s="96"/>
    </row>
    <row r="863" spans="2:25">
      <c r="B863" s="374"/>
      <c r="C863" s="374"/>
      <c r="D863" s="374"/>
      <c r="E863" s="374"/>
      <c r="F863" s="374"/>
      <c r="G863" s="374"/>
      <c r="H863" s="374"/>
      <c r="I863" s="374"/>
      <c r="J863" s="374"/>
      <c r="K863" s="374"/>
      <c r="L863" s="374"/>
      <c r="M863" s="374"/>
      <c r="N863" s="374"/>
      <c r="O863" s="374"/>
      <c r="P863" s="374"/>
      <c r="Q863" s="374"/>
      <c r="R863" s="374"/>
      <c r="S863" s="374"/>
      <c r="T863" s="374"/>
      <c r="U863" s="374"/>
      <c r="V863" s="374"/>
      <c r="W863" s="96"/>
      <c r="X863" s="96"/>
      <c r="Y863" s="96"/>
    </row>
    <row r="864" spans="2:25">
      <c r="B864" s="374"/>
      <c r="C864" s="374"/>
      <c r="D864" s="374"/>
      <c r="E864" s="374"/>
      <c r="F864" s="374"/>
      <c r="G864" s="374"/>
      <c r="H864" s="374"/>
      <c r="I864" s="374"/>
      <c r="J864" s="374"/>
      <c r="K864" s="374"/>
      <c r="L864" s="374"/>
      <c r="M864" s="374"/>
      <c r="N864" s="374"/>
      <c r="O864" s="374"/>
      <c r="P864" s="374"/>
      <c r="Q864" s="374"/>
      <c r="R864" s="374"/>
      <c r="S864" s="374"/>
      <c r="T864" s="374"/>
      <c r="U864" s="374"/>
      <c r="V864" s="374"/>
      <c r="W864" s="96"/>
      <c r="X864" s="96"/>
      <c r="Y864" s="96"/>
    </row>
    <row r="865" spans="2:25">
      <c r="B865" s="374"/>
      <c r="C865" s="374"/>
      <c r="D865" s="374"/>
      <c r="E865" s="374"/>
      <c r="F865" s="374"/>
      <c r="G865" s="374"/>
      <c r="H865" s="374"/>
      <c r="I865" s="374"/>
      <c r="J865" s="374"/>
      <c r="K865" s="374"/>
      <c r="L865" s="374"/>
      <c r="M865" s="374"/>
      <c r="N865" s="374"/>
      <c r="O865" s="374"/>
      <c r="P865" s="374"/>
      <c r="Q865" s="374"/>
      <c r="R865" s="374"/>
      <c r="S865" s="374"/>
      <c r="T865" s="374"/>
      <c r="U865" s="374"/>
      <c r="V865" s="374"/>
      <c r="W865" s="96"/>
      <c r="X865" s="96"/>
      <c r="Y865" s="96"/>
    </row>
    <row r="866" spans="2:25">
      <c r="B866" s="374"/>
      <c r="C866" s="374"/>
      <c r="D866" s="374"/>
      <c r="E866" s="374"/>
      <c r="F866" s="374"/>
      <c r="G866" s="374"/>
      <c r="H866" s="374"/>
      <c r="I866" s="374"/>
      <c r="J866" s="374"/>
      <c r="K866" s="374"/>
      <c r="L866" s="374"/>
      <c r="M866" s="374"/>
      <c r="N866" s="374"/>
      <c r="O866" s="374"/>
      <c r="P866" s="374"/>
      <c r="Q866" s="374"/>
      <c r="R866" s="374"/>
      <c r="S866" s="374"/>
      <c r="T866" s="374"/>
      <c r="U866" s="374"/>
      <c r="V866" s="374"/>
      <c r="W866" s="96"/>
      <c r="X866" s="96"/>
      <c r="Y866" s="96"/>
    </row>
    <row r="867" spans="2:25">
      <c r="B867" s="374"/>
      <c r="C867" s="374"/>
      <c r="D867" s="374"/>
      <c r="E867" s="374"/>
      <c r="F867" s="374"/>
      <c r="G867" s="374"/>
      <c r="H867" s="374"/>
      <c r="I867" s="374"/>
      <c r="J867" s="374"/>
      <c r="K867" s="374"/>
      <c r="L867" s="374"/>
      <c r="M867" s="374"/>
      <c r="N867" s="374"/>
      <c r="O867" s="374"/>
      <c r="P867" s="374"/>
      <c r="Q867" s="374"/>
      <c r="R867" s="374"/>
      <c r="S867" s="374"/>
      <c r="T867" s="374"/>
      <c r="U867" s="374"/>
      <c r="V867" s="374"/>
      <c r="W867" s="96"/>
      <c r="X867" s="96"/>
      <c r="Y867" s="96"/>
    </row>
    <row r="868" spans="2:25">
      <c r="B868" s="374"/>
      <c r="C868" s="374"/>
      <c r="D868" s="374"/>
      <c r="E868" s="374"/>
      <c r="F868" s="374"/>
      <c r="G868" s="374"/>
      <c r="H868" s="374"/>
      <c r="I868" s="374"/>
      <c r="J868" s="374"/>
      <c r="K868" s="374"/>
      <c r="L868" s="374"/>
      <c r="M868" s="374"/>
      <c r="N868" s="374"/>
      <c r="O868" s="374"/>
      <c r="P868" s="374"/>
      <c r="Q868" s="374"/>
      <c r="R868" s="374"/>
      <c r="S868" s="374"/>
      <c r="T868" s="374"/>
      <c r="U868" s="374"/>
      <c r="V868" s="374"/>
      <c r="W868" s="96"/>
      <c r="X868" s="96"/>
      <c r="Y868" s="96"/>
    </row>
    <row r="869" spans="2:25">
      <c r="B869" s="374"/>
      <c r="C869" s="374"/>
      <c r="D869" s="374"/>
      <c r="E869" s="374"/>
      <c r="F869" s="374"/>
      <c r="G869" s="374"/>
      <c r="H869" s="374"/>
      <c r="I869" s="374"/>
      <c r="J869" s="374"/>
      <c r="K869" s="374"/>
      <c r="L869" s="374"/>
      <c r="M869" s="374"/>
      <c r="N869" s="374"/>
      <c r="O869" s="374"/>
      <c r="P869" s="374"/>
      <c r="Q869" s="374"/>
      <c r="R869" s="374"/>
      <c r="S869" s="374"/>
      <c r="T869" s="374"/>
      <c r="U869" s="374"/>
      <c r="V869" s="374"/>
      <c r="W869" s="96"/>
      <c r="X869" s="96"/>
      <c r="Y869" s="96"/>
    </row>
    <row r="870" spans="2:25">
      <c r="B870" s="374"/>
      <c r="C870" s="374"/>
      <c r="D870" s="374"/>
      <c r="E870" s="374"/>
      <c r="F870" s="374"/>
      <c r="G870" s="374"/>
      <c r="H870" s="374"/>
      <c r="I870" s="374"/>
      <c r="J870" s="374"/>
      <c r="K870" s="374"/>
      <c r="L870" s="374"/>
      <c r="M870" s="374"/>
      <c r="N870" s="374"/>
      <c r="O870" s="374"/>
      <c r="P870" s="374"/>
      <c r="Q870" s="374"/>
      <c r="R870" s="374"/>
      <c r="S870" s="374"/>
      <c r="T870" s="374"/>
      <c r="U870" s="374"/>
      <c r="V870" s="374"/>
      <c r="W870" s="96"/>
      <c r="X870" s="96"/>
      <c r="Y870" s="96"/>
    </row>
    <row r="871" spans="2:25">
      <c r="B871" s="374"/>
      <c r="C871" s="374"/>
      <c r="D871" s="374"/>
      <c r="E871" s="374"/>
      <c r="F871" s="374"/>
      <c r="G871" s="374"/>
      <c r="H871" s="374"/>
      <c r="I871" s="374"/>
      <c r="J871" s="374"/>
      <c r="K871" s="374"/>
      <c r="L871" s="374"/>
      <c r="M871" s="374"/>
      <c r="N871" s="374"/>
      <c r="O871" s="374"/>
      <c r="P871" s="374"/>
      <c r="Q871" s="374"/>
      <c r="R871" s="374"/>
      <c r="S871" s="374"/>
      <c r="T871" s="374"/>
      <c r="U871" s="374"/>
      <c r="V871" s="374"/>
      <c r="W871" s="96"/>
      <c r="X871" s="96"/>
      <c r="Y871" s="96"/>
    </row>
    <row r="872" spans="2:25">
      <c r="B872" s="374"/>
      <c r="C872" s="374"/>
      <c r="D872" s="374"/>
      <c r="E872" s="374"/>
      <c r="F872" s="374"/>
      <c r="G872" s="374"/>
      <c r="H872" s="374"/>
      <c r="I872" s="374"/>
      <c r="J872" s="374"/>
      <c r="K872" s="374"/>
      <c r="L872" s="374"/>
      <c r="M872" s="374"/>
      <c r="N872" s="374"/>
      <c r="O872" s="374"/>
      <c r="P872" s="374"/>
      <c r="Q872" s="374"/>
      <c r="R872" s="374"/>
      <c r="S872" s="374"/>
      <c r="T872" s="374"/>
      <c r="U872" s="374"/>
      <c r="V872" s="374"/>
      <c r="W872" s="96"/>
      <c r="X872" s="96"/>
      <c r="Y872" s="96"/>
    </row>
    <row r="873" spans="2:25">
      <c r="B873" s="374"/>
      <c r="C873" s="374"/>
      <c r="D873" s="374"/>
      <c r="E873" s="374"/>
      <c r="F873" s="374"/>
      <c r="G873" s="374"/>
      <c r="H873" s="374"/>
      <c r="I873" s="374"/>
      <c r="J873" s="374"/>
      <c r="K873" s="374"/>
      <c r="L873" s="374"/>
      <c r="M873" s="374"/>
      <c r="N873" s="374"/>
      <c r="O873" s="374"/>
      <c r="P873" s="374"/>
      <c r="Q873" s="374"/>
      <c r="R873" s="374"/>
      <c r="S873" s="374"/>
      <c r="T873" s="374"/>
      <c r="U873" s="374"/>
      <c r="V873" s="374"/>
      <c r="W873" s="96"/>
      <c r="X873" s="96"/>
      <c r="Y873" s="96"/>
    </row>
    <row r="874" spans="2:25">
      <c r="B874" s="374"/>
      <c r="C874" s="374"/>
      <c r="D874" s="374"/>
      <c r="E874" s="374"/>
      <c r="F874" s="374"/>
      <c r="G874" s="374"/>
      <c r="H874" s="374"/>
      <c r="I874" s="374"/>
      <c r="J874" s="374"/>
      <c r="K874" s="374"/>
      <c r="L874" s="374"/>
      <c r="M874" s="374"/>
      <c r="N874" s="374"/>
      <c r="O874" s="374"/>
      <c r="P874" s="374"/>
      <c r="Q874" s="374"/>
      <c r="R874" s="374"/>
      <c r="S874" s="374"/>
      <c r="T874" s="374"/>
      <c r="U874" s="374"/>
      <c r="V874" s="374"/>
      <c r="W874" s="96"/>
      <c r="X874" s="96"/>
      <c r="Y874" s="96"/>
    </row>
    <row r="875" spans="2:25">
      <c r="B875" s="374"/>
      <c r="C875" s="374"/>
      <c r="D875" s="374"/>
      <c r="E875" s="374"/>
      <c r="F875" s="374"/>
      <c r="G875" s="374"/>
      <c r="H875" s="374"/>
      <c r="I875" s="374"/>
      <c r="J875" s="374"/>
      <c r="K875" s="374"/>
      <c r="L875" s="374"/>
      <c r="M875" s="374"/>
      <c r="N875" s="374"/>
      <c r="O875" s="374"/>
      <c r="P875" s="374"/>
      <c r="Q875" s="374"/>
      <c r="R875" s="374"/>
      <c r="S875" s="374"/>
      <c r="T875" s="374"/>
      <c r="U875" s="374"/>
      <c r="V875" s="374"/>
      <c r="W875" s="96"/>
      <c r="X875" s="96"/>
      <c r="Y875" s="96"/>
    </row>
    <row r="876" spans="2:25">
      <c r="B876" s="374"/>
      <c r="C876" s="374"/>
      <c r="D876" s="374"/>
      <c r="E876" s="374"/>
      <c r="F876" s="374"/>
      <c r="G876" s="374"/>
      <c r="H876" s="374"/>
      <c r="I876" s="374"/>
      <c r="J876" s="374"/>
      <c r="K876" s="374"/>
      <c r="L876" s="374"/>
      <c r="M876" s="374"/>
      <c r="N876" s="374"/>
      <c r="O876" s="374"/>
      <c r="P876" s="374"/>
      <c r="Q876" s="374"/>
      <c r="R876" s="374"/>
      <c r="S876" s="374"/>
      <c r="T876" s="374"/>
      <c r="U876" s="374"/>
      <c r="V876" s="374"/>
      <c r="W876" s="96"/>
      <c r="X876" s="96"/>
      <c r="Y876" s="96"/>
    </row>
    <row r="877" spans="2:25">
      <c r="B877" s="374"/>
      <c r="C877" s="374"/>
      <c r="D877" s="374"/>
      <c r="E877" s="374"/>
      <c r="F877" s="374"/>
      <c r="G877" s="374"/>
      <c r="H877" s="374"/>
      <c r="I877" s="374"/>
      <c r="J877" s="374"/>
      <c r="K877" s="374"/>
      <c r="L877" s="374"/>
      <c r="M877" s="374"/>
      <c r="N877" s="374"/>
      <c r="O877" s="374"/>
      <c r="P877" s="374"/>
      <c r="Q877" s="374"/>
      <c r="R877" s="374"/>
      <c r="S877" s="374"/>
      <c r="T877" s="374"/>
      <c r="U877" s="374"/>
      <c r="V877" s="374"/>
      <c r="W877" s="96"/>
      <c r="X877" s="96"/>
      <c r="Y877" s="96"/>
    </row>
    <row r="878" spans="2:25">
      <c r="B878" s="374"/>
      <c r="C878" s="374"/>
      <c r="D878" s="374"/>
      <c r="E878" s="374"/>
      <c r="F878" s="374"/>
      <c r="G878" s="374"/>
      <c r="H878" s="374"/>
      <c r="I878" s="374"/>
      <c r="J878" s="374"/>
      <c r="K878" s="374"/>
      <c r="L878" s="374"/>
      <c r="M878" s="374"/>
      <c r="N878" s="374"/>
      <c r="O878" s="374"/>
      <c r="P878" s="374"/>
      <c r="Q878" s="374"/>
      <c r="R878" s="374"/>
      <c r="S878" s="374"/>
      <c r="T878" s="374"/>
      <c r="U878" s="374"/>
      <c r="V878" s="374"/>
      <c r="W878" s="96"/>
      <c r="X878" s="96"/>
      <c r="Y878" s="96"/>
    </row>
    <row r="879" spans="2:25">
      <c r="B879" s="374"/>
      <c r="C879" s="374"/>
      <c r="D879" s="374"/>
      <c r="E879" s="374"/>
      <c r="F879" s="374"/>
      <c r="G879" s="374"/>
      <c r="H879" s="374"/>
      <c r="I879" s="374"/>
      <c r="J879" s="374"/>
      <c r="K879" s="374"/>
      <c r="L879" s="374"/>
      <c r="M879" s="374"/>
      <c r="N879" s="374"/>
      <c r="O879" s="374"/>
      <c r="P879" s="374"/>
      <c r="Q879" s="374"/>
      <c r="R879" s="374"/>
      <c r="S879" s="374"/>
      <c r="T879" s="374"/>
      <c r="U879" s="374"/>
      <c r="V879" s="374"/>
      <c r="W879" s="96"/>
      <c r="X879" s="96"/>
      <c r="Y879" s="96"/>
    </row>
    <row r="880" spans="2:25">
      <c r="B880" s="374"/>
      <c r="C880" s="374"/>
      <c r="D880" s="374"/>
      <c r="E880" s="374"/>
      <c r="F880" s="374"/>
      <c r="G880" s="374"/>
      <c r="H880" s="374"/>
      <c r="I880" s="374"/>
      <c r="J880" s="374"/>
      <c r="K880" s="374"/>
      <c r="L880" s="374"/>
      <c r="M880" s="374"/>
      <c r="N880" s="374"/>
      <c r="O880" s="374"/>
      <c r="P880" s="374"/>
      <c r="Q880" s="374"/>
      <c r="R880" s="374"/>
      <c r="S880" s="374"/>
      <c r="T880" s="374"/>
      <c r="U880" s="374"/>
      <c r="V880" s="374"/>
      <c r="W880" s="96"/>
      <c r="X880" s="96"/>
      <c r="Y880" s="96"/>
    </row>
    <row r="881" spans="2:25">
      <c r="B881" s="374"/>
      <c r="C881" s="374"/>
      <c r="D881" s="374"/>
      <c r="E881" s="374"/>
      <c r="F881" s="374"/>
      <c r="G881" s="374"/>
      <c r="H881" s="374"/>
      <c r="I881" s="374"/>
      <c r="J881" s="374"/>
      <c r="K881" s="374"/>
      <c r="L881" s="374"/>
      <c r="M881" s="374"/>
      <c r="N881" s="374"/>
      <c r="O881" s="374"/>
      <c r="P881" s="374"/>
      <c r="Q881" s="374"/>
      <c r="R881" s="374"/>
      <c r="S881" s="374"/>
      <c r="T881" s="374"/>
      <c r="U881" s="374"/>
      <c r="V881" s="374"/>
      <c r="W881" s="96"/>
      <c r="X881" s="96"/>
      <c r="Y881" s="96"/>
    </row>
    <row r="882" spans="2:25">
      <c r="B882" s="374"/>
      <c r="C882" s="374"/>
      <c r="D882" s="374"/>
      <c r="E882" s="374"/>
      <c r="F882" s="374"/>
      <c r="G882" s="374"/>
      <c r="H882" s="374"/>
      <c r="I882" s="374"/>
      <c r="J882" s="374"/>
      <c r="K882" s="374"/>
      <c r="L882" s="374"/>
      <c r="M882" s="374"/>
      <c r="N882" s="374"/>
      <c r="O882" s="374"/>
      <c r="P882" s="374"/>
      <c r="Q882" s="374"/>
      <c r="R882" s="374"/>
      <c r="S882" s="374"/>
      <c r="T882" s="374"/>
      <c r="U882" s="374"/>
      <c r="V882" s="374"/>
      <c r="W882" s="96"/>
      <c r="X882" s="96"/>
      <c r="Y882" s="96"/>
    </row>
    <row r="883" spans="2:25">
      <c r="B883" s="374"/>
      <c r="C883" s="374"/>
      <c r="D883" s="374"/>
      <c r="E883" s="374"/>
      <c r="F883" s="374"/>
      <c r="G883" s="374"/>
      <c r="H883" s="374"/>
      <c r="I883" s="374"/>
      <c r="J883" s="374"/>
      <c r="K883" s="374"/>
      <c r="L883" s="374"/>
      <c r="M883" s="374"/>
      <c r="N883" s="374"/>
      <c r="O883" s="374"/>
      <c r="P883" s="374"/>
      <c r="Q883" s="374"/>
      <c r="R883" s="374"/>
      <c r="S883" s="374"/>
      <c r="T883" s="374"/>
      <c r="U883" s="374"/>
      <c r="V883" s="374"/>
      <c r="W883" s="96"/>
      <c r="X883" s="96"/>
      <c r="Y883" s="96"/>
    </row>
    <row r="884" spans="2:25">
      <c r="B884" s="374"/>
      <c r="C884" s="374"/>
      <c r="D884" s="374"/>
      <c r="E884" s="374"/>
      <c r="F884" s="374"/>
      <c r="G884" s="374"/>
      <c r="H884" s="374"/>
      <c r="I884" s="374"/>
      <c r="J884" s="374"/>
      <c r="K884" s="374"/>
      <c r="L884" s="374"/>
      <c r="M884" s="374"/>
      <c r="N884" s="374"/>
      <c r="O884" s="374"/>
      <c r="P884" s="374"/>
      <c r="Q884" s="374"/>
      <c r="R884" s="374"/>
      <c r="S884" s="374"/>
      <c r="T884" s="374"/>
      <c r="U884" s="374"/>
      <c r="V884" s="374"/>
      <c r="W884" s="96"/>
      <c r="X884" s="96"/>
      <c r="Y884" s="96"/>
    </row>
    <row r="885" spans="2:25">
      <c r="B885" s="374"/>
      <c r="C885" s="374"/>
      <c r="D885" s="374"/>
      <c r="E885" s="374"/>
      <c r="F885" s="374"/>
      <c r="G885" s="374"/>
      <c r="H885" s="374"/>
      <c r="I885" s="374"/>
      <c r="J885" s="374"/>
      <c r="K885" s="374"/>
      <c r="L885" s="374"/>
      <c r="M885" s="374"/>
      <c r="N885" s="374"/>
      <c r="O885" s="374"/>
      <c r="P885" s="374"/>
      <c r="Q885" s="374"/>
      <c r="R885" s="374"/>
      <c r="S885" s="374"/>
      <c r="T885" s="374"/>
      <c r="U885" s="374"/>
      <c r="V885" s="374"/>
      <c r="W885" s="96"/>
      <c r="X885" s="96"/>
      <c r="Y885" s="96"/>
    </row>
    <row r="886" spans="2:25">
      <c r="B886" s="374"/>
      <c r="C886" s="374"/>
      <c r="D886" s="374"/>
      <c r="E886" s="374"/>
      <c r="F886" s="374"/>
      <c r="G886" s="374"/>
      <c r="H886" s="374"/>
      <c r="I886" s="374"/>
      <c r="J886" s="374"/>
      <c r="K886" s="374"/>
      <c r="L886" s="374"/>
      <c r="M886" s="374"/>
      <c r="N886" s="374"/>
      <c r="O886" s="374"/>
      <c r="P886" s="374"/>
      <c r="Q886" s="374"/>
      <c r="R886" s="374"/>
      <c r="S886" s="374"/>
      <c r="T886" s="374"/>
      <c r="U886" s="374"/>
      <c r="V886" s="374"/>
      <c r="W886" s="96"/>
      <c r="X886" s="96"/>
      <c r="Y886" s="96"/>
    </row>
    <row r="887" spans="2:25">
      <c r="B887" s="374"/>
      <c r="C887" s="374"/>
      <c r="D887" s="374"/>
      <c r="E887" s="374"/>
      <c r="F887" s="374"/>
      <c r="G887" s="374"/>
      <c r="H887" s="374"/>
      <c r="I887" s="374"/>
      <c r="J887" s="374"/>
      <c r="K887" s="374"/>
      <c r="L887" s="374"/>
      <c r="M887" s="374"/>
      <c r="N887" s="374"/>
      <c r="O887" s="374"/>
      <c r="P887" s="374"/>
      <c r="Q887" s="374"/>
      <c r="R887" s="374"/>
      <c r="S887" s="374"/>
      <c r="T887" s="374"/>
      <c r="U887" s="374"/>
      <c r="V887" s="374"/>
      <c r="W887" s="96"/>
      <c r="X887" s="96"/>
      <c r="Y887" s="96"/>
    </row>
    <row r="888" spans="2:25">
      <c r="B888" s="374"/>
      <c r="C888" s="374"/>
      <c r="D888" s="374"/>
      <c r="E888" s="374"/>
      <c r="F888" s="374"/>
      <c r="G888" s="374"/>
      <c r="H888" s="374"/>
      <c r="I888" s="374"/>
      <c r="J888" s="374"/>
      <c r="K888" s="374"/>
      <c r="L888" s="374"/>
      <c r="M888" s="374"/>
      <c r="N888" s="374"/>
      <c r="O888" s="374"/>
      <c r="P888" s="374"/>
      <c r="Q888" s="374"/>
      <c r="R888" s="374"/>
      <c r="S888" s="374"/>
      <c r="T888" s="374"/>
      <c r="U888" s="374"/>
      <c r="V888" s="374"/>
      <c r="W888" s="96"/>
      <c r="X888" s="96"/>
      <c r="Y888" s="96"/>
    </row>
    <row r="889" spans="2:25">
      <c r="B889" s="374"/>
      <c r="C889" s="374"/>
      <c r="D889" s="374"/>
      <c r="E889" s="374"/>
      <c r="F889" s="374"/>
      <c r="G889" s="374"/>
      <c r="H889" s="374"/>
      <c r="I889" s="374"/>
      <c r="J889" s="374"/>
      <c r="K889" s="374"/>
      <c r="L889" s="374"/>
      <c r="M889" s="374"/>
      <c r="N889" s="374"/>
      <c r="O889" s="374"/>
      <c r="P889" s="374"/>
      <c r="Q889" s="374"/>
      <c r="R889" s="374"/>
      <c r="S889" s="374"/>
      <c r="T889" s="374"/>
      <c r="U889" s="374"/>
      <c r="V889" s="374"/>
      <c r="W889" s="96"/>
      <c r="X889" s="96"/>
      <c r="Y889" s="96"/>
    </row>
    <row r="890" spans="2:25">
      <c r="B890" s="374"/>
      <c r="C890" s="374"/>
      <c r="D890" s="374"/>
      <c r="E890" s="374"/>
      <c r="F890" s="374"/>
      <c r="G890" s="374"/>
      <c r="H890" s="374"/>
      <c r="I890" s="374"/>
      <c r="J890" s="374"/>
      <c r="K890" s="374"/>
      <c r="L890" s="374"/>
      <c r="M890" s="374"/>
      <c r="N890" s="374"/>
      <c r="O890" s="374"/>
      <c r="P890" s="374"/>
      <c r="Q890" s="374"/>
      <c r="R890" s="374"/>
      <c r="S890" s="374"/>
      <c r="T890" s="374"/>
      <c r="U890" s="374"/>
      <c r="V890" s="374"/>
      <c r="W890" s="96"/>
      <c r="X890" s="96"/>
      <c r="Y890" s="96"/>
    </row>
    <row r="891" spans="2:25">
      <c r="B891" s="374"/>
      <c r="C891" s="374"/>
      <c r="D891" s="374"/>
      <c r="E891" s="374"/>
      <c r="F891" s="374"/>
      <c r="G891" s="374"/>
      <c r="H891" s="374"/>
      <c r="I891" s="374"/>
      <c r="J891" s="374"/>
      <c r="K891" s="374"/>
      <c r="L891" s="374"/>
      <c r="M891" s="374"/>
      <c r="N891" s="374"/>
      <c r="O891" s="374"/>
      <c r="P891" s="374"/>
      <c r="Q891" s="374"/>
      <c r="R891" s="374"/>
      <c r="S891" s="374"/>
      <c r="T891" s="374"/>
      <c r="U891" s="374"/>
      <c r="V891" s="374"/>
      <c r="W891" s="96"/>
      <c r="X891" s="96"/>
      <c r="Y891" s="96"/>
    </row>
    <row r="892" spans="2:25">
      <c r="B892" s="374"/>
      <c r="C892" s="374"/>
      <c r="D892" s="374"/>
      <c r="E892" s="374"/>
      <c r="F892" s="374"/>
      <c r="G892" s="374"/>
      <c r="H892" s="374"/>
      <c r="I892" s="374"/>
      <c r="J892" s="374"/>
      <c r="K892" s="374"/>
      <c r="L892" s="374"/>
      <c r="M892" s="374"/>
      <c r="N892" s="374"/>
      <c r="O892" s="374"/>
      <c r="P892" s="374"/>
      <c r="Q892" s="374"/>
      <c r="R892" s="374"/>
      <c r="S892" s="374"/>
      <c r="T892" s="374"/>
      <c r="U892" s="374"/>
      <c r="V892" s="374"/>
      <c r="W892" s="96"/>
      <c r="X892" s="96"/>
      <c r="Y892" s="96"/>
    </row>
    <row r="893" spans="2:25">
      <c r="B893" s="374"/>
      <c r="C893" s="374"/>
      <c r="D893" s="374"/>
      <c r="E893" s="374"/>
      <c r="F893" s="374"/>
      <c r="G893" s="374"/>
      <c r="H893" s="374"/>
      <c r="I893" s="374"/>
      <c r="J893" s="374"/>
      <c r="K893" s="374"/>
      <c r="L893" s="374"/>
      <c r="M893" s="374"/>
      <c r="N893" s="374"/>
      <c r="O893" s="374"/>
      <c r="P893" s="374"/>
      <c r="Q893" s="374"/>
      <c r="R893" s="374"/>
      <c r="S893" s="374"/>
      <c r="T893" s="374"/>
      <c r="U893" s="374"/>
      <c r="V893" s="374"/>
      <c r="W893" s="96"/>
      <c r="X893" s="96"/>
      <c r="Y893" s="96"/>
    </row>
    <row r="894" spans="2:25">
      <c r="B894" s="374"/>
      <c r="C894" s="374"/>
      <c r="D894" s="374"/>
      <c r="E894" s="374"/>
      <c r="F894" s="374"/>
      <c r="G894" s="374"/>
      <c r="H894" s="374"/>
      <c r="I894" s="374"/>
      <c r="J894" s="374"/>
      <c r="K894" s="374"/>
      <c r="L894" s="374"/>
      <c r="M894" s="374"/>
      <c r="N894" s="374"/>
      <c r="O894" s="374"/>
      <c r="P894" s="374"/>
      <c r="Q894" s="374"/>
      <c r="R894" s="374"/>
      <c r="S894" s="374"/>
      <c r="T894" s="374"/>
      <c r="U894" s="374"/>
      <c r="V894" s="374"/>
      <c r="W894" s="96"/>
      <c r="X894" s="96"/>
      <c r="Y894" s="96"/>
    </row>
    <row r="895" spans="2:25">
      <c r="B895" s="374"/>
      <c r="C895" s="374"/>
      <c r="D895" s="374"/>
      <c r="E895" s="374"/>
      <c r="F895" s="374"/>
      <c r="G895" s="374"/>
      <c r="H895" s="374"/>
      <c r="I895" s="374"/>
      <c r="J895" s="374"/>
      <c r="K895" s="374"/>
      <c r="L895" s="374"/>
      <c r="M895" s="374"/>
      <c r="N895" s="374"/>
      <c r="O895" s="374"/>
      <c r="P895" s="374"/>
      <c r="Q895" s="374"/>
      <c r="R895" s="374"/>
      <c r="S895" s="374"/>
      <c r="T895" s="374"/>
      <c r="U895" s="374"/>
      <c r="V895" s="374"/>
      <c r="W895" s="96"/>
      <c r="X895" s="96"/>
      <c r="Y895" s="96"/>
    </row>
    <row r="896" spans="2:25">
      <c r="B896" s="374"/>
      <c r="C896" s="374"/>
      <c r="D896" s="374"/>
      <c r="E896" s="374"/>
      <c r="F896" s="374"/>
      <c r="G896" s="374"/>
      <c r="H896" s="374"/>
      <c r="I896" s="374"/>
      <c r="J896" s="374"/>
      <c r="K896" s="374"/>
      <c r="L896" s="374"/>
      <c r="M896" s="374"/>
      <c r="N896" s="374"/>
      <c r="O896" s="374"/>
      <c r="P896" s="374"/>
      <c r="Q896" s="374"/>
      <c r="R896" s="374"/>
      <c r="S896" s="374"/>
      <c r="T896" s="374"/>
      <c r="U896" s="374"/>
      <c r="V896" s="374"/>
      <c r="W896" s="96"/>
      <c r="X896" s="96"/>
      <c r="Y896" s="96"/>
    </row>
    <row r="897" spans="2:25">
      <c r="B897" s="374"/>
      <c r="C897" s="374"/>
      <c r="D897" s="374"/>
      <c r="E897" s="374"/>
      <c r="F897" s="374"/>
      <c r="G897" s="374"/>
      <c r="H897" s="374"/>
      <c r="I897" s="374"/>
      <c r="J897" s="374"/>
      <c r="K897" s="374"/>
      <c r="L897" s="374"/>
      <c r="M897" s="374"/>
      <c r="N897" s="374"/>
      <c r="O897" s="374"/>
      <c r="P897" s="374"/>
      <c r="Q897" s="374"/>
      <c r="R897" s="374"/>
      <c r="S897" s="374"/>
      <c r="T897" s="374"/>
      <c r="U897" s="374"/>
      <c r="V897" s="374"/>
      <c r="W897" s="96"/>
      <c r="X897" s="96"/>
      <c r="Y897" s="96"/>
    </row>
    <row r="898" spans="2:25">
      <c r="B898" s="374"/>
      <c r="C898" s="374"/>
      <c r="D898" s="374"/>
      <c r="E898" s="374"/>
      <c r="F898" s="374"/>
      <c r="G898" s="374"/>
      <c r="H898" s="374"/>
      <c r="I898" s="374"/>
      <c r="J898" s="374"/>
      <c r="K898" s="374"/>
      <c r="L898" s="374"/>
      <c r="M898" s="374"/>
      <c r="N898" s="374"/>
      <c r="O898" s="374"/>
      <c r="P898" s="374"/>
      <c r="Q898" s="374"/>
      <c r="R898" s="374"/>
      <c r="S898" s="374"/>
      <c r="T898" s="374"/>
      <c r="U898" s="374"/>
      <c r="V898" s="374"/>
      <c r="W898" s="96"/>
      <c r="X898" s="96"/>
      <c r="Y898" s="96"/>
    </row>
    <row r="899" spans="2:25">
      <c r="B899" s="374"/>
      <c r="C899" s="374"/>
      <c r="D899" s="374"/>
      <c r="E899" s="374"/>
      <c r="F899" s="374"/>
      <c r="G899" s="374"/>
      <c r="H899" s="374"/>
      <c r="I899" s="374"/>
      <c r="J899" s="374"/>
      <c r="K899" s="374"/>
      <c r="L899" s="374"/>
      <c r="M899" s="374"/>
      <c r="N899" s="374"/>
      <c r="O899" s="374"/>
      <c r="P899" s="374"/>
      <c r="Q899" s="374"/>
      <c r="R899" s="374"/>
      <c r="S899" s="374"/>
      <c r="T899" s="374"/>
      <c r="U899" s="374"/>
      <c r="V899" s="374"/>
      <c r="W899" s="96"/>
      <c r="X899" s="96"/>
      <c r="Y899" s="96"/>
    </row>
    <row r="900" spans="2:25">
      <c r="B900" s="374"/>
      <c r="C900" s="374"/>
      <c r="D900" s="374"/>
      <c r="E900" s="374"/>
      <c r="F900" s="374"/>
      <c r="G900" s="374"/>
      <c r="H900" s="374"/>
      <c r="I900" s="374"/>
      <c r="J900" s="374"/>
      <c r="K900" s="374"/>
      <c r="L900" s="374"/>
      <c r="M900" s="374"/>
      <c r="N900" s="374"/>
      <c r="O900" s="374"/>
      <c r="P900" s="374"/>
      <c r="Q900" s="374"/>
      <c r="R900" s="374"/>
      <c r="S900" s="374"/>
      <c r="T900" s="374"/>
      <c r="U900" s="374"/>
      <c r="V900" s="374"/>
      <c r="W900" s="96"/>
      <c r="X900" s="96"/>
      <c r="Y900" s="96"/>
    </row>
    <row r="901" spans="2:25">
      <c r="B901" s="374"/>
      <c r="C901" s="374"/>
      <c r="D901" s="374"/>
      <c r="E901" s="374"/>
      <c r="F901" s="374"/>
      <c r="G901" s="374"/>
      <c r="H901" s="374"/>
      <c r="I901" s="374"/>
      <c r="J901" s="374"/>
      <c r="K901" s="374"/>
      <c r="L901" s="374"/>
      <c r="M901" s="374"/>
      <c r="N901" s="374"/>
      <c r="O901" s="374"/>
      <c r="P901" s="374"/>
      <c r="Q901" s="374"/>
      <c r="R901" s="374"/>
      <c r="S901" s="374"/>
      <c r="T901" s="374"/>
      <c r="U901" s="374"/>
      <c r="V901" s="374"/>
      <c r="W901" s="96"/>
      <c r="X901" s="96"/>
      <c r="Y901" s="96"/>
    </row>
    <row r="902" spans="2:25">
      <c r="B902" s="374"/>
      <c r="C902" s="374"/>
      <c r="D902" s="374"/>
      <c r="E902" s="374"/>
      <c r="F902" s="374"/>
      <c r="G902" s="374"/>
      <c r="H902" s="374"/>
      <c r="I902" s="374"/>
      <c r="J902" s="374"/>
      <c r="K902" s="374"/>
      <c r="L902" s="374"/>
      <c r="M902" s="374"/>
      <c r="N902" s="374"/>
      <c r="O902" s="374"/>
      <c r="P902" s="374"/>
      <c r="Q902" s="374"/>
      <c r="R902" s="374"/>
      <c r="S902" s="374"/>
      <c r="T902" s="374"/>
      <c r="U902" s="374"/>
      <c r="V902" s="374"/>
      <c r="W902" s="96"/>
      <c r="X902" s="96"/>
      <c r="Y902" s="96"/>
    </row>
    <row r="903" spans="2:25">
      <c r="B903" s="374"/>
      <c r="C903" s="374"/>
      <c r="D903" s="374"/>
      <c r="E903" s="374"/>
      <c r="F903" s="374"/>
      <c r="G903" s="374"/>
      <c r="H903" s="374"/>
      <c r="I903" s="374"/>
      <c r="J903" s="374"/>
      <c r="K903" s="374"/>
      <c r="L903" s="374"/>
      <c r="M903" s="374"/>
      <c r="N903" s="374"/>
      <c r="O903" s="374"/>
      <c r="P903" s="374"/>
      <c r="Q903" s="374"/>
      <c r="R903" s="374"/>
      <c r="S903" s="374"/>
      <c r="T903" s="374"/>
      <c r="U903" s="374"/>
      <c r="V903" s="374"/>
      <c r="W903" s="96"/>
      <c r="X903" s="96"/>
      <c r="Y903" s="96"/>
    </row>
    <row r="904" spans="2:25">
      <c r="B904" s="374"/>
      <c r="C904" s="374"/>
      <c r="D904" s="374"/>
      <c r="E904" s="374"/>
      <c r="F904" s="374"/>
      <c r="G904" s="374"/>
      <c r="H904" s="374"/>
      <c r="I904" s="374"/>
      <c r="J904" s="374"/>
      <c r="K904" s="374"/>
      <c r="L904" s="374"/>
      <c r="M904" s="374"/>
      <c r="N904" s="374"/>
      <c r="O904" s="374"/>
      <c r="P904" s="374"/>
      <c r="Q904" s="374"/>
      <c r="R904" s="374"/>
      <c r="S904" s="374"/>
      <c r="T904" s="374"/>
      <c r="U904" s="374"/>
      <c r="V904" s="374"/>
      <c r="W904" s="96"/>
      <c r="X904" s="96"/>
      <c r="Y904" s="96"/>
    </row>
    <row r="905" spans="2:25">
      <c r="B905" s="374"/>
      <c r="C905" s="374"/>
      <c r="D905" s="374"/>
      <c r="E905" s="374"/>
      <c r="F905" s="374"/>
      <c r="G905" s="374"/>
      <c r="H905" s="374"/>
      <c r="I905" s="374"/>
      <c r="J905" s="374"/>
      <c r="K905" s="374"/>
      <c r="L905" s="374"/>
      <c r="M905" s="374"/>
      <c r="N905" s="374"/>
      <c r="O905" s="374"/>
      <c r="P905" s="374"/>
      <c r="Q905" s="374"/>
      <c r="R905" s="374"/>
      <c r="S905" s="374"/>
      <c r="T905" s="374"/>
      <c r="U905" s="374"/>
      <c r="V905" s="374"/>
      <c r="W905" s="96"/>
      <c r="X905" s="96"/>
      <c r="Y905" s="96"/>
    </row>
    <row r="906" spans="2:25">
      <c r="B906" s="374"/>
      <c r="C906" s="374"/>
      <c r="D906" s="374"/>
      <c r="E906" s="374"/>
      <c r="F906" s="374"/>
      <c r="G906" s="374"/>
      <c r="H906" s="374"/>
      <c r="I906" s="374"/>
      <c r="J906" s="374"/>
      <c r="K906" s="374"/>
      <c r="L906" s="374"/>
      <c r="M906" s="374"/>
      <c r="N906" s="374"/>
      <c r="O906" s="374"/>
      <c r="P906" s="374"/>
      <c r="Q906" s="374"/>
      <c r="R906" s="374"/>
      <c r="S906" s="374"/>
      <c r="T906" s="374"/>
      <c r="U906" s="374"/>
      <c r="V906" s="374"/>
      <c r="W906" s="96"/>
      <c r="X906" s="96"/>
      <c r="Y906" s="96"/>
    </row>
    <row r="907" spans="2:25">
      <c r="B907" s="374"/>
      <c r="C907" s="374"/>
      <c r="D907" s="374"/>
      <c r="E907" s="374"/>
      <c r="F907" s="374"/>
      <c r="G907" s="374"/>
      <c r="H907" s="374"/>
      <c r="I907" s="374"/>
      <c r="J907" s="374"/>
      <c r="K907" s="374"/>
      <c r="L907" s="374"/>
      <c r="M907" s="374"/>
      <c r="N907" s="374"/>
      <c r="O907" s="374"/>
      <c r="P907" s="374"/>
      <c r="Q907" s="374"/>
      <c r="R907" s="374"/>
      <c r="S907" s="374"/>
      <c r="T907" s="374"/>
      <c r="U907" s="374"/>
      <c r="V907" s="374"/>
      <c r="W907" s="96"/>
      <c r="X907" s="96"/>
      <c r="Y907" s="96"/>
    </row>
    <row r="908" spans="2:25">
      <c r="B908" s="374"/>
      <c r="C908" s="374"/>
      <c r="D908" s="374"/>
      <c r="E908" s="374"/>
      <c r="F908" s="374"/>
      <c r="G908" s="374"/>
      <c r="H908" s="374"/>
      <c r="I908" s="374"/>
      <c r="J908" s="374"/>
      <c r="K908" s="374"/>
      <c r="L908" s="374"/>
      <c r="M908" s="374"/>
      <c r="N908" s="374"/>
      <c r="O908" s="374"/>
      <c r="P908" s="374"/>
      <c r="Q908" s="374"/>
      <c r="R908" s="374"/>
      <c r="S908" s="374"/>
      <c r="T908" s="374"/>
      <c r="U908" s="374"/>
      <c r="V908" s="374"/>
      <c r="W908" s="96"/>
      <c r="X908" s="96"/>
      <c r="Y908" s="96"/>
    </row>
    <row r="909" spans="2:25">
      <c r="B909" s="374"/>
      <c r="C909" s="374"/>
      <c r="D909" s="374"/>
      <c r="E909" s="374"/>
      <c r="F909" s="374"/>
      <c r="G909" s="374"/>
      <c r="H909" s="374"/>
      <c r="I909" s="374"/>
      <c r="J909" s="374"/>
      <c r="K909" s="374"/>
      <c r="L909" s="374"/>
      <c r="M909" s="374"/>
      <c r="N909" s="374"/>
      <c r="O909" s="374"/>
      <c r="P909" s="374"/>
      <c r="Q909" s="374"/>
      <c r="R909" s="374"/>
      <c r="S909" s="374"/>
      <c r="T909" s="374"/>
      <c r="U909" s="374"/>
      <c r="V909" s="374"/>
      <c r="W909" s="96"/>
      <c r="X909" s="96"/>
      <c r="Y909" s="96"/>
    </row>
    <row r="910" spans="2:25">
      <c r="B910" s="374"/>
      <c r="C910" s="374"/>
      <c r="D910" s="374"/>
      <c r="E910" s="374"/>
      <c r="F910" s="374"/>
      <c r="G910" s="374"/>
      <c r="H910" s="374"/>
      <c r="I910" s="374"/>
      <c r="J910" s="374"/>
      <c r="K910" s="374"/>
      <c r="L910" s="374"/>
      <c r="M910" s="374"/>
      <c r="N910" s="374"/>
      <c r="O910" s="374"/>
      <c r="P910" s="374"/>
      <c r="Q910" s="374"/>
      <c r="R910" s="374"/>
      <c r="S910" s="374"/>
      <c r="T910" s="374"/>
      <c r="U910" s="374"/>
      <c r="V910" s="374"/>
      <c r="W910" s="96"/>
      <c r="X910" s="96"/>
      <c r="Y910" s="96"/>
    </row>
    <row r="911" spans="2:25">
      <c r="B911" s="374"/>
      <c r="C911" s="374"/>
      <c r="D911" s="374"/>
      <c r="E911" s="374"/>
      <c r="F911" s="374"/>
      <c r="G911" s="374"/>
      <c r="H911" s="374"/>
      <c r="I911" s="374"/>
      <c r="J911" s="374"/>
      <c r="K911" s="374"/>
      <c r="L911" s="374"/>
      <c r="M911" s="374"/>
      <c r="N911" s="374"/>
      <c r="O911" s="374"/>
      <c r="P911" s="374"/>
      <c r="Q911" s="374"/>
      <c r="R911" s="374"/>
      <c r="S911" s="374"/>
      <c r="T911" s="374"/>
      <c r="U911" s="374"/>
      <c r="V911" s="374"/>
      <c r="W911" s="96"/>
      <c r="X911" s="96"/>
      <c r="Y911" s="96"/>
    </row>
    <row r="912" spans="2:25">
      <c r="B912" s="374"/>
      <c r="C912" s="374"/>
      <c r="D912" s="374"/>
      <c r="E912" s="374"/>
      <c r="F912" s="374"/>
      <c r="G912" s="374"/>
      <c r="H912" s="374"/>
      <c r="I912" s="374"/>
      <c r="J912" s="374"/>
      <c r="K912" s="374"/>
      <c r="L912" s="374"/>
      <c r="M912" s="374"/>
      <c r="N912" s="374"/>
      <c r="O912" s="374"/>
      <c r="P912" s="374"/>
      <c r="Q912" s="374"/>
      <c r="R912" s="374"/>
      <c r="S912" s="374"/>
      <c r="T912" s="374"/>
      <c r="U912" s="374"/>
      <c r="V912" s="374"/>
      <c r="W912" s="96"/>
      <c r="X912" s="96"/>
      <c r="Y912" s="96"/>
    </row>
    <row r="913" spans="2:25">
      <c r="B913" s="374"/>
      <c r="C913" s="374"/>
      <c r="D913" s="374"/>
      <c r="E913" s="374"/>
      <c r="F913" s="374"/>
      <c r="G913" s="374"/>
      <c r="H913" s="374"/>
      <c r="I913" s="374"/>
      <c r="J913" s="374"/>
      <c r="K913" s="374"/>
      <c r="L913" s="374"/>
      <c r="M913" s="374"/>
      <c r="N913" s="374"/>
      <c r="O913" s="374"/>
      <c r="P913" s="374"/>
      <c r="Q913" s="374"/>
      <c r="R913" s="374"/>
      <c r="S913" s="374"/>
      <c r="T913" s="374"/>
      <c r="U913" s="374"/>
      <c r="V913" s="374"/>
      <c r="W913" s="96"/>
      <c r="X913" s="96"/>
      <c r="Y913" s="96"/>
    </row>
    <row r="914" spans="2:25">
      <c r="B914" s="374"/>
      <c r="C914" s="374"/>
      <c r="D914" s="374"/>
      <c r="E914" s="374"/>
      <c r="F914" s="374"/>
      <c r="G914" s="374"/>
      <c r="H914" s="374"/>
      <c r="I914" s="374"/>
      <c r="J914" s="374"/>
      <c r="K914" s="374"/>
      <c r="L914" s="374"/>
      <c r="M914" s="374"/>
      <c r="N914" s="374"/>
      <c r="O914" s="374"/>
      <c r="P914" s="374"/>
      <c r="Q914" s="374"/>
      <c r="R914" s="374"/>
      <c r="S914" s="374"/>
      <c r="T914" s="374"/>
      <c r="U914" s="374"/>
      <c r="V914" s="374"/>
      <c r="W914" s="96"/>
      <c r="X914" s="96"/>
      <c r="Y914" s="96"/>
    </row>
    <row r="915" spans="2:25">
      <c r="B915" s="374"/>
      <c r="C915" s="374"/>
      <c r="D915" s="374"/>
      <c r="E915" s="374"/>
      <c r="F915" s="374"/>
      <c r="G915" s="374"/>
      <c r="H915" s="374"/>
      <c r="I915" s="374"/>
      <c r="J915" s="374"/>
      <c r="K915" s="374"/>
      <c r="L915" s="374"/>
      <c r="M915" s="374"/>
      <c r="N915" s="374"/>
      <c r="O915" s="374"/>
      <c r="P915" s="374"/>
      <c r="Q915" s="374"/>
      <c r="R915" s="374"/>
      <c r="S915" s="374"/>
      <c r="T915" s="374"/>
      <c r="U915" s="374"/>
      <c r="V915" s="374"/>
      <c r="W915" s="96"/>
      <c r="X915" s="96"/>
      <c r="Y915" s="96"/>
    </row>
    <row r="916" spans="2:25">
      <c r="B916" s="374"/>
      <c r="C916" s="374"/>
      <c r="D916" s="374"/>
      <c r="E916" s="374"/>
      <c r="F916" s="374"/>
      <c r="G916" s="374"/>
      <c r="H916" s="374"/>
      <c r="I916" s="374"/>
      <c r="J916" s="374"/>
      <c r="K916" s="374"/>
      <c r="L916" s="374"/>
      <c r="M916" s="374"/>
      <c r="N916" s="374"/>
      <c r="O916" s="374"/>
      <c r="P916" s="374"/>
      <c r="Q916" s="374"/>
      <c r="R916" s="374"/>
      <c r="S916" s="374"/>
      <c r="T916" s="374"/>
      <c r="U916" s="374"/>
      <c r="V916" s="374"/>
      <c r="W916" s="96"/>
      <c r="X916" s="96"/>
      <c r="Y916" s="96"/>
    </row>
    <row r="917" spans="2:25">
      <c r="B917" s="374"/>
      <c r="C917" s="374"/>
      <c r="D917" s="374"/>
      <c r="E917" s="374"/>
      <c r="F917" s="374"/>
      <c r="G917" s="374"/>
      <c r="H917" s="374"/>
      <c r="I917" s="374"/>
      <c r="J917" s="374"/>
      <c r="K917" s="374"/>
      <c r="L917" s="374"/>
      <c r="M917" s="374"/>
      <c r="N917" s="374"/>
      <c r="O917" s="374"/>
      <c r="P917" s="374"/>
      <c r="Q917" s="374"/>
      <c r="R917" s="374"/>
      <c r="S917" s="374"/>
      <c r="T917" s="374"/>
      <c r="U917" s="374"/>
      <c r="V917" s="374"/>
      <c r="W917" s="96"/>
      <c r="X917" s="96"/>
      <c r="Y917" s="96"/>
    </row>
    <row r="918" spans="2:25">
      <c r="B918" s="374"/>
      <c r="C918" s="374"/>
      <c r="D918" s="374"/>
      <c r="E918" s="374"/>
      <c r="F918" s="374"/>
      <c r="G918" s="374"/>
      <c r="H918" s="374"/>
      <c r="I918" s="374"/>
      <c r="J918" s="374"/>
      <c r="K918" s="374"/>
      <c r="L918" s="374"/>
      <c r="M918" s="374"/>
      <c r="N918" s="374"/>
      <c r="O918" s="374"/>
      <c r="P918" s="374"/>
      <c r="Q918" s="374"/>
      <c r="R918" s="374"/>
      <c r="S918" s="374"/>
      <c r="T918" s="374"/>
      <c r="U918" s="374"/>
      <c r="V918" s="374"/>
      <c r="W918" s="96"/>
      <c r="X918" s="96"/>
      <c r="Y918" s="96"/>
    </row>
    <row r="919" spans="2:25">
      <c r="B919" s="374"/>
      <c r="C919" s="374"/>
      <c r="D919" s="374"/>
      <c r="E919" s="374"/>
      <c r="F919" s="374"/>
      <c r="G919" s="374"/>
      <c r="H919" s="374"/>
      <c r="I919" s="374"/>
      <c r="J919" s="374"/>
      <c r="K919" s="374"/>
      <c r="L919" s="374"/>
      <c r="M919" s="374"/>
      <c r="N919" s="374"/>
      <c r="O919" s="374"/>
      <c r="P919" s="374"/>
      <c r="Q919" s="374"/>
      <c r="R919" s="374"/>
      <c r="S919" s="374"/>
      <c r="T919" s="374"/>
      <c r="U919" s="374"/>
      <c r="V919" s="374"/>
      <c r="W919" s="96"/>
      <c r="X919" s="96"/>
      <c r="Y919" s="96"/>
    </row>
    <row r="920" spans="2:25">
      <c r="B920" s="374"/>
      <c r="C920" s="374"/>
      <c r="D920" s="374"/>
      <c r="E920" s="374"/>
      <c r="F920" s="374"/>
      <c r="G920" s="374"/>
      <c r="H920" s="374"/>
      <c r="I920" s="374"/>
      <c r="J920" s="374"/>
      <c r="K920" s="374"/>
      <c r="L920" s="374"/>
      <c r="M920" s="374"/>
      <c r="N920" s="374"/>
      <c r="O920" s="374"/>
      <c r="P920" s="374"/>
      <c r="Q920" s="374"/>
      <c r="R920" s="374"/>
      <c r="S920" s="374"/>
      <c r="T920" s="374"/>
      <c r="U920" s="374"/>
      <c r="V920" s="374"/>
      <c r="W920" s="96"/>
      <c r="X920" s="96"/>
      <c r="Y920" s="96"/>
    </row>
    <row r="921" spans="2:25">
      <c r="B921" s="374"/>
      <c r="C921" s="374"/>
      <c r="D921" s="374"/>
      <c r="E921" s="374"/>
      <c r="F921" s="374"/>
      <c r="G921" s="374"/>
      <c r="H921" s="374"/>
      <c r="I921" s="374"/>
      <c r="J921" s="374"/>
      <c r="K921" s="374"/>
      <c r="L921" s="374"/>
      <c r="M921" s="374"/>
      <c r="N921" s="374"/>
      <c r="O921" s="374"/>
      <c r="P921" s="374"/>
      <c r="Q921" s="374"/>
      <c r="R921" s="374"/>
      <c r="S921" s="374"/>
      <c r="T921" s="374"/>
      <c r="U921" s="374"/>
      <c r="V921" s="374"/>
      <c r="W921" s="96"/>
      <c r="X921" s="96"/>
      <c r="Y921" s="96"/>
    </row>
    <row r="922" spans="2:25">
      <c r="B922" s="374"/>
      <c r="C922" s="374"/>
      <c r="D922" s="374"/>
      <c r="E922" s="374"/>
      <c r="F922" s="374"/>
      <c r="G922" s="374"/>
      <c r="H922" s="374"/>
      <c r="I922" s="374"/>
      <c r="J922" s="374"/>
      <c r="K922" s="374"/>
      <c r="L922" s="374"/>
      <c r="M922" s="374"/>
      <c r="N922" s="374"/>
      <c r="O922" s="374"/>
      <c r="P922" s="374"/>
      <c r="Q922" s="374"/>
      <c r="R922" s="374"/>
      <c r="S922" s="374"/>
      <c r="T922" s="374"/>
      <c r="U922" s="374"/>
      <c r="V922" s="374"/>
      <c r="W922" s="96"/>
      <c r="X922" s="96"/>
      <c r="Y922" s="96"/>
    </row>
    <row r="923" spans="2:25">
      <c r="B923" s="374"/>
      <c r="C923" s="374"/>
      <c r="D923" s="374"/>
      <c r="E923" s="374"/>
      <c r="F923" s="374"/>
      <c r="G923" s="374"/>
      <c r="H923" s="374"/>
      <c r="I923" s="374"/>
      <c r="J923" s="374"/>
      <c r="K923" s="374"/>
      <c r="L923" s="374"/>
      <c r="M923" s="374"/>
      <c r="N923" s="374"/>
      <c r="O923" s="374"/>
      <c r="P923" s="374"/>
      <c r="Q923" s="374"/>
      <c r="R923" s="374"/>
      <c r="S923" s="374"/>
      <c r="T923" s="374"/>
      <c r="U923" s="374"/>
      <c r="V923" s="374"/>
      <c r="W923" s="96"/>
      <c r="X923" s="96"/>
      <c r="Y923" s="96"/>
    </row>
    <row r="924" spans="2:25">
      <c r="B924" s="374"/>
      <c r="C924" s="374"/>
      <c r="D924" s="374"/>
      <c r="E924" s="374"/>
      <c r="F924" s="374"/>
      <c r="G924" s="374"/>
      <c r="H924" s="374"/>
      <c r="I924" s="374"/>
      <c r="J924" s="374"/>
      <c r="K924" s="374"/>
      <c r="L924" s="374"/>
      <c r="M924" s="374"/>
      <c r="N924" s="374"/>
      <c r="O924" s="374"/>
      <c r="P924" s="374"/>
      <c r="Q924" s="374"/>
      <c r="R924" s="374"/>
      <c r="S924" s="374"/>
      <c r="T924" s="374"/>
      <c r="U924" s="374"/>
      <c r="V924" s="374"/>
      <c r="W924" s="96"/>
      <c r="X924" s="96"/>
      <c r="Y924" s="96"/>
    </row>
    <row r="925" spans="2:25">
      <c r="B925" s="374"/>
      <c r="C925" s="374"/>
      <c r="D925" s="374"/>
      <c r="E925" s="374"/>
      <c r="F925" s="374"/>
      <c r="G925" s="374"/>
      <c r="H925" s="374"/>
      <c r="I925" s="374"/>
      <c r="J925" s="374"/>
      <c r="K925" s="374"/>
      <c r="L925" s="374"/>
      <c r="M925" s="374"/>
      <c r="N925" s="374"/>
      <c r="O925" s="374"/>
      <c r="P925" s="374"/>
      <c r="Q925" s="374"/>
      <c r="R925" s="374"/>
      <c r="S925" s="374"/>
      <c r="T925" s="374"/>
      <c r="U925" s="374"/>
      <c r="V925" s="374"/>
      <c r="W925" s="96"/>
      <c r="X925" s="96"/>
      <c r="Y925" s="96"/>
    </row>
    <row r="926" spans="2:25">
      <c r="B926" s="374"/>
      <c r="C926" s="374"/>
      <c r="D926" s="374"/>
      <c r="E926" s="374"/>
      <c r="F926" s="374"/>
      <c r="G926" s="374"/>
      <c r="H926" s="374"/>
      <c r="I926" s="374"/>
      <c r="J926" s="374"/>
      <c r="K926" s="374"/>
      <c r="L926" s="374"/>
      <c r="M926" s="374"/>
      <c r="N926" s="374"/>
      <c r="O926" s="374"/>
      <c r="P926" s="374"/>
      <c r="Q926" s="374"/>
      <c r="R926" s="374"/>
      <c r="S926" s="374"/>
      <c r="T926" s="374"/>
      <c r="U926" s="374"/>
      <c r="V926" s="374"/>
      <c r="W926" s="96"/>
      <c r="X926" s="96"/>
      <c r="Y926" s="96"/>
    </row>
    <row r="927" spans="2:25">
      <c r="B927" s="374"/>
      <c r="C927" s="374"/>
      <c r="D927" s="374"/>
      <c r="E927" s="374"/>
      <c r="F927" s="374"/>
      <c r="G927" s="374"/>
      <c r="H927" s="374"/>
      <c r="I927" s="374"/>
      <c r="J927" s="374"/>
      <c r="K927" s="374"/>
      <c r="L927" s="374"/>
      <c r="M927" s="374"/>
      <c r="N927" s="374"/>
      <c r="O927" s="374"/>
      <c r="P927" s="374"/>
      <c r="Q927" s="374"/>
      <c r="R927" s="374"/>
      <c r="S927" s="374"/>
      <c r="T927" s="374"/>
      <c r="U927" s="374"/>
      <c r="V927" s="374"/>
      <c r="W927" s="96"/>
      <c r="X927" s="96"/>
      <c r="Y927" s="96"/>
    </row>
    <row r="928" spans="2:25">
      <c r="B928" s="374"/>
      <c r="C928" s="374"/>
      <c r="D928" s="374"/>
      <c r="E928" s="374"/>
      <c r="F928" s="374"/>
      <c r="G928" s="374"/>
      <c r="H928" s="374"/>
      <c r="I928" s="374"/>
      <c r="J928" s="374"/>
      <c r="K928" s="374"/>
      <c r="L928" s="374"/>
      <c r="M928" s="374"/>
      <c r="N928" s="374"/>
      <c r="O928" s="374"/>
      <c r="P928" s="374"/>
      <c r="Q928" s="374"/>
      <c r="R928" s="374"/>
      <c r="S928" s="374"/>
      <c r="T928" s="374"/>
      <c r="U928" s="374"/>
      <c r="V928" s="374"/>
      <c r="W928" s="96"/>
      <c r="X928" s="96"/>
      <c r="Y928" s="96"/>
    </row>
    <row r="929" spans="2:25">
      <c r="B929" s="374"/>
      <c r="C929" s="374"/>
      <c r="D929" s="374"/>
      <c r="E929" s="374"/>
      <c r="F929" s="374"/>
      <c r="G929" s="374"/>
      <c r="H929" s="374"/>
      <c r="I929" s="374"/>
      <c r="J929" s="374"/>
      <c r="K929" s="374"/>
      <c r="L929" s="374"/>
      <c r="M929" s="374"/>
      <c r="N929" s="374"/>
      <c r="O929" s="374"/>
      <c r="P929" s="374"/>
      <c r="Q929" s="374"/>
      <c r="R929" s="374"/>
      <c r="S929" s="374"/>
      <c r="T929" s="374"/>
      <c r="U929" s="374"/>
      <c r="V929" s="374"/>
      <c r="W929" s="96"/>
      <c r="X929" s="96"/>
      <c r="Y929" s="96"/>
    </row>
    <row r="930" spans="2:25">
      <c r="B930" s="374"/>
      <c r="C930" s="374"/>
      <c r="D930" s="374"/>
      <c r="E930" s="374"/>
      <c r="F930" s="374"/>
      <c r="G930" s="374"/>
      <c r="H930" s="374"/>
      <c r="I930" s="374"/>
      <c r="J930" s="374"/>
      <c r="K930" s="374"/>
      <c r="L930" s="374"/>
      <c r="M930" s="374"/>
      <c r="N930" s="374"/>
      <c r="O930" s="374"/>
      <c r="P930" s="374"/>
      <c r="Q930" s="374"/>
      <c r="R930" s="374"/>
      <c r="S930" s="374"/>
      <c r="T930" s="374"/>
      <c r="U930" s="374"/>
      <c r="V930" s="374"/>
      <c r="W930" s="96"/>
      <c r="X930" s="96"/>
      <c r="Y930" s="96"/>
    </row>
    <row r="931" spans="2:25">
      <c r="B931" s="374"/>
      <c r="C931" s="374"/>
      <c r="D931" s="374"/>
      <c r="E931" s="374"/>
      <c r="F931" s="374"/>
      <c r="G931" s="374"/>
      <c r="H931" s="374"/>
      <c r="I931" s="374"/>
      <c r="J931" s="374"/>
      <c r="K931" s="374"/>
      <c r="L931" s="374"/>
      <c r="M931" s="374"/>
      <c r="N931" s="374"/>
      <c r="O931" s="374"/>
      <c r="P931" s="374"/>
      <c r="Q931" s="374"/>
      <c r="R931" s="374"/>
      <c r="S931" s="374"/>
      <c r="T931" s="374"/>
      <c r="U931" s="374"/>
      <c r="V931" s="374"/>
      <c r="W931" s="96"/>
      <c r="X931" s="96"/>
      <c r="Y931" s="96"/>
    </row>
    <row r="932" spans="2:25">
      <c r="B932" s="374"/>
      <c r="C932" s="374"/>
      <c r="D932" s="374"/>
      <c r="E932" s="374"/>
      <c r="F932" s="374"/>
      <c r="G932" s="374"/>
      <c r="H932" s="374"/>
      <c r="I932" s="374"/>
      <c r="J932" s="374"/>
      <c r="K932" s="374"/>
      <c r="L932" s="374"/>
      <c r="M932" s="374"/>
      <c r="N932" s="374"/>
      <c r="O932" s="374"/>
      <c r="P932" s="374"/>
      <c r="Q932" s="374"/>
      <c r="R932" s="374"/>
      <c r="S932" s="374"/>
      <c r="T932" s="374"/>
      <c r="U932" s="374"/>
      <c r="V932" s="374"/>
      <c r="W932" s="96"/>
      <c r="X932" s="96"/>
      <c r="Y932" s="96"/>
    </row>
    <row r="933" spans="2:25">
      <c r="B933" s="374"/>
      <c r="C933" s="374"/>
      <c r="D933" s="374"/>
      <c r="E933" s="374"/>
      <c r="F933" s="374"/>
      <c r="G933" s="374"/>
      <c r="H933" s="374"/>
      <c r="I933" s="374"/>
      <c r="J933" s="374"/>
      <c r="K933" s="374"/>
      <c r="L933" s="374"/>
      <c r="M933" s="374"/>
      <c r="N933" s="374"/>
      <c r="O933" s="374"/>
      <c r="P933" s="374"/>
      <c r="Q933" s="374"/>
      <c r="R933" s="374"/>
      <c r="S933" s="374"/>
      <c r="T933" s="374"/>
      <c r="U933" s="374"/>
      <c r="V933" s="374"/>
      <c r="W933" s="96"/>
      <c r="X933" s="96"/>
      <c r="Y933" s="96"/>
    </row>
    <row r="934" spans="2:25">
      <c r="B934" s="374"/>
      <c r="C934" s="374"/>
      <c r="D934" s="374"/>
      <c r="E934" s="374"/>
      <c r="F934" s="374"/>
      <c r="G934" s="374"/>
      <c r="H934" s="374"/>
      <c r="I934" s="374"/>
      <c r="J934" s="374"/>
      <c r="K934" s="374"/>
      <c r="L934" s="374"/>
      <c r="M934" s="374"/>
      <c r="N934" s="374"/>
      <c r="O934" s="374"/>
      <c r="P934" s="374"/>
      <c r="Q934" s="374"/>
      <c r="R934" s="374"/>
      <c r="S934" s="374"/>
      <c r="T934" s="374"/>
      <c r="U934" s="374"/>
      <c r="V934" s="374"/>
      <c r="W934" s="96"/>
      <c r="X934" s="96"/>
      <c r="Y934" s="96"/>
    </row>
    <row r="935" spans="2:25">
      <c r="B935" s="374"/>
      <c r="C935" s="374"/>
      <c r="D935" s="374"/>
      <c r="E935" s="374"/>
      <c r="F935" s="374"/>
      <c r="G935" s="374"/>
      <c r="H935" s="374"/>
      <c r="I935" s="374"/>
      <c r="J935" s="374"/>
      <c r="K935" s="374"/>
      <c r="L935" s="374"/>
      <c r="M935" s="374"/>
      <c r="N935" s="374"/>
      <c r="O935" s="374"/>
      <c r="P935" s="374"/>
      <c r="Q935" s="374"/>
      <c r="R935" s="374"/>
      <c r="S935" s="374"/>
      <c r="T935" s="374"/>
      <c r="U935" s="374"/>
      <c r="V935" s="374"/>
      <c r="W935" s="96"/>
      <c r="X935" s="96"/>
      <c r="Y935" s="96"/>
    </row>
    <row r="936" spans="2:25">
      <c r="B936" s="374"/>
      <c r="C936" s="374"/>
      <c r="D936" s="374"/>
      <c r="E936" s="374"/>
      <c r="F936" s="374"/>
      <c r="G936" s="374"/>
      <c r="H936" s="374"/>
      <c r="I936" s="374"/>
      <c r="J936" s="374"/>
      <c r="K936" s="374"/>
      <c r="L936" s="374"/>
      <c r="M936" s="374"/>
      <c r="N936" s="374"/>
      <c r="O936" s="374"/>
      <c r="P936" s="374"/>
      <c r="Q936" s="374"/>
      <c r="R936" s="374"/>
      <c r="S936" s="374"/>
      <c r="T936" s="374"/>
      <c r="U936" s="374"/>
      <c r="V936" s="374"/>
      <c r="W936" s="96"/>
      <c r="X936" s="96"/>
      <c r="Y936" s="96"/>
    </row>
    <row r="937" spans="2:25">
      <c r="B937" s="374"/>
      <c r="C937" s="374"/>
      <c r="D937" s="374"/>
      <c r="E937" s="374"/>
      <c r="F937" s="374"/>
      <c r="G937" s="374"/>
      <c r="H937" s="374"/>
      <c r="I937" s="374"/>
      <c r="J937" s="374"/>
      <c r="K937" s="374"/>
      <c r="L937" s="374"/>
      <c r="M937" s="374"/>
      <c r="N937" s="374"/>
      <c r="O937" s="374"/>
      <c r="P937" s="374"/>
      <c r="Q937" s="374"/>
      <c r="R937" s="374"/>
      <c r="S937" s="374"/>
      <c r="T937" s="374"/>
      <c r="U937" s="374"/>
      <c r="V937" s="374"/>
      <c r="W937" s="96"/>
      <c r="X937" s="96"/>
      <c r="Y937" s="96"/>
    </row>
    <row r="938" spans="2:25">
      <c r="B938" s="374"/>
      <c r="C938" s="374"/>
      <c r="D938" s="374"/>
      <c r="E938" s="374"/>
      <c r="F938" s="374"/>
      <c r="G938" s="374"/>
      <c r="H938" s="374"/>
      <c r="I938" s="374"/>
      <c r="J938" s="374"/>
      <c r="K938" s="374"/>
      <c r="L938" s="374"/>
      <c r="M938" s="374"/>
      <c r="N938" s="374"/>
      <c r="O938" s="374"/>
      <c r="P938" s="374"/>
      <c r="Q938" s="374"/>
      <c r="R938" s="374"/>
      <c r="S938" s="374"/>
      <c r="T938" s="374"/>
      <c r="U938" s="374"/>
      <c r="V938" s="374"/>
      <c r="W938" s="96"/>
      <c r="X938" s="96"/>
      <c r="Y938" s="96"/>
    </row>
    <row r="939" spans="2:25">
      <c r="B939" s="374"/>
      <c r="C939" s="374"/>
      <c r="D939" s="374"/>
      <c r="E939" s="374"/>
      <c r="F939" s="374"/>
      <c r="G939" s="374"/>
      <c r="H939" s="374"/>
      <c r="I939" s="374"/>
      <c r="J939" s="374"/>
      <c r="K939" s="374"/>
      <c r="L939" s="374"/>
      <c r="M939" s="374"/>
      <c r="N939" s="374"/>
      <c r="O939" s="374"/>
      <c r="P939" s="374"/>
      <c r="Q939" s="374"/>
      <c r="R939" s="374"/>
      <c r="S939" s="374"/>
      <c r="T939" s="374"/>
      <c r="U939" s="374"/>
      <c r="V939" s="374"/>
      <c r="W939" s="96"/>
      <c r="X939" s="96"/>
      <c r="Y939" s="96"/>
    </row>
    <row r="940" spans="2:25">
      <c r="B940" s="374"/>
      <c r="C940" s="374"/>
      <c r="D940" s="374"/>
      <c r="E940" s="374"/>
      <c r="F940" s="374"/>
      <c r="G940" s="374"/>
      <c r="H940" s="374"/>
      <c r="I940" s="374"/>
      <c r="J940" s="374"/>
      <c r="K940" s="374"/>
      <c r="L940" s="374"/>
      <c r="M940" s="374"/>
      <c r="N940" s="374"/>
      <c r="O940" s="374"/>
      <c r="P940" s="374"/>
      <c r="Q940" s="374"/>
      <c r="R940" s="374"/>
      <c r="S940" s="374"/>
      <c r="T940" s="374"/>
      <c r="U940" s="374"/>
      <c r="V940" s="374"/>
      <c r="W940" s="96"/>
      <c r="X940" s="96"/>
      <c r="Y940" s="96"/>
    </row>
    <row r="941" spans="2:25">
      <c r="B941" s="374"/>
      <c r="C941" s="374"/>
      <c r="D941" s="374"/>
      <c r="E941" s="374"/>
      <c r="F941" s="374"/>
      <c r="G941" s="374"/>
      <c r="H941" s="374"/>
      <c r="I941" s="374"/>
      <c r="J941" s="374"/>
      <c r="K941" s="374"/>
      <c r="L941" s="374"/>
      <c r="M941" s="374"/>
      <c r="N941" s="374"/>
      <c r="O941" s="374"/>
      <c r="P941" s="374"/>
      <c r="Q941" s="374"/>
      <c r="R941" s="374"/>
      <c r="S941" s="374"/>
      <c r="T941" s="374"/>
      <c r="U941" s="374"/>
      <c r="V941" s="374"/>
      <c r="W941" s="96"/>
      <c r="X941" s="96"/>
      <c r="Y941" s="96"/>
    </row>
    <row r="942" spans="2:25">
      <c r="B942" s="374"/>
      <c r="C942" s="374"/>
      <c r="D942" s="374"/>
      <c r="E942" s="374"/>
      <c r="F942" s="374"/>
      <c r="G942" s="374"/>
      <c r="H942" s="374"/>
      <c r="I942" s="374"/>
      <c r="J942" s="374"/>
      <c r="K942" s="374"/>
      <c r="L942" s="374"/>
      <c r="M942" s="374"/>
      <c r="N942" s="374"/>
      <c r="O942" s="374"/>
      <c r="P942" s="374"/>
      <c r="Q942" s="374"/>
      <c r="R942" s="374"/>
      <c r="S942" s="374"/>
      <c r="T942" s="374"/>
      <c r="U942" s="374"/>
      <c r="V942" s="374"/>
      <c r="W942" s="96"/>
      <c r="X942" s="96"/>
      <c r="Y942" s="96"/>
    </row>
    <row r="943" spans="2:25">
      <c r="B943" s="374"/>
      <c r="C943" s="374"/>
      <c r="D943" s="374"/>
      <c r="E943" s="374"/>
      <c r="F943" s="374"/>
      <c r="G943" s="374"/>
      <c r="H943" s="374"/>
      <c r="I943" s="374"/>
      <c r="J943" s="374"/>
      <c r="K943" s="374"/>
      <c r="L943" s="374"/>
      <c r="M943" s="374"/>
      <c r="N943" s="374"/>
      <c r="O943" s="374"/>
      <c r="P943" s="374"/>
      <c r="Q943" s="374"/>
      <c r="R943" s="374"/>
      <c r="S943" s="374"/>
      <c r="T943" s="374"/>
      <c r="U943" s="374"/>
      <c r="V943" s="374"/>
      <c r="W943" s="96"/>
      <c r="X943" s="96"/>
      <c r="Y943" s="96"/>
    </row>
    <row r="944" spans="2:25">
      <c r="B944" s="374"/>
      <c r="C944" s="374"/>
      <c r="D944" s="374"/>
      <c r="E944" s="374"/>
      <c r="F944" s="374"/>
      <c r="G944" s="374"/>
      <c r="H944" s="374"/>
      <c r="I944" s="374"/>
      <c r="J944" s="374"/>
      <c r="K944" s="374"/>
      <c r="L944" s="374"/>
      <c r="M944" s="374"/>
      <c r="N944" s="374"/>
      <c r="O944" s="374"/>
      <c r="P944" s="374"/>
      <c r="Q944" s="374"/>
      <c r="R944" s="374"/>
      <c r="S944" s="374"/>
      <c r="T944" s="374"/>
      <c r="U944" s="374"/>
      <c r="V944" s="374"/>
      <c r="W944" s="96"/>
      <c r="X944" s="96"/>
      <c r="Y944" s="96"/>
    </row>
    <row r="945" spans="2:25">
      <c r="B945" s="374"/>
      <c r="C945" s="374"/>
      <c r="D945" s="374"/>
      <c r="E945" s="374"/>
      <c r="F945" s="374"/>
      <c r="G945" s="374"/>
      <c r="H945" s="374"/>
      <c r="I945" s="374"/>
      <c r="J945" s="374"/>
      <c r="K945" s="374"/>
      <c r="L945" s="374"/>
      <c r="M945" s="374"/>
      <c r="N945" s="374"/>
      <c r="O945" s="374"/>
      <c r="P945" s="374"/>
      <c r="Q945" s="374"/>
      <c r="R945" s="374"/>
      <c r="S945" s="374"/>
      <c r="T945" s="374"/>
      <c r="U945" s="374"/>
      <c r="V945" s="374"/>
      <c r="W945" s="96"/>
      <c r="X945" s="96"/>
      <c r="Y945" s="96"/>
    </row>
    <row r="946" spans="2:25">
      <c r="B946" s="374"/>
      <c r="C946" s="374"/>
      <c r="D946" s="374"/>
      <c r="E946" s="374"/>
      <c r="F946" s="374"/>
      <c r="G946" s="374"/>
      <c r="H946" s="374"/>
      <c r="I946" s="374"/>
      <c r="J946" s="374"/>
      <c r="K946" s="374"/>
      <c r="L946" s="374"/>
      <c r="M946" s="374"/>
      <c r="N946" s="374"/>
      <c r="O946" s="374"/>
      <c r="P946" s="374"/>
      <c r="Q946" s="374"/>
      <c r="R946" s="374"/>
      <c r="S946" s="374"/>
      <c r="T946" s="374"/>
      <c r="U946" s="374"/>
      <c r="V946" s="374"/>
      <c r="W946" s="96"/>
      <c r="X946" s="96"/>
      <c r="Y946" s="96"/>
    </row>
    <row r="947" spans="2:25">
      <c r="B947" s="374"/>
      <c r="C947" s="374"/>
      <c r="D947" s="374"/>
      <c r="E947" s="374"/>
      <c r="F947" s="374"/>
      <c r="G947" s="374"/>
      <c r="H947" s="374"/>
      <c r="I947" s="374"/>
      <c r="J947" s="374"/>
      <c r="K947" s="374"/>
      <c r="L947" s="374"/>
      <c r="M947" s="374"/>
      <c r="N947" s="374"/>
      <c r="O947" s="374"/>
      <c r="P947" s="374"/>
      <c r="Q947" s="374"/>
      <c r="R947" s="374"/>
      <c r="S947" s="374"/>
      <c r="T947" s="374"/>
      <c r="U947" s="374"/>
      <c r="V947" s="374"/>
      <c r="W947" s="96"/>
      <c r="X947" s="96"/>
      <c r="Y947" s="96"/>
    </row>
    <row r="948" spans="2:25">
      <c r="B948" s="374"/>
      <c r="C948" s="374"/>
      <c r="D948" s="374"/>
      <c r="E948" s="374"/>
      <c r="F948" s="374"/>
      <c r="G948" s="374"/>
      <c r="H948" s="374"/>
      <c r="I948" s="374"/>
      <c r="J948" s="374"/>
      <c r="K948" s="374"/>
      <c r="L948" s="374"/>
      <c r="M948" s="374"/>
      <c r="N948" s="374"/>
      <c r="O948" s="374"/>
      <c r="P948" s="374"/>
      <c r="Q948" s="374"/>
      <c r="R948" s="374"/>
      <c r="S948" s="374"/>
      <c r="T948" s="374"/>
      <c r="U948" s="374"/>
      <c r="V948" s="374"/>
      <c r="W948" s="96"/>
      <c r="X948" s="96"/>
      <c r="Y948" s="96"/>
    </row>
    <row r="949" spans="2:25">
      <c r="B949" s="374"/>
      <c r="C949" s="374"/>
      <c r="D949" s="374"/>
      <c r="E949" s="374"/>
      <c r="F949" s="374"/>
      <c r="G949" s="374"/>
      <c r="H949" s="374"/>
      <c r="I949" s="374"/>
      <c r="J949" s="374"/>
      <c r="K949" s="374"/>
      <c r="L949" s="374"/>
      <c r="M949" s="374"/>
      <c r="N949" s="374"/>
      <c r="O949" s="374"/>
      <c r="P949" s="374"/>
      <c r="Q949" s="374"/>
      <c r="R949" s="374"/>
      <c r="S949" s="374"/>
      <c r="T949" s="374"/>
      <c r="U949" s="374"/>
      <c r="V949" s="374"/>
      <c r="W949" s="96"/>
      <c r="X949" s="96"/>
      <c r="Y949" s="96"/>
    </row>
    <row r="950" spans="2:25">
      <c r="B950" s="374"/>
      <c r="C950" s="374"/>
      <c r="D950" s="374"/>
      <c r="E950" s="374"/>
      <c r="F950" s="374"/>
      <c r="G950" s="374"/>
      <c r="H950" s="374"/>
      <c r="I950" s="374"/>
      <c r="J950" s="374"/>
      <c r="K950" s="374"/>
      <c r="L950" s="374"/>
      <c r="M950" s="374"/>
      <c r="N950" s="374"/>
      <c r="O950" s="374"/>
      <c r="P950" s="374"/>
      <c r="Q950" s="374"/>
      <c r="R950" s="374"/>
      <c r="S950" s="374"/>
      <c r="T950" s="374"/>
      <c r="U950" s="374"/>
      <c r="V950" s="374"/>
      <c r="W950" s="96"/>
      <c r="X950" s="96"/>
      <c r="Y950" s="96"/>
    </row>
    <row r="951" spans="2:25">
      <c r="B951" s="374"/>
      <c r="C951" s="374"/>
      <c r="D951" s="374"/>
      <c r="E951" s="374"/>
      <c r="F951" s="374"/>
      <c r="G951" s="374"/>
      <c r="H951" s="374"/>
      <c r="I951" s="374"/>
      <c r="J951" s="374"/>
      <c r="K951" s="374"/>
      <c r="L951" s="374"/>
      <c r="M951" s="374"/>
      <c r="N951" s="374"/>
      <c r="O951" s="374"/>
      <c r="P951" s="374"/>
      <c r="Q951" s="374"/>
      <c r="R951" s="374"/>
      <c r="S951" s="374"/>
      <c r="T951" s="374"/>
      <c r="U951" s="374"/>
      <c r="V951" s="374"/>
      <c r="W951" s="96"/>
      <c r="X951" s="96"/>
      <c r="Y951" s="96"/>
    </row>
    <row r="952" spans="2:25">
      <c r="B952" s="374"/>
      <c r="C952" s="374"/>
      <c r="D952" s="374"/>
      <c r="E952" s="374"/>
      <c r="F952" s="374"/>
      <c r="G952" s="374"/>
      <c r="H952" s="374"/>
      <c r="I952" s="374"/>
      <c r="J952" s="374"/>
      <c r="K952" s="374"/>
      <c r="L952" s="374"/>
      <c r="M952" s="374"/>
      <c r="N952" s="374"/>
      <c r="O952" s="374"/>
      <c r="P952" s="374"/>
      <c r="Q952" s="374"/>
      <c r="R952" s="374"/>
      <c r="S952" s="374"/>
      <c r="T952" s="374"/>
      <c r="U952" s="374"/>
      <c r="V952" s="374"/>
      <c r="W952" s="96"/>
      <c r="X952" s="96"/>
      <c r="Y952" s="96"/>
    </row>
    <row r="953" spans="2:25">
      <c r="B953" s="374"/>
      <c r="C953" s="374"/>
      <c r="D953" s="374"/>
      <c r="E953" s="374"/>
      <c r="F953" s="374"/>
      <c r="G953" s="374"/>
      <c r="H953" s="374"/>
      <c r="I953" s="374"/>
      <c r="J953" s="374"/>
      <c r="K953" s="374"/>
      <c r="L953" s="374"/>
      <c r="M953" s="374"/>
      <c r="N953" s="374"/>
      <c r="O953" s="374"/>
      <c r="P953" s="374"/>
      <c r="Q953" s="374"/>
      <c r="R953" s="374"/>
      <c r="S953" s="374"/>
      <c r="T953" s="374"/>
      <c r="U953" s="374"/>
      <c r="V953" s="374"/>
      <c r="W953" s="96"/>
      <c r="X953" s="96"/>
      <c r="Y953" s="96"/>
    </row>
    <row r="954" spans="2:25">
      <c r="B954" s="374"/>
      <c r="C954" s="374"/>
      <c r="D954" s="374"/>
      <c r="E954" s="374"/>
      <c r="F954" s="374"/>
      <c r="G954" s="374"/>
      <c r="H954" s="374"/>
      <c r="I954" s="374"/>
      <c r="J954" s="374"/>
      <c r="K954" s="374"/>
      <c r="L954" s="374"/>
      <c r="M954" s="374"/>
      <c r="N954" s="374"/>
      <c r="O954" s="374"/>
      <c r="P954" s="374"/>
      <c r="Q954" s="374"/>
      <c r="R954" s="374"/>
      <c r="S954" s="374"/>
      <c r="T954" s="374"/>
      <c r="U954" s="374"/>
      <c r="V954" s="374"/>
      <c r="W954" s="96"/>
      <c r="X954" s="96"/>
      <c r="Y954" s="96"/>
    </row>
    <row r="955" spans="2:25">
      <c r="B955" s="374"/>
      <c r="C955" s="374"/>
      <c r="D955" s="374"/>
      <c r="E955" s="374"/>
      <c r="F955" s="374"/>
      <c r="G955" s="374"/>
      <c r="H955" s="374"/>
      <c r="I955" s="374"/>
      <c r="J955" s="374"/>
      <c r="K955" s="374"/>
      <c r="L955" s="374"/>
      <c r="M955" s="374"/>
      <c r="N955" s="374"/>
      <c r="O955" s="374"/>
      <c r="P955" s="374"/>
      <c r="Q955" s="374"/>
      <c r="R955" s="374"/>
      <c r="S955" s="374"/>
      <c r="T955" s="374"/>
      <c r="U955" s="374"/>
      <c r="V955" s="374"/>
      <c r="W955" s="96"/>
      <c r="X955" s="96"/>
      <c r="Y955" s="96"/>
    </row>
    <row r="956" spans="2:25">
      <c r="B956" s="374"/>
      <c r="C956" s="374"/>
      <c r="D956" s="374"/>
      <c r="E956" s="374"/>
      <c r="F956" s="374"/>
      <c r="G956" s="374"/>
      <c r="H956" s="374"/>
      <c r="I956" s="374"/>
      <c r="J956" s="374"/>
      <c r="K956" s="374"/>
      <c r="L956" s="374"/>
      <c r="M956" s="374"/>
      <c r="N956" s="374"/>
      <c r="O956" s="374"/>
      <c r="P956" s="374"/>
      <c r="Q956" s="374"/>
      <c r="R956" s="374"/>
      <c r="S956" s="374"/>
      <c r="T956" s="374"/>
      <c r="U956" s="374"/>
      <c r="V956" s="374"/>
      <c r="W956" s="96"/>
      <c r="X956" s="96"/>
      <c r="Y956" s="96"/>
    </row>
    <row r="957" spans="2:25">
      <c r="B957" s="374"/>
      <c r="C957" s="374"/>
      <c r="D957" s="374"/>
      <c r="E957" s="374"/>
      <c r="F957" s="374"/>
      <c r="G957" s="374"/>
      <c r="H957" s="374"/>
      <c r="I957" s="374"/>
      <c r="J957" s="374"/>
      <c r="K957" s="374"/>
      <c r="L957" s="374"/>
      <c r="M957" s="374"/>
      <c r="N957" s="374"/>
      <c r="O957" s="374"/>
      <c r="P957" s="374"/>
      <c r="Q957" s="374"/>
      <c r="R957" s="374"/>
      <c r="S957" s="374"/>
      <c r="T957" s="374"/>
      <c r="U957" s="374"/>
      <c r="V957" s="374"/>
      <c r="W957" s="96"/>
      <c r="X957" s="96"/>
      <c r="Y957" s="96"/>
    </row>
    <row r="958" spans="2:25">
      <c r="B958" s="374"/>
      <c r="C958" s="374"/>
      <c r="D958" s="374"/>
      <c r="E958" s="374"/>
      <c r="F958" s="374"/>
      <c r="G958" s="374"/>
      <c r="H958" s="374"/>
      <c r="I958" s="374"/>
      <c r="J958" s="374"/>
      <c r="K958" s="374"/>
      <c r="L958" s="374"/>
      <c r="M958" s="374"/>
      <c r="N958" s="374"/>
      <c r="O958" s="374"/>
      <c r="P958" s="374"/>
      <c r="Q958" s="374"/>
      <c r="R958" s="374"/>
      <c r="S958" s="374"/>
      <c r="T958" s="374"/>
      <c r="U958" s="374"/>
      <c r="V958" s="374"/>
      <c r="W958" s="96"/>
      <c r="X958" s="96"/>
      <c r="Y958" s="96"/>
    </row>
    <row r="959" spans="2:25">
      <c r="B959" s="374"/>
      <c r="C959" s="374"/>
      <c r="D959" s="374"/>
      <c r="E959" s="374"/>
      <c r="F959" s="374"/>
      <c r="G959" s="374"/>
      <c r="H959" s="374"/>
      <c r="I959" s="374"/>
      <c r="J959" s="374"/>
      <c r="K959" s="374"/>
      <c r="L959" s="374"/>
      <c r="M959" s="374"/>
      <c r="N959" s="374"/>
      <c r="O959" s="374"/>
      <c r="P959" s="374"/>
      <c r="Q959" s="374"/>
      <c r="R959" s="374"/>
      <c r="S959" s="374"/>
      <c r="T959" s="374"/>
      <c r="U959" s="374"/>
      <c r="V959" s="374"/>
      <c r="W959" s="96"/>
      <c r="X959" s="96"/>
      <c r="Y959" s="96"/>
    </row>
    <row r="960" spans="2:25">
      <c r="B960" s="374"/>
      <c r="C960" s="374"/>
      <c r="D960" s="374"/>
      <c r="E960" s="374"/>
      <c r="F960" s="374"/>
      <c r="G960" s="374"/>
      <c r="H960" s="374"/>
      <c r="I960" s="374"/>
      <c r="J960" s="374"/>
      <c r="K960" s="374"/>
      <c r="L960" s="374"/>
      <c r="M960" s="374"/>
      <c r="N960" s="374"/>
      <c r="O960" s="374"/>
      <c r="P960" s="374"/>
      <c r="Q960" s="374"/>
      <c r="R960" s="374"/>
      <c r="S960" s="374"/>
      <c r="T960" s="374"/>
      <c r="U960" s="374"/>
      <c r="V960" s="374"/>
      <c r="W960" s="96"/>
      <c r="X960" s="96"/>
      <c r="Y960" s="96"/>
    </row>
    <row r="961" spans="2:25">
      <c r="B961" s="374"/>
      <c r="C961" s="374"/>
      <c r="D961" s="374"/>
      <c r="E961" s="374"/>
      <c r="F961" s="374"/>
      <c r="G961" s="374"/>
      <c r="H961" s="374"/>
      <c r="I961" s="374"/>
      <c r="J961" s="374"/>
      <c r="K961" s="374"/>
      <c r="L961" s="374"/>
      <c r="M961" s="374"/>
      <c r="N961" s="374"/>
      <c r="O961" s="374"/>
      <c r="P961" s="374"/>
      <c r="Q961" s="374"/>
      <c r="R961" s="374"/>
      <c r="S961" s="374"/>
      <c r="T961" s="374"/>
      <c r="U961" s="374"/>
      <c r="V961" s="374"/>
      <c r="W961" s="96"/>
      <c r="X961" s="96"/>
      <c r="Y961" s="96"/>
    </row>
    <row r="962" spans="2:25">
      <c r="B962" s="374"/>
      <c r="C962" s="374"/>
      <c r="D962" s="374"/>
      <c r="E962" s="374"/>
      <c r="F962" s="374"/>
      <c r="G962" s="374"/>
      <c r="H962" s="374"/>
      <c r="I962" s="374"/>
      <c r="J962" s="374"/>
      <c r="K962" s="374"/>
      <c r="L962" s="374"/>
      <c r="M962" s="374"/>
      <c r="N962" s="374"/>
      <c r="O962" s="374"/>
      <c r="P962" s="374"/>
      <c r="Q962" s="374"/>
      <c r="R962" s="374"/>
      <c r="S962" s="374"/>
      <c r="T962" s="374"/>
      <c r="U962" s="374"/>
      <c r="V962" s="374"/>
      <c r="W962" s="96"/>
      <c r="X962" s="96"/>
      <c r="Y962" s="96"/>
    </row>
    <row r="963" spans="2:25">
      <c r="B963" s="374"/>
      <c r="C963" s="374"/>
      <c r="D963" s="374"/>
      <c r="E963" s="374"/>
      <c r="F963" s="374"/>
      <c r="G963" s="374"/>
      <c r="H963" s="374"/>
      <c r="I963" s="374"/>
      <c r="J963" s="374"/>
      <c r="K963" s="374"/>
      <c r="L963" s="374"/>
      <c r="M963" s="374"/>
      <c r="N963" s="374"/>
      <c r="O963" s="374"/>
      <c r="P963" s="374"/>
      <c r="Q963" s="374"/>
      <c r="R963" s="374"/>
      <c r="S963" s="374"/>
      <c r="T963" s="374"/>
      <c r="U963" s="374"/>
      <c r="V963" s="374"/>
      <c r="W963" s="96"/>
      <c r="X963" s="96"/>
      <c r="Y963" s="96"/>
    </row>
    <row r="964" spans="2:25">
      <c r="B964" s="374"/>
      <c r="C964" s="374"/>
      <c r="D964" s="374"/>
      <c r="E964" s="374"/>
      <c r="F964" s="374"/>
      <c r="G964" s="374"/>
      <c r="H964" s="374"/>
      <c r="I964" s="374"/>
      <c r="J964" s="374"/>
      <c r="K964" s="374"/>
      <c r="L964" s="374"/>
      <c r="M964" s="374"/>
      <c r="N964" s="374"/>
      <c r="O964" s="374"/>
      <c r="P964" s="374"/>
      <c r="Q964" s="374"/>
      <c r="R964" s="374"/>
      <c r="S964" s="374"/>
      <c r="T964" s="374"/>
      <c r="U964" s="374"/>
      <c r="V964" s="374"/>
      <c r="W964" s="96"/>
      <c r="X964" s="96"/>
      <c r="Y964" s="96"/>
    </row>
    <row r="965" spans="2:25">
      <c r="B965" s="374"/>
      <c r="C965" s="374"/>
      <c r="D965" s="374"/>
      <c r="E965" s="374"/>
      <c r="F965" s="374"/>
      <c r="G965" s="374"/>
      <c r="H965" s="374"/>
      <c r="I965" s="374"/>
      <c r="J965" s="374"/>
      <c r="K965" s="374"/>
      <c r="L965" s="374"/>
      <c r="M965" s="374"/>
      <c r="N965" s="374"/>
      <c r="O965" s="374"/>
      <c r="P965" s="374"/>
      <c r="Q965" s="374"/>
      <c r="R965" s="374"/>
      <c r="S965" s="374"/>
      <c r="T965" s="374"/>
      <c r="U965" s="374"/>
      <c r="V965" s="374"/>
      <c r="W965" s="96"/>
      <c r="X965" s="96"/>
      <c r="Y965" s="96"/>
    </row>
    <row r="966" spans="2:25">
      <c r="B966" s="374"/>
      <c r="C966" s="374"/>
      <c r="D966" s="374"/>
      <c r="E966" s="374"/>
      <c r="F966" s="374"/>
      <c r="G966" s="374"/>
      <c r="H966" s="374"/>
      <c r="I966" s="374"/>
      <c r="J966" s="374"/>
      <c r="K966" s="374"/>
      <c r="L966" s="374"/>
      <c r="M966" s="374"/>
      <c r="N966" s="374"/>
      <c r="O966" s="374"/>
      <c r="P966" s="374"/>
      <c r="Q966" s="374"/>
      <c r="R966" s="374"/>
      <c r="S966" s="374"/>
      <c r="T966" s="374"/>
      <c r="U966" s="374"/>
      <c r="V966" s="374"/>
      <c r="W966" s="96"/>
      <c r="X966" s="96"/>
      <c r="Y966" s="96"/>
    </row>
    <row r="967" spans="2:25">
      <c r="B967" s="374"/>
      <c r="C967" s="374"/>
      <c r="D967" s="374"/>
      <c r="E967" s="374"/>
      <c r="F967" s="374"/>
      <c r="G967" s="374"/>
      <c r="H967" s="374"/>
      <c r="I967" s="374"/>
      <c r="J967" s="374"/>
      <c r="K967" s="374"/>
      <c r="L967" s="374"/>
      <c r="M967" s="374"/>
      <c r="N967" s="374"/>
      <c r="O967" s="374"/>
      <c r="P967" s="374"/>
      <c r="Q967" s="374"/>
      <c r="R967" s="374"/>
      <c r="S967" s="374"/>
      <c r="T967" s="374"/>
      <c r="U967" s="374"/>
      <c r="V967" s="374"/>
      <c r="W967" s="96"/>
      <c r="X967" s="96"/>
      <c r="Y967" s="96"/>
    </row>
    <row r="968" spans="2:25">
      <c r="B968" s="374"/>
      <c r="C968" s="374"/>
      <c r="D968" s="374"/>
      <c r="E968" s="374"/>
      <c r="F968" s="374"/>
      <c r="G968" s="374"/>
      <c r="H968" s="374"/>
      <c r="I968" s="374"/>
      <c r="J968" s="374"/>
      <c r="K968" s="374"/>
      <c r="L968" s="374"/>
      <c r="M968" s="374"/>
      <c r="N968" s="374"/>
      <c r="O968" s="374"/>
      <c r="P968" s="374"/>
      <c r="Q968" s="374"/>
      <c r="R968" s="374"/>
      <c r="S968" s="374"/>
      <c r="T968" s="374"/>
      <c r="U968" s="374"/>
      <c r="V968" s="374"/>
      <c r="W968" s="96"/>
      <c r="X968" s="96"/>
      <c r="Y968" s="96"/>
    </row>
    <row r="969" spans="2:25">
      <c r="B969" s="374"/>
      <c r="C969" s="374"/>
      <c r="D969" s="374"/>
      <c r="E969" s="374"/>
      <c r="F969" s="374"/>
      <c r="G969" s="374"/>
      <c r="H969" s="374"/>
      <c r="I969" s="374"/>
      <c r="J969" s="374"/>
      <c r="K969" s="374"/>
      <c r="L969" s="374"/>
      <c r="M969" s="374"/>
      <c r="N969" s="374"/>
      <c r="O969" s="374"/>
      <c r="P969" s="374"/>
      <c r="Q969" s="374"/>
      <c r="R969" s="374"/>
      <c r="S969" s="374"/>
      <c r="T969" s="374"/>
      <c r="U969" s="374"/>
      <c r="V969" s="374"/>
      <c r="W969" s="96"/>
      <c r="X969" s="96"/>
      <c r="Y969" s="96"/>
    </row>
    <row r="970" spans="2:25">
      <c r="B970" s="374"/>
      <c r="C970" s="374"/>
      <c r="D970" s="374"/>
      <c r="E970" s="374"/>
      <c r="F970" s="374"/>
      <c r="G970" s="374"/>
      <c r="H970" s="374"/>
      <c r="I970" s="374"/>
      <c r="J970" s="374"/>
      <c r="K970" s="374"/>
      <c r="L970" s="374"/>
      <c r="M970" s="374"/>
      <c r="N970" s="374"/>
      <c r="O970" s="374"/>
      <c r="P970" s="374"/>
      <c r="Q970" s="374"/>
      <c r="R970" s="374"/>
      <c r="S970" s="374"/>
      <c r="T970" s="374"/>
      <c r="U970" s="374"/>
      <c r="V970" s="374"/>
      <c r="W970" s="96"/>
      <c r="X970" s="96"/>
      <c r="Y970" s="96"/>
    </row>
    <row r="971" spans="2:25">
      <c r="B971" s="374"/>
      <c r="C971" s="374"/>
      <c r="D971" s="374"/>
      <c r="E971" s="374"/>
      <c r="F971" s="374"/>
      <c r="G971" s="374"/>
      <c r="H971" s="374"/>
      <c r="I971" s="374"/>
      <c r="J971" s="374"/>
      <c r="K971" s="374"/>
      <c r="L971" s="374"/>
      <c r="M971" s="374"/>
      <c r="N971" s="374"/>
      <c r="O971" s="374"/>
      <c r="P971" s="374"/>
      <c r="Q971" s="374"/>
      <c r="R971" s="374"/>
      <c r="S971" s="374"/>
      <c r="T971" s="374"/>
      <c r="U971" s="374"/>
      <c r="V971" s="374"/>
      <c r="W971" s="96"/>
      <c r="X971" s="96"/>
      <c r="Y971" s="96"/>
    </row>
    <row r="972" spans="2:25">
      <c r="B972" s="374"/>
      <c r="C972" s="374"/>
      <c r="D972" s="374"/>
      <c r="E972" s="374"/>
      <c r="F972" s="374"/>
      <c r="G972" s="374"/>
      <c r="H972" s="374"/>
      <c r="I972" s="374"/>
      <c r="J972" s="374"/>
      <c r="K972" s="374"/>
      <c r="L972" s="374"/>
      <c r="M972" s="374"/>
      <c r="N972" s="374"/>
      <c r="O972" s="374"/>
      <c r="P972" s="374"/>
      <c r="Q972" s="374"/>
      <c r="R972" s="374"/>
      <c r="S972" s="374"/>
      <c r="T972" s="374"/>
      <c r="U972" s="374"/>
      <c r="V972" s="374"/>
      <c r="W972" s="96"/>
      <c r="X972" s="96"/>
      <c r="Y972" s="96"/>
    </row>
    <row r="973" spans="2:25">
      <c r="B973" s="374"/>
      <c r="C973" s="374"/>
      <c r="D973" s="374"/>
      <c r="E973" s="374"/>
      <c r="F973" s="374"/>
      <c r="G973" s="374"/>
      <c r="H973" s="374"/>
      <c r="I973" s="374"/>
      <c r="J973" s="374"/>
      <c r="K973" s="374"/>
      <c r="L973" s="374"/>
      <c r="M973" s="374"/>
      <c r="N973" s="374"/>
      <c r="O973" s="374"/>
      <c r="P973" s="374"/>
      <c r="Q973" s="374"/>
      <c r="R973" s="374"/>
      <c r="S973" s="374"/>
      <c r="T973" s="374"/>
      <c r="U973" s="374"/>
      <c r="V973" s="374"/>
      <c r="W973" s="96"/>
      <c r="X973" s="96"/>
      <c r="Y973" s="96"/>
    </row>
    <row r="974" spans="2:25">
      <c r="B974" s="374"/>
      <c r="C974" s="374"/>
      <c r="D974" s="374"/>
      <c r="E974" s="374"/>
      <c r="F974" s="374"/>
      <c r="G974" s="374"/>
      <c r="H974" s="374"/>
      <c r="I974" s="374"/>
      <c r="J974" s="374"/>
      <c r="K974" s="374"/>
      <c r="L974" s="374"/>
      <c r="M974" s="374"/>
      <c r="N974" s="374"/>
      <c r="O974" s="374"/>
      <c r="P974" s="374"/>
      <c r="Q974" s="374"/>
      <c r="R974" s="374"/>
      <c r="S974" s="374"/>
      <c r="T974" s="374"/>
      <c r="U974" s="374"/>
      <c r="V974" s="374"/>
      <c r="W974" s="96"/>
      <c r="X974" s="96"/>
      <c r="Y974" s="96"/>
    </row>
    <row r="975" spans="2:25">
      <c r="B975" s="374"/>
      <c r="C975" s="374"/>
      <c r="D975" s="374"/>
      <c r="E975" s="374"/>
      <c r="F975" s="374"/>
      <c r="G975" s="374"/>
      <c r="H975" s="374"/>
      <c r="I975" s="374"/>
      <c r="J975" s="374"/>
      <c r="K975" s="374"/>
      <c r="L975" s="374"/>
      <c r="M975" s="374"/>
      <c r="N975" s="374"/>
      <c r="O975" s="374"/>
      <c r="P975" s="374"/>
      <c r="Q975" s="374"/>
      <c r="R975" s="374"/>
      <c r="S975" s="374"/>
      <c r="T975" s="374"/>
      <c r="U975" s="374"/>
      <c r="V975" s="374"/>
      <c r="W975" s="96"/>
      <c r="X975" s="96"/>
      <c r="Y975" s="96"/>
    </row>
    <row r="976" spans="2:25">
      <c r="B976" s="374"/>
      <c r="C976" s="374"/>
      <c r="D976" s="374"/>
      <c r="E976" s="374"/>
      <c r="F976" s="374"/>
      <c r="G976" s="374"/>
      <c r="H976" s="374"/>
      <c r="I976" s="374"/>
      <c r="J976" s="374"/>
      <c r="K976" s="374"/>
      <c r="L976" s="374"/>
      <c r="M976" s="374"/>
      <c r="N976" s="374"/>
      <c r="O976" s="374"/>
      <c r="P976" s="374"/>
      <c r="Q976" s="374"/>
      <c r="R976" s="374"/>
      <c r="S976" s="374"/>
      <c r="T976" s="374"/>
      <c r="U976" s="374"/>
      <c r="V976" s="374"/>
      <c r="W976" s="96"/>
      <c r="X976" s="96"/>
      <c r="Y976" s="96"/>
    </row>
    <row r="977" spans="2:25">
      <c r="B977" s="374"/>
      <c r="C977" s="374"/>
      <c r="D977" s="374"/>
      <c r="E977" s="374"/>
      <c r="F977" s="374"/>
      <c r="G977" s="374"/>
      <c r="H977" s="374"/>
      <c r="I977" s="374"/>
      <c r="J977" s="374"/>
      <c r="K977" s="374"/>
      <c r="L977" s="374"/>
      <c r="M977" s="374"/>
      <c r="N977" s="374"/>
      <c r="O977" s="374"/>
      <c r="P977" s="374"/>
      <c r="Q977" s="374"/>
      <c r="R977" s="374"/>
      <c r="S977" s="374"/>
      <c r="T977" s="374"/>
      <c r="U977" s="374"/>
      <c r="V977" s="374"/>
      <c r="W977" s="96"/>
      <c r="X977" s="96"/>
      <c r="Y977" s="96"/>
    </row>
    <row r="978" spans="2:25">
      <c r="B978" s="374"/>
      <c r="C978" s="374"/>
      <c r="D978" s="374"/>
      <c r="E978" s="374"/>
      <c r="F978" s="374"/>
      <c r="G978" s="374"/>
      <c r="H978" s="374"/>
      <c r="I978" s="374"/>
      <c r="J978" s="374"/>
      <c r="K978" s="374"/>
      <c r="L978" s="374"/>
      <c r="M978" s="374"/>
      <c r="N978" s="374"/>
      <c r="O978" s="374"/>
      <c r="P978" s="374"/>
      <c r="Q978" s="374"/>
      <c r="R978" s="374"/>
      <c r="S978" s="374"/>
      <c r="T978" s="374"/>
      <c r="U978" s="374"/>
      <c r="V978" s="374"/>
      <c r="W978" s="96"/>
      <c r="X978" s="96"/>
      <c r="Y978" s="96"/>
    </row>
    <row r="979" spans="2:25">
      <c r="B979" s="374"/>
      <c r="C979" s="374"/>
      <c r="D979" s="374"/>
      <c r="E979" s="374"/>
      <c r="F979" s="374"/>
      <c r="G979" s="374"/>
      <c r="H979" s="374"/>
      <c r="I979" s="374"/>
      <c r="J979" s="374"/>
      <c r="K979" s="374"/>
      <c r="L979" s="374"/>
      <c r="M979" s="374"/>
      <c r="N979" s="374"/>
      <c r="O979" s="374"/>
      <c r="P979" s="374"/>
      <c r="Q979" s="374"/>
      <c r="R979" s="374"/>
      <c r="S979" s="374"/>
      <c r="T979" s="374"/>
      <c r="U979" s="374"/>
      <c r="V979" s="374"/>
      <c r="W979" s="96"/>
      <c r="X979" s="96"/>
      <c r="Y979" s="96"/>
    </row>
    <row r="980" spans="2:25">
      <c r="B980" s="374"/>
      <c r="C980" s="374"/>
      <c r="D980" s="374"/>
      <c r="E980" s="374"/>
      <c r="F980" s="374"/>
      <c r="G980" s="374"/>
      <c r="H980" s="374"/>
      <c r="I980" s="374"/>
      <c r="J980" s="374"/>
      <c r="K980" s="374"/>
      <c r="L980" s="374"/>
      <c r="M980" s="374"/>
      <c r="N980" s="374"/>
      <c r="O980" s="374"/>
      <c r="P980" s="374"/>
      <c r="Q980" s="374"/>
      <c r="R980" s="374"/>
      <c r="S980" s="374"/>
      <c r="T980" s="374"/>
      <c r="U980" s="374"/>
      <c r="V980" s="374"/>
      <c r="W980" s="96"/>
      <c r="X980" s="96"/>
      <c r="Y980" s="96"/>
    </row>
    <row r="981" spans="2:25">
      <c r="B981" s="374"/>
      <c r="C981" s="374"/>
      <c r="D981" s="374"/>
      <c r="E981" s="374"/>
      <c r="F981" s="374"/>
      <c r="G981" s="374"/>
      <c r="H981" s="374"/>
      <c r="I981" s="374"/>
      <c r="J981" s="374"/>
      <c r="K981" s="374"/>
      <c r="L981" s="374"/>
      <c r="M981" s="374"/>
      <c r="N981" s="374"/>
      <c r="O981" s="374"/>
      <c r="P981" s="374"/>
      <c r="Q981" s="374"/>
      <c r="R981" s="374"/>
      <c r="S981" s="374"/>
      <c r="T981" s="374"/>
      <c r="U981" s="374"/>
      <c r="V981" s="374"/>
      <c r="W981" s="96"/>
      <c r="X981" s="96"/>
      <c r="Y981" s="96"/>
    </row>
    <row r="982" spans="2:25">
      <c r="B982" s="374"/>
      <c r="C982" s="374"/>
      <c r="D982" s="374"/>
      <c r="E982" s="374"/>
      <c r="F982" s="374"/>
      <c r="G982" s="374"/>
      <c r="H982" s="374"/>
      <c r="I982" s="374"/>
      <c r="J982" s="374"/>
      <c r="K982" s="374"/>
      <c r="L982" s="374"/>
      <c r="M982" s="374"/>
      <c r="N982" s="374"/>
      <c r="O982" s="374"/>
      <c r="P982" s="374"/>
      <c r="Q982" s="374"/>
      <c r="R982" s="374"/>
      <c r="S982" s="374"/>
      <c r="T982" s="374"/>
      <c r="U982" s="374"/>
      <c r="V982" s="374"/>
      <c r="W982" s="96"/>
      <c r="X982" s="96"/>
      <c r="Y982" s="96"/>
    </row>
    <row r="983" spans="2:25">
      <c r="B983" s="374"/>
      <c r="C983" s="374"/>
      <c r="D983" s="374"/>
      <c r="E983" s="374"/>
      <c r="F983" s="374"/>
      <c r="G983" s="374"/>
      <c r="H983" s="374"/>
      <c r="I983" s="374"/>
      <c r="J983" s="374"/>
      <c r="K983" s="374"/>
      <c r="L983" s="374"/>
      <c r="M983" s="374"/>
      <c r="N983" s="374"/>
      <c r="O983" s="374"/>
      <c r="P983" s="374"/>
      <c r="Q983" s="374"/>
      <c r="R983" s="374"/>
      <c r="S983" s="374"/>
      <c r="T983" s="374"/>
      <c r="U983" s="374"/>
      <c r="V983" s="374"/>
      <c r="W983" s="96"/>
      <c r="X983" s="96"/>
      <c r="Y983" s="96"/>
    </row>
    <row r="984" spans="2:25">
      <c r="B984" s="374"/>
      <c r="C984" s="374"/>
      <c r="D984" s="374"/>
      <c r="E984" s="374"/>
      <c r="F984" s="374"/>
      <c r="G984" s="374"/>
      <c r="H984" s="374"/>
      <c r="I984" s="374"/>
      <c r="J984" s="374"/>
      <c r="K984" s="374"/>
      <c r="L984" s="374"/>
      <c r="M984" s="374"/>
      <c r="N984" s="374"/>
      <c r="O984" s="374"/>
      <c r="P984" s="374"/>
      <c r="Q984" s="374"/>
      <c r="R984" s="374"/>
      <c r="S984" s="374"/>
      <c r="T984" s="374"/>
      <c r="U984" s="374"/>
      <c r="V984" s="374"/>
      <c r="W984" s="96"/>
      <c r="X984" s="96"/>
      <c r="Y984" s="96"/>
    </row>
    <row r="985" spans="2:25">
      <c r="B985" s="374"/>
      <c r="C985" s="374"/>
      <c r="D985" s="374"/>
      <c r="E985" s="374"/>
      <c r="F985" s="374"/>
      <c r="G985" s="374"/>
      <c r="H985" s="374"/>
      <c r="I985" s="374"/>
      <c r="J985" s="374"/>
      <c r="K985" s="374"/>
      <c r="L985" s="374"/>
      <c r="M985" s="374"/>
      <c r="N985" s="374"/>
      <c r="O985" s="374"/>
      <c r="P985" s="374"/>
      <c r="Q985" s="374"/>
      <c r="R985" s="374"/>
      <c r="S985" s="374"/>
      <c r="T985" s="374"/>
      <c r="U985" s="374"/>
      <c r="V985" s="374"/>
      <c r="W985" s="96"/>
      <c r="X985" s="96"/>
      <c r="Y985" s="96"/>
    </row>
    <row r="986" spans="2:25">
      <c r="B986" s="374"/>
      <c r="C986" s="374"/>
      <c r="D986" s="374"/>
      <c r="E986" s="374"/>
      <c r="F986" s="374"/>
      <c r="G986" s="374"/>
      <c r="H986" s="374"/>
      <c r="I986" s="374"/>
      <c r="J986" s="374"/>
      <c r="K986" s="374"/>
      <c r="L986" s="374"/>
      <c r="M986" s="374"/>
      <c r="N986" s="374"/>
      <c r="O986" s="374"/>
      <c r="P986" s="374"/>
      <c r="Q986" s="374"/>
      <c r="R986" s="374"/>
      <c r="S986" s="374"/>
      <c r="T986" s="374"/>
      <c r="U986" s="374"/>
      <c r="V986" s="374"/>
      <c r="W986" s="96"/>
      <c r="X986" s="96"/>
      <c r="Y986" s="96"/>
    </row>
    <row r="987" spans="2:25">
      <c r="B987" s="374"/>
      <c r="C987" s="374"/>
      <c r="D987" s="374"/>
      <c r="E987" s="374"/>
      <c r="F987" s="374"/>
      <c r="G987" s="374"/>
      <c r="H987" s="374"/>
      <c r="I987" s="374"/>
      <c r="J987" s="374"/>
      <c r="K987" s="374"/>
      <c r="L987" s="374"/>
      <c r="M987" s="374"/>
      <c r="N987" s="374"/>
      <c r="O987" s="374"/>
      <c r="P987" s="374"/>
      <c r="Q987" s="374"/>
      <c r="R987" s="374"/>
      <c r="S987" s="374"/>
      <c r="T987" s="374"/>
      <c r="U987" s="374"/>
      <c r="V987" s="374"/>
      <c r="W987" s="96"/>
      <c r="X987" s="96"/>
      <c r="Y987" s="96"/>
    </row>
    <row r="988" spans="2:25">
      <c r="B988" s="374"/>
      <c r="C988" s="374"/>
      <c r="D988" s="374"/>
      <c r="E988" s="374"/>
      <c r="F988" s="374"/>
      <c r="G988" s="374"/>
      <c r="H988" s="374"/>
      <c r="I988" s="374"/>
      <c r="J988" s="374"/>
      <c r="K988" s="374"/>
      <c r="L988" s="374"/>
      <c r="M988" s="374"/>
      <c r="N988" s="374"/>
      <c r="O988" s="374"/>
      <c r="P988" s="374"/>
      <c r="Q988" s="374"/>
      <c r="R988" s="374"/>
      <c r="S988" s="374"/>
      <c r="T988" s="374"/>
      <c r="U988" s="374"/>
      <c r="V988" s="374"/>
      <c r="W988" s="96"/>
      <c r="X988" s="96"/>
      <c r="Y988" s="96"/>
    </row>
    <row r="989" spans="2:25">
      <c r="B989" s="374"/>
      <c r="C989" s="374"/>
      <c r="D989" s="374"/>
      <c r="E989" s="374"/>
      <c r="F989" s="374"/>
      <c r="G989" s="374"/>
      <c r="H989" s="374"/>
      <c r="I989" s="374"/>
      <c r="J989" s="374"/>
      <c r="K989" s="374"/>
      <c r="L989" s="374"/>
      <c r="M989" s="374"/>
      <c r="N989" s="374"/>
      <c r="O989" s="374"/>
      <c r="P989" s="374"/>
      <c r="Q989" s="374"/>
      <c r="R989" s="374"/>
      <c r="S989" s="374"/>
      <c r="T989" s="374"/>
      <c r="U989" s="374"/>
      <c r="V989" s="374"/>
      <c r="W989" s="96"/>
      <c r="X989" s="96"/>
      <c r="Y989" s="96"/>
    </row>
    <row r="990" spans="2:25">
      <c r="B990" s="374"/>
      <c r="C990" s="374"/>
      <c r="D990" s="374"/>
      <c r="E990" s="374"/>
      <c r="F990" s="374"/>
      <c r="G990" s="374"/>
      <c r="H990" s="374"/>
      <c r="I990" s="374"/>
      <c r="J990" s="374"/>
      <c r="K990" s="374"/>
      <c r="L990" s="374"/>
      <c r="M990" s="374"/>
      <c r="N990" s="374"/>
      <c r="O990" s="374"/>
      <c r="P990" s="374"/>
      <c r="Q990" s="374"/>
      <c r="R990" s="374"/>
      <c r="S990" s="374"/>
      <c r="T990" s="374"/>
      <c r="U990" s="374"/>
      <c r="V990" s="374"/>
      <c r="W990" s="96"/>
      <c r="X990" s="96"/>
      <c r="Y990" s="96"/>
    </row>
    <row r="991" spans="2:25">
      <c r="B991" s="374"/>
      <c r="C991" s="374"/>
      <c r="D991" s="374"/>
      <c r="E991" s="374"/>
      <c r="F991" s="374"/>
      <c r="G991" s="374"/>
      <c r="H991" s="374"/>
      <c r="I991" s="374"/>
      <c r="J991" s="374"/>
      <c r="K991" s="374"/>
      <c r="L991" s="374"/>
      <c r="M991" s="374"/>
      <c r="N991" s="374"/>
      <c r="O991" s="374"/>
      <c r="P991" s="374"/>
      <c r="Q991" s="374"/>
      <c r="R991" s="374"/>
      <c r="S991" s="374"/>
      <c r="T991" s="374"/>
      <c r="U991" s="374"/>
      <c r="V991" s="374"/>
      <c r="W991" s="96"/>
      <c r="X991" s="96"/>
      <c r="Y991" s="96"/>
    </row>
    <row r="992" spans="2:25">
      <c r="B992" s="374"/>
      <c r="C992" s="374"/>
      <c r="D992" s="374"/>
      <c r="E992" s="374"/>
      <c r="F992" s="374"/>
      <c r="G992" s="374"/>
      <c r="H992" s="374"/>
      <c r="I992" s="374"/>
      <c r="J992" s="374"/>
      <c r="K992" s="374"/>
      <c r="L992" s="374"/>
      <c r="M992" s="374"/>
      <c r="N992" s="374"/>
      <c r="O992" s="374"/>
      <c r="P992" s="374"/>
      <c r="Q992" s="374"/>
      <c r="R992" s="374"/>
      <c r="S992" s="374"/>
      <c r="T992" s="374"/>
      <c r="U992" s="374"/>
      <c r="V992" s="374"/>
      <c r="W992" s="96"/>
      <c r="X992" s="96"/>
      <c r="Y992" s="96"/>
    </row>
    <row r="993" spans="2:25">
      <c r="B993" s="374"/>
      <c r="C993" s="374"/>
      <c r="D993" s="374"/>
      <c r="E993" s="374"/>
      <c r="F993" s="374"/>
      <c r="G993" s="374"/>
      <c r="H993" s="374"/>
      <c r="I993" s="374"/>
      <c r="J993" s="374"/>
      <c r="K993" s="374"/>
      <c r="L993" s="374"/>
      <c r="M993" s="374"/>
      <c r="N993" s="374"/>
      <c r="O993" s="374"/>
      <c r="P993" s="374"/>
      <c r="Q993" s="374"/>
      <c r="R993" s="374"/>
      <c r="S993" s="374"/>
      <c r="T993" s="374"/>
      <c r="U993" s="374"/>
      <c r="V993" s="374"/>
      <c r="W993" s="96"/>
      <c r="X993" s="96"/>
      <c r="Y993" s="96"/>
    </row>
    <row r="994" spans="2:25">
      <c r="B994" s="374"/>
      <c r="C994" s="374"/>
      <c r="D994" s="374"/>
      <c r="E994" s="374"/>
      <c r="F994" s="374"/>
      <c r="G994" s="374"/>
      <c r="H994" s="374"/>
      <c r="I994" s="374"/>
      <c r="J994" s="374"/>
      <c r="K994" s="374"/>
      <c r="L994" s="374"/>
      <c r="M994" s="374"/>
      <c r="N994" s="374"/>
      <c r="O994" s="374"/>
      <c r="P994" s="374"/>
      <c r="Q994" s="374"/>
      <c r="R994" s="374"/>
      <c r="S994" s="374"/>
      <c r="T994" s="374"/>
      <c r="U994" s="374"/>
      <c r="V994" s="374"/>
      <c r="W994" s="96"/>
      <c r="X994" s="96"/>
      <c r="Y994" s="96"/>
    </row>
    <row r="995" spans="2:25">
      <c r="B995" s="374"/>
      <c r="C995" s="374"/>
      <c r="D995" s="374"/>
      <c r="E995" s="374"/>
      <c r="F995" s="374"/>
      <c r="G995" s="374"/>
      <c r="H995" s="374"/>
      <c r="I995" s="374"/>
      <c r="J995" s="374"/>
      <c r="K995" s="374"/>
      <c r="L995" s="374"/>
      <c r="M995" s="374"/>
      <c r="N995" s="374"/>
      <c r="O995" s="374"/>
      <c r="P995" s="374"/>
      <c r="Q995" s="374"/>
      <c r="R995" s="374"/>
      <c r="S995" s="374"/>
      <c r="T995" s="374"/>
      <c r="U995" s="374"/>
      <c r="V995" s="374"/>
      <c r="W995" s="96"/>
      <c r="X995" s="96"/>
      <c r="Y995" s="96"/>
    </row>
    <row r="996" spans="2:25">
      <c r="B996" s="374"/>
      <c r="C996" s="374"/>
      <c r="D996" s="374"/>
      <c r="E996" s="374"/>
      <c r="F996" s="374"/>
      <c r="G996" s="374"/>
      <c r="H996" s="374"/>
      <c r="I996" s="374"/>
      <c r="J996" s="374"/>
      <c r="K996" s="374"/>
      <c r="L996" s="374"/>
      <c r="M996" s="374"/>
      <c r="N996" s="374"/>
      <c r="O996" s="374"/>
      <c r="P996" s="374"/>
      <c r="Q996" s="374"/>
      <c r="R996" s="374"/>
      <c r="S996" s="374"/>
      <c r="T996" s="374"/>
      <c r="U996" s="374"/>
      <c r="V996" s="374"/>
      <c r="W996" s="96"/>
      <c r="X996" s="96"/>
      <c r="Y996" s="96"/>
    </row>
    <row r="997" spans="2:25">
      <c r="B997" s="374"/>
      <c r="C997" s="374"/>
      <c r="D997" s="374"/>
      <c r="E997" s="374"/>
      <c r="F997" s="374"/>
      <c r="G997" s="374"/>
      <c r="H997" s="374"/>
      <c r="I997" s="374"/>
      <c r="J997" s="374"/>
      <c r="K997" s="374"/>
      <c r="L997" s="374"/>
      <c r="M997" s="374"/>
      <c r="N997" s="374"/>
      <c r="O997" s="374"/>
      <c r="P997" s="374"/>
      <c r="Q997" s="374"/>
      <c r="R997" s="374"/>
      <c r="S997" s="374"/>
      <c r="T997" s="374"/>
      <c r="U997" s="374"/>
      <c r="V997" s="374"/>
      <c r="W997" s="96"/>
      <c r="X997" s="96"/>
      <c r="Y997" s="96"/>
    </row>
    <row r="998" spans="2:25">
      <c r="B998" s="374"/>
      <c r="C998" s="374"/>
      <c r="D998" s="374"/>
      <c r="E998" s="374"/>
      <c r="F998" s="374"/>
      <c r="G998" s="374"/>
      <c r="H998" s="374"/>
      <c r="I998" s="374"/>
      <c r="J998" s="374"/>
      <c r="K998" s="374"/>
      <c r="L998" s="374"/>
      <c r="M998" s="374"/>
      <c r="N998" s="374"/>
      <c r="O998" s="374"/>
      <c r="P998" s="374"/>
      <c r="Q998" s="374"/>
      <c r="R998" s="374"/>
      <c r="S998" s="374"/>
      <c r="T998" s="374"/>
      <c r="U998" s="374"/>
      <c r="V998" s="374"/>
      <c r="W998" s="96"/>
      <c r="X998" s="96"/>
      <c r="Y998" s="96"/>
    </row>
    <row r="999" spans="2:25">
      <c r="B999" s="374"/>
      <c r="C999" s="374"/>
      <c r="D999" s="374"/>
      <c r="E999" s="374"/>
      <c r="F999" s="374"/>
      <c r="G999" s="374"/>
      <c r="H999" s="374"/>
      <c r="I999" s="374"/>
      <c r="J999" s="374"/>
      <c r="K999" s="374"/>
      <c r="L999" s="374"/>
      <c r="M999" s="374"/>
      <c r="N999" s="374"/>
      <c r="O999" s="374"/>
      <c r="P999" s="374"/>
      <c r="Q999" s="374"/>
      <c r="R999" s="374"/>
      <c r="S999" s="374"/>
      <c r="T999" s="374"/>
      <c r="U999" s="374"/>
      <c r="V999" s="374"/>
      <c r="W999" s="96"/>
      <c r="X999" s="96"/>
      <c r="Y999" s="96"/>
    </row>
    <row r="1000" spans="2:25">
      <c r="B1000" s="374"/>
      <c r="C1000" s="374"/>
      <c r="D1000" s="374"/>
      <c r="E1000" s="374"/>
      <c r="F1000" s="374"/>
      <c r="G1000" s="374"/>
      <c r="H1000" s="374"/>
      <c r="I1000" s="374"/>
      <c r="J1000" s="374"/>
      <c r="K1000" s="374"/>
      <c r="L1000" s="374"/>
      <c r="M1000" s="374"/>
      <c r="N1000" s="374"/>
      <c r="O1000" s="374"/>
      <c r="P1000" s="374"/>
      <c r="Q1000" s="374"/>
      <c r="R1000" s="374"/>
      <c r="S1000" s="374"/>
      <c r="T1000" s="374"/>
      <c r="U1000" s="374"/>
      <c r="V1000" s="374"/>
      <c r="W1000" s="96"/>
      <c r="X1000" s="96"/>
      <c r="Y1000" s="96"/>
    </row>
    <row r="1001" spans="2:25">
      <c r="B1001" s="374"/>
      <c r="C1001" s="374"/>
      <c r="D1001" s="374"/>
      <c r="E1001" s="374"/>
      <c r="F1001" s="374"/>
      <c r="G1001" s="374"/>
      <c r="H1001" s="374"/>
      <c r="I1001" s="374"/>
      <c r="J1001" s="374"/>
      <c r="K1001" s="374"/>
      <c r="L1001" s="374"/>
      <c r="M1001" s="374"/>
      <c r="N1001" s="374"/>
      <c r="O1001" s="374"/>
      <c r="P1001" s="374"/>
      <c r="Q1001" s="374"/>
      <c r="R1001" s="374"/>
      <c r="S1001" s="374"/>
      <c r="T1001" s="374"/>
      <c r="U1001" s="374"/>
      <c r="V1001" s="374"/>
      <c r="W1001" s="96"/>
      <c r="X1001" s="96"/>
      <c r="Y1001" s="96"/>
    </row>
    <row r="1002" spans="2:25">
      <c r="B1002" s="374"/>
      <c r="C1002" s="374"/>
      <c r="D1002" s="374"/>
      <c r="E1002" s="374"/>
      <c r="F1002" s="374"/>
      <c r="G1002" s="374"/>
      <c r="H1002" s="374"/>
      <c r="I1002" s="374"/>
      <c r="J1002" s="374"/>
      <c r="K1002" s="374"/>
      <c r="L1002" s="374"/>
      <c r="M1002" s="374"/>
      <c r="N1002" s="374"/>
      <c r="O1002" s="374"/>
      <c r="P1002" s="374"/>
      <c r="Q1002" s="374"/>
      <c r="R1002" s="374"/>
      <c r="S1002" s="374"/>
      <c r="T1002" s="374"/>
      <c r="U1002" s="374"/>
      <c r="V1002" s="374"/>
      <c r="W1002" s="96"/>
      <c r="X1002" s="96"/>
      <c r="Y1002" s="96"/>
    </row>
    <row r="1003" spans="2:25">
      <c r="B1003" s="374"/>
      <c r="C1003" s="374"/>
      <c r="D1003" s="374"/>
      <c r="E1003" s="374"/>
      <c r="F1003" s="374"/>
      <c r="G1003" s="374"/>
      <c r="H1003" s="374"/>
      <c r="I1003" s="374"/>
      <c r="J1003" s="374"/>
      <c r="K1003" s="374"/>
      <c r="L1003" s="374"/>
      <c r="M1003" s="374"/>
      <c r="N1003" s="374"/>
      <c r="O1003" s="374"/>
      <c r="P1003" s="374"/>
      <c r="Q1003" s="374"/>
      <c r="R1003" s="374"/>
      <c r="S1003" s="374"/>
      <c r="T1003" s="374"/>
      <c r="U1003" s="374"/>
      <c r="V1003" s="374"/>
      <c r="W1003" s="96"/>
      <c r="X1003" s="96"/>
      <c r="Y1003" s="96"/>
    </row>
    <row r="1004" spans="2:25">
      <c r="B1004" s="374"/>
      <c r="C1004" s="374"/>
      <c r="D1004" s="374"/>
      <c r="E1004" s="374"/>
      <c r="F1004" s="374"/>
      <c r="G1004" s="374"/>
      <c r="H1004" s="374"/>
      <c r="I1004" s="374"/>
      <c r="J1004" s="374"/>
      <c r="K1004" s="374"/>
      <c r="L1004" s="374"/>
      <c r="M1004" s="374"/>
      <c r="N1004" s="374"/>
      <c r="O1004" s="374"/>
      <c r="P1004" s="374"/>
      <c r="Q1004" s="374"/>
      <c r="R1004" s="374"/>
      <c r="S1004" s="374"/>
      <c r="T1004" s="374"/>
      <c r="U1004" s="374"/>
      <c r="V1004" s="374"/>
      <c r="W1004" s="96"/>
      <c r="X1004" s="96"/>
      <c r="Y1004" s="96"/>
    </row>
    <row r="1005" spans="2:25">
      <c r="B1005" s="374"/>
      <c r="C1005" s="374"/>
      <c r="D1005" s="374"/>
      <c r="E1005" s="374"/>
      <c r="F1005" s="374"/>
      <c r="G1005" s="374"/>
      <c r="H1005" s="374"/>
      <c r="I1005" s="374"/>
      <c r="J1005" s="374"/>
      <c r="K1005" s="374"/>
      <c r="L1005" s="374"/>
      <c r="M1005" s="374"/>
      <c r="N1005" s="374"/>
      <c r="O1005" s="374"/>
      <c r="P1005" s="374"/>
      <c r="Q1005" s="374"/>
      <c r="R1005" s="374"/>
      <c r="S1005" s="374"/>
      <c r="T1005" s="374"/>
      <c r="U1005" s="374"/>
      <c r="V1005" s="374"/>
      <c r="W1005" s="96"/>
      <c r="X1005" s="96"/>
      <c r="Y1005" s="96"/>
    </row>
    <row r="1006" spans="2:25">
      <c r="B1006" s="374"/>
      <c r="C1006" s="374"/>
      <c r="D1006" s="374"/>
      <c r="E1006" s="374"/>
      <c r="F1006" s="374"/>
      <c r="G1006" s="374"/>
      <c r="H1006" s="374"/>
      <c r="I1006" s="374"/>
      <c r="J1006" s="374"/>
      <c r="K1006" s="374"/>
      <c r="L1006" s="374"/>
      <c r="M1006" s="374"/>
      <c r="N1006" s="374"/>
      <c r="O1006" s="374"/>
      <c r="P1006" s="374"/>
      <c r="Q1006" s="374"/>
      <c r="R1006" s="374"/>
      <c r="S1006" s="374"/>
      <c r="T1006" s="374"/>
      <c r="U1006" s="374"/>
      <c r="V1006" s="374"/>
      <c r="W1006" s="96"/>
      <c r="X1006" s="96"/>
      <c r="Y1006" s="96"/>
    </row>
    <row r="1007" spans="2:25">
      <c r="B1007" s="374"/>
      <c r="C1007" s="374"/>
      <c r="D1007" s="374"/>
      <c r="E1007" s="374"/>
      <c r="F1007" s="374"/>
      <c r="G1007" s="374"/>
      <c r="H1007" s="374"/>
      <c r="I1007" s="374"/>
      <c r="J1007" s="374"/>
      <c r="K1007" s="374"/>
      <c r="L1007" s="374"/>
      <c r="M1007" s="374"/>
      <c r="N1007" s="374"/>
      <c r="O1007" s="374"/>
      <c r="P1007" s="374"/>
      <c r="Q1007" s="374"/>
      <c r="R1007" s="374"/>
      <c r="S1007" s="374"/>
      <c r="T1007" s="374"/>
      <c r="U1007" s="374"/>
      <c r="V1007" s="374"/>
      <c r="W1007" s="96"/>
      <c r="X1007" s="96"/>
      <c r="Y1007" s="96"/>
    </row>
    <row r="1008" spans="2:25">
      <c r="B1008" s="374"/>
      <c r="C1008" s="374"/>
      <c r="D1008" s="374"/>
      <c r="E1008" s="374"/>
      <c r="F1008" s="374"/>
      <c r="G1008" s="374"/>
      <c r="H1008" s="374"/>
      <c r="I1008" s="374"/>
      <c r="J1008" s="374"/>
      <c r="K1008" s="374"/>
      <c r="L1008" s="374"/>
      <c r="M1008" s="374"/>
      <c r="N1008" s="374"/>
      <c r="O1008" s="374"/>
      <c r="P1008" s="374"/>
      <c r="Q1008" s="374"/>
      <c r="R1008" s="374"/>
      <c r="S1008" s="374"/>
      <c r="T1008" s="374"/>
      <c r="U1008" s="374"/>
      <c r="V1008" s="374"/>
      <c r="W1008" s="96"/>
      <c r="X1008" s="96"/>
      <c r="Y1008" s="96"/>
    </row>
    <row r="1009" spans="2:25">
      <c r="B1009" s="374"/>
      <c r="C1009" s="374"/>
      <c r="D1009" s="374"/>
      <c r="E1009" s="374"/>
      <c r="F1009" s="374"/>
      <c r="G1009" s="374"/>
      <c r="H1009" s="374"/>
      <c r="I1009" s="374"/>
      <c r="J1009" s="374"/>
      <c r="K1009" s="374"/>
      <c r="L1009" s="374"/>
      <c r="M1009" s="374"/>
      <c r="N1009" s="374"/>
      <c r="O1009" s="374"/>
      <c r="P1009" s="374"/>
      <c r="Q1009" s="374"/>
      <c r="R1009" s="374"/>
      <c r="S1009" s="374"/>
      <c r="T1009" s="374"/>
      <c r="U1009" s="374"/>
      <c r="V1009" s="374"/>
      <c r="W1009" s="96"/>
      <c r="X1009" s="96"/>
      <c r="Y1009" s="96"/>
    </row>
    <row r="1010" spans="2:25">
      <c r="B1010" s="374"/>
      <c r="C1010" s="374"/>
      <c r="D1010" s="374"/>
      <c r="E1010" s="374"/>
      <c r="F1010" s="374"/>
      <c r="G1010" s="374"/>
      <c r="H1010" s="374"/>
      <c r="I1010" s="374"/>
      <c r="J1010" s="374"/>
      <c r="K1010" s="374"/>
      <c r="L1010" s="374"/>
      <c r="M1010" s="374"/>
      <c r="N1010" s="374"/>
      <c r="O1010" s="374"/>
      <c r="P1010" s="374"/>
      <c r="Q1010" s="374"/>
      <c r="R1010" s="374"/>
      <c r="S1010" s="374"/>
      <c r="T1010" s="374"/>
      <c r="U1010" s="374"/>
      <c r="V1010" s="374"/>
      <c r="W1010" s="96"/>
      <c r="X1010" s="96"/>
      <c r="Y1010" s="96"/>
    </row>
    <row r="1011" spans="2:25">
      <c r="B1011" s="374"/>
      <c r="C1011" s="374"/>
      <c r="D1011" s="374"/>
      <c r="E1011" s="374"/>
      <c r="F1011" s="374"/>
      <c r="G1011" s="374"/>
      <c r="H1011" s="374"/>
      <c r="I1011" s="374"/>
      <c r="J1011" s="374"/>
      <c r="K1011" s="374"/>
      <c r="L1011" s="374"/>
      <c r="M1011" s="374"/>
      <c r="N1011" s="374"/>
      <c r="O1011" s="374"/>
      <c r="P1011" s="374"/>
      <c r="Q1011" s="374"/>
      <c r="R1011" s="374"/>
      <c r="S1011" s="374"/>
      <c r="T1011" s="374"/>
      <c r="U1011" s="374"/>
      <c r="V1011" s="374"/>
      <c r="W1011" s="96"/>
      <c r="X1011" s="96"/>
      <c r="Y1011" s="96"/>
    </row>
    <row r="1012" spans="2:25">
      <c r="B1012" s="374"/>
      <c r="C1012" s="374"/>
      <c r="D1012" s="374"/>
      <c r="E1012" s="374"/>
      <c r="F1012" s="374"/>
      <c r="G1012" s="374"/>
      <c r="H1012" s="374"/>
      <c r="I1012" s="374"/>
      <c r="J1012" s="374"/>
      <c r="K1012" s="374"/>
      <c r="L1012" s="374"/>
      <c r="M1012" s="374"/>
      <c r="N1012" s="374"/>
      <c r="O1012" s="374"/>
      <c r="P1012" s="374"/>
      <c r="Q1012" s="374"/>
      <c r="R1012" s="374"/>
      <c r="S1012" s="374"/>
      <c r="T1012" s="374"/>
      <c r="U1012" s="374"/>
      <c r="V1012" s="374"/>
      <c r="W1012" s="96"/>
      <c r="X1012" s="96"/>
      <c r="Y1012" s="96"/>
    </row>
    <row r="1013" spans="2:25">
      <c r="B1013" s="374"/>
      <c r="C1013" s="374"/>
      <c r="D1013" s="374"/>
      <c r="E1013" s="374"/>
      <c r="F1013" s="374"/>
      <c r="G1013" s="374"/>
      <c r="H1013" s="374"/>
      <c r="I1013" s="374"/>
      <c r="J1013" s="374"/>
      <c r="K1013" s="374"/>
      <c r="L1013" s="374"/>
      <c r="M1013" s="374"/>
      <c r="N1013" s="374"/>
      <c r="O1013" s="374"/>
      <c r="P1013" s="374"/>
      <c r="Q1013" s="374"/>
      <c r="R1013" s="374"/>
      <c r="S1013" s="374"/>
      <c r="T1013" s="374"/>
      <c r="U1013" s="374"/>
      <c r="V1013" s="374"/>
      <c r="W1013" s="96"/>
      <c r="X1013" s="96"/>
      <c r="Y1013" s="96"/>
    </row>
    <row r="1014" spans="2:25">
      <c r="B1014" s="374"/>
      <c r="C1014" s="374"/>
      <c r="D1014" s="374"/>
      <c r="E1014" s="374"/>
      <c r="F1014" s="374"/>
      <c r="G1014" s="374"/>
      <c r="H1014" s="374"/>
      <c r="I1014" s="374"/>
      <c r="J1014" s="374"/>
      <c r="K1014" s="374"/>
      <c r="L1014" s="374"/>
      <c r="M1014" s="374"/>
      <c r="N1014" s="374"/>
      <c r="O1014" s="374"/>
      <c r="P1014" s="374"/>
      <c r="Q1014" s="374"/>
      <c r="R1014" s="374"/>
      <c r="S1014" s="374"/>
      <c r="T1014" s="374"/>
      <c r="U1014" s="374"/>
      <c r="V1014" s="374"/>
      <c r="W1014" s="96"/>
      <c r="X1014" s="96"/>
      <c r="Y1014" s="96"/>
    </row>
    <row r="1015" spans="2:25">
      <c r="B1015" s="374"/>
      <c r="C1015" s="374"/>
      <c r="D1015" s="374"/>
      <c r="E1015" s="374"/>
      <c r="F1015" s="374"/>
      <c r="G1015" s="374"/>
      <c r="H1015" s="374"/>
      <c r="I1015" s="374"/>
      <c r="J1015" s="374"/>
      <c r="K1015" s="374"/>
      <c r="L1015" s="374"/>
      <c r="M1015" s="374"/>
      <c r="N1015" s="374"/>
      <c r="O1015" s="374"/>
      <c r="P1015" s="374"/>
      <c r="Q1015" s="374"/>
      <c r="R1015" s="374"/>
      <c r="S1015" s="374"/>
      <c r="T1015" s="374"/>
      <c r="U1015" s="374"/>
      <c r="V1015" s="374"/>
      <c r="W1015" s="96"/>
      <c r="X1015" s="96"/>
      <c r="Y1015" s="96"/>
    </row>
    <row r="1016" spans="2:25">
      <c r="B1016" s="374"/>
      <c r="C1016" s="374"/>
      <c r="D1016" s="374"/>
      <c r="E1016" s="374"/>
      <c r="F1016" s="374"/>
      <c r="G1016" s="374"/>
      <c r="H1016" s="374"/>
      <c r="I1016" s="374"/>
      <c r="J1016" s="374"/>
      <c r="K1016" s="374"/>
      <c r="L1016" s="374"/>
      <c r="M1016" s="374"/>
      <c r="N1016" s="374"/>
      <c r="O1016" s="374"/>
      <c r="P1016" s="374"/>
      <c r="Q1016" s="374"/>
      <c r="R1016" s="374"/>
      <c r="S1016" s="374"/>
      <c r="T1016" s="374"/>
      <c r="U1016" s="374"/>
      <c r="V1016" s="374"/>
      <c r="W1016" s="96"/>
      <c r="X1016" s="96"/>
      <c r="Y1016" s="96"/>
    </row>
    <row r="1017" spans="2:25">
      <c r="B1017" s="374"/>
      <c r="C1017" s="374"/>
      <c r="D1017" s="374"/>
      <c r="E1017" s="374"/>
      <c r="F1017" s="374"/>
      <c r="G1017" s="374"/>
      <c r="H1017" s="374"/>
      <c r="I1017" s="374"/>
      <c r="J1017" s="374"/>
      <c r="K1017" s="374"/>
      <c r="L1017" s="374"/>
      <c r="M1017" s="374"/>
      <c r="N1017" s="374"/>
      <c r="O1017" s="374"/>
      <c r="P1017" s="374"/>
      <c r="Q1017" s="374"/>
      <c r="R1017" s="374"/>
      <c r="S1017" s="374"/>
      <c r="T1017" s="374"/>
      <c r="U1017" s="374"/>
      <c r="V1017" s="374"/>
      <c r="W1017" s="96"/>
      <c r="X1017" s="96"/>
      <c r="Y1017" s="96"/>
    </row>
    <row r="1018" spans="2:25">
      <c r="B1018" s="374"/>
      <c r="C1018" s="374"/>
      <c r="D1018" s="374"/>
      <c r="E1018" s="374"/>
      <c r="F1018" s="374"/>
      <c r="G1018" s="374"/>
      <c r="H1018" s="374"/>
      <c r="I1018" s="374"/>
      <c r="J1018" s="374"/>
      <c r="K1018" s="374"/>
      <c r="L1018" s="374"/>
      <c r="M1018" s="374"/>
      <c r="N1018" s="374"/>
      <c r="O1018" s="374"/>
      <c r="P1018" s="374"/>
      <c r="Q1018" s="374"/>
      <c r="R1018" s="374"/>
      <c r="S1018" s="374"/>
      <c r="T1018" s="374"/>
      <c r="U1018" s="374"/>
      <c r="V1018" s="374"/>
      <c r="W1018" s="96"/>
      <c r="X1018" s="96"/>
      <c r="Y1018" s="96"/>
    </row>
    <row r="1019" spans="2:25">
      <c r="B1019" s="374"/>
      <c r="C1019" s="374"/>
      <c r="D1019" s="374"/>
      <c r="E1019" s="374"/>
      <c r="F1019" s="374"/>
      <c r="G1019" s="374"/>
      <c r="H1019" s="374"/>
      <c r="I1019" s="374"/>
      <c r="J1019" s="374"/>
      <c r="K1019" s="374"/>
      <c r="L1019" s="374"/>
      <c r="M1019" s="374"/>
      <c r="N1019" s="374"/>
      <c r="O1019" s="374"/>
      <c r="P1019" s="374"/>
      <c r="Q1019" s="374"/>
      <c r="R1019" s="374"/>
      <c r="S1019" s="374"/>
      <c r="T1019" s="374"/>
      <c r="U1019" s="374"/>
      <c r="V1019" s="374"/>
      <c r="W1019" s="96"/>
      <c r="X1019" s="96"/>
      <c r="Y1019" s="96"/>
    </row>
    <row r="1020" spans="2:25">
      <c r="B1020" s="374"/>
      <c r="C1020" s="374"/>
      <c r="D1020" s="374"/>
      <c r="E1020" s="374"/>
      <c r="F1020" s="374"/>
      <c r="G1020" s="374"/>
      <c r="H1020" s="374"/>
      <c r="I1020" s="374"/>
      <c r="J1020" s="374"/>
      <c r="K1020" s="374"/>
      <c r="L1020" s="374"/>
      <c r="M1020" s="374"/>
      <c r="N1020" s="374"/>
      <c r="O1020" s="374"/>
      <c r="P1020" s="374"/>
      <c r="Q1020" s="374"/>
      <c r="R1020" s="374"/>
      <c r="S1020" s="374"/>
      <c r="T1020" s="374"/>
      <c r="U1020" s="374"/>
      <c r="V1020" s="374"/>
      <c r="W1020" s="96"/>
      <c r="X1020" s="96"/>
      <c r="Y1020" s="96"/>
    </row>
    <row r="1021" spans="2:25">
      <c r="B1021" s="374"/>
      <c r="C1021" s="374"/>
      <c r="D1021" s="374"/>
      <c r="E1021" s="374"/>
      <c r="F1021" s="374"/>
      <c r="G1021" s="374"/>
      <c r="H1021" s="374"/>
      <c r="I1021" s="374"/>
      <c r="J1021" s="374"/>
      <c r="K1021" s="374"/>
      <c r="L1021" s="374"/>
      <c r="M1021" s="374"/>
      <c r="N1021" s="374"/>
      <c r="O1021" s="374"/>
      <c r="P1021" s="374"/>
      <c r="Q1021" s="374"/>
      <c r="R1021" s="374"/>
      <c r="S1021" s="374"/>
      <c r="T1021" s="374"/>
      <c r="U1021" s="374"/>
      <c r="V1021" s="374"/>
      <c r="W1021" s="96"/>
      <c r="X1021" s="96"/>
      <c r="Y1021" s="96"/>
    </row>
    <row r="1022" spans="2:25">
      <c r="B1022" s="374"/>
      <c r="C1022" s="374"/>
      <c r="D1022" s="374"/>
      <c r="E1022" s="374"/>
      <c r="F1022" s="374"/>
      <c r="G1022" s="374"/>
      <c r="H1022" s="374"/>
      <c r="I1022" s="374"/>
      <c r="J1022" s="374"/>
      <c r="K1022" s="374"/>
      <c r="L1022" s="374"/>
      <c r="M1022" s="374"/>
      <c r="N1022" s="374"/>
      <c r="O1022" s="374"/>
      <c r="P1022" s="374"/>
      <c r="Q1022" s="374"/>
      <c r="R1022" s="374"/>
      <c r="S1022" s="374"/>
      <c r="T1022" s="374"/>
      <c r="U1022" s="374"/>
      <c r="V1022" s="374"/>
      <c r="W1022" s="96"/>
      <c r="X1022" s="96"/>
      <c r="Y1022" s="96"/>
    </row>
    <row r="1023" spans="2:25">
      <c r="B1023" s="374"/>
      <c r="C1023" s="374"/>
      <c r="D1023" s="374"/>
      <c r="E1023" s="374"/>
      <c r="F1023" s="374"/>
      <c r="G1023" s="374"/>
      <c r="H1023" s="374"/>
      <c r="I1023" s="374"/>
      <c r="J1023" s="374"/>
      <c r="K1023" s="374"/>
      <c r="L1023" s="374"/>
      <c r="M1023" s="374"/>
      <c r="N1023" s="374"/>
      <c r="O1023" s="374"/>
      <c r="P1023" s="374"/>
      <c r="Q1023" s="374"/>
      <c r="R1023" s="374"/>
      <c r="S1023" s="374"/>
      <c r="T1023" s="374"/>
      <c r="U1023" s="374"/>
      <c r="V1023" s="374"/>
      <c r="W1023" s="96"/>
      <c r="X1023" s="96"/>
      <c r="Y1023" s="96"/>
    </row>
    <row r="1024" spans="2:25">
      <c r="B1024" s="374"/>
      <c r="C1024" s="374"/>
      <c r="D1024" s="374"/>
      <c r="E1024" s="374"/>
      <c r="F1024" s="374"/>
      <c r="G1024" s="374"/>
      <c r="H1024" s="374"/>
      <c r="I1024" s="374"/>
      <c r="J1024" s="374"/>
      <c r="K1024" s="374"/>
      <c r="L1024" s="374"/>
      <c r="M1024" s="374"/>
      <c r="N1024" s="374"/>
      <c r="O1024" s="374"/>
      <c r="P1024" s="374"/>
      <c r="Q1024" s="374"/>
      <c r="R1024" s="374"/>
      <c r="S1024" s="374"/>
      <c r="T1024" s="374"/>
      <c r="U1024" s="374"/>
      <c r="V1024" s="374"/>
      <c r="W1024" s="96"/>
      <c r="X1024" s="96"/>
      <c r="Y1024" s="96"/>
    </row>
    <row r="1025" spans="2:25">
      <c r="B1025" s="374"/>
      <c r="C1025" s="374"/>
      <c r="D1025" s="374"/>
      <c r="E1025" s="374"/>
      <c r="F1025" s="374"/>
      <c r="G1025" s="374"/>
      <c r="H1025" s="374"/>
      <c r="I1025" s="374"/>
      <c r="J1025" s="374"/>
      <c r="K1025" s="374"/>
      <c r="L1025" s="374"/>
      <c r="M1025" s="374"/>
      <c r="N1025" s="374"/>
      <c r="O1025" s="374"/>
      <c r="P1025" s="374"/>
      <c r="Q1025" s="374"/>
      <c r="R1025" s="374"/>
      <c r="S1025" s="374"/>
      <c r="T1025" s="374"/>
      <c r="U1025" s="374"/>
      <c r="V1025" s="374"/>
      <c r="W1025" s="96"/>
      <c r="X1025" s="96"/>
      <c r="Y1025" s="96"/>
    </row>
    <row r="1026" spans="2:25">
      <c r="B1026" s="374"/>
      <c r="C1026" s="374"/>
      <c r="D1026" s="374"/>
      <c r="E1026" s="374"/>
      <c r="F1026" s="374"/>
      <c r="G1026" s="374"/>
      <c r="H1026" s="374"/>
      <c r="I1026" s="374"/>
      <c r="J1026" s="374"/>
      <c r="K1026" s="374"/>
      <c r="L1026" s="374"/>
      <c r="M1026" s="374"/>
      <c r="N1026" s="374"/>
      <c r="O1026" s="374"/>
      <c r="P1026" s="374"/>
      <c r="Q1026" s="374"/>
      <c r="R1026" s="374"/>
      <c r="S1026" s="374"/>
      <c r="T1026" s="374"/>
      <c r="U1026" s="374"/>
      <c r="V1026" s="374"/>
      <c r="W1026" s="96"/>
      <c r="X1026" s="96"/>
      <c r="Y1026" s="96"/>
    </row>
    <row r="1027" spans="2:25">
      <c r="B1027" s="374"/>
      <c r="C1027" s="374"/>
      <c r="D1027" s="374"/>
      <c r="E1027" s="374"/>
      <c r="F1027" s="374"/>
      <c r="G1027" s="374"/>
      <c r="H1027" s="374"/>
      <c r="I1027" s="374"/>
      <c r="J1027" s="374"/>
      <c r="K1027" s="374"/>
      <c r="L1027" s="374"/>
      <c r="M1027" s="374"/>
      <c r="N1027" s="374"/>
      <c r="O1027" s="374"/>
      <c r="P1027" s="374"/>
      <c r="Q1027" s="374"/>
      <c r="R1027" s="374"/>
      <c r="S1027" s="374"/>
      <c r="T1027" s="374"/>
      <c r="U1027" s="374"/>
      <c r="V1027" s="374"/>
      <c r="W1027" s="96"/>
      <c r="X1027" s="96"/>
      <c r="Y1027" s="96"/>
    </row>
    <row r="1028" spans="2:25">
      <c r="B1028" s="374"/>
      <c r="C1028" s="374"/>
      <c r="D1028" s="374"/>
      <c r="E1028" s="374"/>
      <c r="F1028" s="374"/>
      <c r="G1028" s="374"/>
      <c r="H1028" s="374"/>
      <c r="I1028" s="374"/>
      <c r="J1028" s="374"/>
      <c r="K1028" s="374"/>
      <c r="L1028" s="374"/>
      <c r="M1028" s="374"/>
      <c r="N1028" s="374"/>
      <c r="O1028" s="374"/>
      <c r="P1028" s="374"/>
      <c r="Q1028" s="374"/>
      <c r="R1028" s="374"/>
      <c r="S1028" s="374"/>
      <c r="T1028" s="374"/>
      <c r="U1028" s="374"/>
      <c r="V1028" s="374"/>
      <c r="W1028" s="96"/>
      <c r="X1028" s="96"/>
      <c r="Y1028" s="96"/>
    </row>
    <row r="1029" spans="2:25">
      <c r="B1029" s="374"/>
      <c r="C1029" s="374"/>
      <c r="D1029" s="374"/>
      <c r="E1029" s="374"/>
      <c r="F1029" s="374"/>
      <c r="G1029" s="374"/>
      <c r="H1029" s="374"/>
      <c r="I1029" s="374"/>
      <c r="J1029" s="374"/>
      <c r="K1029" s="374"/>
      <c r="L1029" s="374"/>
      <c r="M1029" s="374"/>
      <c r="N1029" s="374"/>
      <c r="O1029" s="374"/>
      <c r="P1029" s="374"/>
      <c r="Q1029" s="374"/>
      <c r="R1029" s="374"/>
      <c r="S1029" s="374"/>
      <c r="T1029" s="374"/>
      <c r="U1029" s="374"/>
      <c r="V1029" s="374"/>
      <c r="W1029" s="96"/>
      <c r="X1029" s="96"/>
      <c r="Y1029" s="96"/>
    </row>
    <row r="1030" spans="2:25">
      <c r="B1030" s="374"/>
      <c r="C1030" s="374"/>
      <c r="D1030" s="374"/>
      <c r="E1030" s="374"/>
      <c r="F1030" s="374"/>
      <c r="G1030" s="374"/>
      <c r="H1030" s="374"/>
      <c r="I1030" s="374"/>
      <c r="J1030" s="374"/>
      <c r="K1030" s="374"/>
      <c r="L1030" s="374"/>
      <c r="M1030" s="374"/>
      <c r="N1030" s="374"/>
      <c r="O1030" s="374"/>
      <c r="P1030" s="374"/>
      <c r="Q1030" s="374"/>
      <c r="R1030" s="374"/>
      <c r="S1030" s="374"/>
      <c r="T1030" s="374"/>
      <c r="U1030" s="374"/>
      <c r="V1030" s="374"/>
      <c r="W1030" s="96"/>
      <c r="X1030" s="96"/>
      <c r="Y1030" s="96"/>
    </row>
    <row r="1031" spans="2:25">
      <c r="B1031" s="374"/>
      <c r="C1031" s="374"/>
      <c r="D1031" s="374"/>
      <c r="E1031" s="374"/>
      <c r="F1031" s="374"/>
      <c r="G1031" s="374"/>
      <c r="H1031" s="374"/>
      <c r="I1031" s="374"/>
      <c r="J1031" s="374"/>
      <c r="K1031" s="374"/>
      <c r="L1031" s="374"/>
      <c r="M1031" s="374"/>
      <c r="N1031" s="374"/>
      <c r="O1031" s="374"/>
      <c r="P1031" s="374"/>
      <c r="Q1031" s="374"/>
      <c r="R1031" s="374"/>
      <c r="S1031" s="374"/>
      <c r="T1031" s="374"/>
      <c r="U1031" s="374"/>
      <c r="V1031" s="374"/>
      <c r="W1031" s="96"/>
      <c r="X1031" s="96"/>
      <c r="Y1031" s="96"/>
    </row>
    <row r="1032" spans="2:25">
      <c r="B1032" s="374"/>
      <c r="C1032" s="374"/>
      <c r="D1032" s="374"/>
      <c r="E1032" s="374"/>
      <c r="F1032" s="374"/>
      <c r="G1032" s="374"/>
      <c r="H1032" s="374"/>
      <c r="I1032" s="374"/>
      <c r="J1032" s="374"/>
      <c r="K1032" s="374"/>
      <c r="L1032" s="374"/>
      <c r="M1032" s="374"/>
      <c r="N1032" s="374"/>
      <c r="O1032" s="374"/>
      <c r="P1032" s="374"/>
      <c r="Q1032" s="374"/>
      <c r="R1032" s="374"/>
      <c r="S1032" s="374"/>
      <c r="T1032" s="374"/>
      <c r="U1032" s="374"/>
      <c r="V1032" s="374"/>
      <c r="W1032" s="96"/>
      <c r="X1032" s="96"/>
      <c r="Y1032" s="96"/>
    </row>
    <row r="1033" spans="2:25">
      <c r="B1033" s="374"/>
      <c r="C1033" s="374"/>
      <c r="D1033" s="374"/>
      <c r="E1033" s="374"/>
      <c r="F1033" s="374"/>
      <c r="G1033" s="374"/>
      <c r="H1033" s="374"/>
      <c r="I1033" s="374"/>
      <c r="J1033" s="374"/>
      <c r="K1033" s="374"/>
      <c r="L1033" s="374"/>
      <c r="M1033" s="374"/>
      <c r="N1033" s="374"/>
      <c r="O1033" s="374"/>
      <c r="P1033" s="374"/>
      <c r="Q1033" s="374"/>
      <c r="R1033" s="374"/>
      <c r="S1033" s="374"/>
      <c r="T1033" s="374"/>
      <c r="U1033" s="374"/>
      <c r="V1033" s="374"/>
      <c r="W1033" s="96"/>
      <c r="X1033" s="96"/>
      <c r="Y1033" s="96"/>
    </row>
    <row r="1034" spans="2:25">
      <c r="B1034" s="374"/>
      <c r="C1034" s="374"/>
      <c r="D1034" s="374"/>
      <c r="E1034" s="374"/>
      <c r="F1034" s="374"/>
      <c r="G1034" s="374"/>
      <c r="H1034" s="374"/>
      <c r="I1034" s="374"/>
      <c r="J1034" s="374"/>
      <c r="K1034" s="374"/>
      <c r="L1034" s="374"/>
      <c r="M1034" s="374"/>
      <c r="N1034" s="374"/>
      <c r="O1034" s="374"/>
      <c r="P1034" s="374"/>
      <c r="Q1034" s="374"/>
      <c r="R1034" s="374"/>
      <c r="S1034" s="374"/>
      <c r="T1034" s="374"/>
      <c r="U1034" s="374"/>
      <c r="V1034" s="374"/>
      <c r="W1034" s="96"/>
      <c r="X1034" s="96"/>
      <c r="Y1034" s="96"/>
    </row>
    <row r="1035" spans="2:25">
      <c r="B1035" s="374"/>
      <c r="C1035" s="374"/>
      <c r="D1035" s="374"/>
      <c r="E1035" s="374"/>
      <c r="F1035" s="374"/>
      <c r="G1035" s="374"/>
      <c r="H1035" s="374"/>
      <c r="I1035" s="374"/>
      <c r="J1035" s="374"/>
      <c r="K1035" s="374"/>
      <c r="L1035" s="374"/>
      <c r="M1035" s="374"/>
      <c r="N1035" s="374"/>
      <c r="O1035" s="374"/>
      <c r="P1035" s="374"/>
      <c r="Q1035" s="374"/>
      <c r="R1035" s="374"/>
      <c r="S1035" s="374"/>
      <c r="T1035" s="374"/>
      <c r="U1035" s="374"/>
      <c r="V1035" s="374"/>
      <c r="W1035" s="96"/>
      <c r="X1035" s="96"/>
      <c r="Y1035" s="96"/>
    </row>
    <row r="1036" spans="2:25">
      <c r="B1036" s="374"/>
      <c r="C1036" s="374"/>
      <c r="D1036" s="374"/>
      <c r="E1036" s="374"/>
      <c r="F1036" s="374"/>
      <c r="G1036" s="374"/>
      <c r="H1036" s="374"/>
      <c r="I1036" s="374"/>
      <c r="J1036" s="374"/>
      <c r="K1036" s="374"/>
      <c r="L1036" s="374"/>
      <c r="M1036" s="374"/>
      <c r="N1036" s="374"/>
      <c r="O1036" s="374"/>
      <c r="P1036" s="374"/>
      <c r="Q1036" s="374"/>
      <c r="R1036" s="374"/>
      <c r="S1036" s="374"/>
      <c r="T1036" s="374"/>
      <c r="U1036" s="374"/>
      <c r="V1036" s="374"/>
      <c r="W1036" s="96"/>
      <c r="X1036" s="96"/>
      <c r="Y1036" s="96"/>
    </row>
    <row r="1037" spans="2:25">
      <c r="B1037" s="374"/>
      <c r="C1037" s="374"/>
      <c r="D1037" s="374"/>
      <c r="E1037" s="374"/>
      <c r="F1037" s="374"/>
      <c r="G1037" s="374"/>
      <c r="H1037" s="374"/>
      <c r="I1037" s="374"/>
      <c r="J1037" s="374"/>
      <c r="K1037" s="374"/>
      <c r="L1037" s="374"/>
      <c r="M1037" s="374"/>
      <c r="N1037" s="374"/>
      <c r="O1037" s="374"/>
      <c r="P1037" s="374"/>
      <c r="Q1037" s="374"/>
      <c r="R1037" s="374"/>
      <c r="S1037" s="374"/>
      <c r="T1037" s="374"/>
      <c r="U1037" s="374"/>
      <c r="V1037" s="374"/>
      <c r="W1037" s="96"/>
      <c r="X1037" s="96"/>
      <c r="Y1037" s="96"/>
    </row>
    <row r="1038" spans="2:25">
      <c r="B1038" s="374"/>
      <c r="C1038" s="374"/>
      <c r="D1038" s="374"/>
      <c r="E1038" s="374"/>
      <c r="F1038" s="374"/>
      <c r="G1038" s="374"/>
      <c r="H1038" s="374"/>
      <c r="I1038" s="374"/>
      <c r="J1038" s="374"/>
      <c r="K1038" s="374"/>
      <c r="L1038" s="374"/>
      <c r="M1038" s="374"/>
      <c r="N1038" s="374"/>
      <c r="O1038" s="374"/>
      <c r="P1038" s="374"/>
      <c r="Q1038" s="374"/>
      <c r="R1038" s="374"/>
      <c r="S1038" s="374"/>
      <c r="T1038" s="374"/>
      <c r="U1038" s="374"/>
      <c r="V1038" s="374"/>
      <c r="W1038" s="96"/>
      <c r="X1038" s="96"/>
      <c r="Y1038" s="96"/>
    </row>
    <row r="1039" spans="2:25">
      <c r="B1039" s="374"/>
      <c r="C1039" s="374"/>
      <c r="D1039" s="374"/>
      <c r="E1039" s="374"/>
      <c r="F1039" s="374"/>
      <c r="G1039" s="374"/>
      <c r="H1039" s="374"/>
      <c r="I1039" s="374"/>
      <c r="J1039" s="374"/>
      <c r="K1039" s="374"/>
      <c r="L1039" s="374"/>
      <c r="M1039" s="374"/>
      <c r="N1039" s="374"/>
      <c r="O1039" s="374"/>
      <c r="P1039" s="374"/>
      <c r="Q1039" s="374"/>
      <c r="R1039" s="374"/>
      <c r="S1039" s="374"/>
      <c r="T1039" s="374"/>
      <c r="U1039" s="374"/>
      <c r="V1039" s="374"/>
      <c r="W1039" s="96"/>
      <c r="X1039" s="96"/>
      <c r="Y1039" s="96"/>
    </row>
    <row r="1040" spans="2:25">
      <c r="B1040" s="374"/>
      <c r="C1040" s="374"/>
      <c r="D1040" s="374"/>
      <c r="E1040" s="374"/>
      <c r="F1040" s="374"/>
      <c r="G1040" s="374"/>
      <c r="H1040" s="374"/>
      <c r="I1040" s="374"/>
      <c r="J1040" s="374"/>
      <c r="K1040" s="374"/>
      <c r="L1040" s="374"/>
      <c r="M1040" s="374"/>
      <c r="N1040" s="374"/>
      <c r="O1040" s="374"/>
      <c r="P1040" s="374"/>
      <c r="Q1040" s="374"/>
      <c r="R1040" s="374"/>
      <c r="S1040" s="374"/>
      <c r="T1040" s="374"/>
      <c r="U1040" s="374"/>
      <c r="V1040" s="374"/>
      <c r="W1040" s="96"/>
      <c r="X1040" s="96"/>
      <c r="Y1040" s="96"/>
    </row>
    <row r="1041" spans="2:25">
      <c r="B1041" s="374"/>
      <c r="C1041" s="374"/>
      <c r="D1041" s="374"/>
      <c r="E1041" s="374"/>
      <c r="F1041" s="374"/>
      <c r="G1041" s="374"/>
      <c r="H1041" s="374"/>
      <c r="I1041" s="374"/>
      <c r="J1041" s="374"/>
      <c r="K1041" s="374"/>
      <c r="L1041" s="374"/>
      <c r="M1041" s="374"/>
      <c r="N1041" s="374"/>
      <c r="O1041" s="374"/>
      <c r="P1041" s="374"/>
      <c r="Q1041" s="374"/>
      <c r="R1041" s="374"/>
      <c r="S1041" s="374"/>
      <c r="T1041" s="374"/>
      <c r="U1041" s="374"/>
      <c r="V1041" s="374"/>
      <c r="W1041" s="96"/>
      <c r="X1041" s="96"/>
      <c r="Y1041" s="96"/>
    </row>
    <row r="1042" spans="2:25">
      <c r="B1042" s="374"/>
      <c r="C1042" s="374"/>
      <c r="D1042" s="374"/>
      <c r="E1042" s="374"/>
      <c r="F1042" s="374"/>
      <c r="G1042" s="374"/>
      <c r="H1042" s="374"/>
      <c r="I1042" s="374"/>
      <c r="J1042" s="374"/>
      <c r="K1042" s="374"/>
      <c r="L1042" s="374"/>
      <c r="M1042" s="374"/>
      <c r="N1042" s="374"/>
      <c r="O1042" s="374"/>
      <c r="P1042" s="374"/>
      <c r="Q1042" s="374"/>
      <c r="R1042" s="374"/>
      <c r="S1042" s="374"/>
      <c r="T1042" s="374"/>
      <c r="U1042" s="374"/>
      <c r="V1042" s="374"/>
      <c r="W1042" s="96"/>
      <c r="X1042" s="96"/>
      <c r="Y1042" s="96"/>
    </row>
    <row r="1043" spans="2:25">
      <c r="B1043" s="374"/>
      <c r="C1043" s="374"/>
      <c r="D1043" s="374"/>
      <c r="E1043" s="374"/>
      <c r="F1043" s="374"/>
      <c r="G1043" s="374"/>
      <c r="H1043" s="374"/>
      <c r="I1043" s="374"/>
      <c r="J1043" s="374"/>
      <c r="K1043" s="374"/>
      <c r="L1043" s="374"/>
      <c r="M1043" s="374"/>
      <c r="N1043" s="374"/>
      <c r="O1043" s="374"/>
      <c r="P1043" s="374"/>
      <c r="Q1043" s="374"/>
      <c r="R1043" s="374"/>
      <c r="S1043" s="374"/>
      <c r="T1043" s="374"/>
      <c r="U1043" s="374"/>
      <c r="V1043" s="374"/>
      <c r="W1043" s="96"/>
      <c r="X1043" s="96"/>
      <c r="Y1043" s="96"/>
    </row>
    <row r="1044" spans="2:25">
      <c r="B1044" s="374"/>
      <c r="C1044" s="374"/>
      <c r="D1044" s="374"/>
      <c r="E1044" s="374"/>
      <c r="F1044" s="374"/>
      <c r="G1044" s="374"/>
      <c r="H1044" s="374"/>
      <c r="I1044" s="374"/>
      <c r="J1044" s="374"/>
      <c r="K1044" s="374"/>
      <c r="L1044" s="374"/>
      <c r="M1044" s="374"/>
      <c r="N1044" s="374"/>
      <c r="O1044" s="374"/>
      <c r="P1044" s="374"/>
      <c r="Q1044" s="374"/>
      <c r="R1044" s="374"/>
      <c r="S1044" s="374"/>
      <c r="T1044" s="374"/>
      <c r="U1044" s="374"/>
      <c r="V1044" s="374"/>
      <c r="W1044" s="96"/>
      <c r="X1044" s="96"/>
      <c r="Y1044" s="96"/>
    </row>
    <row r="1045" spans="2:25">
      <c r="B1045" s="374"/>
      <c r="C1045" s="374"/>
      <c r="D1045" s="374"/>
      <c r="E1045" s="374"/>
      <c r="F1045" s="374"/>
      <c r="G1045" s="374"/>
      <c r="H1045" s="374"/>
      <c r="I1045" s="374"/>
      <c r="J1045" s="374"/>
      <c r="K1045" s="374"/>
      <c r="L1045" s="374"/>
      <c r="M1045" s="374"/>
      <c r="N1045" s="374"/>
      <c r="O1045" s="374"/>
      <c r="P1045" s="374"/>
      <c r="Q1045" s="374"/>
      <c r="R1045" s="374"/>
      <c r="S1045" s="374"/>
      <c r="T1045" s="374"/>
      <c r="U1045" s="374"/>
      <c r="V1045" s="374"/>
      <c r="W1045" s="96"/>
      <c r="X1045" s="96"/>
      <c r="Y1045" s="96"/>
    </row>
    <row r="1046" spans="2:25">
      <c r="B1046" s="374"/>
      <c r="C1046" s="374"/>
      <c r="D1046" s="374"/>
      <c r="E1046" s="374"/>
      <c r="F1046" s="374"/>
      <c r="G1046" s="374"/>
      <c r="H1046" s="374"/>
      <c r="I1046" s="374"/>
      <c r="J1046" s="374"/>
      <c r="K1046" s="374"/>
      <c r="L1046" s="374"/>
      <c r="M1046" s="374"/>
      <c r="N1046" s="374"/>
      <c r="O1046" s="374"/>
      <c r="P1046" s="374"/>
      <c r="Q1046" s="374"/>
      <c r="R1046" s="374"/>
      <c r="S1046" s="374"/>
      <c r="T1046" s="374"/>
      <c r="U1046" s="374"/>
      <c r="V1046" s="374"/>
      <c r="W1046" s="96"/>
      <c r="X1046" s="96"/>
      <c r="Y1046" s="96"/>
    </row>
    <row r="1047" spans="2:25">
      <c r="B1047" s="374"/>
      <c r="C1047" s="374"/>
      <c r="D1047" s="374"/>
      <c r="E1047" s="374"/>
      <c r="F1047" s="374"/>
      <c r="G1047" s="374"/>
      <c r="H1047" s="374"/>
      <c r="I1047" s="374"/>
      <c r="J1047" s="374"/>
      <c r="K1047" s="374"/>
      <c r="L1047" s="374"/>
      <c r="M1047" s="374"/>
      <c r="N1047" s="374"/>
      <c r="O1047" s="374"/>
      <c r="P1047" s="374"/>
      <c r="Q1047" s="374"/>
      <c r="R1047" s="374"/>
      <c r="S1047" s="374"/>
      <c r="T1047" s="374"/>
      <c r="U1047" s="374"/>
      <c r="V1047" s="374"/>
      <c r="W1047" s="96"/>
      <c r="X1047" s="96"/>
      <c r="Y1047" s="96"/>
    </row>
    <row r="1048" spans="2:25">
      <c r="B1048" s="374"/>
      <c r="C1048" s="374"/>
      <c r="D1048" s="374"/>
      <c r="E1048" s="374"/>
      <c r="F1048" s="374"/>
      <c r="G1048" s="374"/>
      <c r="H1048" s="374"/>
      <c r="I1048" s="374"/>
      <c r="J1048" s="374"/>
      <c r="K1048" s="374"/>
      <c r="L1048" s="374"/>
      <c r="M1048" s="374"/>
      <c r="N1048" s="374"/>
      <c r="O1048" s="374"/>
      <c r="P1048" s="374"/>
      <c r="Q1048" s="374"/>
      <c r="R1048" s="374"/>
      <c r="S1048" s="374"/>
      <c r="T1048" s="374"/>
      <c r="U1048" s="374"/>
      <c r="V1048" s="374"/>
      <c r="W1048" s="96"/>
      <c r="X1048" s="96"/>
      <c r="Y1048" s="96"/>
    </row>
    <row r="1049" spans="2:25">
      <c r="B1049" s="374"/>
      <c r="C1049" s="374"/>
      <c r="D1049" s="374"/>
      <c r="E1049" s="374"/>
      <c r="F1049" s="374"/>
      <c r="G1049" s="374"/>
      <c r="H1049" s="374"/>
      <c r="I1049" s="374"/>
      <c r="J1049" s="374"/>
      <c r="K1049" s="374"/>
      <c r="L1049" s="374"/>
      <c r="M1049" s="374"/>
      <c r="N1049" s="374"/>
      <c r="O1049" s="374"/>
      <c r="P1049" s="374"/>
      <c r="Q1049" s="374"/>
      <c r="R1049" s="374"/>
      <c r="S1049" s="374"/>
      <c r="T1049" s="374"/>
      <c r="U1049" s="374"/>
      <c r="V1049" s="374"/>
      <c r="W1049" s="96"/>
      <c r="X1049" s="96"/>
      <c r="Y1049" s="96"/>
    </row>
    <row r="1050" spans="2:25">
      <c r="B1050" s="374"/>
      <c r="C1050" s="374"/>
      <c r="D1050" s="374"/>
      <c r="E1050" s="374"/>
      <c r="F1050" s="374"/>
      <c r="G1050" s="374"/>
      <c r="H1050" s="374"/>
      <c r="I1050" s="374"/>
      <c r="J1050" s="374"/>
      <c r="K1050" s="374"/>
      <c r="L1050" s="374"/>
      <c r="M1050" s="374"/>
      <c r="N1050" s="374"/>
      <c r="O1050" s="374"/>
      <c r="P1050" s="374"/>
      <c r="Q1050" s="374"/>
      <c r="R1050" s="374"/>
      <c r="S1050" s="374"/>
      <c r="T1050" s="374"/>
      <c r="U1050" s="374"/>
      <c r="V1050" s="374"/>
      <c r="W1050" s="96"/>
      <c r="X1050" s="96"/>
      <c r="Y1050" s="96"/>
    </row>
    <row r="1051" spans="2:25">
      <c r="B1051" s="374"/>
      <c r="C1051" s="374"/>
      <c r="D1051" s="374"/>
      <c r="E1051" s="374"/>
      <c r="F1051" s="374"/>
      <c r="G1051" s="374"/>
      <c r="H1051" s="374"/>
      <c r="I1051" s="374"/>
      <c r="J1051" s="374"/>
      <c r="K1051" s="374"/>
      <c r="L1051" s="374"/>
      <c r="M1051" s="374"/>
      <c r="N1051" s="374"/>
      <c r="O1051" s="374"/>
      <c r="P1051" s="374"/>
      <c r="Q1051" s="374"/>
      <c r="R1051" s="374"/>
      <c r="S1051" s="374"/>
      <c r="T1051" s="374"/>
      <c r="U1051" s="374"/>
      <c r="V1051" s="374"/>
      <c r="W1051" s="96"/>
      <c r="X1051" s="96"/>
      <c r="Y1051" s="96"/>
    </row>
    <row r="1052" spans="2:25">
      <c r="B1052" s="374"/>
      <c r="C1052" s="374"/>
      <c r="D1052" s="374"/>
      <c r="E1052" s="374"/>
      <c r="F1052" s="374"/>
      <c r="G1052" s="374"/>
      <c r="H1052" s="374"/>
      <c r="I1052" s="374"/>
      <c r="J1052" s="374"/>
      <c r="K1052" s="374"/>
      <c r="L1052" s="374"/>
      <c r="M1052" s="374"/>
      <c r="N1052" s="374"/>
      <c r="O1052" s="374"/>
      <c r="P1052" s="374"/>
      <c r="Q1052" s="374"/>
      <c r="R1052" s="374"/>
      <c r="S1052" s="374"/>
      <c r="T1052" s="374"/>
      <c r="U1052" s="374"/>
      <c r="V1052" s="374"/>
      <c r="W1052" s="96"/>
      <c r="X1052" s="96"/>
      <c r="Y1052" s="96"/>
    </row>
    <row r="1053" spans="2:25">
      <c r="B1053" s="374"/>
      <c r="C1053" s="374"/>
      <c r="D1053" s="374"/>
      <c r="E1053" s="374"/>
      <c r="F1053" s="374"/>
      <c r="G1053" s="374"/>
      <c r="H1053" s="374"/>
      <c r="I1053" s="374"/>
      <c r="J1053" s="374"/>
      <c r="K1053" s="374"/>
      <c r="L1053" s="374"/>
      <c r="M1053" s="374"/>
      <c r="N1053" s="374"/>
      <c r="O1053" s="374"/>
      <c r="P1053" s="374"/>
      <c r="Q1053" s="374"/>
      <c r="R1053" s="374"/>
      <c r="S1053" s="374"/>
      <c r="T1053" s="374"/>
      <c r="U1053" s="374"/>
      <c r="V1053" s="374"/>
      <c r="W1053" s="96"/>
      <c r="X1053" s="96"/>
      <c r="Y1053" s="96"/>
    </row>
    <row r="1054" spans="2:25">
      <c r="B1054" s="374"/>
      <c r="C1054" s="374"/>
      <c r="D1054" s="374"/>
      <c r="E1054" s="374"/>
      <c r="F1054" s="374"/>
      <c r="G1054" s="374"/>
      <c r="H1054" s="374"/>
      <c r="I1054" s="374"/>
      <c r="J1054" s="374"/>
      <c r="K1054" s="374"/>
      <c r="L1054" s="374"/>
      <c r="M1054" s="374"/>
      <c r="N1054" s="374"/>
      <c r="O1054" s="374"/>
      <c r="P1054" s="374"/>
      <c r="Q1054" s="374"/>
      <c r="R1054" s="374"/>
      <c r="S1054" s="374"/>
      <c r="T1054" s="374"/>
      <c r="U1054" s="374"/>
      <c r="V1054" s="374"/>
      <c r="W1054" s="96"/>
      <c r="X1054" s="96"/>
      <c r="Y1054" s="96"/>
    </row>
    <row r="1055" spans="2:25">
      <c r="B1055" s="374"/>
      <c r="C1055" s="374"/>
      <c r="D1055" s="374"/>
      <c r="E1055" s="374"/>
      <c r="F1055" s="374"/>
      <c r="G1055" s="374"/>
      <c r="H1055" s="374"/>
      <c r="I1055" s="374"/>
      <c r="J1055" s="374"/>
      <c r="K1055" s="374"/>
      <c r="L1055" s="374"/>
      <c r="M1055" s="374"/>
      <c r="N1055" s="374"/>
      <c r="O1055" s="374"/>
      <c r="P1055" s="374"/>
      <c r="Q1055" s="374"/>
      <c r="R1055" s="374"/>
      <c r="S1055" s="374"/>
      <c r="T1055" s="374"/>
      <c r="U1055" s="374"/>
      <c r="V1055" s="374"/>
      <c r="W1055" s="96"/>
      <c r="X1055" s="96"/>
      <c r="Y1055" s="96"/>
    </row>
    <row r="1056" spans="2:25">
      <c r="B1056" s="374"/>
      <c r="C1056" s="374"/>
      <c r="D1056" s="374"/>
      <c r="E1056" s="374"/>
      <c r="F1056" s="374"/>
      <c r="G1056" s="374"/>
      <c r="H1056" s="374"/>
      <c r="I1056" s="374"/>
      <c r="J1056" s="374"/>
      <c r="K1056" s="374"/>
      <c r="L1056" s="374"/>
      <c r="M1056" s="374"/>
      <c r="N1056" s="374"/>
      <c r="O1056" s="374"/>
      <c r="P1056" s="374"/>
      <c r="Q1056" s="374"/>
      <c r="R1056" s="374"/>
      <c r="S1056" s="374"/>
      <c r="T1056" s="374"/>
      <c r="U1056" s="374"/>
      <c r="V1056" s="374"/>
      <c r="W1056" s="96"/>
      <c r="X1056" s="96"/>
      <c r="Y1056" s="96"/>
    </row>
    <row r="1057" spans="2:25">
      <c r="B1057" s="374"/>
      <c r="C1057" s="374"/>
      <c r="D1057" s="374"/>
      <c r="E1057" s="374"/>
      <c r="F1057" s="374"/>
      <c r="G1057" s="374"/>
      <c r="H1057" s="374"/>
      <c r="I1057" s="374"/>
      <c r="J1057" s="374"/>
      <c r="K1057" s="374"/>
      <c r="L1057" s="374"/>
      <c r="M1057" s="374"/>
      <c r="N1057" s="374"/>
      <c r="O1057" s="374"/>
      <c r="P1057" s="374"/>
      <c r="Q1057" s="374"/>
      <c r="R1057" s="374"/>
      <c r="S1057" s="374"/>
      <c r="T1057" s="374"/>
      <c r="U1057" s="374"/>
      <c r="V1057" s="374"/>
      <c r="W1057" s="96"/>
      <c r="X1057" s="96"/>
      <c r="Y1057" s="96"/>
    </row>
    <row r="1058" spans="2:25">
      <c r="B1058" s="374"/>
      <c r="C1058" s="374"/>
      <c r="D1058" s="374"/>
      <c r="E1058" s="374"/>
      <c r="F1058" s="374"/>
      <c r="G1058" s="374"/>
      <c r="H1058" s="374"/>
      <c r="I1058" s="374"/>
      <c r="J1058" s="374"/>
      <c r="K1058" s="374"/>
      <c r="L1058" s="374"/>
      <c r="M1058" s="374"/>
      <c r="N1058" s="374"/>
      <c r="O1058" s="374"/>
      <c r="P1058" s="374"/>
      <c r="Q1058" s="374"/>
      <c r="R1058" s="374"/>
      <c r="S1058" s="374"/>
      <c r="T1058" s="374"/>
      <c r="U1058" s="374"/>
      <c r="V1058" s="374"/>
      <c r="W1058" s="96"/>
      <c r="X1058" s="96"/>
      <c r="Y1058" s="96"/>
    </row>
    <row r="1059" spans="2:25">
      <c r="B1059" s="374"/>
      <c r="C1059" s="374"/>
      <c r="D1059" s="374"/>
      <c r="E1059" s="374"/>
      <c r="F1059" s="374"/>
      <c r="G1059" s="374"/>
      <c r="H1059" s="374"/>
      <c r="I1059" s="374"/>
      <c r="J1059" s="374"/>
      <c r="K1059" s="374"/>
      <c r="L1059" s="374"/>
      <c r="M1059" s="374"/>
      <c r="N1059" s="374"/>
      <c r="O1059" s="374"/>
      <c r="P1059" s="374"/>
      <c r="Q1059" s="374"/>
      <c r="R1059" s="374"/>
      <c r="S1059" s="374"/>
      <c r="T1059" s="374"/>
      <c r="U1059" s="374"/>
      <c r="V1059" s="374"/>
      <c r="W1059" s="96"/>
      <c r="X1059" s="96"/>
      <c r="Y1059" s="96"/>
    </row>
    <row r="1060" spans="2:25">
      <c r="B1060" s="374"/>
      <c r="C1060" s="374"/>
      <c r="D1060" s="374"/>
      <c r="E1060" s="374"/>
      <c r="F1060" s="374"/>
      <c r="G1060" s="374"/>
      <c r="H1060" s="374"/>
      <c r="I1060" s="374"/>
      <c r="J1060" s="374"/>
      <c r="K1060" s="374"/>
      <c r="L1060" s="374"/>
      <c r="M1060" s="374"/>
      <c r="N1060" s="374"/>
      <c r="O1060" s="374"/>
      <c r="P1060" s="374"/>
      <c r="Q1060" s="374"/>
      <c r="R1060" s="374"/>
      <c r="S1060" s="374"/>
      <c r="T1060" s="374"/>
      <c r="U1060" s="374"/>
      <c r="V1060" s="374"/>
      <c r="W1060" s="96"/>
      <c r="X1060" s="96"/>
      <c r="Y1060" s="96"/>
    </row>
    <row r="1061" spans="2:25">
      <c r="B1061" s="374"/>
      <c r="C1061" s="374"/>
      <c r="D1061" s="374"/>
      <c r="E1061" s="374"/>
      <c r="F1061" s="374"/>
      <c r="G1061" s="374"/>
      <c r="H1061" s="374"/>
      <c r="I1061" s="374"/>
      <c r="J1061" s="374"/>
      <c r="K1061" s="374"/>
      <c r="L1061" s="374"/>
      <c r="M1061" s="374"/>
      <c r="N1061" s="374"/>
      <c r="O1061" s="374"/>
      <c r="P1061" s="374"/>
      <c r="Q1061" s="374"/>
      <c r="R1061" s="374"/>
      <c r="S1061" s="374"/>
      <c r="T1061" s="374"/>
      <c r="U1061" s="374"/>
      <c r="V1061" s="374"/>
      <c r="W1061" s="96"/>
      <c r="X1061" s="96"/>
      <c r="Y1061" s="96"/>
    </row>
    <row r="1062" spans="2:25">
      <c r="B1062" s="374"/>
      <c r="C1062" s="374"/>
      <c r="D1062" s="374"/>
      <c r="E1062" s="374"/>
      <c r="F1062" s="374"/>
      <c r="G1062" s="374"/>
      <c r="H1062" s="374"/>
      <c r="I1062" s="374"/>
      <c r="J1062" s="374"/>
      <c r="K1062" s="374"/>
      <c r="L1062" s="374"/>
      <c r="M1062" s="374"/>
      <c r="N1062" s="374"/>
      <c r="O1062" s="374"/>
      <c r="P1062" s="374"/>
      <c r="Q1062" s="374"/>
      <c r="R1062" s="374"/>
      <c r="S1062" s="374"/>
      <c r="T1062" s="374"/>
      <c r="U1062" s="374"/>
      <c r="V1062" s="374"/>
      <c r="W1062" s="96"/>
      <c r="X1062" s="96"/>
      <c r="Y1062" s="96"/>
    </row>
    <row r="1063" spans="2:25">
      <c r="B1063" s="374"/>
      <c r="C1063" s="374"/>
      <c r="D1063" s="374"/>
      <c r="E1063" s="374"/>
      <c r="F1063" s="374"/>
      <c r="G1063" s="374"/>
      <c r="H1063" s="374"/>
      <c r="I1063" s="374"/>
      <c r="J1063" s="374"/>
      <c r="K1063" s="374"/>
      <c r="L1063" s="374"/>
      <c r="M1063" s="374"/>
      <c r="N1063" s="374"/>
      <c r="O1063" s="374"/>
      <c r="P1063" s="374"/>
      <c r="Q1063" s="374"/>
      <c r="R1063" s="374"/>
      <c r="S1063" s="374"/>
      <c r="T1063" s="374"/>
      <c r="U1063" s="374"/>
      <c r="V1063" s="374"/>
      <c r="W1063" s="96"/>
      <c r="X1063" s="96"/>
      <c r="Y1063" s="96"/>
    </row>
    <row r="1064" spans="2:25">
      <c r="B1064" s="374"/>
      <c r="C1064" s="374"/>
      <c r="D1064" s="374"/>
      <c r="E1064" s="374"/>
      <c r="F1064" s="374"/>
      <c r="G1064" s="374"/>
      <c r="H1064" s="374"/>
      <c r="I1064" s="374"/>
      <c r="J1064" s="374"/>
      <c r="K1064" s="374"/>
      <c r="L1064" s="374"/>
      <c r="M1064" s="374"/>
      <c r="N1064" s="374"/>
      <c r="O1064" s="374"/>
      <c r="P1064" s="374"/>
      <c r="Q1064" s="374"/>
      <c r="R1064" s="374"/>
      <c r="S1064" s="374"/>
      <c r="T1064" s="374"/>
      <c r="U1064" s="374"/>
      <c r="V1064" s="374"/>
      <c r="W1064" s="96"/>
      <c r="X1064" s="96"/>
      <c r="Y1064" s="96"/>
    </row>
    <row r="1065" spans="2:25">
      <c r="B1065" s="374"/>
      <c r="C1065" s="374"/>
      <c r="D1065" s="374"/>
      <c r="E1065" s="374"/>
      <c r="F1065" s="374"/>
      <c r="G1065" s="374"/>
      <c r="H1065" s="374"/>
      <c r="I1065" s="374"/>
      <c r="J1065" s="374"/>
      <c r="K1065" s="374"/>
      <c r="L1065" s="374"/>
      <c r="M1065" s="374"/>
      <c r="N1065" s="374"/>
      <c r="O1065" s="374"/>
      <c r="P1065" s="374"/>
      <c r="Q1065" s="374"/>
      <c r="R1065" s="374"/>
      <c r="S1065" s="374"/>
      <c r="T1065" s="374"/>
      <c r="U1065" s="374"/>
      <c r="V1065" s="374"/>
      <c r="W1065" s="96"/>
      <c r="X1065" s="96"/>
      <c r="Y1065" s="96"/>
    </row>
    <row r="1066" spans="2:25">
      <c r="B1066" s="374"/>
      <c r="C1066" s="374"/>
      <c r="D1066" s="374"/>
      <c r="E1066" s="374"/>
      <c r="F1066" s="374"/>
      <c r="G1066" s="374"/>
      <c r="H1066" s="374"/>
      <c r="I1066" s="374"/>
      <c r="J1066" s="374"/>
      <c r="K1066" s="374"/>
      <c r="L1066" s="374"/>
      <c r="M1066" s="374"/>
      <c r="N1066" s="374"/>
      <c r="O1066" s="374"/>
      <c r="P1066" s="374"/>
      <c r="Q1066" s="374"/>
      <c r="R1066" s="374"/>
      <c r="S1066" s="374"/>
      <c r="T1066" s="374"/>
      <c r="U1066" s="374"/>
      <c r="V1066" s="374"/>
      <c r="W1066" s="96"/>
      <c r="X1066" s="96"/>
      <c r="Y1066" s="96"/>
    </row>
    <row r="1067" spans="2:25">
      <c r="B1067" s="374"/>
      <c r="C1067" s="374"/>
      <c r="D1067" s="374"/>
      <c r="E1067" s="374"/>
      <c r="F1067" s="374"/>
      <c r="G1067" s="374"/>
      <c r="H1067" s="374"/>
      <c r="I1067" s="374"/>
      <c r="J1067" s="374"/>
      <c r="K1067" s="374"/>
      <c r="L1067" s="374"/>
      <c r="M1067" s="374"/>
      <c r="N1067" s="374"/>
      <c r="O1067" s="374"/>
      <c r="P1067" s="374"/>
      <c r="Q1067" s="374"/>
      <c r="R1067" s="374"/>
      <c r="S1067" s="374"/>
      <c r="T1067" s="374"/>
      <c r="U1067" s="374"/>
      <c r="V1067" s="374"/>
      <c r="W1067" s="96"/>
      <c r="X1067" s="96"/>
      <c r="Y1067" s="96"/>
    </row>
    <row r="1068" spans="2:25">
      <c r="B1068" s="374"/>
      <c r="C1068" s="374"/>
      <c r="D1068" s="374"/>
      <c r="E1068" s="374"/>
      <c r="F1068" s="374"/>
      <c r="G1068" s="374"/>
      <c r="H1068" s="374"/>
      <c r="I1068" s="374"/>
      <c r="J1068" s="374"/>
      <c r="K1068" s="374"/>
      <c r="L1068" s="374"/>
      <c r="M1068" s="374"/>
      <c r="N1068" s="374"/>
      <c r="O1068" s="374"/>
      <c r="P1068" s="374"/>
      <c r="Q1068" s="374"/>
      <c r="R1068" s="374"/>
      <c r="S1068" s="374"/>
      <c r="T1068" s="374"/>
      <c r="U1068" s="374"/>
      <c r="V1068" s="374"/>
      <c r="W1068" s="96"/>
      <c r="X1068" s="96"/>
      <c r="Y1068" s="96"/>
    </row>
    <row r="1069" spans="2:25">
      <c r="B1069" s="374"/>
      <c r="C1069" s="374"/>
      <c r="D1069" s="374"/>
      <c r="E1069" s="374"/>
      <c r="F1069" s="374"/>
      <c r="G1069" s="374"/>
      <c r="H1069" s="374"/>
      <c r="I1069" s="374"/>
      <c r="J1069" s="374"/>
      <c r="K1069" s="374"/>
      <c r="L1069" s="374"/>
      <c r="M1069" s="374"/>
      <c r="N1069" s="374"/>
      <c r="O1069" s="374"/>
      <c r="P1069" s="374"/>
      <c r="Q1069" s="374"/>
      <c r="R1069" s="374"/>
      <c r="S1069" s="374"/>
      <c r="T1069" s="374"/>
      <c r="U1069" s="374"/>
      <c r="V1069" s="374"/>
      <c r="W1069" s="96"/>
      <c r="X1069" s="96"/>
      <c r="Y1069" s="96"/>
    </row>
    <row r="1070" spans="2:25">
      <c r="B1070" s="374"/>
      <c r="C1070" s="374"/>
      <c r="D1070" s="374"/>
      <c r="E1070" s="374"/>
      <c r="F1070" s="374"/>
      <c r="G1070" s="374"/>
      <c r="H1070" s="374"/>
      <c r="I1070" s="374"/>
      <c r="J1070" s="374"/>
      <c r="K1070" s="374"/>
      <c r="L1070" s="374"/>
      <c r="M1070" s="374"/>
      <c r="N1070" s="374"/>
      <c r="O1070" s="374"/>
      <c r="P1070" s="374"/>
      <c r="Q1070" s="374"/>
      <c r="R1070" s="374"/>
      <c r="S1070" s="374"/>
      <c r="T1070" s="374"/>
      <c r="U1070" s="374"/>
      <c r="V1070" s="374"/>
      <c r="W1070" s="96"/>
      <c r="X1070" s="96"/>
      <c r="Y1070" s="96"/>
    </row>
    <row r="1071" spans="2:25">
      <c r="B1071" s="374"/>
      <c r="C1071" s="374"/>
      <c r="D1071" s="374"/>
      <c r="E1071" s="374"/>
      <c r="F1071" s="374"/>
      <c r="G1071" s="374"/>
      <c r="H1071" s="374"/>
      <c r="I1071" s="374"/>
      <c r="J1071" s="374"/>
      <c r="K1071" s="374"/>
      <c r="L1071" s="374"/>
      <c r="M1071" s="374"/>
      <c r="N1071" s="374"/>
      <c r="O1071" s="374"/>
      <c r="P1071" s="374"/>
      <c r="Q1071" s="374"/>
      <c r="R1071" s="374"/>
      <c r="S1071" s="374"/>
      <c r="T1071" s="374"/>
      <c r="U1071" s="374"/>
      <c r="V1071" s="374"/>
      <c r="W1071" s="96"/>
      <c r="X1071" s="96"/>
      <c r="Y1071" s="96"/>
    </row>
    <row r="1072" spans="2:25">
      <c r="B1072" s="374"/>
      <c r="C1072" s="374"/>
      <c r="D1072" s="374"/>
      <c r="E1072" s="374"/>
      <c r="F1072" s="374"/>
      <c r="G1072" s="374"/>
      <c r="H1072" s="374"/>
      <c r="I1072" s="374"/>
      <c r="J1072" s="374"/>
      <c r="K1072" s="374"/>
      <c r="L1072" s="374"/>
      <c r="M1072" s="374"/>
      <c r="N1072" s="374"/>
      <c r="O1072" s="374"/>
      <c r="P1072" s="374"/>
      <c r="Q1072" s="374"/>
      <c r="R1072" s="374"/>
      <c r="S1072" s="374"/>
      <c r="T1072" s="374"/>
      <c r="U1072" s="374"/>
      <c r="V1072" s="374"/>
      <c r="W1072" s="96"/>
      <c r="X1072" s="96"/>
      <c r="Y1072" s="96"/>
    </row>
    <row r="1073" spans="2:25">
      <c r="B1073" s="374"/>
      <c r="C1073" s="374"/>
      <c r="D1073" s="374"/>
      <c r="E1073" s="374"/>
      <c r="F1073" s="374"/>
      <c r="G1073" s="374"/>
      <c r="H1073" s="374"/>
      <c r="I1073" s="374"/>
      <c r="J1073" s="374"/>
      <c r="K1073" s="374"/>
      <c r="L1073" s="374"/>
      <c r="M1073" s="374"/>
      <c r="N1073" s="374"/>
      <c r="O1073" s="374"/>
      <c r="P1073" s="374"/>
      <c r="Q1073" s="374"/>
      <c r="R1073" s="374"/>
      <c r="S1073" s="374"/>
      <c r="T1073" s="374"/>
      <c r="U1073" s="374"/>
      <c r="V1073" s="374"/>
      <c r="W1073" s="96"/>
      <c r="X1073" s="96"/>
      <c r="Y1073" s="96"/>
    </row>
    <row r="1074" spans="2:25">
      <c r="B1074" s="374"/>
      <c r="C1074" s="374"/>
      <c r="D1074" s="374"/>
      <c r="E1074" s="374"/>
      <c r="F1074" s="374"/>
      <c r="G1074" s="374"/>
      <c r="H1074" s="374"/>
      <c r="I1074" s="374"/>
      <c r="J1074" s="374"/>
      <c r="K1074" s="374"/>
      <c r="L1074" s="374"/>
      <c r="M1074" s="374"/>
      <c r="N1074" s="374"/>
      <c r="O1074" s="374"/>
      <c r="P1074" s="374"/>
      <c r="Q1074" s="374"/>
      <c r="R1074" s="374"/>
      <c r="S1074" s="374"/>
      <c r="T1074" s="374"/>
      <c r="U1074" s="374"/>
      <c r="V1074" s="374"/>
      <c r="W1074" s="96"/>
      <c r="X1074" s="96"/>
      <c r="Y1074" s="96"/>
    </row>
    <row r="1075" spans="2:25">
      <c r="B1075" s="374"/>
      <c r="C1075" s="374"/>
      <c r="D1075" s="374"/>
      <c r="E1075" s="374"/>
      <c r="F1075" s="374"/>
      <c r="G1075" s="374"/>
      <c r="H1075" s="374"/>
      <c r="I1075" s="374"/>
      <c r="J1075" s="374"/>
      <c r="K1075" s="374"/>
      <c r="L1075" s="374"/>
      <c r="M1075" s="374"/>
      <c r="N1075" s="374"/>
      <c r="O1075" s="374"/>
      <c r="P1075" s="374"/>
      <c r="Q1075" s="374"/>
      <c r="R1075" s="374"/>
      <c r="S1075" s="374"/>
      <c r="T1075" s="374"/>
      <c r="U1075" s="374"/>
      <c r="V1075" s="374"/>
      <c r="W1075" s="96"/>
      <c r="X1075" s="96"/>
      <c r="Y1075" s="96"/>
    </row>
    <row r="1076" spans="2:25">
      <c r="B1076" s="374"/>
      <c r="C1076" s="374"/>
      <c r="D1076" s="374"/>
      <c r="E1076" s="374"/>
      <c r="F1076" s="374"/>
      <c r="G1076" s="374"/>
      <c r="H1076" s="374"/>
      <c r="I1076" s="374"/>
      <c r="J1076" s="374"/>
      <c r="K1076" s="374"/>
      <c r="L1076" s="374"/>
      <c r="M1076" s="374"/>
      <c r="N1076" s="374"/>
      <c r="O1076" s="374"/>
      <c r="P1076" s="374"/>
      <c r="Q1076" s="374"/>
      <c r="R1076" s="374"/>
      <c r="S1076" s="374"/>
      <c r="T1076" s="374"/>
      <c r="U1076" s="374"/>
      <c r="V1076" s="374"/>
      <c r="W1076" s="96"/>
      <c r="X1076" s="96"/>
      <c r="Y1076" s="96"/>
    </row>
    <row r="1077" spans="2:25">
      <c r="B1077" s="374"/>
      <c r="C1077" s="374"/>
      <c r="D1077" s="374"/>
      <c r="E1077" s="374"/>
      <c r="F1077" s="374"/>
      <c r="G1077" s="374"/>
      <c r="H1077" s="374"/>
      <c r="I1077" s="374"/>
      <c r="J1077" s="374"/>
      <c r="K1077" s="374"/>
      <c r="L1077" s="374"/>
      <c r="M1077" s="374"/>
      <c r="N1077" s="374"/>
      <c r="O1077" s="374"/>
      <c r="P1077" s="374"/>
      <c r="Q1077" s="374"/>
      <c r="R1077" s="374"/>
      <c r="S1077" s="374"/>
      <c r="T1077" s="374"/>
      <c r="U1077" s="374"/>
      <c r="V1077" s="374"/>
      <c r="W1077" s="96"/>
      <c r="X1077" s="96"/>
      <c r="Y1077" s="96"/>
    </row>
    <row r="1078" spans="2:25">
      <c r="B1078" s="374"/>
      <c r="C1078" s="374"/>
      <c r="D1078" s="374"/>
      <c r="E1078" s="374"/>
      <c r="F1078" s="374"/>
      <c r="G1078" s="374"/>
      <c r="H1078" s="374"/>
      <c r="I1078" s="374"/>
      <c r="J1078" s="374"/>
      <c r="K1078" s="374"/>
      <c r="L1078" s="374"/>
      <c r="M1078" s="374"/>
      <c r="N1078" s="374"/>
      <c r="O1078" s="374"/>
      <c r="P1078" s="374"/>
      <c r="Q1078" s="374"/>
      <c r="R1078" s="374"/>
      <c r="S1078" s="374"/>
      <c r="T1078" s="374"/>
      <c r="U1078" s="374"/>
      <c r="V1078" s="374"/>
      <c r="W1078" s="96"/>
      <c r="X1078" s="96"/>
      <c r="Y1078" s="96"/>
    </row>
    <row r="1079" spans="2:25">
      <c r="B1079" s="374"/>
      <c r="C1079" s="374"/>
      <c r="D1079" s="374"/>
      <c r="E1079" s="374"/>
      <c r="F1079" s="374"/>
      <c r="G1079" s="374"/>
      <c r="H1079" s="374"/>
      <c r="I1079" s="374"/>
      <c r="J1079" s="374"/>
      <c r="K1079" s="374"/>
      <c r="L1079" s="374"/>
      <c r="M1079" s="374"/>
      <c r="N1079" s="374"/>
      <c r="O1079" s="374"/>
      <c r="P1079" s="374"/>
      <c r="Q1079" s="374"/>
      <c r="R1079" s="374"/>
      <c r="S1079" s="374"/>
      <c r="T1079" s="374"/>
      <c r="U1079" s="374"/>
      <c r="V1079" s="374"/>
      <c r="W1079" s="96"/>
      <c r="X1079" s="96"/>
      <c r="Y1079" s="96"/>
    </row>
    <row r="1080" spans="2:25">
      <c r="B1080" s="374"/>
      <c r="C1080" s="374"/>
      <c r="D1080" s="374"/>
      <c r="E1080" s="374"/>
      <c r="F1080" s="374"/>
      <c r="G1080" s="374"/>
      <c r="H1080" s="374"/>
      <c r="I1080" s="374"/>
      <c r="J1080" s="374"/>
      <c r="K1080" s="374"/>
      <c r="L1080" s="374"/>
      <c r="M1080" s="374"/>
      <c r="N1080" s="374"/>
      <c r="O1080" s="374"/>
      <c r="P1080" s="374"/>
      <c r="Q1080" s="374"/>
      <c r="R1080" s="374"/>
      <c r="S1080" s="374"/>
      <c r="T1080" s="374"/>
      <c r="U1080" s="374"/>
      <c r="V1080" s="374"/>
      <c r="W1080" s="96"/>
      <c r="X1080" s="96"/>
      <c r="Y1080" s="96"/>
    </row>
    <row r="1081" spans="2:25">
      <c r="B1081" s="374"/>
      <c r="C1081" s="374"/>
      <c r="D1081" s="374"/>
      <c r="E1081" s="374"/>
      <c r="F1081" s="374"/>
      <c r="G1081" s="374"/>
      <c r="H1081" s="374"/>
      <c r="I1081" s="374"/>
      <c r="J1081" s="374"/>
      <c r="K1081" s="374"/>
      <c r="L1081" s="374"/>
      <c r="M1081" s="374"/>
      <c r="N1081" s="374"/>
      <c r="O1081" s="374"/>
      <c r="P1081" s="374"/>
      <c r="Q1081" s="374"/>
      <c r="R1081" s="374"/>
      <c r="S1081" s="374"/>
      <c r="T1081" s="374"/>
      <c r="U1081" s="374"/>
      <c r="V1081" s="374"/>
      <c r="W1081" s="96"/>
      <c r="X1081" s="96"/>
      <c r="Y1081" s="96"/>
    </row>
    <row r="1082" spans="2:25">
      <c r="B1082" s="374"/>
      <c r="C1082" s="374"/>
      <c r="D1082" s="374"/>
      <c r="E1082" s="374"/>
      <c r="F1082" s="374"/>
      <c r="G1082" s="374"/>
      <c r="H1082" s="374"/>
      <c r="I1082" s="374"/>
      <c r="J1082" s="374"/>
      <c r="K1082" s="374"/>
      <c r="L1082" s="374"/>
      <c r="M1082" s="374"/>
      <c r="N1082" s="374"/>
      <c r="O1082" s="374"/>
      <c r="P1082" s="374"/>
      <c r="Q1082" s="374"/>
      <c r="R1082" s="374"/>
      <c r="S1082" s="374"/>
      <c r="T1082" s="374"/>
      <c r="U1082" s="374"/>
      <c r="V1082" s="374"/>
      <c r="W1082" s="96"/>
      <c r="X1082" s="96"/>
      <c r="Y1082" s="96"/>
    </row>
    <row r="1083" spans="2:25">
      <c r="B1083" s="374"/>
      <c r="C1083" s="374"/>
      <c r="D1083" s="374"/>
      <c r="E1083" s="374"/>
      <c r="F1083" s="374"/>
      <c r="G1083" s="374"/>
      <c r="H1083" s="374"/>
      <c r="I1083" s="374"/>
      <c r="J1083" s="374"/>
      <c r="K1083" s="374"/>
      <c r="L1083" s="374"/>
      <c r="M1083" s="374"/>
      <c r="N1083" s="374"/>
      <c r="O1083" s="374"/>
      <c r="P1083" s="374"/>
      <c r="Q1083" s="374"/>
      <c r="R1083" s="374"/>
      <c r="S1083" s="374"/>
      <c r="T1083" s="374"/>
      <c r="U1083" s="374"/>
      <c r="V1083" s="374"/>
      <c r="W1083" s="96"/>
      <c r="X1083" s="96"/>
      <c r="Y1083" s="96"/>
    </row>
    <row r="1084" spans="2:25">
      <c r="B1084" s="374"/>
      <c r="C1084" s="374"/>
      <c r="D1084" s="374"/>
      <c r="E1084" s="374"/>
      <c r="F1084" s="374"/>
      <c r="G1084" s="374"/>
      <c r="H1084" s="374"/>
      <c r="I1084" s="374"/>
      <c r="J1084" s="374"/>
      <c r="K1084" s="374"/>
      <c r="L1084" s="374"/>
      <c r="M1084" s="374"/>
      <c r="N1084" s="374"/>
      <c r="O1084" s="374"/>
      <c r="P1084" s="374"/>
      <c r="Q1084" s="374"/>
      <c r="R1084" s="374"/>
      <c r="S1084" s="374"/>
      <c r="T1084" s="374"/>
      <c r="U1084" s="374"/>
      <c r="V1084" s="374"/>
      <c r="W1084" s="96"/>
      <c r="X1084" s="96"/>
      <c r="Y1084" s="96"/>
    </row>
    <row r="1085" spans="2:25">
      <c r="B1085" s="374"/>
      <c r="C1085" s="374"/>
      <c r="D1085" s="374"/>
      <c r="E1085" s="374"/>
      <c r="F1085" s="374"/>
      <c r="G1085" s="374"/>
      <c r="H1085" s="374"/>
      <c r="I1085" s="374"/>
      <c r="J1085" s="374"/>
      <c r="K1085" s="374"/>
      <c r="L1085" s="374"/>
      <c r="M1085" s="374"/>
      <c r="N1085" s="374"/>
      <c r="O1085" s="374"/>
      <c r="P1085" s="374"/>
      <c r="Q1085" s="374"/>
      <c r="R1085" s="374"/>
      <c r="S1085" s="374"/>
      <c r="T1085" s="374"/>
      <c r="U1085" s="374"/>
      <c r="V1085" s="374"/>
      <c r="W1085" s="96"/>
      <c r="X1085" s="96"/>
      <c r="Y1085" s="96"/>
    </row>
    <row r="1086" spans="2:25">
      <c r="B1086" s="374"/>
      <c r="C1086" s="374"/>
      <c r="D1086" s="374"/>
      <c r="E1086" s="374"/>
      <c r="F1086" s="374"/>
      <c r="G1086" s="374"/>
      <c r="H1086" s="374"/>
      <c r="I1086" s="374"/>
      <c r="J1086" s="374"/>
      <c r="K1086" s="374"/>
      <c r="L1086" s="374"/>
      <c r="M1086" s="374"/>
      <c r="N1086" s="374"/>
      <c r="O1086" s="374"/>
      <c r="P1086" s="374"/>
      <c r="Q1086" s="374"/>
      <c r="R1086" s="374"/>
      <c r="S1086" s="374"/>
      <c r="T1086" s="374"/>
      <c r="U1086" s="374"/>
      <c r="V1086" s="374"/>
      <c r="W1086" s="96"/>
      <c r="X1086" s="96"/>
      <c r="Y1086" s="96"/>
    </row>
    <row r="1087" spans="2:25">
      <c r="B1087" s="374"/>
      <c r="C1087" s="374"/>
      <c r="D1087" s="374"/>
      <c r="E1087" s="374"/>
      <c r="F1087" s="374"/>
      <c r="G1087" s="374"/>
      <c r="H1087" s="374"/>
      <c r="I1087" s="374"/>
      <c r="J1087" s="374"/>
      <c r="K1087" s="374"/>
      <c r="L1087" s="374"/>
      <c r="M1087" s="374"/>
      <c r="N1087" s="374"/>
      <c r="O1087" s="374"/>
      <c r="P1087" s="374"/>
      <c r="Q1087" s="374"/>
      <c r="R1087" s="374"/>
      <c r="S1087" s="374"/>
      <c r="T1087" s="374"/>
      <c r="U1087" s="374"/>
      <c r="V1087" s="374"/>
      <c r="W1087" s="96"/>
      <c r="X1087" s="96"/>
      <c r="Y1087" s="96"/>
    </row>
    <row r="1088" spans="2:25">
      <c r="B1088" s="374"/>
      <c r="C1088" s="374"/>
      <c r="D1088" s="374"/>
      <c r="E1088" s="374"/>
      <c r="F1088" s="374"/>
      <c r="G1088" s="374"/>
      <c r="H1088" s="374"/>
      <c r="I1088" s="374"/>
      <c r="J1088" s="374"/>
      <c r="K1088" s="374"/>
      <c r="L1088" s="374"/>
      <c r="M1088" s="374"/>
      <c r="N1088" s="374"/>
      <c r="O1088" s="374"/>
      <c r="P1088" s="374"/>
      <c r="Q1088" s="374"/>
      <c r="R1088" s="374"/>
      <c r="S1088" s="374"/>
      <c r="T1088" s="374"/>
      <c r="U1088" s="374"/>
      <c r="V1088" s="374"/>
      <c r="W1088" s="96"/>
      <c r="X1088" s="96"/>
      <c r="Y1088" s="96"/>
    </row>
    <row r="1089" spans="2:25">
      <c r="B1089" s="374"/>
      <c r="C1089" s="374"/>
      <c r="D1089" s="374"/>
      <c r="E1089" s="374"/>
      <c r="F1089" s="374"/>
      <c r="G1089" s="374"/>
      <c r="H1089" s="374"/>
      <c r="I1089" s="374"/>
      <c r="J1089" s="374"/>
      <c r="K1089" s="374"/>
      <c r="L1089" s="374"/>
      <c r="M1089" s="374"/>
      <c r="N1089" s="374"/>
      <c r="O1089" s="374"/>
      <c r="P1089" s="374"/>
      <c r="Q1089" s="374"/>
      <c r="R1089" s="374"/>
      <c r="S1089" s="374"/>
      <c r="T1089" s="374"/>
      <c r="U1089" s="374"/>
      <c r="V1089" s="374"/>
      <c r="W1089" s="96"/>
      <c r="X1089" s="96"/>
      <c r="Y1089" s="96"/>
    </row>
    <row r="1090" spans="2:25">
      <c r="B1090" s="374"/>
      <c r="C1090" s="374"/>
      <c r="D1090" s="374"/>
      <c r="E1090" s="374"/>
      <c r="F1090" s="374"/>
      <c r="G1090" s="374"/>
      <c r="H1090" s="374"/>
      <c r="I1090" s="374"/>
      <c r="J1090" s="374"/>
      <c r="K1090" s="374"/>
      <c r="L1090" s="374"/>
      <c r="M1090" s="374"/>
      <c r="N1090" s="374"/>
      <c r="O1090" s="374"/>
      <c r="P1090" s="374"/>
      <c r="Q1090" s="374"/>
      <c r="R1090" s="374"/>
      <c r="S1090" s="374"/>
      <c r="T1090" s="374"/>
      <c r="U1090" s="374"/>
      <c r="V1090" s="374"/>
      <c r="W1090" s="96"/>
      <c r="X1090" s="96"/>
      <c r="Y1090" s="96"/>
    </row>
    <row r="1091" spans="2:25">
      <c r="B1091" s="374"/>
      <c r="C1091" s="374"/>
      <c r="D1091" s="374"/>
      <c r="E1091" s="374"/>
      <c r="F1091" s="374"/>
      <c r="G1091" s="374"/>
      <c r="H1091" s="374"/>
      <c r="I1091" s="374"/>
      <c r="J1091" s="374"/>
      <c r="K1091" s="374"/>
      <c r="L1091" s="374"/>
      <c r="M1091" s="374"/>
      <c r="N1091" s="374"/>
      <c r="O1091" s="374"/>
      <c r="P1091" s="374"/>
      <c r="Q1091" s="374"/>
      <c r="R1091" s="374"/>
      <c r="S1091" s="374"/>
      <c r="T1091" s="374"/>
      <c r="U1091" s="374"/>
      <c r="V1091" s="374"/>
      <c r="W1091" s="96"/>
      <c r="X1091" s="96"/>
      <c r="Y1091" s="96"/>
    </row>
    <row r="1092" spans="2:25">
      <c r="B1092" s="374"/>
      <c r="C1092" s="374"/>
      <c r="D1092" s="374"/>
      <c r="E1092" s="374"/>
      <c r="F1092" s="374"/>
      <c r="G1092" s="374"/>
      <c r="H1092" s="374"/>
      <c r="I1092" s="374"/>
      <c r="J1092" s="374"/>
      <c r="K1092" s="374"/>
      <c r="L1092" s="374"/>
      <c r="M1092" s="374"/>
      <c r="N1092" s="374"/>
      <c r="O1092" s="374"/>
      <c r="P1092" s="374"/>
      <c r="Q1092" s="374"/>
      <c r="R1092" s="374"/>
      <c r="S1092" s="374"/>
      <c r="T1092" s="374"/>
      <c r="U1092" s="374"/>
      <c r="V1092" s="374"/>
      <c r="W1092" s="96"/>
      <c r="X1092" s="96"/>
      <c r="Y1092" s="96"/>
    </row>
    <row r="1093" spans="2:25">
      <c r="B1093" s="374"/>
      <c r="C1093" s="374"/>
      <c r="D1093" s="374"/>
      <c r="E1093" s="374"/>
      <c r="F1093" s="374"/>
      <c r="G1093" s="374"/>
      <c r="H1093" s="374"/>
      <c r="I1093" s="374"/>
      <c r="J1093" s="374"/>
      <c r="K1093" s="374"/>
      <c r="L1093" s="374"/>
      <c r="M1093" s="374"/>
      <c r="N1093" s="374"/>
      <c r="O1093" s="374"/>
      <c r="P1093" s="374"/>
      <c r="Q1093" s="374"/>
      <c r="R1093" s="374"/>
      <c r="S1093" s="374"/>
      <c r="T1093" s="374"/>
      <c r="U1093" s="374"/>
      <c r="V1093" s="374"/>
      <c r="W1093" s="96"/>
      <c r="X1093" s="96"/>
      <c r="Y1093" s="96"/>
    </row>
    <row r="1094" spans="2:25">
      <c r="B1094" s="374"/>
      <c r="C1094" s="374"/>
      <c r="D1094" s="374"/>
      <c r="E1094" s="374"/>
      <c r="F1094" s="374"/>
      <c r="G1094" s="374"/>
      <c r="H1094" s="374"/>
      <c r="I1094" s="374"/>
      <c r="J1094" s="374"/>
      <c r="K1094" s="374"/>
      <c r="L1094" s="374"/>
      <c r="M1094" s="374"/>
      <c r="N1094" s="374"/>
      <c r="O1094" s="374"/>
      <c r="P1094" s="374"/>
      <c r="Q1094" s="374"/>
      <c r="R1094" s="374"/>
      <c r="S1094" s="374"/>
      <c r="T1094" s="374"/>
      <c r="U1094" s="374"/>
      <c r="V1094" s="374"/>
      <c r="W1094" s="96"/>
      <c r="X1094" s="96"/>
      <c r="Y1094" s="96"/>
    </row>
    <row r="1095" spans="2:25">
      <c r="B1095" s="374"/>
      <c r="C1095" s="374"/>
      <c r="D1095" s="374"/>
      <c r="E1095" s="374"/>
      <c r="F1095" s="374"/>
      <c r="G1095" s="374"/>
      <c r="H1095" s="374"/>
      <c r="I1095" s="374"/>
      <c r="J1095" s="374"/>
      <c r="K1095" s="374"/>
      <c r="L1095" s="374"/>
      <c r="M1095" s="374"/>
      <c r="N1095" s="374"/>
      <c r="O1095" s="374"/>
      <c r="P1095" s="374"/>
      <c r="Q1095" s="374"/>
      <c r="R1095" s="374"/>
      <c r="S1095" s="374"/>
      <c r="T1095" s="374"/>
      <c r="U1095" s="374"/>
      <c r="V1095" s="374"/>
      <c r="W1095" s="96"/>
      <c r="X1095" s="96"/>
      <c r="Y1095" s="96"/>
    </row>
    <row r="1096" spans="2:25">
      <c r="B1096" s="374"/>
      <c r="C1096" s="374"/>
      <c r="D1096" s="374"/>
      <c r="E1096" s="374"/>
      <c r="F1096" s="374"/>
      <c r="G1096" s="374"/>
      <c r="H1096" s="374"/>
      <c r="I1096" s="374"/>
      <c r="J1096" s="374"/>
      <c r="K1096" s="374"/>
      <c r="L1096" s="374"/>
      <c r="M1096" s="374"/>
      <c r="N1096" s="374"/>
      <c r="O1096" s="374"/>
      <c r="P1096" s="374"/>
      <c r="Q1096" s="374"/>
      <c r="R1096" s="374"/>
      <c r="S1096" s="374"/>
      <c r="T1096" s="374"/>
      <c r="U1096" s="374"/>
      <c r="V1096" s="374"/>
      <c r="W1096" s="96"/>
      <c r="X1096" s="96"/>
      <c r="Y1096" s="96"/>
    </row>
    <row r="1097" spans="2:25">
      <c r="B1097" s="374"/>
      <c r="C1097" s="374"/>
      <c r="D1097" s="374"/>
      <c r="E1097" s="374"/>
      <c r="F1097" s="374"/>
      <c r="G1097" s="374"/>
      <c r="H1097" s="374"/>
      <c r="I1097" s="374"/>
      <c r="J1097" s="374"/>
      <c r="K1097" s="374"/>
      <c r="L1097" s="374"/>
      <c r="M1097" s="374"/>
      <c r="N1097" s="374"/>
      <c r="O1097" s="374"/>
      <c r="P1097" s="374"/>
      <c r="Q1097" s="374"/>
      <c r="R1097" s="374"/>
      <c r="S1097" s="374"/>
      <c r="T1097" s="374"/>
      <c r="U1097" s="374"/>
      <c r="V1097" s="374"/>
      <c r="W1097" s="96"/>
      <c r="X1097" s="96"/>
      <c r="Y1097" s="96"/>
    </row>
    <row r="1098" spans="2:25">
      <c r="B1098" s="374"/>
      <c r="C1098" s="374"/>
      <c r="D1098" s="374"/>
      <c r="E1098" s="374"/>
      <c r="F1098" s="374"/>
      <c r="G1098" s="374"/>
      <c r="H1098" s="374"/>
      <c r="I1098" s="374"/>
      <c r="J1098" s="374"/>
      <c r="K1098" s="374"/>
      <c r="L1098" s="374"/>
      <c r="M1098" s="374"/>
      <c r="N1098" s="374"/>
      <c r="O1098" s="374"/>
      <c r="P1098" s="374"/>
      <c r="Q1098" s="374"/>
      <c r="R1098" s="374"/>
      <c r="S1098" s="374"/>
      <c r="T1098" s="374"/>
      <c r="U1098" s="374"/>
      <c r="V1098" s="374"/>
      <c r="W1098" s="96"/>
      <c r="X1098" s="96"/>
      <c r="Y1098" s="96"/>
    </row>
    <row r="1099" spans="2:25">
      <c r="B1099" s="374"/>
      <c r="C1099" s="374"/>
      <c r="D1099" s="374"/>
      <c r="E1099" s="374"/>
      <c r="F1099" s="374"/>
      <c r="G1099" s="374"/>
      <c r="H1099" s="374"/>
      <c r="I1099" s="374"/>
      <c r="J1099" s="374"/>
      <c r="K1099" s="374"/>
      <c r="L1099" s="374"/>
      <c r="M1099" s="374"/>
      <c r="N1099" s="374"/>
      <c r="O1099" s="374"/>
      <c r="P1099" s="374"/>
      <c r="Q1099" s="374"/>
      <c r="R1099" s="374"/>
      <c r="S1099" s="374"/>
      <c r="T1099" s="374"/>
      <c r="U1099" s="374"/>
      <c r="V1099" s="374"/>
      <c r="W1099" s="96"/>
      <c r="X1099" s="96"/>
      <c r="Y1099" s="96"/>
    </row>
    <row r="1100" spans="2:25">
      <c r="B1100" s="374"/>
      <c r="C1100" s="374"/>
      <c r="D1100" s="374"/>
      <c r="E1100" s="374"/>
      <c r="F1100" s="374"/>
      <c r="G1100" s="374"/>
      <c r="H1100" s="374"/>
      <c r="I1100" s="374"/>
      <c r="J1100" s="374"/>
      <c r="K1100" s="374"/>
      <c r="L1100" s="374"/>
      <c r="M1100" s="374"/>
      <c r="N1100" s="374"/>
      <c r="O1100" s="374"/>
      <c r="P1100" s="374"/>
      <c r="Q1100" s="374"/>
      <c r="R1100" s="374"/>
      <c r="S1100" s="374"/>
      <c r="T1100" s="374"/>
      <c r="U1100" s="374"/>
      <c r="V1100" s="374"/>
      <c r="W1100" s="96"/>
      <c r="X1100" s="96"/>
      <c r="Y1100" s="96"/>
    </row>
    <row r="1101" spans="2:25">
      <c r="B1101" s="374"/>
      <c r="C1101" s="374"/>
      <c r="D1101" s="374"/>
      <c r="E1101" s="374"/>
      <c r="F1101" s="374"/>
      <c r="G1101" s="374"/>
      <c r="H1101" s="374"/>
      <c r="I1101" s="374"/>
      <c r="J1101" s="374"/>
      <c r="K1101" s="374"/>
      <c r="L1101" s="374"/>
      <c r="M1101" s="374"/>
      <c r="N1101" s="374"/>
      <c r="O1101" s="374"/>
      <c r="P1101" s="374"/>
      <c r="Q1101" s="374"/>
      <c r="R1101" s="374"/>
      <c r="S1101" s="374"/>
      <c r="T1101" s="374"/>
      <c r="U1101" s="374"/>
      <c r="V1101" s="374"/>
      <c r="W1101" s="96"/>
      <c r="X1101" s="96"/>
      <c r="Y1101" s="96"/>
    </row>
    <row r="1102" spans="2:25">
      <c r="B1102" s="374"/>
      <c r="C1102" s="374"/>
      <c r="D1102" s="374"/>
      <c r="E1102" s="374"/>
      <c r="F1102" s="374"/>
      <c r="G1102" s="374"/>
      <c r="H1102" s="374"/>
      <c r="I1102" s="374"/>
      <c r="J1102" s="374"/>
      <c r="K1102" s="374"/>
      <c r="L1102" s="374"/>
      <c r="M1102" s="374"/>
      <c r="N1102" s="374"/>
      <c r="O1102" s="374"/>
      <c r="P1102" s="374"/>
      <c r="Q1102" s="374"/>
      <c r="R1102" s="374"/>
      <c r="S1102" s="374"/>
      <c r="T1102" s="374"/>
      <c r="U1102" s="374"/>
      <c r="V1102" s="374"/>
      <c r="W1102" s="96"/>
      <c r="X1102" s="96"/>
      <c r="Y1102" s="96"/>
    </row>
    <row r="1103" spans="2:25">
      <c r="B1103" s="374"/>
      <c r="C1103" s="374"/>
      <c r="D1103" s="374"/>
      <c r="E1103" s="374"/>
      <c r="F1103" s="374"/>
      <c r="G1103" s="374"/>
      <c r="H1103" s="374"/>
      <c r="I1103" s="374"/>
      <c r="J1103" s="374"/>
      <c r="K1103" s="374"/>
      <c r="L1103" s="374"/>
      <c r="M1103" s="374"/>
      <c r="N1103" s="374"/>
      <c r="O1103" s="374"/>
      <c r="P1103" s="374"/>
      <c r="Q1103" s="374"/>
      <c r="R1103" s="374"/>
      <c r="S1103" s="374"/>
      <c r="T1103" s="374"/>
      <c r="U1103" s="374"/>
      <c r="V1103" s="374"/>
      <c r="W1103" s="96"/>
      <c r="X1103" s="96"/>
      <c r="Y1103" s="96"/>
    </row>
    <row r="1104" spans="2:25">
      <c r="B1104" s="374"/>
      <c r="C1104" s="374"/>
      <c r="D1104" s="374"/>
      <c r="E1104" s="374"/>
      <c r="F1104" s="374"/>
      <c r="G1104" s="374"/>
      <c r="H1104" s="374"/>
      <c r="I1104" s="374"/>
      <c r="J1104" s="374"/>
      <c r="K1104" s="374"/>
      <c r="L1104" s="374"/>
      <c r="M1104" s="374"/>
      <c r="N1104" s="374"/>
      <c r="O1104" s="374"/>
      <c r="P1104" s="374"/>
      <c r="Q1104" s="374"/>
      <c r="R1104" s="374"/>
      <c r="S1104" s="374"/>
      <c r="T1104" s="374"/>
      <c r="U1104" s="374"/>
      <c r="V1104" s="374"/>
      <c r="W1104" s="96"/>
      <c r="X1104" s="96"/>
      <c r="Y1104" s="96"/>
    </row>
    <row r="1105" spans="2:25">
      <c r="B1105" s="374"/>
      <c r="C1105" s="374"/>
      <c r="D1105" s="374"/>
      <c r="E1105" s="374"/>
      <c r="F1105" s="374"/>
      <c r="G1105" s="374"/>
      <c r="H1105" s="374"/>
      <c r="I1105" s="374"/>
      <c r="J1105" s="374"/>
      <c r="K1105" s="374"/>
      <c r="L1105" s="374"/>
      <c r="M1105" s="374"/>
      <c r="N1105" s="374"/>
      <c r="O1105" s="374"/>
      <c r="P1105" s="374"/>
      <c r="Q1105" s="374"/>
      <c r="R1105" s="374"/>
      <c r="S1105" s="374"/>
      <c r="T1105" s="374"/>
      <c r="U1105" s="374"/>
      <c r="V1105" s="374"/>
      <c r="W1105" s="96"/>
      <c r="X1105" s="96"/>
      <c r="Y1105" s="96"/>
    </row>
    <row r="1106" spans="2:25">
      <c r="B1106" s="374"/>
      <c r="C1106" s="374"/>
      <c r="D1106" s="374"/>
      <c r="E1106" s="374"/>
      <c r="F1106" s="374"/>
      <c r="G1106" s="374"/>
      <c r="H1106" s="374"/>
      <c r="I1106" s="374"/>
      <c r="J1106" s="374"/>
      <c r="K1106" s="374"/>
      <c r="L1106" s="374"/>
      <c r="M1106" s="374"/>
      <c r="N1106" s="374"/>
      <c r="O1106" s="374"/>
      <c r="P1106" s="374"/>
      <c r="Q1106" s="374"/>
      <c r="R1106" s="374"/>
      <c r="S1106" s="374"/>
      <c r="T1106" s="374"/>
      <c r="U1106" s="374"/>
      <c r="V1106" s="374"/>
      <c r="W1106" s="96"/>
      <c r="X1106" s="96"/>
      <c r="Y1106" s="96"/>
    </row>
    <row r="1107" spans="2:25">
      <c r="B1107" s="374"/>
      <c r="C1107" s="374"/>
      <c r="D1107" s="374"/>
      <c r="E1107" s="374"/>
      <c r="F1107" s="374"/>
      <c r="G1107" s="374"/>
      <c r="H1107" s="374"/>
      <c r="I1107" s="374"/>
      <c r="J1107" s="374"/>
      <c r="K1107" s="374"/>
      <c r="L1107" s="374"/>
      <c r="M1107" s="374"/>
      <c r="N1107" s="374"/>
      <c r="O1107" s="374"/>
      <c r="P1107" s="374"/>
      <c r="Q1107" s="374"/>
      <c r="R1107" s="374"/>
      <c r="S1107" s="374"/>
      <c r="T1107" s="374"/>
      <c r="U1107" s="374"/>
      <c r="V1107" s="374"/>
      <c r="W1107" s="96"/>
      <c r="X1107" s="96"/>
      <c r="Y1107" s="96"/>
    </row>
    <row r="1108" spans="2:25">
      <c r="B1108" s="374"/>
      <c r="C1108" s="374"/>
      <c r="D1108" s="374"/>
      <c r="E1108" s="374"/>
      <c r="F1108" s="374"/>
      <c r="G1108" s="374"/>
      <c r="H1108" s="374"/>
      <c r="I1108" s="374"/>
      <c r="J1108" s="374"/>
      <c r="K1108" s="374"/>
      <c r="L1108" s="374"/>
      <c r="M1108" s="374"/>
      <c r="N1108" s="374"/>
      <c r="O1108" s="374"/>
      <c r="P1108" s="374"/>
      <c r="Q1108" s="374"/>
      <c r="R1108" s="374"/>
      <c r="S1108" s="374"/>
      <c r="T1108" s="374"/>
      <c r="U1108" s="374"/>
      <c r="V1108" s="374"/>
      <c r="W1108" s="96"/>
      <c r="X1108" s="96"/>
      <c r="Y1108" s="96"/>
    </row>
    <row r="1109" spans="2:25">
      <c r="B1109" s="374"/>
      <c r="C1109" s="374"/>
      <c r="D1109" s="374"/>
      <c r="E1109" s="374"/>
      <c r="F1109" s="374"/>
      <c r="G1109" s="374"/>
      <c r="H1109" s="374"/>
      <c r="I1109" s="374"/>
      <c r="J1109" s="374"/>
      <c r="K1109" s="374"/>
      <c r="L1109" s="374"/>
      <c r="M1109" s="374"/>
      <c r="N1109" s="374"/>
      <c r="O1109" s="374"/>
      <c r="P1109" s="374"/>
      <c r="Q1109" s="374"/>
      <c r="R1109" s="374"/>
      <c r="S1109" s="374"/>
      <c r="T1109" s="374"/>
      <c r="U1109" s="374"/>
      <c r="V1109" s="374"/>
      <c r="W1109" s="96"/>
      <c r="X1109" s="96"/>
      <c r="Y1109" s="96"/>
    </row>
    <row r="1110" spans="2:25">
      <c r="B1110" s="374"/>
      <c r="C1110" s="374"/>
      <c r="D1110" s="374"/>
      <c r="E1110" s="374"/>
      <c r="F1110" s="374"/>
      <c r="G1110" s="374"/>
      <c r="H1110" s="374"/>
      <c r="I1110" s="374"/>
      <c r="J1110" s="374"/>
      <c r="K1110" s="374"/>
      <c r="L1110" s="374"/>
      <c r="M1110" s="374"/>
      <c r="N1110" s="374"/>
      <c r="O1110" s="374"/>
      <c r="P1110" s="374"/>
      <c r="Q1110" s="374"/>
      <c r="R1110" s="374"/>
      <c r="S1110" s="374"/>
      <c r="T1110" s="374"/>
      <c r="U1110" s="374"/>
      <c r="V1110" s="374"/>
      <c r="W1110" s="96"/>
      <c r="X1110" s="96"/>
      <c r="Y1110" s="96"/>
    </row>
    <row r="1111" spans="2:25">
      <c r="B1111" s="374"/>
      <c r="C1111" s="374"/>
      <c r="D1111" s="374"/>
      <c r="E1111" s="374"/>
      <c r="F1111" s="374"/>
      <c r="G1111" s="374"/>
      <c r="H1111" s="374"/>
      <c r="I1111" s="374"/>
      <c r="J1111" s="374"/>
      <c r="K1111" s="374"/>
      <c r="L1111" s="374"/>
      <c r="M1111" s="374"/>
      <c r="N1111" s="374"/>
      <c r="O1111" s="374"/>
      <c r="P1111" s="374"/>
      <c r="Q1111" s="374"/>
      <c r="R1111" s="374"/>
      <c r="S1111" s="374"/>
      <c r="T1111" s="374"/>
      <c r="U1111" s="374"/>
      <c r="V1111" s="374"/>
      <c r="W1111" s="96"/>
      <c r="X1111" s="96"/>
      <c r="Y1111" s="96"/>
    </row>
    <row r="1112" spans="2:25">
      <c r="B1112" s="374"/>
      <c r="C1112" s="374"/>
      <c r="D1112" s="374"/>
      <c r="E1112" s="374"/>
      <c r="F1112" s="374"/>
      <c r="G1112" s="374"/>
      <c r="H1112" s="374"/>
      <c r="I1112" s="374"/>
      <c r="J1112" s="374"/>
      <c r="K1112" s="374"/>
      <c r="L1112" s="374"/>
      <c r="M1112" s="374"/>
      <c r="N1112" s="374"/>
      <c r="O1112" s="374"/>
      <c r="P1112" s="374"/>
      <c r="Q1112" s="374"/>
      <c r="R1112" s="374"/>
      <c r="S1112" s="374"/>
      <c r="T1112" s="374"/>
      <c r="U1112" s="374"/>
      <c r="V1112" s="374"/>
      <c r="W1112" s="96"/>
      <c r="X1112" s="96"/>
      <c r="Y1112" s="96"/>
    </row>
    <row r="1113" spans="2:25">
      <c r="B1113" s="374"/>
      <c r="C1113" s="374"/>
      <c r="D1113" s="374"/>
      <c r="E1113" s="374"/>
      <c r="F1113" s="374"/>
      <c r="G1113" s="374"/>
      <c r="H1113" s="374"/>
      <c r="I1113" s="374"/>
      <c r="J1113" s="374"/>
      <c r="K1113" s="374"/>
      <c r="L1113" s="374"/>
      <c r="M1113" s="374"/>
      <c r="N1113" s="374"/>
      <c r="O1113" s="374"/>
      <c r="P1113" s="374"/>
      <c r="Q1113" s="374"/>
      <c r="R1113" s="374"/>
      <c r="S1113" s="374"/>
      <c r="T1113" s="374"/>
      <c r="U1113" s="374"/>
      <c r="V1113" s="374"/>
      <c r="W1113" s="96"/>
      <c r="X1113" s="96"/>
      <c r="Y1113" s="96"/>
    </row>
    <row r="1114" spans="2:25">
      <c r="B1114" s="374"/>
      <c r="C1114" s="374"/>
      <c r="D1114" s="374"/>
      <c r="E1114" s="374"/>
      <c r="F1114" s="374"/>
      <c r="G1114" s="374"/>
      <c r="H1114" s="374"/>
      <c r="I1114" s="374"/>
      <c r="J1114" s="374"/>
      <c r="K1114" s="374"/>
      <c r="L1114" s="374"/>
      <c r="M1114" s="374"/>
      <c r="N1114" s="374"/>
      <c r="O1114" s="374"/>
      <c r="P1114" s="374"/>
      <c r="Q1114" s="374"/>
      <c r="R1114" s="374"/>
      <c r="S1114" s="374"/>
      <c r="T1114" s="374"/>
      <c r="U1114" s="374"/>
      <c r="V1114" s="374"/>
      <c r="W1114" s="96"/>
      <c r="X1114" s="96"/>
      <c r="Y1114" s="96"/>
    </row>
    <row r="1115" spans="2:25">
      <c r="B1115" s="374"/>
      <c r="C1115" s="374"/>
      <c r="D1115" s="374"/>
      <c r="E1115" s="374"/>
      <c r="F1115" s="374"/>
      <c r="G1115" s="374"/>
      <c r="H1115" s="374"/>
      <c r="I1115" s="374"/>
      <c r="J1115" s="374"/>
      <c r="K1115" s="374"/>
      <c r="L1115" s="374"/>
      <c r="M1115" s="374"/>
      <c r="N1115" s="374"/>
      <c r="O1115" s="374"/>
      <c r="P1115" s="374"/>
      <c r="Q1115" s="374"/>
      <c r="R1115" s="374"/>
      <c r="S1115" s="374"/>
      <c r="T1115" s="374"/>
      <c r="U1115" s="374"/>
      <c r="V1115" s="374"/>
      <c r="W1115" s="96"/>
      <c r="X1115" s="96"/>
      <c r="Y1115" s="96"/>
    </row>
    <row r="1116" spans="2:25">
      <c r="B1116" s="374"/>
      <c r="C1116" s="374"/>
      <c r="D1116" s="374"/>
      <c r="E1116" s="374"/>
      <c r="F1116" s="374"/>
      <c r="G1116" s="374"/>
      <c r="H1116" s="374"/>
      <c r="I1116" s="374"/>
      <c r="J1116" s="374"/>
      <c r="K1116" s="374"/>
      <c r="L1116" s="374"/>
      <c r="M1116" s="374"/>
      <c r="N1116" s="374"/>
      <c r="O1116" s="374"/>
      <c r="P1116" s="374"/>
      <c r="Q1116" s="374"/>
      <c r="R1116" s="374"/>
      <c r="S1116" s="374"/>
      <c r="T1116" s="374"/>
      <c r="U1116" s="374"/>
      <c r="V1116" s="374"/>
      <c r="W1116" s="96"/>
      <c r="X1116" s="96"/>
      <c r="Y1116" s="96"/>
    </row>
    <row r="1117" spans="2:25">
      <c r="B1117" s="374"/>
      <c r="C1117" s="374"/>
      <c r="D1117" s="374"/>
      <c r="E1117" s="374"/>
      <c r="F1117" s="374"/>
      <c r="G1117" s="374"/>
      <c r="H1117" s="374"/>
      <c r="I1117" s="374"/>
      <c r="J1117" s="374"/>
      <c r="K1117" s="374"/>
      <c r="L1117" s="374"/>
      <c r="M1117" s="374"/>
      <c r="N1117" s="374"/>
      <c r="O1117" s="374"/>
      <c r="P1117" s="374"/>
      <c r="Q1117" s="374"/>
      <c r="R1117" s="374"/>
      <c r="S1117" s="374"/>
      <c r="T1117" s="374"/>
      <c r="U1117" s="374"/>
      <c r="V1117" s="374"/>
      <c r="W1117" s="96"/>
      <c r="X1117" s="96"/>
      <c r="Y1117" s="96"/>
    </row>
    <row r="1118" spans="2:25">
      <c r="B1118" s="374"/>
      <c r="C1118" s="374"/>
      <c r="D1118" s="374"/>
      <c r="E1118" s="374"/>
      <c r="F1118" s="374"/>
      <c r="G1118" s="374"/>
      <c r="H1118" s="374"/>
      <c r="I1118" s="374"/>
      <c r="J1118" s="374"/>
      <c r="K1118" s="374"/>
      <c r="L1118" s="374"/>
      <c r="M1118" s="374"/>
      <c r="N1118" s="374"/>
      <c r="O1118" s="374"/>
      <c r="P1118" s="374"/>
      <c r="Q1118" s="374"/>
      <c r="R1118" s="374"/>
      <c r="S1118" s="374"/>
      <c r="T1118" s="374"/>
      <c r="U1118" s="374"/>
      <c r="V1118" s="374"/>
      <c r="W1118" s="96"/>
      <c r="X1118" s="96"/>
      <c r="Y1118" s="96"/>
    </row>
    <row r="1119" spans="2:25">
      <c r="B1119" s="374"/>
      <c r="C1119" s="374"/>
      <c r="D1119" s="374"/>
      <c r="E1119" s="374"/>
      <c r="F1119" s="374"/>
      <c r="G1119" s="374"/>
      <c r="H1119" s="374"/>
      <c r="I1119" s="374"/>
      <c r="J1119" s="374"/>
      <c r="K1119" s="374"/>
      <c r="L1119" s="374"/>
      <c r="M1119" s="374"/>
      <c r="N1119" s="374"/>
      <c r="O1119" s="374"/>
      <c r="P1119" s="374"/>
      <c r="Q1119" s="374"/>
      <c r="R1119" s="374"/>
      <c r="S1119" s="374"/>
      <c r="T1119" s="374"/>
      <c r="U1119" s="374"/>
      <c r="V1119" s="374"/>
      <c r="W1119" s="96"/>
      <c r="X1119" s="96"/>
      <c r="Y1119" s="96"/>
    </row>
    <row r="1120" spans="2:25">
      <c r="B1120" s="374"/>
      <c r="C1120" s="374"/>
      <c r="D1120" s="374"/>
      <c r="E1120" s="374"/>
      <c r="F1120" s="374"/>
      <c r="G1120" s="374"/>
      <c r="H1120" s="374"/>
      <c r="I1120" s="374"/>
      <c r="J1120" s="374"/>
      <c r="K1120" s="374"/>
      <c r="L1120" s="374"/>
      <c r="M1120" s="374"/>
      <c r="N1120" s="374"/>
      <c r="O1120" s="374"/>
      <c r="P1120" s="374"/>
      <c r="Q1120" s="374"/>
      <c r="R1120" s="374"/>
      <c r="S1120" s="374"/>
      <c r="T1120" s="374"/>
      <c r="U1120" s="374"/>
      <c r="V1120" s="374"/>
      <c r="W1120" s="96"/>
      <c r="X1120" s="96"/>
      <c r="Y1120" s="96"/>
    </row>
    <row r="1121" spans="2:25">
      <c r="B1121" s="374"/>
      <c r="C1121" s="374"/>
      <c r="D1121" s="374"/>
      <c r="E1121" s="374"/>
      <c r="F1121" s="374"/>
      <c r="G1121" s="374"/>
      <c r="H1121" s="374"/>
      <c r="I1121" s="374"/>
      <c r="J1121" s="374"/>
      <c r="K1121" s="374"/>
      <c r="L1121" s="374"/>
      <c r="M1121" s="374"/>
      <c r="N1121" s="374"/>
      <c r="O1121" s="374"/>
      <c r="P1121" s="374"/>
      <c r="Q1121" s="374"/>
      <c r="R1121" s="374"/>
      <c r="S1121" s="374"/>
      <c r="T1121" s="374"/>
      <c r="U1121" s="374"/>
      <c r="V1121" s="374"/>
      <c r="W1121" s="96"/>
      <c r="X1121" s="96"/>
      <c r="Y1121" s="96"/>
    </row>
    <row r="1122" spans="2:25">
      <c r="B1122" s="374"/>
      <c r="C1122" s="374"/>
      <c r="D1122" s="374"/>
      <c r="E1122" s="374"/>
      <c r="F1122" s="374"/>
      <c r="G1122" s="374"/>
      <c r="H1122" s="374"/>
      <c r="I1122" s="374"/>
      <c r="J1122" s="374"/>
      <c r="K1122" s="374"/>
      <c r="L1122" s="374"/>
      <c r="M1122" s="374"/>
      <c r="N1122" s="374"/>
      <c r="O1122" s="374"/>
      <c r="P1122" s="374"/>
      <c r="Q1122" s="374"/>
      <c r="R1122" s="374"/>
      <c r="S1122" s="374"/>
      <c r="T1122" s="374"/>
      <c r="U1122" s="374"/>
      <c r="V1122" s="374"/>
      <c r="W1122" s="96"/>
      <c r="X1122" s="96"/>
      <c r="Y1122" s="96"/>
    </row>
    <row r="1123" spans="2:25">
      <c r="B1123" s="374"/>
      <c r="C1123" s="374"/>
      <c r="D1123" s="374"/>
      <c r="E1123" s="374"/>
      <c r="F1123" s="374"/>
      <c r="G1123" s="374"/>
      <c r="H1123" s="374"/>
      <c r="I1123" s="374"/>
      <c r="J1123" s="374"/>
      <c r="K1123" s="374"/>
      <c r="L1123" s="374"/>
      <c r="M1123" s="374"/>
      <c r="N1123" s="374"/>
      <c r="O1123" s="374"/>
      <c r="P1123" s="374"/>
      <c r="Q1123" s="374"/>
      <c r="R1123" s="374"/>
      <c r="S1123" s="374"/>
      <c r="T1123" s="374"/>
      <c r="U1123" s="374"/>
      <c r="V1123" s="374"/>
      <c r="W1123" s="96"/>
      <c r="X1123" s="96"/>
      <c r="Y1123" s="96"/>
    </row>
    <row r="1124" spans="2:25">
      <c r="B1124" s="374"/>
      <c r="C1124" s="374"/>
      <c r="D1124" s="374"/>
      <c r="E1124" s="374"/>
      <c r="F1124" s="374"/>
      <c r="G1124" s="374"/>
      <c r="H1124" s="374"/>
      <c r="I1124" s="374"/>
      <c r="J1124" s="374"/>
      <c r="K1124" s="374"/>
      <c r="L1124" s="374"/>
      <c r="M1124" s="374"/>
      <c r="N1124" s="374"/>
      <c r="O1124" s="374"/>
      <c r="P1124" s="374"/>
      <c r="Q1124" s="374"/>
      <c r="R1124" s="374"/>
      <c r="S1124" s="374"/>
      <c r="T1124" s="374"/>
      <c r="U1124" s="374"/>
      <c r="V1124" s="374"/>
      <c r="W1124" s="96"/>
      <c r="X1124" s="96"/>
      <c r="Y1124" s="96"/>
    </row>
    <row r="1125" spans="2:25">
      <c r="B1125" s="374"/>
      <c r="C1125" s="374"/>
      <c r="D1125" s="374"/>
      <c r="E1125" s="374"/>
      <c r="F1125" s="374"/>
      <c r="G1125" s="374"/>
      <c r="H1125" s="374"/>
      <c r="I1125" s="374"/>
      <c r="J1125" s="374"/>
      <c r="K1125" s="374"/>
      <c r="L1125" s="374"/>
      <c r="M1125" s="374"/>
      <c r="N1125" s="374"/>
      <c r="O1125" s="374"/>
      <c r="P1125" s="374"/>
      <c r="Q1125" s="374"/>
      <c r="R1125" s="374"/>
      <c r="S1125" s="374"/>
      <c r="T1125" s="374"/>
      <c r="U1125" s="374"/>
      <c r="V1125" s="374"/>
      <c r="W1125" s="96"/>
      <c r="X1125" s="96"/>
      <c r="Y1125" s="96"/>
    </row>
    <row r="1126" spans="2:25">
      <c r="B1126" s="374"/>
      <c r="C1126" s="374"/>
      <c r="D1126" s="374"/>
      <c r="E1126" s="374"/>
      <c r="F1126" s="374"/>
      <c r="G1126" s="374"/>
      <c r="H1126" s="374"/>
      <c r="I1126" s="374"/>
      <c r="J1126" s="374"/>
      <c r="K1126" s="374"/>
      <c r="L1126" s="374"/>
      <c r="M1126" s="374"/>
      <c r="N1126" s="374"/>
      <c r="O1126" s="374"/>
      <c r="P1126" s="374"/>
      <c r="Q1126" s="374"/>
      <c r="R1126" s="374"/>
      <c r="S1126" s="374"/>
      <c r="T1126" s="374"/>
      <c r="U1126" s="374"/>
      <c r="V1126" s="374"/>
      <c r="W1126" s="96"/>
      <c r="X1126" s="96"/>
      <c r="Y1126" s="96"/>
    </row>
    <row r="1127" spans="2:25">
      <c r="B1127" s="374"/>
      <c r="C1127" s="374"/>
      <c r="D1127" s="374"/>
      <c r="E1127" s="374"/>
      <c r="F1127" s="374"/>
      <c r="G1127" s="374"/>
      <c r="H1127" s="374"/>
      <c r="I1127" s="374"/>
      <c r="J1127" s="374"/>
      <c r="K1127" s="374"/>
      <c r="L1127" s="374"/>
      <c r="M1127" s="374"/>
      <c r="N1127" s="374"/>
      <c r="O1127" s="374"/>
      <c r="P1127" s="374"/>
      <c r="Q1127" s="374"/>
      <c r="R1127" s="374"/>
      <c r="S1127" s="374"/>
      <c r="T1127" s="374"/>
      <c r="U1127" s="374"/>
      <c r="V1127" s="374"/>
      <c r="W1127" s="96"/>
      <c r="X1127" s="96"/>
      <c r="Y1127" s="96"/>
    </row>
    <row r="1128" spans="2:25">
      <c r="B1128" s="374"/>
      <c r="C1128" s="374"/>
      <c r="D1128" s="374"/>
      <c r="E1128" s="374"/>
      <c r="F1128" s="374"/>
      <c r="G1128" s="374"/>
      <c r="H1128" s="374"/>
      <c r="I1128" s="374"/>
      <c r="J1128" s="374"/>
      <c r="K1128" s="374"/>
      <c r="L1128" s="374"/>
      <c r="M1128" s="374"/>
      <c r="N1128" s="374"/>
      <c r="O1128" s="374"/>
      <c r="P1128" s="374"/>
      <c r="Q1128" s="374"/>
      <c r="R1128" s="374"/>
      <c r="S1128" s="374"/>
      <c r="T1128" s="374"/>
      <c r="U1128" s="374"/>
      <c r="V1128" s="374"/>
      <c r="W1128" s="96"/>
      <c r="X1128" s="96"/>
      <c r="Y1128" s="96"/>
    </row>
    <row r="1129" spans="2:25">
      <c r="B1129" s="374"/>
      <c r="C1129" s="374"/>
      <c r="D1129" s="374"/>
      <c r="E1129" s="374"/>
      <c r="F1129" s="374"/>
      <c r="G1129" s="374"/>
      <c r="H1129" s="374"/>
      <c r="I1129" s="374"/>
      <c r="J1129" s="374"/>
      <c r="K1129" s="374"/>
      <c r="L1129" s="374"/>
      <c r="M1129" s="374"/>
      <c r="N1129" s="374"/>
      <c r="O1129" s="374"/>
      <c r="P1129" s="374"/>
      <c r="Q1129" s="374"/>
      <c r="R1129" s="374"/>
      <c r="S1129" s="374"/>
      <c r="T1129" s="374"/>
      <c r="U1129" s="374"/>
      <c r="V1129" s="374"/>
      <c r="W1129" s="96"/>
      <c r="X1129" s="96"/>
      <c r="Y1129" s="96"/>
    </row>
    <row r="1130" spans="2:25">
      <c r="B1130" s="374"/>
      <c r="C1130" s="374"/>
      <c r="D1130" s="374"/>
      <c r="E1130" s="374"/>
      <c r="F1130" s="374"/>
      <c r="G1130" s="374"/>
      <c r="H1130" s="374"/>
      <c r="I1130" s="374"/>
      <c r="J1130" s="374"/>
      <c r="K1130" s="374"/>
      <c r="L1130" s="374"/>
      <c r="M1130" s="374"/>
      <c r="N1130" s="374"/>
      <c r="O1130" s="374"/>
      <c r="P1130" s="374"/>
      <c r="Q1130" s="374"/>
      <c r="R1130" s="374"/>
      <c r="S1130" s="374"/>
      <c r="T1130" s="374"/>
      <c r="U1130" s="374"/>
      <c r="V1130" s="374"/>
      <c r="W1130" s="96"/>
      <c r="X1130" s="96"/>
      <c r="Y1130" s="96"/>
    </row>
    <row r="1131" spans="2:25">
      <c r="B1131" s="374"/>
      <c r="C1131" s="374"/>
      <c r="D1131" s="374"/>
      <c r="E1131" s="374"/>
      <c r="F1131" s="374"/>
      <c r="G1131" s="374"/>
      <c r="H1131" s="374"/>
      <c r="I1131" s="374"/>
      <c r="J1131" s="374"/>
      <c r="K1131" s="374"/>
      <c r="L1131" s="374"/>
      <c r="M1131" s="374"/>
      <c r="N1131" s="374"/>
      <c r="O1131" s="374"/>
      <c r="P1131" s="374"/>
      <c r="Q1131" s="374"/>
      <c r="R1131" s="374"/>
      <c r="S1131" s="374"/>
      <c r="T1131" s="374"/>
      <c r="U1131" s="374"/>
      <c r="V1131" s="374"/>
      <c r="W1131" s="96"/>
      <c r="X1131" s="96"/>
      <c r="Y1131" s="96"/>
    </row>
    <row r="1132" spans="2:25">
      <c r="B1132" s="374"/>
      <c r="C1132" s="374"/>
      <c r="D1132" s="374"/>
      <c r="E1132" s="374"/>
      <c r="F1132" s="374"/>
      <c r="G1132" s="374"/>
      <c r="H1132" s="374"/>
      <c r="I1132" s="374"/>
      <c r="J1132" s="374"/>
      <c r="K1132" s="374"/>
      <c r="L1132" s="374"/>
      <c r="M1132" s="374"/>
      <c r="N1132" s="374"/>
      <c r="O1132" s="374"/>
      <c r="P1132" s="374"/>
      <c r="Q1132" s="374"/>
      <c r="R1132" s="374"/>
      <c r="S1132" s="374"/>
      <c r="T1132" s="374"/>
      <c r="U1132" s="374"/>
      <c r="V1132" s="374"/>
      <c r="W1132" s="96"/>
      <c r="X1132" s="96"/>
      <c r="Y1132" s="96"/>
    </row>
    <row r="1133" spans="2:25">
      <c r="B1133" s="374"/>
      <c r="C1133" s="374"/>
      <c r="D1133" s="374"/>
      <c r="E1133" s="374"/>
      <c r="F1133" s="374"/>
      <c r="G1133" s="374"/>
      <c r="H1133" s="374"/>
      <c r="I1133" s="374"/>
      <c r="J1133" s="374"/>
      <c r="K1133" s="374"/>
      <c r="L1133" s="374"/>
      <c r="M1133" s="374"/>
      <c r="N1133" s="374"/>
      <c r="O1133" s="374"/>
      <c r="P1133" s="374"/>
      <c r="Q1133" s="374"/>
      <c r="R1133" s="374"/>
      <c r="S1133" s="374"/>
      <c r="T1133" s="374"/>
      <c r="U1133" s="374"/>
      <c r="V1133" s="374"/>
      <c r="W1133" s="96"/>
      <c r="X1133" s="96"/>
      <c r="Y1133" s="96"/>
    </row>
    <row r="1134" spans="2:25">
      <c r="B1134" s="374"/>
      <c r="C1134" s="374"/>
      <c r="D1134" s="374"/>
      <c r="E1134" s="374"/>
      <c r="F1134" s="374"/>
      <c r="G1134" s="374"/>
      <c r="H1134" s="374"/>
      <c r="I1134" s="374"/>
      <c r="J1134" s="374"/>
      <c r="K1134" s="374"/>
      <c r="L1134" s="374"/>
      <c r="M1134" s="374"/>
      <c r="N1134" s="374"/>
      <c r="O1134" s="374"/>
      <c r="P1134" s="374"/>
      <c r="Q1134" s="374"/>
      <c r="R1134" s="374"/>
      <c r="S1134" s="374"/>
      <c r="T1134" s="374"/>
      <c r="U1134" s="374"/>
      <c r="V1134" s="374"/>
      <c r="W1134" s="96"/>
      <c r="X1134" s="96"/>
      <c r="Y1134" s="96"/>
    </row>
    <row r="1135" spans="2:25">
      <c r="B1135" s="374"/>
      <c r="C1135" s="374"/>
      <c r="D1135" s="374"/>
      <c r="E1135" s="374"/>
      <c r="F1135" s="374"/>
      <c r="G1135" s="374"/>
      <c r="H1135" s="374"/>
      <c r="I1135" s="374"/>
      <c r="J1135" s="374"/>
      <c r="K1135" s="374"/>
      <c r="L1135" s="374"/>
      <c r="M1135" s="374"/>
      <c r="N1135" s="374"/>
      <c r="O1135" s="374"/>
      <c r="P1135" s="374"/>
      <c r="Q1135" s="374"/>
      <c r="R1135" s="374"/>
      <c r="S1135" s="374"/>
      <c r="T1135" s="374"/>
      <c r="U1135" s="374"/>
      <c r="V1135" s="374"/>
      <c r="W1135" s="96"/>
      <c r="X1135" s="96"/>
      <c r="Y1135" s="96"/>
    </row>
    <row r="1136" spans="2:25">
      <c r="B1136" s="374"/>
      <c r="C1136" s="374"/>
      <c r="D1136" s="374"/>
      <c r="E1136" s="374"/>
      <c r="F1136" s="374"/>
      <c r="G1136" s="374"/>
      <c r="H1136" s="374"/>
      <c r="I1136" s="374"/>
      <c r="J1136" s="374"/>
      <c r="K1136" s="374"/>
      <c r="L1136" s="374"/>
      <c r="M1136" s="374"/>
      <c r="N1136" s="374"/>
      <c r="O1136" s="374"/>
      <c r="P1136" s="374"/>
      <c r="Q1136" s="374"/>
      <c r="R1136" s="374"/>
      <c r="S1136" s="374"/>
      <c r="T1136" s="374"/>
      <c r="U1136" s="374"/>
      <c r="V1136" s="374"/>
      <c r="W1136" s="96"/>
      <c r="X1136" s="96"/>
      <c r="Y1136" s="96"/>
    </row>
    <row r="1137" spans="2:25">
      <c r="B1137" s="374"/>
      <c r="C1137" s="374"/>
      <c r="D1137" s="374"/>
      <c r="E1137" s="374"/>
      <c r="F1137" s="374"/>
      <c r="G1137" s="374"/>
      <c r="H1137" s="374"/>
      <c r="I1137" s="374"/>
      <c r="J1137" s="374"/>
      <c r="K1137" s="374"/>
      <c r="L1137" s="374"/>
      <c r="M1137" s="374"/>
      <c r="N1137" s="374"/>
      <c r="O1137" s="374"/>
      <c r="P1137" s="374"/>
      <c r="Q1137" s="374"/>
      <c r="R1137" s="374"/>
      <c r="S1137" s="374"/>
      <c r="T1137" s="374"/>
      <c r="U1137" s="374"/>
      <c r="V1137" s="374"/>
      <c r="W1137" s="96"/>
      <c r="X1137" s="96"/>
      <c r="Y1137" s="96"/>
    </row>
    <row r="1138" spans="2:25">
      <c r="B1138" s="374"/>
      <c r="C1138" s="374"/>
      <c r="D1138" s="374"/>
      <c r="E1138" s="374"/>
      <c r="F1138" s="374"/>
      <c r="G1138" s="374"/>
      <c r="H1138" s="374"/>
      <c r="I1138" s="374"/>
      <c r="J1138" s="374"/>
      <c r="K1138" s="374"/>
      <c r="L1138" s="374"/>
      <c r="M1138" s="374"/>
      <c r="N1138" s="374"/>
      <c r="O1138" s="374"/>
      <c r="P1138" s="374"/>
      <c r="Q1138" s="374"/>
      <c r="R1138" s="374"/>
      <c r="S1138" s="374"/>
      <c r="T1138" s="374"/>
      <c r="U1138" s="374"/>
      <c r="V1138" s="374"/>
      <c r="W1138" s="96"/>
      <c r="X1138" s="96"/>
      <c r="Y1138" s="96"/>
    </row>
    <row r="1139" spans="2:25">
      <c r="B1139" s="374"/>
      <c r="C1139" s="374"/>
      <c r="D1139" s="374"/>
      <c r="E1139" s="374"/>
      <c r="F1139" s="374"/>
      <c r="G1139" s="374"/>
      <c r="H1139" s="374"/>
      <c r="I1139" s="374"/>
      <c r="J1139" s="374"/>
      <c r="K1139" s="374"/>
      <c r="L1139" s="374"/>
      <c r="M1139" s="374"/>
      <c r="N1139" s="374"/>
      <c r="O1139" s="374"/>
      <c r="P1139" s="374"/>
      <c r="Q1139" s="374"/>
      <c r="R1139" s="374"/>
      <c r="S1139" s="374"/>
      <c r="T1139" s="374"/>
      <c r="U1139" s="374"/>
      <c r="V1139" s="374"/>
      <c r="W1139" s="96"/>
      <c r="X1139" s="96"/>
      <c r="Y1139" s="96"/>
    </row>
    <row r="1140" spans="2:25">
      <c r="B1140" s="374"/>
      <c r="C1140" s="374"/>
      <c r="D1140" s="374"/>
      <c r="E1140" s="374"/>
      <c r="F1140" s="374"/>
      <c r="G1140" s="374"/>
      <c r="H1140" s="374"/>
      <c r="I1140" s="374"/>
      <c r="J1140" s="374"/>
      <c r="K1140" s="374"/>
      <c r="L1140" s="374"/>
      <c r="M1140" s="374"/>
      <c r="N1140" s="374"/>
      <c r="O1140" s="374"/>
      <c r="P1140" s="374"/>
      <c r="Q1140" s="374"/>
      <c r="R1140" s="374"/>
      <c r="S1140" s="374"/>
      <c r="T1140" s="374"/>
      <c r="U1140" s="374"/>
      <c r="V1140" s="374"/>
      <c r="W1140" s="96"/>
      <c r="X1140" s="96"/>
      <c r="Y1140" s="96"/>
    </row>
    <row r="1141" spans="2:25">
      <c r="B1141" s="374"/>
      <c r="C1141" s="374"/>
      <c r="D1141" s="374"/>
      <c r="E1141" s="374"/>
      <c r="F1141" s="374"/>
      <c r="G1141" s="374"/>
      <c r="H1141" s="374"/>
      <c r="I1141" s="374"/>
      <c r="J1141" s="374"/>
      <c r="K1141" s="374"/>
      <c r="L1141" s="374"/>
      <c r="M1141" s="374"/>
      <c r="N1141" s="374"/>
      <c r="O1141" s="374"/>
      <c r="P1141" s="374"/>
      <c r="Q1141" s="374"/>
      <c r="R1141" s="374"/>
      <c r="S1141" s="374"/>
      <c r="T1141" s="374"/>
      <c r="U1141" s="374"/>
      <c r="V1141" s="374"/>
      <c r="W1141" s="96"/>
      <c r="X1141" s="96"/>
      <c r="Y1141" s="96"/>
    </row>
    <row r="1142" spans="2:25">
      <c r="B1142" s="374"/>
      <c r="C1142" s="374"/>
      <c r="D1142" s="374"/>
      <c r="E1142" s="374"/>
      <c r="F1142" s="374"/>
      <c r="G1142" s="374"/>
      <c r="H1142" s="374"/>
      <c r="I1142" s="374"/>
      <c r="J1142" s="374"/>
      <c r="K1142" s="374"/>
      <c r="L1142" s="374"/>
      <c r="M1142" s="374"/>
      <c r="N1142" s="374"/>
      <c r="O1142" s="374"/>
      <c r="P1142" s="374"/>
      <c r="Q1142" s="374"/>
      <c r="R1142" s="374"/>
      <c r="S1142" s="374"/>
      <c r="T1142" s="374"/>
      <c r="U1142" s="374"/>
      <c r="V1142" s="374"/>
      <c r="W1142" s="96"/>
      <c r="X1142" s="96"/>
      <c r="Y1142" s="96"/>
    </row>
    <row r="1143" spans="2:25">
      <c r="B1143" s="374"/>
      <c r="C1143" s="374"/>
      <c r="D1143" s="374"/>
      <c r="E1143" s="374"/>
      <c r="F1143" s="374"/>
      <c r="G1143" s="374"/>
      <c r="H1143" s="374"/>
      <c r="I1143" s="374"/>
      <c r="J1143" s="374"/>
      <c r="K1143" s="374"/>
      <c r="L1143" s="374"/>
      <c r="M1143" s="374"/>
      <c r="N1143" s="374"/>
      <c r="O1143" s="374"/>
      <c r="P1143" s="374"/>
      <c r="Q1143" s="374"/>
      <c r="R1143" s="374"/>
      <c r="S1143" s="374"/>
      <c r="T1143" s="374"/>
      <c r="U1143" s="374"/>
      <c r="V1143" s="374"/>
      <c r="W1143" s="96"/>
      <c r="X1143" s="96"/>
      <c r="Y1143" s="96"/>
    </row>
    <row r="1144" spans="2:25">
      <c r="B1144" s="374"/>
      <c r="C1144" s="374"/>
      <c r="D1144" s="374"/>
      <c r="E1144" s="374"/>
      <c r="F1144" s="374"/>
      <c r="G1144" s="374"/>
      <c r="H1144" s="374"/>
      <c r="I1144" s="374"/>
      <c r="J1144" s="374"/>
      <c r="K1144" s="374"/>
      <c r="L1144" s="374"/>
      <c r="M1144" s="374"/>
      <c r="N1144" s="374"/>
      <c r="O1144" s="374"/>
      <c r="P1144" s="374"/>
      <c r="Q1144" s="374"/>
      <c r="R1144" s="374"/>
      <c r="S1144" s="374"/>
      <c r="T1144" s="374"/>
      <c r="U1144" s="374"/>
      <c r="V1144" s="374"/>
      <c r="W1144" s="96"/>
      <c r="X1144" s="96"/>
      <c r="Y1144" s="96"/>
    </row>
    <row r="1145" spans="2:25">
      <c r="B1145" s="374"/>
      <c r="C1145" s="374"/>
      <c r="D1145" s="374"/>
      <c r="E1145" s="374"/>
      <c r="F1145" s="374"/>
      <c r="G1145" s="374"/>
      <c r="H1145" s="374"/>
      <c r="I1145" s="374"/>
      <c r="J1145" s="374"/>
      <c r="K1145" s="374"/>
      <c r="L1145" s="374"/>
      <c r="M1145" s="374"/>
      <c r="N1145" s="374"/>
      <c r="O1145" s="374"/>
      <c r="P1145" s="374"/>
      <c r="Q1145" s="374"/>
      <c r="R1145" s="374"/>
      <c r="S1145" s="374"/>
      <c r="T1145" s="374"/>
      <c r="U1145" s="374"/>
      <c r="V1145" s="374"/>
      <c r="W1145" s="96"/>
      <c r="X1145" s="96"/>
      <c r="Y1145" s="96"/>
    </row>
    <row r="1146" spans="2:25">
      <c r="B1146" s="374"/>
      <c r="C1146" s="374"/>
      <c r="D1146" s="374"/>
      <c r="E1146" s="374"/>
      <c r="F1146" s="374"/>
      <c r="G1146" s="374"/>
      <c r="H1146" s="374"/>
      <c r="I1146" s="374"/>
      <c r="J1146" s="374"/>
      <c r="K1146" s="374"/>
      <c r="L1146" s="374"/>
      <c r="M1146" s="374"/>
      <c r="N1146" s="374"/>
      <c r="O1146" s="374"/>
      <c r="P1146" s="374"/>
      <c r="Q1146" s="374"/>
      <c r="R1146" s="374"/>
      <c r="S1146" s="374"/>
      <c r="T1146" s="374"/>
      <c r="U1146" s="374"/>
      <c r="V1146" s="374"/>
      <c r="W1146" s="96"/>
      <c r="X1146" s="96"/>
      <c r="Y1146" s="96"/>
    </row>
    <row r="1147" spans="2:25">
      <c r="B1147" s="374"/>
      <c r="C1147" s="374"/>
      <c r="D1147" s="374"/>
      <c r="E1147" s="374"/>
      <c r="F1147" s="374"/>
      <c r="G1147" s="374"/>
      <c r="H1147" s="374"/>
      <c r="I1147" s="374"/>
      <c r="J1147" s="374"/>
      <c r="K1147" s="374"/>
      <c r="L1147" s="374"/>
      <c r="M1147" s="374"/>
      <c r="N1147" s="374"/>
      <c r="O1147" s="374"/>
      <c r="P1147" s="374"/>
      <c r="Q1147" s="374"/>
      <c r="R1147" s="374"/>
      <c r="S1147" s="374"/>
      <c r="T1147" s="374"/>
      <c r="U1147" s="374"/>
      <c r="V1147" s="374"/>
      <c r="W1147" s="96"/>
      <c r="X1147" s="96"/>
      <c r="Y1147" s="96"/>
    </row>
    <row r="1148" spans="2:25">
      <c r="B1148" s="374"/>
      <c r="C1148" s="374"/>
      <c r="D1148" s="374"/>
      <c r="E1148" s="374"/>
      <c r="F1148" s="374"/>
      <c r="G1148" s="374"/>
      <c r="H1148" s="374"/>
      <c r="I1148" s="374"/>
      <c r="J1148" s="374"/>
      <c r="K1148" s="374"/>
      <c r="L1148" s="374"/>
      <c r="M1148" s="374"/>
      <c r="N1148" s="374"/>
      <c r="O1148" s="374"/>
      <c r="P1148" s="374"/>
      <c r="Q1148" s="374"/>
      <c r="R1148" s="374"/>
      <c r="S1148" s="374"/>
      <c r="T1148" s="374"/>
      <c r="U1148" s="374"/>
      <c r="V1148" s="374"/>
      <c r="W1148" s="96"/>
      <c r="X1148" s="96"/>
      <c r="Y1148" s="96"/>
    </row>
    <row r="1149" spans="2:25">
      <c r="B1149" s="374"/>
      <c r="C1149" s="374"/>
      <c r="D1149" s="374"/>
      <c r="E1149" s="374"/>
      <c r="F1149" s="374"/>
      <c r="G1149" s="374"/>
      <c r="H1149" s="374"/>
      <c r="I1149" s="374"/>
      <c r="J1149" s="374"/>
      <c r="K1149" s="374"/>
      <c r="L1149" s="374"/>
      <c r="M1149" s="374"/>
      <c r="N1149" s="374"/>
      <c r="O1149" s="374"/>
      <c r="P1149" s="374"/>
      <c r="Q1149" s="374"/>
      <c r="R1149" s="374"/>
      <c r="S1149" s="374"/>
      <c r="T1149" s="374"/>
      <c r="U1149" s="374"/>
      <c r="V1149" s="374"/>
      <c r="W1149" s="96"/>
      <c r="X1149" s="96"/>
      <c r="Y1149" s="96"/>
    </row>
    <row r="1150" spans="2:25">
      <c r="B1150" s="374"/>
      <c r="C1150" s="374"/>
      <c r="D1150" s="374"/>
      <c r="E1150" s="374"/>
      <c r="F1150" s="374"/>
      <c r="G1150" s="374"/>
      <c r="H1150" s="374"/>
      <c r="I1150" s="374"/>
      <c r="J1150" s="374"/>
      <c r="K1150" s="374"/>
      <c r="L1150" s="374"/>
      <c r="M1150" s="374"/>
      <c r="N1150" s="374"/>
      <c r="O1150" s="374"/>
      <c r="P1150" s="374"/>
      <c r="Q1150" s="374"/>
      <c r="R1150" s="374"/>
      <c r="S1150" s="374"/>
      <c r="T1150" s="374"/>
      <c r="U1150" s="374"/>
      <c r="V1150" s="374"/>
      <c r="W1150" s="96"/>
      <c r="X1150" s="96"/>
      <c r="Y1150" s="96"/>
    </row>
    <row r="1151" spans="2:25">
      <c r="B1151" s="374"/>
      <c r="C1151" s="374"/>
      <c r="D1151" s="374"/>
      <c r="E1151" s="374"/>
      <c r="F1151" s="374"/>
      <c r="G1151" s="374"/>
      <c r="H1151" s="374"/>
      <c r="I1151" s="374"/>
      <c r="J1151" s="374"/>
      <c r="K1151" s="374"/>
      <c r="L1151" s="374"/>
      <c r="M1151" s="374"/>
      <c r="N1151" s="374"/>
      <c r="O1151" s="374"/>
      <c r="P1151" s="374"/>
      <c r="Q1151" s="374"/>
      <c r="R1151" s="374"/>
      <c r="S1151" s="374"/>
      <c r="T1151" s="374"/>
      <c r="U1151" s="374"/>
      <c r="V1151" s="374"/>
      <c r="W1151" s="96"/>
      <c r="X1151" s="96"/>
      <c r="Y1151" s="96"/>
    </row>
    <row r="1152" spans="2:25">
      <c r="B1152" s="374"/>
      <c r="C1152" s="374"/>
      <c r="D1152" s="374"/>
      <c r="E1152" s="374"/>
      <c r="F1152" s="374"/>
      <c r="G1152" s="374"/>
      <c r="H1152" s="374"/>
      <c r="I1152" s="374"/>
      <c r="J1152" s="374"/>
      <c r="K1152" s="374"/>
      <c r="L1152" s="374"/>
      <c r="M1152" s="374"/>
      <c r="N1152" s="374"/>
      <c r="O1152" s="374"/>
      <c r="P1152" s="374"/>
      <c r="Q1152" s="374"/>
      <c r="R1152" s="374"/>
      <c r="S1152" s="374"/>
      <c r="T1152" s="374"/>
      <c r="U1152" s="374"/>
      <c r="V1152" s="374"/>
      <c r="W1152" s="96"/>
      <c r="X1152" s="96"/>
      <c r="Y1152" s="96"/>
    </row>
    <row r="1153" spans="2:25">
      <c r="B1153" s="374"/>
      <c r="C1153" s="374"/>
      <c r="D1153" s="374"/>
      <c r="E1153" s="374"/>
      <c r="F1153" s="374"/>
      <c r="G1153" s="374"/>
      <c r="H1153" s="374"/>
      <c r="I1153" s="374"/>
      <c r="J1153" s="374"/>
      <c r="K1153" s="374"/>
      <c r="L1153" s="374"/>
      <c r="M1153" s="374"/>
      <c r="N1153" s="374"/>
      <c r="O1153" s="374"/>
      <c r="P1153" s="374"/>
      <c r="Q1153" s="374"/>
      <c r="R1153" s="374"/>
      <c r="S1153" s="374"/>
      <c r="T1153" s="374"/>
      <c r="U1153" s="374"/>
      <c r="V1153" s="374"/>
      <c r="W1153" s="96"/>
      <c r="X1153" s="96"/>
      <c r="Y1153" s="96"/>
    </row>
    <row r="1154" spans="2:25">
      <c r="B1154" s="374"/>
      <c r="C1154" s="374"/>
      <c r="D1154" s="374"/>
      <c r="E1154" s="374"/>
      <c r="F1154" s="374"/>
      <c r="G1154" s="374"/>
      <c r="H1154" s="374"/>
      <c r="I1154" s="374"/>
      <c r="J1154" s="374"/>
      <c r="K1154" s="374"/>
      <c r="L1154" s="374"/>
      <c r="M1154" s="374"/>
      <c r="N1154" s="374"/>
      <c r="O1154" s="374"/>
      <c r="P1154" s="374"/>
      <c r="Q1154" s="374"/>
      <c r="R1154" s="374"/>
      <c r="S1154" s="374"/>
      <c r="T1154" s="374"/>
      <c r="U1154" s="374"/>
      <c r="V1154" s="374"/>
      <c r="W1154" s="96"/>
      <c r="X1154" s="96"/>
      <c r="Y1154" s="96"/>
    </row>
    <row r="1155" spans="2:25">
      <c r="B1155" s="374"/>
      <c r="C1155" s="374"/>
      <c r="D1155" s="374"/>
      <c r="E1155" s="374"/>
      <c r="F1155" s="374"/>
      <c r="G1155" s="374"/>
      <c r="H1155" s="374"/>
      <c r="I1155" s="374"/>
      <c r="J1155" s="374"/>
      <c r="K1155" s="374"/>
      <c r="L1155" s="374"/>
      <c r="M1155" s="374"/>
      <c r="N1155" s="374"/>
      <c r="O1155" s="374"/>
      <c r="P1155" s="374"/>
      <c r="Q1155" s="374"/>
      <c r="R1155" s="374"/>
      <c r="S1155" s="374"/>
      <c r="T1155" s="374"/>
      <c r="U1155" s="374"/>
      <c r="V1155" s="374"/>
      <c r="W1155" s="96"/>
      <c r="X1155" s="96"/>
      <c r="Y1155" s="96"/>
    </row>
    <row r="1156" spans="2:25">
      <c r="B1156" s="374"/>
      <c r="C1156" s="374"/>
      <c r="D1156" s="374"/>
      <c r="E1156" s="374"/>
      <c r="F1156" s="374"/>
      <c r="G1156" s="374"/>
      <c r="H1156" s="374"/>
      <c r="I1156" s="374"/>
      <c r="J1156" s="374"/>
      <c r="K1156" s="374"/>
      <c r="L1156" s="374"/>
      <c r="M1156" s="374"/>
      <c r="N1156" s="374"/>
      <c r="O1156" s="374"/>
      <c r="P1156" s="374"/>
      <c r="Q1156" s="374"/>
      <c r="R1156" s="374"/>
      <c r="S1156" s="374"/>
      <c r="T1156" s="374"/>
      <c r="U1156" s="374"/>
      <c r="V1156" s="374"/>
      <c r="W1156" s="96"/>
      <c r="X1156" s="96"/>
      <c r="Y1156" s="96"/>
    </row>
    <row r="1157" spans="2:25">
      <c r="B1157" s="374"/>
      <c r="C1157" s="374"/>
      <c r="D1157" s="374"/>
      <c r="E1157" s="374"/>
      <c r="F1157" s="374"/>
      <c r="G1157" s="374"/>
      <c r="H1157" s="374"/>
      <c r="I1157" s="374"/>
      <c r="J1157" s="374"/>
      <c r="K1157" s="374"/>
      <c r="L1157" s="374"/>
      <c r="M1157" s="374"/>
      <c r="N1157" s="374"/>
      <c r="O1157" s="374"/>
      <c r="P1157" s="374"/>
      <c r="Q1157" s="374"/>
      <c r="R1157" s="374"/>
      <c r="S1157" s="374"/>
      <c r="T1157" s="374"/>
      <c r="U1157" s="374"/>
      <c r="V1157" s="374"/>
      <c r="W1157" s="96"/>
      <c r="X1157" s="96"/>
      <c r="Y1157" s="96"/>
    </row>
    <row r="1158" spans="2:25">
      <c r="B1158" s="374"/>
      <c r="C1158" s="374"/>
      <c r="D1158" s="374"/>
      <c r="E1158" s="374"/>
      <c r="F1158" s="374"/>
      <c r="G1158" s="374"/>
      <c r="H1158" s="374"/>
      <c r="I1158" s="374"/>
      <c r="J1158" s="374"/>
      <c r="K1158" s="374"/>
      <c r="L1158" s="374"/>
      <c r="M1158" s="374"/>
      <c r="N1158" s="374"/>
      <c r="O1158" s="374"/>
      <c r="P1158" s="374"/>
      <c r="Q1158" s="374"/>
      <c r="R1158" s="374"/>
      <c r="S1158" s="374"/>
      <c r="T1158" s="374"/>
      <c r="U1158" s="374"/>
      <c r="V1158" s="374"/>
      <c r="W1158" s="96"/>
      <c r="X1158" s="96"/>
      <c r="Y1158" s="96"/>
    </row>
    <row r="1159" spans="2:25">
      <c r="B1159" s="374"/>
      <c r="C1159" s="374"/>
      <c r="D1159" s="374"/>
      <c r="E1159" s="374"/>
      <c r="F1159" s="374"/>
      <c r="G1159" s="374"/>
      <c r="H1159" s="374"/>
      <c r="I1159" s="374"/>
      <c r="J1159" s="374"/>
      <c r="K1159" s="374"/>
      <c r="L1159" s="374"/>
      <c r="M1159" s="374"/>
      <c r="N1159" s="374"/>
      <c r="O1159" s="374"/>
      <c r="P1159" s="374"/>
      <c r="Q1159" s="374"/>
      <c r="R1159" s="374"/>
      <c r="S1159" s="374"/>
      <c r="T1159" s="374"/>
      <c r="U1159" s="374"/>
      <c r="V1159" s="374"/>
      <c r="W1159" s="96"/>
      <c r="X1159" s="96"/>
      <c r="Y1159" s="96"/>
    </row>
    <row r="1160" spans="2:25">
      <c r="B1160" s="374"/>
      <c r="C1160" s="374"/>
      <c r="D1160" s="374"/>
      <c r="E1160" s="374"/>
      <c r="F1160" s="374"/>
      <c r="G1160" s="374"/>
      <c r="H1160" s="374"/>
      <c r="I1160" s="374"/>
      <c r="J1160" s="374"/>
      <c r="K1160" s="374"/>
      <c r="L1160" s="374"/>
      <c r="M1160" s="374"/>
      <c r="N1160" s="374"/>
      <c r="O1160" s="374"/>
      <c r="P1160" s="374"/>
      <c r="Q1160" s="374"/>
      <c r="R1160" s="374"/>
      <c r="S1160" s="374"/>
      <c r="T1160" s="374"/>
      <c r="U1160" s="374"/>
      <c r="V1160" s="374"/>
      <c r="W1160" s="96"/>
      <c r="X1160" s="96"/>
      <c r="Y1160" s="96"/>
    </row>
    <row r="1161" spans="2:25">
      <c r="B1161" s="374"/>
      <c r="C1161" s="374"/>
      <c r="D1161" s="374"/>
      <c r="E1161" s="374"/>
      <c r="F1161" s="374"/>
      <c r="G1161" s="374"/>
      <c r="H1161" s="374"/>
      <c r="I1161" s="374"/>
      <c r="J1161" s="374"/>
      <c r="K1161" s="374"/>
      <c r="L1161" s="374"/>
      <c r="M1161" s="374"/>
      <c r="N1161" s="374"/>
      <c r="O1161" s="374"/>
      <c r="P1161" s="374"/>
      <c r="Q1161" s="374"/>
      <c r="R1161" s="374"/>
      <c r="S1161" s="374"/>
      <c r="T1161" s="374"/>
      <c r="U1161" s="374"/>
      <c r="V1161" s="374"/>
      <c r="W1161" s="96"/>
      <c r="X1161" s="96"/>
      <c r="Y1161" s="96"/>
    </row>
    <row r="1162" spans="2:25">
      <c r="B1162" s="374"/>
      <c r="C1162" s="374"/>
      <c r="D1162" s="374"/>
      <c r="E1162" s="374"/>
      <c r="F1162" s="374"/>
      <c r="G1162" s="374"/>
      <c r="H1162" s="374"/>
      <c r="I1162" s="374"/>
      <c r="J1162" s="374"/>
      <c r="K1162" s="374"/>
      <c r="L1162" s="374"/>
      <c r="M1162" s="374"/>
      <c r="N1162" s="374"/>
      <c r="O1162" s="374"/>
      <c r="P1162" s="374"/>
      <c r="Q1162" s="374"/>
      <c r="R1162" s="374"/>
      <c r="S1162" s="374"/>
      <c r="T1162" s="374"/>
      <c r="U1162" s="374"/>
      <c r="V1162" s="374"/>
      <c r="W1162" s="96"/>
      <c r="X1162" s="96"/>
      <c r="Y1162" s="96"/>
    </row>
    <row r="1163" spans="2:25">
      <c r="B1163" s="374"/>
      <c r="C1163" s="374"/>
      <c r="D1163" s="374"/>
      <c r="E1163" s="374"/>
      <c r="F1163" s="374"/>
      <c r="G1163" s="374"/>
      <c r="H1163" s="374"/>
      <c r="I1163" s="374"/>
      <c r="J1163" s="374"/>
      <c r="K1163" s="374"/>
      <c r="L1163" s="374"/>
      <c r="M1163" s="374"/>
      <c r="N1163" s="374"/>
      <c r="O1163" s="374"/>
      <c r="P1163" s="374"/>
      <c r="Q1163" s="374"/>
      <c r="R1163" s="374"/>
      <c r="S1163" s="374"/>
      <c r="T1163" s="374"/>
      <c r="U1163" s="374"/>
      <c r="V1163" s="374"/>
      <c r="W1163" s="96"/>
      <c r="X1163" s="96"/>
      <c r="Y1163" s="96"/>
    </row>
    <row r="1164" spans="2:25">
      <c r="B1164" s="374"/>
      <c r="C1164" s="374"/>
      <c r="D1164" s="374"/>
      <c r="E1164" s="374"/>
      <c r="F1164" s="374"/>
      <c r="G1164" s="374"/>
      <c r="H1164" s="374"/>
      <c r="I1164" s="374"/>
      <c r="J1164" s="374"/>
      <c r="K1164" s="374"/>
      <c r="L1164" s="374"/>
      <c r="M1164" s="374"/>
      <c r="N1164" s="374"/>
      <c r="O1164" s="374"/>
      <c r="P1164" s="374"/>
      <c r="Q1164" s="374"/>
      <c r="R1164" s="374"/>
      <c r="S1164" s="374"/>
      <c r="T1164" s="374"/>
      <c r="U1164" s="374"/>
      <c r="V1164" s="374"/>
      <c r="W1164" s="96"/>
      <c r="X1164" s="96"/>
      <c r="Y1164" s="96"/>
    </row>
    <row r="1165" spans="2:25">
      <c r="B1165" s="374"/>
      <c r="C1165" s="374"/>
      <c r="D1165" s="374"/>
      <c r="E1165" s="374"/>
      <c r="F1165" s="374"/>
      <c r="G1165" s="374"/>
      <c r="H1165" s="374"/>
      <c r="I1165" s="374"/>
      <c r="J1165" s="374"/>
      <c r="K1165" s="374"/>
      <c r="L1165" s="374"/>
      <c r="M1165" s="374"/>
      <c r="N1165" s="374"/>
      <c r="O1165" s="374"/>
      <c r="P1165" s="374"/>
      <c r="Q1165" s="374"/>
      <c r="R1165" s="374"/>
      <c r="S1165" s="374"/>
      <c r="T1165" s="374"/>
      <c r="U1165" s="374"/>
      <c r="V1165" s="374"/>
      <c r="W1165" s="96"/>
      <c r="X1165" s="96"/>
      <c r="Y1165" s="96"/>
    </row>
    <row r="1166" spans="2:25">
      <c r="B1166" s="374"/>
      <c r="C1166" s="374"/>
      <c r="D1166" s="374"/>
      <c r="E1166" s="374"/>
      <c r="F1166" s="374"/>
      <c r="G1166" s="374"/>
      <c r="H1166" s="374"/>
      <c r="I1166" s="374"/>
      <c r="J1166" s="374"/>
      <c r="K1166" s="374"/>
      <c r="L1166" s="374"/>
      <c r="M1166" s="374"/>
      <c r="N1166" s="374"/>
      <c r="O1166" s="374"/>
      <c r="P1166" s="374"/>
      <c r="Q1166" s="374"/>
      <c r="R1166" s="374"/>
      <c r="S1166" s="374"/>
      <c r="T1166" s="374"/>
      <c r="U1166" s="374"/>
      <c r="V1166" s="374"/>
      <c r="W1166" s="96"/>
      <c r="X1166" s="96"/>
      <c r="Y1166" s="96"/>
    </row>
    <row r="1167" spans="2:25">
      <c r="B1167" s="374"/>
      <c r="C1167" s="374"/>
      <c r="D1167" s="374"/>
      <c r="E1167" s="374"/>
      <c r="F1167" s="374"/>
      <c r="G1167" s="374"/>
      <c r="H1167" s="374"/>
      <c r="I1167" s="374"/>
      <c r="J1167" s="374"/>
      <c r="K1167" s="374"/>
      <c r="L1167" s="374"/>
      <c r="M1167" s="374"/>
      <c r="N1167" s="374"/>
      <c r="O1167" s="374"/>
      <c r="P1167" s="374"/>
      <c r="Q1167" s="374"/>
      <c r="R1167" s="374"/>
      <c r="S1167" s="374"/>
      <c r="T1167" s="374"/>
      <c r="U1167" s="374"/>
      <c r="V1167" s="374"/>
      <c r="W1167" s="96"/>
      <c r="X1167" s="96"/>
      <c r="Y1167" s="96"/>
    </row>
    <row r="1168" spans="2:25">
      <c r="B1168" s="374"/>
      <c r="C1168" s="374"/>
      <c r="D1168" s="374"/>
      <c r="E1168" s="374"/>
      <c r="F1168" s="374"/>
      <c r="G1168" s="374"/>
      <c r="H1168" s="374"/>
      <c r="I1168" s="374"/>
      <c r="J1168" s="374"/>
      <c r="K1168" s="374"/>
      <c r="L1168" s="374"/>
      <c r="M1168" s="374"/>
      <c r="N1168" s="374"/>
      <c r="O1168" s="374"/>
      <c r="P1168" s="374"/>
      <c r="Q1168" s="374"/>
      <c r="R1168" s="374"/>
      <c r="S1168" s="374"/>
      <c r="T1168" s="374"/>
      <c r="U1168" s="374"/>
      <c r="V1168" s="374"/>
      <c r="W1168" s="96"/>
      <c r="X1168" s="96"/>
      <c r="Y1168" s="96"/>
    </row>
    <row r="1169" spans="2:25">
      <c r="B1169" s="374"/>
      <c r="C1169" s="374"/>
      <c r="D1169" s="374"/>
      <c r="E1169" s="374"/>
      <c r="F1169" s="374"/>
      <c r="G1169" s="374"/>
      <c r="H1169" s="374"/>
      <c r="I1169" s="374"/>
      <c r="J1169" s="374"/>
      <c r="K1169" s="374"/>
      <c r="L1169" s="374"/>
      <c r="M1169" s="374"/>
      <c r="N1169" s="374"/>
      <c r="O1169" s="374"/>
      <c r="P1169" s="374"/>
      <c r="Q1169" s="374"/>
      <c r="R1169" s="374"/>
      <c r="S1169" s="374"/>
      <c r="T1169" s="374"/>
      <c r="U1169" s="374"/>
      <c r="V1169" s="374"/>
      <c r="W1169" s="96"/>
      <c r="X1169" s="96"/>
      <c r="Y1169" s="96"/>
    </row>
    <row r="1170" spans="2:25">
      <c r="B1170" s="374"/>
      <c r="C1170" s="374"/>
      <c r="D1170" s="374"/>
      <c r="E1170" s="374"/>
      <c r="F1170" s="374"/>
      <c r="G1170" s="374"/>
      <c r="H1170" s="374"/>
      <c r="I1170" s="374"/>
      <c r="J1170" s="374"/>
      <c r="K1170" s="374"/>
      <c r="L1170" s="374"/>
      <c r="M1170" s="374"/>
      <c r="N1170" s="374"/>
      <c r="O1170" s="374"/>
      <c r="P1170" s="374"/>
      <c r="Q1170" s="374"/>
      <c r="R1170" s="374"/>
      <c r="S1170" s="374"/>
      <c r="T1170" s="374"/>
      <c r="U1170" s="374"/>
      <c r="V1170" s="374"/>
      <c r="W1170" s="96"/>
      <c r="X1170" s="96"/>
      <c r="Y1170" s="96"/>
    </row>
    <row r="1171" spans="2:25">
      <c r="B1171" s="374"/>
      <c r="C1171" s="374"/>
      <c r="D1171" s="374"/>
      <c r="E1171" s="374"/>
      <c r="F1171" s="374"/>
      <c r="G1171" s="374"/>
      <c r="H1171" s="374"/>
      <c r="I1171" s="374"/>
      <c r="J1171" s="374"/>
      <c r="K1171" s="374"/>
      <c r="L1171" s="374"/>
      <c r="M1171" s="374"/>
      <c r="N1171" s="374"/>
      <c r="O1171" s="374"/>
      <c r="P1171" s="374"/>
      <c r="Q1171" s="374"/>
      <c r="R1171" s="374"/>
      <c r="S1171" s="374"/>
      <c r="T1171" s="374"/>
      <c r="U1171" s="374"/>
      <c r="V1171" s="374"/>
      <c r="W1171" s="96"/>
      <c r="X1171" s="96"/>
      <c r="Y1171" s="96"/>
    </row>
    <row r="1172" spans="2:25">
      <c r="B1172" s="374"/>
      <c r="C1172" s="374"/>
      <c r="D1172" s="374"/>
      <c r="E1172" s="374"/>
      <c r="F1172" s="374"/>
      <c r="G1172" s="374"/>
      <c r="H1172" s="374"/>
      <c r="I1172" s="374"/>
      <c r="J1172" s="374"/>
      <c r="K1172" s="374"/>
      <c r="L1172" s="374"/>
      <c r="M1172" s="374"/>
      <c r="N1172" s="374"/>
      <c r="O1172" s="374"/>
      <c r="P1172" s="374"/>
      <c r="Q1172" s="374"/>
      <c r="R1172" s="374"/>
      <c r="S1172" s="374"/>
      <c r="T1172" s="374"/>
      <c r="U1172" s="374"/>
      <c r="V1172" s="374"/>
      <c r="W1172" s="96"/>
      <c r="X1172" s="96"/>
      <c r="Y1172" s="96"/>
    </row>
    <row r="1173" spans="2:25">
      <c r="B1173" s="374"/>
      <c r="C1173" s="374"/>
      <c r="D1173" s="374"/>
      <c r="E1173" s="374"/>
      <c r="F1173" s="374"/>
      <c r="G1173" s="374"/>
      <c r="H1173" s="374"/>
      <c r="I1173" s="374"/>
      <c r="J1173" s="374"/>
      <c r="K1173" s="374"/>
      <c r="L1173" s="374"/>
      <c r="M1173" s="374"/>
      <c r="N1173" s="374"/>
      <c r="O1173" s="374"/>
      <c r="P1173" s="374"/>
      <c r="Q1173" s="374"/>
      <c r="R1173" s="374"/>
      <c r="S1173" s="374"/>
      <c r="T1173" s="374"/>
      <c r="U1173" s="374"/>
      <c r="V1173" s="374"/>
      <c r="W1173" s="96"/>
      <c r="X1173" s="96"/>
      <c r="Y1173" s="96"/>
    </row>
    <row r="1174" spans="2:25">
      <c r="B1174" s="374"/>
      <c r="C1174" s="374"/>
      <c r="D1174" s="374"/>
      <c r="E1174" s="374"/>
      <c r="F1174" s="374"/>
      <c r="G1174" s="374"/>
      <c r="H1174" s="374"/>
      <c r="I1174" s="374"/>
      <c r="J1174" s="374"/>
      <c r="K1174" s="374"/>
      <c r="L1174" s="374"/>
      <c r="M1174" s="374"/>
      <c r="N1174" s="374"/>
      <c r="O1174" s="374"/>
      <c r="P1174" s="374"/>
      <c r="Q1174" s="374"/>
      <c r="R1174" s="374"/>
      <c r="S1174" s="374"/>
      <c r="T1174" s="374"/>
      <c r="U1174" s="374"/>
      <c r="V1174" s="374"/>
      <c r="W1174" s="96"/>
      <c r="X1174" s="96"/>
      <c r="Y1174" s="96"/>
    </row>
    <row r="1175" spans="2:25">
      <c r="B1175" s="374"/>
      <c r="C1175" s="374"/>
      <c r="D1175" s="374"/>
      <c r="E1175" s="374"/>
      <c r="F1175" s="374"/>
      <c r="G1175" s="374"/>
      <c r="H1175" s="374"/>
      <c r="I1175" s="374"/>
      <c r="J1175" s="374"/>
      <c r="K1175" s="374"/>
      <c r="L1175" s="374"/>
      <c r="M1175" s="374"/>
      <c r="N1175" s="374"/>
      <c r="O1175" s="374"/>
      <c r="P1175" s="374"/>
      <c r="Q1175" s="374"/>
      <c r="R1175" s="374"/>
      <c r="S1175" s="374"/>
      <c r="T1175" s="374"/>
      <c r="U1175" s="374"/>
      <c r="V1175" s="374"/>
      <c r="W1175" s="96"/>
      <c r="X1175" s="96"/>
      <c r="Y1175" s="96"/>
    </row>
    <row r="1176" spans="2:25">
      <c r="B1176" s="374"/>
      <c r="C1176" s="374"/>
      <c r="D1176" s="374"/>
      <c r="E1176" s="374"/>
      <c r="F1176" s="374"/>
      <c r="G1176" s="374"/>
      <c r="H1176" s="374"/>
      <c r="I1176" s="374"/>
      <c r="J1176" s="374"/>
      <c r="K1176" s="374"/>
      <c r="L1176" s="374"/>
      <c r="M1176" s="374"/>
      <c r="N1176" s="374"/>
      <c r="O1176" s="374"/>
      <c r="P1176" s="374"/>
      <c r="Q1176" s="374"/>
      <c r="R1176" s="374"/>
      <c r="S1176" s="374"/>
      <c r="T1176" s="374"/>
      <c r="U1176" s="374"/>
      <c r="V1176" s="374"/>
      <c r="W1176" s="96"/>
      <c r="X1176" s="96"/>
      <c r="Y1176" s="96"/>
    </row>
    <row r="1177" spans="2:25">
      <c r="B1177" s="374"/>
      <c r="C1177" s="374"/>
      <c r="D1177" s="374"/>
      <c r="E1177" s="374"/>
      <c r="F1177" s="374"/>
      <c r="G1177" s="374"/>
      <c r="H1177" s="374"/>
      <c r="I1177" s="374"/>
      <c r="J1177" s="374"/>
      <c r="K1177" s="374"/>
      <c r="L1177" s="374"/>
      <c r="M1177" s="374"/>
      <c r="N1177" s="374"/>
      <c r="O1177" s="374"/>
      <c r="P1177" s="374"/>
      <c r="Q1177" s="374"/>
      <c r="R1177" s="374"/>
      <c r="S1177" s="374"/>
      <c r="T1177" s="374"/>
      <c r="U1177" s="374"/>
      <c r="V1177" s="374"/>
      <c r="W1177" s="96"/>
      <c r="X1177" s="96"/>
      <c r="Y1177" s="96"/>
    </row>
    <row r="1178" spans="2:25">
      <c r="B1178" s="374"/>
      <c r="C1178" s="374"/>
      <c r="D1178" s="374"/>
      <c r="E1178" s="374"/>
      <c r="F1178" s="374"/>
      <c r="G1178" s="374"/>
      <c r="H1178" s="374"/>
      <c r="I1178" s="374"/>
      <c r="J1178" s="374"/>
      <c r="K1178" s="374"/>
      <c r="L1178" s="374"/>
      <c r="M1178" s="374"/>
      <c r="N1178" s="374"/>
      <c r="O1178" s="374"/>
      <c r="P1178" s="374"/>
      <c r="Q1178" s="374"/>
      <c r="R1178" s="374"/>
      <c r="S1178" s="374"/>
      <c r="T1178" s="374"/>
      <c r="U1178" s="374"/>
      <c r="V1178" s="374"/>
      <c r="W1178" s="96"/>
      <c r="X1178" s="96"/>
      <c r="Y1178" s="96"/>
    </row>
    <row r="1179" spans="2:25">
      <c r="B1179" s="374"/>
      <c r="C1179" s="374"/>
      <c r="D1179" s="374"/>
      <c r="E1179" s="374"/>
      <c r="F1179" s="374"/>
      <c r="G1179" s="374"/>
      <c r="H1179" s="374"/>
      <c r="I1179" s="374"/>
      <c r="J1179" s="374"/>
      <c r="K1179" s="374"/>
      <c r="L1179" s="374"/>
      <c r="M1179" s="374"/>
      <c r="N1179" s="374"/>
      <c r="O1179" s="374"/>
      <c r="P1179" s="374"/>
      <c r="Q1179" s="374"/>
      <c r="R1179" s="374"/>
      <c r="S1179" s="374"/>
      <c r="T1179" s="374"/>
      <c r="U1179" s="374"/>
      <c r="V1179" s="374"/>
      <c r="W1179" s="96"/>
      <c r="X1179" s="96"/>
      <c r="Y1179" s="96"/>
    </row>
    <row r="1180" spans="2:25">
      <c r="B1180" s="374"/>
      <c r="C1180" s="374"/>
      <c r="D1180" s="374"/>
      <c r="E1180" s="374"/>
      <c r="F1180" s="374"/>
      <c r="G1180" s="374"/>
      <c r="H1180" s="374"/>
      <c r="I1180" s="374"/>
      <c r="J1180" s="374"/>
      <c r="K1180" s="374"/>
      <c r="L1180" s="374"/>
      <c r="M1180" s="374"/>
      <c r="N1180" s="374"/>
      <c r="O1180" s="374"/>
      <c r="P1180" s="374"/>
      <c r="Q1180" s="374"/>
      <c r="R1180" s="374"/>
      <c r="S1180" s="374"/>
      <c r="T1180" s="374"/>
      <c r="U1180" s="374"/>
      <c r="V1180" s="374"/>
      <c r="W1180" s="96"/>
      <c r="X1180" s="96"/>
      <c r="Y1180" s="96"/>
    </row>
    <row r="1181" spans="2:25">
      <c r="B1181" s="374"/>
      <c r="C1181" s="374"/>
      <c r="D1181" s="374"/>
      <c r="E1181" s="374"/>
      <c r="F1181" s="374"/>
      <c r="G1181" s="374"/>
      <c r="H1181" s="374"/>
      <c r="I1181" s="374"/>
      <c r="J1181" s="374"/>
      <c r="K1181" s="374"/>
      <c r="L1181" s="374"/>
      <c r="M1181" s="374"/>
      <c r="N1181" s="374"/>
      <c r="O1181" s="374"/>
      <c r="P1181" s="374"/>
      <c r="Q1181" s="374"/>
      <c r="R1181" s="374"/>
      <c r="S1181" s="374"/>
      <c r="T1181" s="374"/>
      <c r="U1181" s="374"/>
      <c r="V1181" s="374"/>
      <c r="W1181" s="96"/>
      <c r="X1181" s="96"/>
      <c r="Y1181" s="96"/>
    </row>
    <row r="1182" spans="2:25">
      <c r="B1182" s="374"/>
      <c r="C1182" s="374"/>
      <c r="D1182" s="374"/>
      <c r="E1182" s="374"/>
      <c r="F1182" s="374"/>
      <c r="G1182" s="374"/>
      <c r="H1182" s="374"/>
      <c r="I1182" s="374"/>
      <c r="J1182" s="374"/>
      <c r="K1182" s="374"/>
      <c r="L1182" s="374"/>
      <c r="M1182" s="374"/>
      <c r="N1182" s="374"/>
      <c r="O1182" s="374"/>
      <c r="P1182" s="374"/>
      <c r="Q1182" s="374"/>
      <c r="R1182" s="374"/>
      <c r="S1182" s="374"/>
      <c r="T1182" s="374"/>
      <c r="U1182" s="374"/>
      <c r="V1182" s="374"/>
      <c r="W1182" s="96"/>
      <c r="X1182" s="96"/>
      <c r="Y1182" s="96"/>
    </row>
    <row r="1183" spans="2:25">
      <c r="B1183" s="374"/>
      <c r="C1183" s="374"/>
      <c r="D1183" s="374"/>
      <c r="E1183" s="374"/>
      <c r="F1183" s="374"/>
      <c r="G1183" s="374"/>
      <c r="H1183" s="374"/>
      <c r="I1183" s="374"/>
      <c r="J1183" s="374"/>
      <c r="K1183" s="374"/>
      <c r="L1183" s="374"/>
      <c r="M1183" s="374"/>
      <c r="N1183" s="374"/>
      <c r="O1183" s="374"/>
      <c r="P1183" s="374"/>
      <c r="Q1183" s="374"/>
      <c r="R1183" s="374"/>
      <c r="S1183" s="374"/>
      <c r="T1183" s="374"/>
      <c r="U1183" s="374"/>
      <c r="V1183" s="374"/>
      <c r="W1183" s="96"/>
      <c r="X1183" s="96"/>
      <c r="Y1183" s="96"/>
    </row>
    <row r="1184" spans="2:25">
      <c r="B1184" s="374"/>
      <c r="C1184" s="374"/>
      <c r="D1184" s="374"/>
      <c r="E1184" s="374"/>
      <c r="F1184" s="374"/>
      <c r="G1184" s="374"/>
      <c r="H1184" s="374"/>
      <c r="I1184" s="374"/>
      <c r="J1184" s="374"/>
      <c r="K1184" s="374"/>
      <c r="L1184" s="374"/>
      <c r="M1184" s="374"/>
      <c r="N1184" s="374"/>
      <c r="O1184" s="374"/>
      <c r="P1184" s="374"/>
      <c r="Q1184" s="374"/>
      <c r="R1184" s="374"/>
      <c r="S1184" s="374"/>
      <c r="T1184" s="374"/>
      <c r="U1184" s="374"/>
      <c r="V1184" s="374"/>
      <c r="W1184" s="96"/>
      <c r="X1184" s="96"/>
      <c r="Y1184" s="96"/>
    </row>
    <row r="1185" spans="2:25">
      <c r="B1185" s="374"/>
      <c r="C1185" s="374"/>
      <c r="D1185" s="374"/>
      <c r="E1185" s="374"/>
      <c r="F1185" s="374"/>
      <c r="G1185" s="374"/>
      <c r="H1185" s="374"/>
      <c r="I1185" s="374"/>
      <c r="J1185" s="374"/>
      <c r="K1185" s="374"/>
      <c r="L1185" s="374"/>
      <c r="M1185" s="374"/>
      <c r="N1185" s="374"/>
      <c r="O1185" s="374"/>
      <c r="P1185" s="374"/>
      <c r="Q1185" s="374"/>
      <c r="R1185" s="374"/>
      <c r="S1185" s="374"/>
      <c r="T1185" s="374"/>
      <c r="U1185" s="374"/>
      <c r="V1185" s="374"/>
      <c r="W1185" s="96"/>
      <c r="X1185" s="96"/>
      <c r="Y1185" s="96"/>
    </row>
    <row r="1186" spans="2:25">
      <c r="B1186" s="374"/>
      <c r="C1186" s="374"/>
      <c r="D1186" s="374"/>
      <c r="E1186" s="374"/>
      <c r="F1186" s="374"/>
      <c r="G1186" s="374"/>
      <c r="H1186" s="374"/>
      <c r="I1186" s="374"/>
      <c r="J1186" s="374"/>
      <c r="K1186" s="374"/>
      <c r="L1186" s="374"/>
      <c r="M1186" s="374"/>
      <c r="N1186" s="374"/>
      <c r="O1186" s="374"/>
      <c r="P1186" s="374"/>
      <c r="Q1186" s="374"/>
      <c r="R1186" s="374"/>
      <c r="S1186" s="374"/>
      <c r="T1186" s="374"/>
      <c r="U1186" s="374"/>
      <c r="V1186" s="374"/>
      <c r="W1186" s="96"/>
      <c r="X1186" s="96"/>
      <c r="Y1186" s="96"/>
    </row>
    <row r="1187" spans="2:25">
      <c r="B1187" s="374"/>
      <c r="C1187" s="374"/>
      <c r="D1187" s="374"/>
      <c r="E1187" s="374"/>
      <c r="F1187" s="374"/>
      <c r="G1187" s="374"/>
      <c r="H1187" s="374"/>
      <c r="I1187" s="374"/>
      <c r="J1187" s="374"/>
      <c r="K1187" s="374"/>
      <c r="L1187" s="374"/>
      <c r="M1187" s="374"/>
      <c r="N1187" s="374"/>
      <c r="O1187" s="374"/>
      <c r="P1187" s="374"/>
      <c r="Q1187" s="374"/>
      <c r="R1187" s="374"/>
      <c r="S1187" s="374"/>
      <c r="T1187" s="374"/>
      <c r="U1187" s="374"/>
      <c r="V1187" s="374"/>
      <c r="W1187" s="96"/>
      <c r="X1187" s="96"/>
      <c r="Y1187" s="96"/>
    </row>
    <row r="1188" spans="2:25">
      <c r="B1188" s="374"/>
      <c r="C1188" s="374"/>
      <c r="D1188" s="374"/>
      <c r="E1188" s="374"/>
      <c r="F1188" s="374"/>
      <c r="G1188" s="374"/>
      <c r="H1188" s="374"/>
      <c r="I1188" s="374"/>
      <c r="J1188" s="374"/>
      <c r="K1188" s="374"/>
      <c r="L1188" s="374"/>
      <c r="M1188" s="374"/>
      <c r="N1188" s="374"/>
      <c r="O1188" s="374"/>
      <c r="P1188" s="374"/>
      <c r="Q1188" s="374"/>
      <c r="R1188" s="374"/>
      <c r="S1188" s="374"/>
      <c r="T1188" s="374"/>
      <c r="U1188" s="374"/>
      <c r="V1188" s="374"/>
      <c r="W1188" s="96"/>
      <c r="X1188" s="96"/>
      <c r="Y1188" s="96"/>
    </row>
    <row r="1189" spans="2:25">
      <c r="B1189" s="374"/>
      <c r="C1189" s="374"/>
      <c r="D1189" s="374"/>
      <c r="E1189" s="374"/>
      <c r="F1189" s="374"/>
      <c r="G1189" s="374"/>
      <c r="H1189" s="374"/>
      <c r="I1189" s="374"/>
      <c r="J1189" s="374"/>
      <c r="K1189" s="374"/>
      <c r="L1189" s="374"/>
      <c r="M1189" s="374"/>
      <c r="N1189" s="374"/>
      <c r="O1189" s="374"/>
      <c r="P1189" s="374"/>
      <c r="Q1189" s="374"/>
      <c r="R1189" s="374"/>
      <c r="S1189" s="374"/>
      <c r="T1189" s="374"/>
      <c r="U1189" s="374"/>
      <c r="V1189" s="374"/>
      <c r="W1189" s="96"/>
      <c r="X1189" s="96"/>
      <c r="Y1189" s="96"/>
    </row>
    <row r="1190" spans="2:25">
      <c r="B1190" s="374"/>
      <c r="C1190" s="374"/>
      <c r="D1190" s="374"/>
      <c r="E1190" s="374"/>
      <c r="F1190" s="374"/>
      <c r="G1190" s="374"/>
      <c r="H1190" s="374"/>
      <c r="I1190" s="374"/>
      <c r="J1190" s="374"/>
      <c r="K1190" s="374"/>
      <c r="L1190" s="374"/>
      <c r="M1190" s="374"/>
      <c r="N1190" s="374"/>
      <c r="O1190" s="374"/>
      <c r="P1190" s="374"/>
      <c r="Q1190" s="374"/>
      <c r="R1190" s="374"/>
      <c r="S1190" s="374"/>
      <c r="T1190" s="374"/>
      <c r="U1190" s="374"/>
      <c r="V1190" s="374"/>
      <c r="W1190" s="96"/>
      <c r="X1190" s="96"/>
      <c r="Y1190" s="96"/>
    </row>
    <row r="1191" spans="2:25">
      <c r="B1191" s="374"/>
      <c r="C1191" s="374"/>
      <c r="D1191" s="374"/>
      <c r="E1191" s="374"/>
      <c r="F1191" s="374"/>
      <c r="G1191" s="374"/>
      <c r="H1191" s="374"/>
      <c r="I1191" s="374"/>
      <c r="J1191" s="374"/>
      <c r="K1191" s="374"/>
      <c r="L1191" s="374"/>
      <c r="M1191" s="374"/>
      <c r="N1191" s="374"/>
      <c r="O1191" s="374"/>
      <c r="P1191" s="374"/>
      <c r="Q1191" s="374"/>
      <c r="R1191" s="374"/>
      <c r="S1191" s="374"/>
      <c r="T1191" s="374"/>
      <c r="U1191" s="374"/>
      <c r="V1191" s="374"/>
      <c r="W1191" s="96"/>
      <c r="X1191" s="96"/>
      <c r="Y1191" s="96"/>
    </row>
    <row r="1192" spans="2:25">
      <c r="B1192" s="374"/>
      <c r="C1192" s="374"/>
      <c r="D1192" s="374"/>
      <c r="E1192" s="374"/>
      <c r="F1192" s="374"/>
      <c r="G1192" s="374"/>
      <c r="H1192" s="374"/>
      <c r="I1192" s="374"/>
      <c r="J1192" s="374"/>
      <c r="K1192" s="374"/>
      <c r="L1192" s="374"/>
      <c r="M1192" s="374"/>
      <c r="N1192" s="374"/>
      <c r="O1192" s="374"/>
      <c r="P1192" s="374"/>
      <c r="Q1192" s="374"/>
      <c r="R1192" s="374"/>
      <c r="S1192" s="374"/>
      <c r="T1192" s="374"/>
      <c r="U1192" s="374"/>
      <c r="V1192" s="374"/>
      <c r="W1192" s="96"/>
      <c r="X1192" s="96"/>
      <c r="Y1192" s="96"/>
    </row>
    <row r="1193" spans="2:25">
      <c r="B1193" s="374"/>
      <c r="C1193" s="374"/>
      <c r="D1193" s="374"/>
      <c r="E1193" s="374"/>
      <c r="F1193" s="374"/>
      <c r="G1193" s="374"/>
      <c r="H1193" s="374"/>
      <c r="I1193" s="374"/>
      <c r="J1193" s="374"/>
      <c r="K1193" s="374"/>
      <c r="L1193" s="374"/>
      <c r="M1193" s="374"/>
      <c r="N1193" s="374"/>
      <c r="O1193" s="374"/>
      <c r="P1193" s="374"/>
      <c r="Q1193" s="374"/>
      <c r="R1193" s="374"/>
      <c r="S1193" s="374"/>
      <c r="T1193" s="374"/>
      <c r="U1193" s="374"/>
      <c r="V1193" s="374"/>
      <c r="W1193" s="96"/>
      <c r="X1193" s="96"/>
      <c r="Y1193" s="96"/>
    </row>
    <row r="1194" spans="2:25">
      <c r="B1194" s="374"/>
      <c r="C1194" s="374"/>
      <c r="D1194" s="374"/>
      <c r="E1194" s="374"/>
      <c r="F1194" s="374"/>
      <c r="G1194" s="374"/>
      <c r="H1194" s="374"/>
      <c r="I1194" s="374"/>
      <c r="J1194" s="374"/>
      <c r="K1194" s="374"/>
      <c r="L1194" s="374"/>
      <c r="M1194" s="374"/>
      <c r="N1194" s="374"/>
      <c r="O1194" s="374"/>
      <c r="P1194" s="374"/>
      <c r="Q1194" s="374"/>
      <c r="R1194" s="374"/>
      <c r="S1194" s="374"/>
      <c r="T1194" s="374"/>
      <c r="U1194" s="374"/>
      <c r="V1194" s="374"/>
      <c r="W1194" s="96"/>
      <c r="X1194" s="96"/>
      <c r="Y1194" s="96"/>
    </row>
    <row r="1195" spans="2:25">
      <c r="B1195" s="374"/>
      <c r="C1195" s="374"/>
      <c r="D1195" s="374"/>
      <c r="E1195" s="374"/>
      <c r="F1195" s="374"/>
      <c r="G1195" s="374"/>
      <c r="H1195" s="374"/>
      <c r="I1195" s="374"/>
      <c r="J1195" s="374"/>
      <c r="K1195" s="374"/>
      <c r="L1195" s="374"/>
      <c r="M1195" s="374"/>
      <c r="N1195" s="374"/>
      <c r="O1195" s="374"/>
      <c r="P1195" s="374"/>
      <c r="Q1195" s="374"/>
      <c r="R1195" s="374"/>
      <c r="S1195" s="374"/>
      <c r="T1195" s="374"/>
      <c r="U1195" s="374"/>
      <c r="V1195" s="374"/>
      <c r="W1195" s="96"/>
      <c r="X1195" s="96"/>
      <c r="Y1195" s="96"/>
    </row>
    <row r="1196" spans="2:25">
      <c r="B1196" s="374"/>
      <c r="C1196" s="374"/>
      <c r="D1196" s="374"/>
      <c r="E1196" s="374"/>
      <c r="F1196" s="374"/>
      <c r="G1196" s="374"/>
      <c r="H1196" s="374"/>
      <c r="I1196" s="374"/>
      <c r="J1196" s="374"/>
      <c r="K1196" s="374"/>
      <c r="L1196" s="374"/>
      <c r="M1196" s="374"/>
      <c r="N1196" s="374"/>
      <c r="O1196" s="374"/>
      <c r="P1196" s="374"/>
      <c r="Q1196" s="374"/>
      <c r="R1196" s="374"/>
      <c r="S1196" s="374"/>
      <c r="T1196" s="374"/>
      <c r="U1196" s="374"/>
      <c r="V1196" s="374"/>
      <c r="W1196" s="96"/>
      <c r="X1196" s="96"/>
      <c r="Y1196" s="96"/>
    </row>
    <row r="1197" spans="2:25">
      <c r="B1197" s="374"/>
      <c r="C1197" s="374"/>
      <c r="D1197" s="374"/>
      <c r="E1197" s="374"/>
      <c r="F1197" s="374"/>
      <c r="G1197" s="374"/>
      <c r="H1197" s="374"/>
      <c r="I1197" s="374"/>
      <c r="J1197" s="374"/>
      <c r="K1197" s="374"/>
      <c r="L1197" s="374"/>
      <c r="M1197" s="374"/>
      <c r="N1197" s="374"/>
      <c r="O1197" s="374"/>
      <c r="P1197" s="374"/>
      <c r="Q1197" s="374"/>
      <c r="R1197" s="374"/>
      <c r="S1197" s="374"/>
      <c r="T1197" s="374"/>
      <c r="U1197" s="374"/>
      <c r="V1197" s="374"/>
      <c r="W1197" s="96"/>
      <c r="X1197" s="96"/>
      <c r="Y1197" s="96"/>
    </row>
    <row r="1198" spans="2:25">
      <c r="B1198" s="374"/>
      <c r="C1198" s="374"/>
      <c r="D1198" s="374"/>
      <c r="E1198" s="374"/>
      <c r="F1198" s="374"/>
      <c r="G1198" s="374"/>
      <c r="H1198" s="374"/>
      <c r="I1198" s="374"/>
      <c r="J1198" s="374"/>
      <c r="K1198" s="374"/>
      <c r="L1198" s="374"/>
      <c r="M1198" s="374"/>
      <c r="N1198" s="374"/>
      <c r="O1198" s="374"/>
      <c r="P1198" s="374"/>
      <c r="Q1198" s="374"/>
      <c r="R1198" s="374"/>
      <c r="S1198" s="374"/>
      <c r="T1198" s="374"/>
      <c r="U1198" s="374"/>
      <c r="V1198" s="374"/>
      <c r="W1198" s="96"/>
      <c r="X1198" s="96"/>
      <c r="Y1198" s="96"/>
    </row>
    <row r="1199" spans="2:25">
      <c r="B1199" s="374"/>
      <c r="C1199" s="374"/>
      <c r="D1199" s="374"/>
      <c r="E1199" s="374"/>
      <c r="F1199" s="374"/>
      <c r="G1199" s="374"/>
      <c r="H1199" s="374"/>
      <c r="I1199" s="374"/>
      <c r="J1199" s="374"/>
      <c r="K1199" s="374"/>
      <c r="L1199" s="374"/>
      <c r="M1199" s="374"/>
      <c r="N1199" s="374"/>
      <c r="O1199" s="374"/>
      <c r="P1199" s="374"/>
      <c r="Q1199" s="374"/>
      <c r="R1199" s="374"/>
      <c r="S1199" s="374"/>
      <c r="T1199" s="374"/>
      <c r="U1199" s="374"/>
      <c r="V1199" s="374"/>
      <c r="W1199" s="96"/>
      <c r="X1199" s="96"/>
      <c r="Y1199" s="96"/>
    </row>
    <row r="1200" spans="2:25">
      <c r="B1200" s="374"/>
      <c r="C1200" s="374"/>
      <c r="D1200" s="374"/>
      <c r="E1200" s="374"/>
      <c r="F1200" s="374"/>
      <c r="G1200" s="374"/>
      <c r="H1200" s="374"/>
      <c r="I1200" s="374"/>
      <c r="J1200" s="374"/>
      <c r="K1200" s="374"/>
      <c r="L1200" s="374"/>
      <c r="M1200" s="374"/>
      <c r="N1200" s="374"/>
      <c r="O1200" s="374"/>
      <c r="P1200" s="374"/>
      <c r="Q1200" s="374"/>
      <c r="R1200" s="374"/>
      <c r="S1200" s="374"/>
      <c r="T1200" s="374"/>
      <c r="U1200" s="374"/>
      <c r="V1200" s="374"/>
      <c r="W1200" s="96"/>
      <c r="X1200" s="96"/>
      <c r="Y1200" s="96"/>
    </row>
    <row r="1201" spans="2:25">
      <c r="B1201" s="374"/>
      <c r="C1201" s="374"/>
      <c r="D1201" s="374"/>
      <c r="E1201" s="374"/>
      <c r="F1201" s="374"/>
      <c r="G1201" s="374"/>
      <c r="H1201" s="374"/>
      <c r="I1201" s="374"/>
      <c r="J1201" s="374"/>
      <c r="K1201" s="374"/>
      <c r="L1201" s="374"/>
      <c r="M1201" s="374"/>
      <c r="N1201" s="374"/>
      <c r="O1201" s="374"/>
      <c r="P1201" s="374"/>
      <c r="Q1201" s="374"/>
      <c r="R1201" s="374"/>
      <c r="S1201" s="374"/>
      <c r="T1201" s="374"/>
      <c r="U1201" s="374"/>
      <c r="V1201" s="374"/>
      <c r="W1201" s="96"/>
      <c r="X1201" s="96"/>
      <c r="Y1201" s="96"/>
    </row>
    <row r="1202" spans="2:25">
      <c r="B1202" s="374"/>
      <c r="C1202" s="374"/>
      <c r="D1202" s="374"/>
      <c r="E1202" s="374"/>
      <c r="F1202" s="374"/>
      <c r="G1202" s="374"/>
      <c r="H1202" s="374"/>
      <c r="I1202" s="374"/>
      <c r="J1202" s="374"/>
      <c r="K1202" s="374"/>
      <c r="L1202" s="374"/>
      <c r="M1202" s="374"/>
      <c r="N1202" s="374"/>
      <c r="O1202" s="374"/>
      <c r="P1202" s="374"/>
      <c r="Q1202" s="374"/>
      <c r="R1202" s="374"/>
      <c r="S1202" s="374"/>
      <c r="T1202" s="374"/>
      <c r="U1202" s="374"/>
      <c r="V1202" s="374"/>
      <c r="W1202" s="96"/>
      <c r="X1202" s="96"/>
      <c r="Y1202" s="96"/>
    </row>
    <row r="1203" spans="2:25">
      <c r="B1203" s="374"/>
      <c r="C1203" s="374"/>
      <c r="D1203" s="374"/>
      <c r="E1203" s="374"/>
      <c r="F1203" s="374"/>
      <c r="G1203" s="374"/>
      <c r="H1203" s="374"/>
      <c r="I1203" s="374"/>
      <c r="J1203" s="374"/>
      <c r="K1203" s="374"/>
      <c r="L1203" s="374"/>
      <c r="M1203" s="374"/>
      <c r="N1203" s="374"/>
      <c r="O1203" s="374"/>
      <c r="P1203" s="374"/>
      <c r="Q1203" s="374"/>
      <c r="R1203" s="374"/>
      <c r="S1203" s="374"/>
      <c r="T1203" s="374"/>
      <c r="U1203" s="374"/>
      <c r="V1203" s="374"/>
      <c r="W1203" s="96"/>
      <c r="X1203" s="96"/>
      <c r="Y1203" s="96"/>
    </row>
    <row r="1204" spans="2:25">
      <c r="B1204" s="374"/>
      <c r="C1204" s="374"/>
      <c r="D1204" s="374"/>
      <c r="E1204" s="374"/>
      <c r="F1204" s="374"/>
      <c r="G1204" s="374"/>
      <c r="H1204" s="374"/>
      <c r="I1204" s="374"/>
      <c r="J1204" s="374"/>
      <c r="K1204" s="374"/>
      <c r="L1204" s="374"/>
      <c r="M1204" s="374"/>
      <c r="N1204" s="374"/>
      <c r="O1204" s="374"/>
      <c r="P1204" s="374"/>
      <c r="Q1204" s="374"/>
      <c r="R1204" s="374"/>
      <c r="S1204" s="374"/>
      <c r="T1204" s="374"/>
      <c r="U1204" s="374"/>
      <c r="V1204" s="374"/>
      <c r="W1204" s="96"/>
      <c r="X1204" s="96"/>
      <c r="Y1204" s="96"/>
    </row>
    <row r="1205" spans="2:25">
      <c r="B1205" s="374"/>
      <c r="C1205" s="374"/>
      <c r="D1205" s="374"/>
      <c r="E1205" s="374"/>
      <c r="F1205" s="374"/>
      <c r="G1205" s="374"/>
      <c r="H1205" s="374"/>
      <c r="I1205" s="374"/>
      <c r="J1205" s="374"/>
      <c r="K1205" s="374"/>
      <c r="L1205" s="374"/>
      <c r="M1205" s="374"/>
      <c r="N1205" s="374"/>
      <c r="O1205" s="374"/>
      <c r="P1205" s="374"/>
      <c r="Q1205" s="374"/>
      <c r="R1205" s="374"/>
      <c r="S1205" s="374"/>
      <c r="T1205" s="374"/>
      <c r="U1205" s="374"/>
      <c r="V1205" s="374"/>
      <c r="W1205" s="96"/>
      <c r="X1205" s="96"/>
      <c r="Y1205" s="96"/>
    </row>
    <row r="1206" spans="2:25">
      <c r="B1206" s="374"/>
      <c r="C1206" s="374"/>
      <c r="D1206" s="374"/>
      <c r="E1206" s="374"/>
      <c r="F1206" s="374"/>
      <c r="G1206" s="374"/>
      <c r="H1206" s="374"/>
      <c r="I1206" s="374"/>
      <c r="J1206" s="374"/>
      <c r="K1206" s="374"/>
      <c r="L1206" s="374"/>
      <c r="M1206" s="374"/>
      <c r="N1206" s="374"/>
      <c r="O1206" s="374"/>
      <c r="P1206" s="374"/>
      <c r="Q1206" s="374"/>
      <c r="R1206" s="374"/>
      <c r="S1206" s="374"/>
      <c r="T1206" s="374"/>
      <c r="U1206" s="374"/>
      <c r="V1206" s="374"/>
      <c r="W1206" s="96"/>
      <c r="X1206" s="96"/>
      <c r="Y1206" s="96"/>
    </row>
    <row r="1207" spans="2:25">
      <c r="B1207" s="374"/>
      <c r="C1207" s="374"/>
      <c r="D1207" s="374"/>
      <c r="E1207" s="374"/>
      <c r="F1207" s="374"/>
      <c r="G1207" s="374"/>
      <c r="H1207" s="374"/>
      <c r="I1207" s="374"/>
      <c r="J1207" s="374"/>
      <c r="K1207" s="374"/>
      <c r="L1207" s="374"/>
      <c r="M1207" s="374"/>
      <c r="N1207" s="374"/>
      <c r="O1207" s="374"/>
      <c r="P1207" s="374"/>
      <c r="Q1207" s="374"/>
      <c r="R1207" s="374"/>
      <c r="S1207" s="374"/>
      <c r="T1207" s="374"/>
      <c r="U1207" s="374"/>
      <c r="V1207" s="374"/>
      <c r="W1207" s="96"/>
      <c r="X1207" s="96"/>
      <c r="Y1207" s="96"/>
    </row>
    <row r="1208" spans="2:25">
      <c r="B1208" s="374"/>
      <c r="C1208" s="374"/>
      <c r="D1208" s="374"/>
      <c r="E1208" s="374"/>
      <c r="F1208" s="374"/>
      <c r="G1208" s="374"/>
      <c r="H1208" s="374"/>
      <c r="I1208" s="374"/>
      <c r="J1208" s="374"/>
      <c r="K1208" s="374"/>
      <c r="L1208" s="374"/>
      <c r="M1208" s="374"/>
      <c r="N1208" s="374"/>
      <c r="O1208" s="374"/>
      <c r="P1208" s="374"/>
      <c r="Q1208" s="374"/>
      <c r="R1208" s="374"/>
      <c r="S1208" s="374"/>
      <c r="T1208" s="374"/>
      <c r="U1208" s="374"/>
      <c r="V1208" s="374"/>
      <c r="W1208" s="96"/>
      <c r="X1208" s="96"/>
      <c r="Y1208" s="96"/>
    </row>
    <row r="1209" spans="2:25">
      <c r="B1209" s="374"/>
      <c r="C1209" s="374"/>
      <c r="D1209" s="374"/>
      <c r="E1209" s="374"/>
      <c r="F1209" s="374"/>
      <c r="G1209" s="374"/>
      <c r="H1209" s="374"/>
      <c r="I1209" s="374"/>
      <c r="J1209" s="374"/>
      <c r="K1209" s="374"/>
      <c r="L1209" s="374"/>
      <c r="M1209" s="374"/>
      <c r="N1209" s="374"/>
      <c r="O1209" s="374"/>
      <c r="P1209" s="374"/>
      <c r="Q1209" s="374"/>
      <c r="R1209" s="374"/>
      <c r="S1209" s="374"/>
      <c r="T1209" s="374"/>
      <c r="U1209" s="374"/>
      <c r="V1209" s="374"/>
      <c r="W1209" s="96"/>
      <c r="X1209" s="96"/>
      <c r="Y1209" s="96"/>
    </row>
    <row r="1210" spans="2:25">
      <c r="B1210" s="374"/>
      <c r="C1210" s="374"/>
      <c r="D1210" s="374"/>
      <c r="E1210" s="374"/>
      <c r="F1210" s="374"/>
      <c r="G1210" s="374"/>
      <c r="H1210" s="374"/>
      <c r="I1210" s="374"/>
      <c r="J1210" s="374"/>
      <c r="K1210" s="374"/>
      <c r="L1210" s="374"/>
      <c r="M1210" s="374"/>
      <c r="N1210" s="374"/>
      <c r="O1210" s="374"/>
      <c r="P1210" s="374"/>
      <c r="Q1210" s="374"/>
      <c r="R1210" s="374"/>
      <c r="S1210" s="374"/>
      <c r="T1210" s="374"/>
      <c r="U1210" s="374"/>
      <c r="V1210" s="374"/>
      <c r="W1210" s="96"/>
      <c r="X1210" s="96"/>
      <c r="Y1210" s="96"/>
    </row>
    <row r="1211" spans="2:25">
      <c r="B1211" s="374"/>
      <c r="C1211" s="374"/>
      <c r="D1211" s="374"/>
      <c r="E1211" s="374"/>
      <c r="F1211" s="374"/>
      <c r="G1211" s="374"/>
      <c r="H1211" s="374"/>
      <c r="I1211" s="374"/>
      <c r="J1211" s="374"/>
      <c r="K1211" s="374"/>
      <c r="L1211" s="374"/>
      <c r="M1211" s="374"/>
      <c r="N1211" s="374"/>
      <c r="O1211" s="374"/>
      <c r="P1211" s="374"/>
      <c r="Q1211" s="374"/>
      <c r="R1211" s="374"/>
      <c r="S1211" s="374"/>
      <c r="T1211" s="374"/>
      <c r="U1211" s="374"/>
      <c r="V1211" s="374"/>
      <c r="W1211" s="96"/>
      <c r="X1211" s="96"/>
      <c r="Y1211" s="96"/>
    </row>
    <row r="1212" spans="2:25">
      <c r="B1212" s="374"/>
      <c r="C1212" s="374"/>
      <c r="D1212" s="374"/>
      <c r="E1212" s="374"/>
      <c r="F1212" s="374"/>
      <c r="G1212" s="374"/>
      <c r="H1212" s="374"/>
      <c r="I1212" s="374"/>
      <c r="J1212" s="374"/>
      <c r="K1212" s="374"/>
      <c r="L1212" s="374"/>
      <c r="M1212" s="374"/>
      <c r="N1212" s="374"/>
      <c r="O1212" s="374"/>
      <c r="P1212" s="374"/>
      <c r="Q1212" s="374"/>
      <c r="R1212" s="374"/>
      <c r="S1212" s="374"/>
      <c r="T1212" s="374"/>
      <c r="U1212" s="374"/>
      <c r="V1212" s="374"/>
      <c r="W1212" s="96"/>
      <c r="X1212" s="96"/>
      <c r="Y1212" s="96"/>
    </row>
    <row r="1213" spans="2:25">
      <c r="B1213" s="374"/>
      <c r="C1213" s="374"/>
      <c r="D1213" s="374"/>
      <c r="E1213" s="374"/>
      <c r="F1213" s="374"/>
      <c r="G1213" s="374"/>
      <c r="H1213" s="374"/>
      <c r="I1213" s="374"/>
      <c r="J1213" s="374"/>
      <c r="K1213" s="374"/>
      <c r="L1213" s="374"/>
      <c r="M1213" s="374"/>
      <c r="N1213" s="374"/>
      <c r="O1213" s="374"/>
      <c r="P1213" s="374"/>
      <c r="Q1213" s="374"/>
      <c r="R1213" s="374"/>
      <c r="S1213" s="374"/>
      <c r="T1213" s="374"/>
      <c r="U1213" s="374"/>
      <c r="V1213" s="374"/>
      <c r="W1213" s="96"/>
      <c r="X1213" s="96"/>
      <c r="Y1213" s="96"/>
    </row>
    <row r="1214" spans="2:25">
      <c r="B1214" s="374"/>
      <c r="C1214" s="374"/>
      <c r="D1214" s="374"/>
      <c r="E1214" s="374"/>
      <c r="F1214" s="374"/>
      <c r="G1214" s="374"/>
      <c r="H1214" s="374"/>
      <c r="I1214" s="374"/>
      <c r="J1214" s="374"/>
      <c r="K1214" s="374"/>
      <c r="L1214" s="374"/>
      <c r="M1214" s="374"/>
      <c r="N1214" s="374"/>
      <c r="O1214" s="374"/>
      <c r="P1214" s="374"/>
      <c r="Q1214" s="374"/>
      <c r="R1214" s="374"/>
      <c r="S1214" s="374"/>
      <c r="T1214" s="374"/>
      <c r="U1214" s="374"/>
      <c r="V1214" s="374"/>
      <c r="W1214" s="96"/>
      <c r="X1214" s="96"/>
      <c r="Y1214" s="96"/>
    </row>
    <row r="1215" spans="2:25">
      <c r="B1215" s="374"/>
      <c r="C1215" s="374"/>
      <c r="D1215" s="374"/>
      <c r="E1215" s="374"/>
      <c r="F1215" s="374"/>
      <c r="G1215" s="374"/>
      <c r="H1215" s="374"/>
      <c r="I1215" s="374"/>
      <c r="J1215" s="374"/>
      <c r="K1215" s="374"/>
      <c r="L1215" s="374"/>
      <c r="M1215" s="374"/>
      <c r="N1215" s="374"/>
      <c r="O1215" s="374"/>
      <c r="P1215" s="374"/>
      <c r="Q1215" s="374"/>
      <c r="R1215" s="374"/>
      <c r="S1215" s="374"/>
      <c r="T1215" s="374"/>
      <c r="U1215" s="374"/>
      <c r="V1215" s="374"/>
      <c r="W1215" s="96"/>
      <c r="X1215" s="96"/>
      <c r="Y1215" s="96"/>
    </row>
    <row r="1216" spans="2:25">
      <c r="B1216" s="374"/>
      <c r="C1216" s="374"/>
      <c r="D1216" s="374"/>
      <c r="E1216" s="374"/>
      <c r="F1216" s="374"/>
      <c r="G1216" s="374"/>
      <c r="H1216" s="374"/>
      <c r="I1216" s="374"/>
      <c r="J1216" s="374"/>
      <c r="K1216" s="374"/>
      <c r="L1216" s="374"/>
      <c r="M1216" s="374"/>
      <c r="N1216" s="374"/>
      <c r="O1216" s="374"/>
      <c r="P1216" s="374"/>
      <c r="Q1216" s="374"/>
      <c r="R1216" s="374"/>
      <c r="S1216" s="374"/>
      <c r="T1216" s="374"/>
      <c r="U1216" s="374"/>
      <c r="V1216" s="374"/>
      <c r="W1216" s="96"/>
      <c r="X1216" s="96"/>
      <c r="Y1216" s="96"/>
    </row>
    <row r="1217" spans="2:25">
      <c r="B1217" s="374"/>
      <c r="C1217" s="374"/>
      <c r="D1217" s="374"/>
      <c r="E1217" s="374"/>
      <c r="F1217" s="374"/>
      <c r="G1217" s="374"/>
      <c r="H1217" s="374"/>
      <c r="I1217" s="374"/>
      <c r="J1217" s="374"/>
      <c r="K1217" s="374"/>
      <c r="L1217" s="374"/>
      <c r="M1217" s="374"/>
      <c r="N1217" s="374"/>
      <c r="O1217" s="374"/>
      <c r="P1217" s="374"/>
      <c r="Q1217" s="374"/>
      <c r="R1217" s="374"/>
      <c r="S1217" s="374"/>
      <c r="T1217" s="374"/>
      <c r="U1217" s="374"/>
      <c r="V1217" s="374"/>
      <c r="W1217" s="96"/>
      <c r="X1217" s="96"/>
      <c r="Y1217" s="96"/>
    </row>
    <row r="1218" spans="2:25">
      <c r="B1218" s="374"/>
      <c r="C1218" s="374"/>
      <c r="D1218" s="374"/>
      <c r="E1218" s="374"/>
      <c r="F1218" s="374"/>
      <c r="G1218" s="374"/>
      <c r="H1218" s="374"/>
      <c r="I1218" s="374"/>
      <c r="J1218" s="374"/>
      <c r="K1218" s="374"/>
      <c r="L1218" s="374"/>
      <c r="M1218" s="374"/>
      <c r="N1218" s="374"/>
      <c r="O1218" s="374"/>
      <c r="P1218" s="374"/>
      <c r="Q1218" s="374"/>
      <c r="R1218" s="374"/>
      <c r="S1218" s="374"/>
      <c r="T1218" s="374"/>
      <c r="U1218" s="374"/>
      <c r="V1218" s="374"/>
      <c r="W1218" s="96"/>
      <c r="X1218" s="96"/>
      <c r="Y1218" s="96"/>
    </row>
    <row r="1219" spans="2:25">
      <c r="B1219" s="374"/>
      <c r="C1219" s="374"/>
      <c r="D1219" s="374"/>
      <c r="E1219" s="374"/>
      <c r="F1219" s="374"/>
      <c r="G1219" s="374"/>
      <c r="H1219" s="374"/>
      <c r="I1219" s="374"/>
      <c r="J1219" s="374"/>
      <c r="K1219" s="374"/>
      <c r="L1219" s="374"/>
      <c r="M1219" s="374"/>
      <c r="N1219" s="374"/>
      <c r="O1219" s="374"/>
      <c r="P1219" s="374"/>
      <c r="Q1219" s="374"/>
      <c r="R1219" s="374"/>
      <c r="S1219" s="374"/>
      <c r="T1219" s="374"/>
      <c r="U1219" s="374"/>
      <c r="V1219" s="374"/>
      <c r="W1219" s="96"/>
      <c r="X1219" s="96"/>
      <c r="Y1219" s="96"/>
    </row>
    <row r="1220" spans="2:25">
      <c r="B1220" s="374"/>
      <c r="C1220" s="374"/>
      <c r="D1220" s="374"/>
      <c r="E1220" s="374"/>
      <c r="F1220" s="374"/>
      <c r="G1220" s="374"/>
      <c r="H1220" s="374"/>
      <c r="I1220" s="374"/>
      <c r="J1220" s="374"/>
      <c r="K1220" s="374"/>
      <c r="L1220" s="374"/>
      <c r="M1220" s="374"/>
      <c r="N1220" s="374"/>
      <c r="O1220" s="374"/>
      <c r="P1220" s="374"/>
      <c r="Q1220" s="374"/>
      <c r="R1220" s="374"/>
      <c r="S1220" s="374"/>
      <c r="T1220" s="374"/>
      <c r="U1220" s="374"/>
      <c r="V1220" s="374"/>
      <c r="W1220" s="96"/>
      <c r="X1220" s="96"/>
      <c r="Y1220" s="96"/>
    </row>
    <row r="1221" spans="2:25">
      <c r="B1221" s="374"/>
      <c r="C1221" s="374"/>
      <c r="D1221" s="374"/>
      <c r="E1221" s="374"/>
      <c r="F1221" s="374"/>
      <c r="G1221" s="374"/>
      <c r="H1221" s="374"/>
      <c r="I1221" s="374"/>
      <c r="J1221" s="374"/>
      <c r="K1221" s="374"/>
      <c r="L1221" s="374"/>
      <c r="M1221" s="374"/>
      <c r="N1221" s="374"/>
      <c r="O1221" s="374"/>
      <c r="P1221" s="374"/>
      <c r="Q1221" s="374"/>
      <c r="R1221" s="374"/>
      <c r="S1221" s="374"/>
      <c r="T1221" s="374"/>
      <c r="U1221" s="374"/>
      <c r="V1221" s="374"/>
      <c r="W1221" s="96"/>
      <c r="X1221" s="96"/>
      <c r="Y1221" s="96"/>
    </row>
    <row r="1222" spans="2:25">
      <c r="B1222" s="374"/>
      <c r="C1222" s="374"/>
      <c r="D1222" s="374"/>
      <c r="E1222" s="374"/>
      <c r="F1222" s="374"/>
      <c r="G1222" s="374"/>
      <c r="H1222" s="374"/>
      <c r="I1222" s="374"/>
      <c r="J1222" s="374"/>
      <c r="K1222" s="374"/>
      <c r="L1222" s="374"/>
      <c r="M1222" s="374"/>
      <c r="N1222" s="374"/>
      <c r="O1222" s="374"/>
      <c r="P1222" s="374"/>
      <c r="Q1222" s="374"/>
      <c r="R1222" s="374"/>
      <c r="S1222" s="374"/>
      <c r="T1222" s="374"/>
      <c r="U1222" s="374"/>
      <c r="V1222" s="374"/>
      <c r="W1222" s="96"/>
      <c r="X1222" s="96"/>
      <c r="Y1222" s="96"/>
    </row>
    <row r="1223" spans="2:25">
      <c r="B1223" s="374"/>
      <c r="C1223" s="374"/>
      <c r="D1223" s="374"/>
      <c r="E1223" s="374"/>
      <c r="F1223" s="374"/>
      <c r="G1223" s="374"/>
      <c r="H1223" s="374"/>
      <c r="I1223" s="374"/>
      <c r="J1223" s="374"/>
      <c r="K1223" s="374"/>
      <c r="L1223" s="374"/>
      <c r="M1223" s="374"/>
      <c r="N1223" s="374"/>
      <c r="O1223" s="374"/>
      <c r="P1223" s="374"/>
      <c r="Q1223" s="374"/>
      <c r="R1223" s="374"/>
      <c r="S1223" s="374"/>
      <c r="T1223" s="374"/>
      <c r="U1223" s="374"/>
      <c r="V1223" s="374"/>
      <c r="W1223" s="96"/>
      <c r="X1223" s="96"/>
      <c r="Y1223" s="96"/>
    </row>
    <row r="1224" spans="2:25">
      <c r="B1224" s="374"/>
      <c r="C1224" s="374"/>
      <c r="D1224" s="374"/>
      <c r="E1224" s="374"/>
      <c r="F1224" s="374"/>
      <c r="G1224" s="374"/>
      <c r="H1224" s="374"/>
      <c r="I1224" s="374"/>
      <c r="J1224" s="374"/>
      <c r="K1224" s="374"/>
      <c r="L1224" s="374"/>
      <c r="M1224" s="374"/>
      <c r="N1224" s="374"/>
      <c r="O1224" s="374"/>
      <c r="P1224" s="374"/>
      <c r="Q1224" s="374"/>
      <c r="R1224" s="374"/>
      <c r="S1224" s="374"/>
      <c r="T1224" s="374"/>
      <c r="U1224" s="374"/>
      <c r="V1224" s="374"/>
      <c r="W1224" s="96"/>
      <c r="X1224" s="96"/>
      <c r="Y1224" s="96"/>
    </row>
    <row r="1225" spans="2:25">
      <c r="B1225" s="374"/>
      <c r="C1225" s="374"/>
      <c r="D1225" s="374"/>
      <c r="E1225" s="374"/>
      <c r="F1225" s="374"/>
      <c r="G1225" s="374"/>
      <c r="H1225" s="374"/>
      <c r="I1225" s="374"/>
      <c r="J1225" s="374"/>
      <c r="K1225" s="374"/>
      <c r="L1225" s="374"/>
      <c r="M1225" s="374"/>
      <c r="N1225" s="374"/>
      <c r="O1225" s="374"/>
      <c r="P1225" s="374"/>
      <c r="Q1225" s="374"/>
      <c r="R1225" s="374"/>
      <c r="S1225" s="374"/>
      <c r="T1225" s="374"/>
      <c r="U1225" s="374"/>
      <c r="V1225" s="374"/>
      <c r="W1225" s="96"/>
      <c r="X1225" s="96"/>
      <c r="Y1225" s="96"/>
    </row>
    <row r="1226" spans="2:25">
      <c r="B1226" s="374"/>
      <c r="C1226" s="374"/>
      <c r="D1226" s="374"/>
      <c r="E1226" s="374"/>
      <c r="F1226" s="374"/>
      <c r="G1226" s="374"/>
      <c r="H1226" s="374"/>
      <c r="I1226" s="374"/>
      <c r="J1226" s="374"/>
      <c r="K1226" s="374"/>
      <c r="L1226" s="374"/>
      <c r="M1226" s="374"/>
      <c r="N1226" s="374"/>
      <c r="O1226" s="374"/>
      <c r="P1226" s="374"/>
      <c r="Q1226" s="374"/>
      <c r="R1226" s="374"/>
      <c r="S1226" s="374"/>
      <c r="T1226" s="374"/>
      <c r="U1226" s="374"/>
      <c r="V1226" s="374"/>
      <c r="W1226" s="96"/>
      <c r="X1226" s="96"/>
      <c r="Y1226" s="96"/>
    </row>
    <row r="1227" spans="2:25">
      <c r="B1227" s="374"/>
      <c r="C1227" s="374"/>
      <c r="D1227" s="374"/>
      <c r="E1227" s="374"/>
      <c r="F1227" s="374"/>
      <c r="G1227" s="374"/>
      <c r="H1227" s="374"/>
      <c r="I1227" s="374"/>
      <c r="J1227" s="374"/>
      <c r="K1227" s="374"/>
      <c r="L1227" s="374"/>
      <c r="M1227" s="374"/>
      <c r="N1227" s="374"/>
      <c r="O1227" s="374"/>
      <c r="P1227" s="374"/>
      <c r="Q1227" s="374"/>
      <c r="R1227" s="374"/>
      <c r="S1227" s="374"/>
      <c r="T1227" s="374"/>
      <c r="U1227" s="374"/>
      <c r="V1227" s="374"/>
      <c r="W1227" s="96"/>
      <c r="X1227" s="96"/>
      <c r="Y1227" s="96"/>
    </row>
    <row r="1228" spans="2:25">
      <c r="B1228" s="374"/>
      <c r="C1228" s="374"/>
      <c r="D1228" s="374"/>
      <c r="E1228" s="374"/>
      <c r="F1228" s="374"/>
      <c r="G1228" s="374"/>
      <c r="H1228" s="374"/>
      <c r="I1228" s="374"/>
      <c r="J1228" s="374"/>
      <c r="K1228" s="374"/>
      <c r="L1228" s="374"/>
      <c r="M1228" s="374"/>
      <c r="N1228" s="374"/>
      <c r="O1228" s="374"/>
      <c r="P1228" s="374"/>
      <c r="Q1228" s="374"/>
      <c r="R1228" s="374"/>
      <c r="S1228" s="374"/>
      <c r="T1228" s="374"/>
      <c r="U1228" s="374"/>
      <c r="V1228" s="374"/>
      <c r="W1228" s="96"/>
      <c r="X1228" s="96"/>
      <c r="Y1228" s="96"/>
    </row>
    <row r="1229" spans="2:25">
      <c r="B1229" s="374"/>
      <c r="C1229" s="374"/>
      <c r="D1229" s="374"/>
      <c r="E1229" s="374"/>
      <c r="F1229" s="374"/>
      <c r="G1229" s="374"/>
      <c r="H1229" s="374"/>
      <c r="I1229" s="374"/>
      <c r="J1229" s="374"/>
      <c r="K1229" s="374"/>
      <c r="L1229" s="374"/>
      <c r="M1229" s="374"/>
      <c r="N1229" s="374"/>
      <c r="O1229" s="374"/>
      <c r="P1229" s="374"/>
      <c r="Q1229" s="374"/>
      <c r="R1229" s="374"/>
      <c r="S1229" s="374"/>
      <c r="T1229" s="374"/>
      <c r="U1229" s="374"/>
      <c r="V1229" s="374"/>
      <c r="W1229" s="96"/>
      <c r="X1229" s="96"/>
      <c r="Y1229" s="96"/>
    </row>
    <row r="1230" spans="2:25">
      <c r="B1230" s="374"/>
      <c r="C1230" s="374"/>
      <c r="D1230" s="374"/>
      <c r="E1230" s="374"/>
      <c r="F1230" s="374"/>
      <c r="G1230" s="374"/>
      <c r="H1230" s="374"/>
      <c r="I1230" s="374"/>
      <c r="J1230" s="374"/>
      <c r="K1230" s="374"/>
      <c r="L1230" s="374"/>
      <c r="M1230" s="374"/>
      <c r="N1230" s="374"/>
      <c r="O1230" s="374"/>
      <c r="P1230" s="374"/>
      <c r="Q1230" s="374"/>
      <c r="R1230" s="374"/>
      <c r="S1230" s="374"/>
      <c r="T1230" s="374"/>
      <c r="U1230" s="374"/>
      <c r="V1230" s="374"/>
      <c r="W1230" s="96"/>
      <c r="X1230" s="96"/>
      <c r="Y1230" s="96"/>
    </row>
    <row r="1231" spans="2:25">
      <c r="B1231" s="374"/>
      <c r="C1231" s="374"/>
      <c r="D1231" s="374"/>
      <c r="E1231" s="374"/>
      <c r="F1231" s="374"/>
      <c r="G1231" s="374"/>
      <c r="H1231" s="374"/>
      <c r="I1231" s="374"/>
      <c r="J1231" s="374"/>
      <c r="K1231" s="374"/>
      <c r="L1231" s="374"/>
      <c r="M1231" s="374"/>
      <c r="N1231" s="374"/>
      <c r="O1231" s="374"/>
      <c r="P1231" s="374"/>
      <c r="Q1231" s="374"/>
      <c r="R1231" s="374"/>
      <c r="S1231" s="374"/>
      <c r="T1231" s="374"/>
      <c r="U1231" s="374"/>
      <c r="V1231" s="374"/>
      <c r="W1231" s="96"/>
      <c r="X1231" s="96"/>
      <c r="Y1231"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80415-CE87-4A9B-B0A4-897DDE6E88E9}">
  <dimension ref="A1:H567"/>
  <sheetViews>
    <sheetView workbookViewId="0">
      <pane ySplit="1" topLeftCell="A104" activePane="bottomLeft" state="frozen"/>
      <selection pane="bottomLeft" activeCell="F109" sqref="F109"/>
    </sheetView>
  </sheetViews>
  <sheetFormatPr defaultRowHeight="15"/>
  <cols>
    <col min="1" max="1" width="9.140625" style="411"/>
    <col min="2" max="2" width="7.28515625" style="411" customWidth="1"/>
    <col min="3" max="3" width="9.140625" style="411"/>
    <col min="4" max="4" width="10.42578125" style="411" bestFit="1" customWidth="1"/>
    <col min="5" max="5" width="48" style="430" customWidth="1"/>
    <col min="6" max="6" width="4.5703125" style="430" bestFit="1" customWidth="1"/>
    <col min="7" max="7" width="48" style="411" customWidth="1"/>
    <col min="8" max="8" width="58.7109375" hidden="1" customWidth="1"/>
  </cols>
  <sheetData>
    <row r="1" spans="1:8" ht="22.5">
      <c r="A1" s="411">
        <v>1</v>
      </c>
      <c r="B1" s="412" t="s">
        <v>1</v>
      </c>
      <c r="C1" s="431" t="s">
        <v>3061</v>
      </c>
      <c r="D1" s="417" t="s">
        <v>6</v>
      </c>
      <c r="E1" s="413" t="s">
        <v>18</v>
      </c>
      <c r="F1" s="413" t="s">
        <v>3520</v>
      </c>
      <c r="G1" s="432" t="s">
        <v>20</v>
      </c>
      <c r="H1" s="36" t="s">
        <v>32</v>
      </c>
    </row>
    <row r="2" spans="1:8" ht="45">
      <c r="A2" s="411">
        <v>2</v>
      </c>
      <c r="B2" s="412">
        <v>1</v>
      </c>
      <c r="C2" s="412" t="s">
        <v>55</v>
      </c>
      <c r="D2" s="412" t="s">
        <v>56</v>
      </c>
      <c r="E2" s="413" t="s">
        <v>118</v>
      </c>
      <c r="F2" s="433" t="str">
        <f>HYPERLINK(H2,"Link")</f>
        <v>Link</v>
      </c>
      <c r="G2" s="412" t="s">
        <v>119</v>
      </c>
      <c r="H2" s="410" t="s">
        <v>58</v>
      </c>
    </row>
    <row r="3" spans="1:8" ht="56.25">
      <c r="A3" s="411">
        <v>3</v>
      </c>
      <c r="B3" s="412">
        <v>2</v>
      </c>
      <c r="C3" s="412" t="s">
        <v>55</v>
      </c>
      <c r="D3" s="412" t="s">
        <v>56</v>
      </c>
      <c r="E3" s="413" t="s">
        <v>128</v>
      </c>
      <c r="F3" s="433" t="str">
        <f t="shared" ref="F3:F66" si="0">HYPERLINK(H3,"Link")</f>
        <v>Link</v>
      </c>
      <c r="G3" s="412" t="s">
        <v>2749</v>
      </c>
      <c r="H3" s="410" t="s">
        <v>65</v>
      </c>
    </row>
    <row r="4" spans="1:8" ht="33.75">
      <c r="A4" s="411">
        <v>4</v>
      </c>
      <c r="B4" s="412">
        <v>3</v>
      </c>
      <c r="C4" s="412" t="s">
        <v>55</v>
      </c>
      <c r="D4" s="412" t="s">
        <v>56</v>
      </c>
      <c r="E4" s="413" t="s">
        <v>134</v>
      </c>
      <c r="F4" s="433" t="str">
        <f t="shared" si="0"/>
        <v>Link</v>
      </c>
      <c r="G4" s="412" t="s">
        <v>135</v>
      </c>
      <c r="H4" s="410" t="s">
        <v>70</v>
      </c>
    </row>
    <row r="5" spans="1:8">
      <c r="A5" s="411">
        <v>5</v>
      </c>
      <c r="B5" s="412">
        <v>4</v>
      </c>
      <c r="C5" s="412" t="s">
        <v>55</v>
      </c>
      <c r="D5" s="412" t="s">
        <v>142</v>
      </c>
      <c r="E5" s="413" t="s">
        <v>145</v>
      </c>
      <c r="F5" s="433" t="str">
        <f t="shared" si="0"/>
        <v>Link</v>
      </c>
      <c r="G5" s="412"/>
      <c r="H5" s="410" t="s">
        <v>74</v>
      </c>
    </row>
    <row r="6" spans="1:8">
      <c r="A6" s="411">
        <v>6</v>
      </c>
      <c r="B6" s="412">
        <v>5</v>
      </c>
      <c r="C6" s="412" t="s">
        <v>55</v>
      </c>
      <c r="D6" s="412" t="s">
        <v>142</v>
      </c>
      <c r="E6" s="413" t="s">
        <v>154</v>
      </c>
      <c r="F6" s="433" t="str">
        <f t="shared" si="0"/>
        <v>Link</v>
      </c>
      <c r="G6" s="412" t="s">
        <v>154</v>
      </c>
      <c r="H6" s="410" t="s">
        <v>79</v>
      </c>
    </row>
    <row r="7" spans="1:8">
      <c r="A7" s="411">
        <v>7</v>
      </c>
      <c r="B7" s="412">
        <v>6</v>
      </c>
      <c r="C7" s="412" t="s">
        <v>55</v>
      </c>
      <c r="D7" s="412" t="s">
        <v>142</v>
      </c>
      <c r="E7" s="414" t="s">
        <v>159</v>
      </c>
      <c r="F7" s="433" t="str">
        <f t="shared" si="0"/>
        <v>Link</v>
      </c>
      <c r="G7" s="412"/>
      <c r="H7" s="410" t="s">
        <v>84</v>
      </c>
    </row>
    <row r="8" spans="1:8" ht="22.5">
      <c r="A8" s="411">
        <v>8</v>
      </c>
      <c r="B8" s="412">
        <v>7</v>
      </c>
      <c r="C8" s="412" t="s">
        <v>55</v>
      </c>
      <c r="D8" s="412" t="s">
        <v>56</v>
      </c>
      <c r="E8" s="413" t="s">
        <v>165</v>
      </c>
      <c r="F8" s="433" t="str">
        <f t="shared" si="0"/>
        <v>Link</v>
      </c>
      <c r="G8" s="412"/>
      <c r="H8" s="410" t="s">
        <v>90</v>
      </c>
    </row>
    <row r="9" spans="1:8" ht="45">
      <c r="A9" s="411">
        <v>9</v>
      </c>
      <c r="B9" s="412">
        <v>8</v>
      </c>
      <c r="C9" s="412" t="s">
        <v>55</v>
      </c>
      <c r="D9" s="412" t="s">
        <v>56</v>
      </c>
      <c r="E9" s="413" t="s">
        <v>168</v>
      </c>
      <c r="F9" s="433" t="str">
        <f t="shared" si="0"/>
        <v>Link</v>
      </c>
      <c r="G9" s="412" t="s">
        <v>2753</v>
      </c>
      <c r="H9" s="410" t="s">
        <v>96</v>
      </c>
    </row>
    <row r="10" spans="1:8">
      <c r="A10" s="411">
        <v>10</v>
      </c>
      <c r="B10" s="412">
        <v>8.01</v>
      </c>
      <c r="C10" s="412" t="s">
        <v>55</v>
      </c>
      <c r="D10" s="412" t="s">
        <v>56</v>
      </c>
      <c r="E10" s="413" t="s">
        <v>175</v>
      </c>
      <c r="F10" s="433" t="str">
        <f t="shared" si="0"/>
        <v>Link</v>
      </c>
      <c r="G10" s="412"/>
      <c r="H10" s="410" t="s">
        <v>3062</v>
      </c>
    </row>
    <row r="11" spans="1:8" ht="22.5">
      <c r="A11" s="411">
        <v>11</v>
      </c>
      <c r="B11" s="412">
        <v>9</v>
      </c>
      <c r="C11" s="412" t="s">
        <v>55</v>
      </c>
      <c r="D11" s="412" t="s">
        <v>56</v>
      </c>
      <c r="E11" s="413" t="s">
        <v>182</v>
      </c>
      <c r="F11" s="433" t="str">
        <f t="shared" si="0"/>
        <v>Link</v>
      </c>
      <c r="G11" s="412" t="s">
        <v>183</v>
      </c>
      <c r="H11" s="410" t="s">
        <v>100</v>
      </c>
    </row>
    <row r="12" spans="1:8">
      <c r="A12" s="411">
        <v>12</v>
      </c>
      <c r="B12" s="412">
        <v>10</v>
      </c>
      <c r="C12" s="412" t="s">
        <v>55</v>
      </c>
      <c r="D12" s="412" t="s">
        <v>56</v>
      </c>
      <c r="E12" s="413" t="s">
        <v>189</v>
      </c>
      <c r="F12" s="433" t="str">
        <f t="shared" si="0"/>
        <v>Link</v>
      </c>
      <c r="G12" s="412" t="s">
        <v>190</v>
      </c>
      <c r="H12" s="410" t="s">
        <v>105</v>
      </c>
    </row>
    <row r="13" spans="1:8">
      <c r="A13" s="411">
        <v>13</v>
      </c>
      <c r="B13" s="412">
        <v>10.01</v>
      </c>
      <c r="C13" s="412" t="s">
        <v>55</v>
      </c>
      <c r="D13" s="412" t="s">
        <v>56</v>
      </c>
      <c r="E13" s="413" t="s">
        <v>195</v>
      </c>
      <c r="F13" s="433" t="str">
        <f t="shared" si="0"/>
        <v>Link</v>
      </c>
      <c r="G13" s="412"/>
      <c r="H13" s="410" t="s">
        <v>3063</v>
      </c>
    </row>
    <row r="14" spans="1:8" ht="22.5">
      <c r="A14" s="411">
        <v>14</v>
      </c>
      <c r="B14" s="412">
        <v>11</v>
      </c>
      <c r="C14" s="412" t="s">
        <v>55</v>
      </c>
      <c r="D14" s="412" t="s">
        <v>56</v>
      </c>
      <c r="E14" s="413" t="s">
        <v>2781</v>
      </c>
      <c r="F14" s="433" t="str">
        <f t="shared" si="0"/>
        <v>Link</v>
      </c>
      <c r="G14" s="412" t="s">
        <v>2782</v>
      </c>
      <c r="H14" s="410" t="s">
        <v>109</v>
      </c>
    </row>
    <row r="15" spans="1:8">
      <c r="A15" s="411">
        <v>15</v>
      </c>
      <c r="B15" s="412">
        <v>12</v>
      </c>
      <c r="C15" s="412" t="s">
        <v>55</v>
      </c>
      <c r="D15" s="412" t="s">
        <v>56</v>
      </c>
      <c r="E15" s="413" t="s">
        <v>207</v>
      </c>
      <c r="F15" s="433" t="str">
        <f t="shared" si="0"/>
        <v>Link</v>
      </c>
      <c r="G15" s="412" t="s">
        <v>208</v>
      </c>
      <c r="H15" s="410" t="s">
        <v>112</v>
      </c>
    </row>
    <row r="16" spans="1:8">
      <c r="A16" s="411">
        <v>16</v>
      </c>
      <c r="B16" s="412">
        <v>13</v>
      </c>
      <c r="C16" s="412" t="s">
        <v>55</v>
      </c>
      <c r="D16" s="412" t="s">
        <v>56</v>
      </c>
      <c r="E16" s="413" t="s">
        <v>213</v>
      </c>
      <c r="F16" s="433" t="str">
        <f t="shared" si="0"/>
        <v>Link</v>
      </c>
      <c r="G16" s="412" t="s">
        <v>214</v>
      </c>
      <c r="H16" s="410" t="s">
        <v>116</v>
      </c>
    </row>
    <row r="17" spans="1:8">
      <c r="A17" s="411">
        <v>17</v>
      </c>
      <c r="B17" s="412">
        <v>14</v>
      </c>
      <c r="C17" s="412" t="s">
        <v>55</v>
      </c>
      <c r="D17" s="412" t="s">
        <v>56</v>
      </c>
      <c r="E17" s="413" t="s">
        <v>218</v>
      </c>
      <c r="F17" s="433" t="str">
        <f t="shared" si="0"/>
        <v>Link</v>
      </c>
      <c r="G17" s="412"/>
      <c r="H17" s="410" t="s">
        <v>122</v>
      </c>
    </row>
    <row r="18" spans="1:8">
      <c r="A18" s="411">
        <v>18</v>
      </c>
      <c r="B18" s="412">
        <v>15</v>
      </c>
      <c r="C18" s="412" t="s">
        <v>55</v>
      </c>
      <c r="D18" s="412" t="s">
        <v>56</v>
      </c>
      <c r="E18" s="413" t="s">
        <v>223</v>
      </c>
      <c r="F18" s="433" t="str">
        <f t="shared" si="0"/>
        <v>Link</v>
      </c>
      <c r="G18" s="412"/>
      <c r="H18" s="410" t="s">
        <v>126</v>
      </c>
    </row>
    <row r="19" spans="1:8" ht="90">
      <c r="A19" s="411">
        <v>19</v>
      </c>
      <c r="B19" s="412">
        <v>16</v>
      </c>
      <c r="C19" s="412" t="s">
        <v>55</v>
      </c>
      <c r="D19" s="412" t="s">
        <v>56</v>
      </c>
      <c r="E19" s="413" t="s">
        <v>227</v>
      </c>
      <c r="F19" s="433" t="str">
        <f t="shared" si="0"/>
        <v>Link</v>
      </c>
      <c r="G19" s="412" t="s">
        <v>228</v>
      </c>
      <c r="H19" s="410" t="s">
        <v>130</v>
      </c>
    </row>
    <row r="20" spans="1:8">
      <c r="A20" s="411">
        <v>20</v>
      </c>
      <c r="B20" s="412">
        <v>20</v>
      </c>
      <c r="C20" s="412" t="s">
        <v>155</v>
      </c>
      <c r="D20" s="412" t="s">
        <v>56</v>
      </c>
      <c r="E20" s="415" t="s">
        <v>158</v>
      </c>
      <c r="F20" s="433" t="str">
        <f t="shared" si="0"/>
        <v>Link</v>
      </c>
      <c r="G20" s="412"/>
      <c r="H20" s="410" t="s">
        <v>157</v>
      </c>
    </row>
    <row r="21" spans="1:8" ht="22.5">
      <c r="A21" s="411">
        <v>21</v>
      </c>
      <c r="B21" s="412">
        <v>20.010000000000002</v>
      </c>
      <c r="C21" s="412" t="s">
        <v>155</v>
      </c>
      <c r="D21" s="412" t="s">
        <v>56</v>
      </c>
      <c r="E21" s="413" t="s">
        <v>723</v>
      </c>
      <c r="F21" s="433" t="str">
        <f t="shared" si="0"/>
        <v>Link</v>
      </c>
      <c r="G21" s="412" t="s">
        <v>724</v>
      </c>
      <c r="H21" s="410" t="s">
        <v>3064</v>
      </c>
    </row>
    <row r="22" spans="1:8" ht="22.5">
      <c r="A22" s="411">
        <v>22</v>
      </c>
      <c r="B22" s="412">
        <v>20.02</v>
      </c>
      <c r="C22" s="412" t="s">
        <v>155</v>
      </c>
      <c r="D22" s="412" t="s">
        <v>56</v>
      </c>
      <c r="E22" s="413" t="s">
        <v>731</v>
      </c>
      <c r="F22" s="433" t="str">
        <f t="shared" si="0"/>
        <v>Link</v>
      </c>
      <c r="G22" s="412" t="s">
        <v>732</v>
      </c>
      <c r="H22" s="410" t="s">
        <v>3065</v>
      </c>
    </row>
    <row r="23" spans="1:8" ht="22.5">
      <c r="A23" s="411">
        <v>23</v>
      </c>
      <c r="B23" s="412">
        <v>20.03</v>
      </c>
      <c r="C23" s="412" t="s">
        <v>155</v>
      </c>
      <c r="D23" s="412" t="s">
        <v>56</v>
      </c>
      <c r="E23" s="413" t="s">
        <v>734</v>
      </c>
      <c r="F23" s="433" t="str">
        <f t="shared" si="0"/>
        <v>Link</v>
      </c>
      <c r="G23" s="412" t="s">
        <v>735</v>
      </c>
      <c r="H23" s="410" t="s">
        <v>3066</v>
      </c>
    </row>
    <row r="24" spans="1:8">
      <c r="A24" s="411">
        <v>24</v>
      </c>
      <c r="B24" s="412">
        <v>22</v>
      </c>
      <c r="C24" s="412" t="s">
        <v>155</v>
      </c>
      <c r="D24" s="412" t="s">
        <v>56</v>
      </c>
      <c r="E24" s="415" t="s">
        <v>171</v>
      </c>
      <c r="F24" s="433" t="str">
        <f t="shared" si="0"/>
        <v>Link</v>
      </c>
      <c r="G24" s="412"/>
      <c r="H24" s="410" t="s">
        <v>170</v>
      </c>
    </row>
    <row r="25" spans="1:8" ht="22.5">
      <c r="A25" s="411">
        <v>25</v>
      </c>
      <c r="B25" s="412">
        <v>22.01</v>
      </c>
      <c r="C25" s="412" t="s">
        <v>155</v>
      </c>
      <c r="D25" s="412" t="s">
        <v>56</v>
      </c>
      <c r="E25" s="413" t="s">
        <v>742</v>
      </c>
      <c r="F25" s="433" t="str">
        <f t="shared" si="0"/>
        <v>Link</v>
      </c>
      <c r="G25" s="412" t="s">
        <v>743</v>
      </c>
      <c r="H25" s="410" t="s">
        <v>3067</v>
      </c>
    </row>
    <row r="26" spans="1:8" ht="45">
      <c r="A26" s="411">
        <v>26</v>
      </c>
      <c r="B26" s="412">
        <v>22.02</v>
      </c>
      <c r="C26" s="412" t="s">
        <v>155</v>
      </c>
      <c r="D26" s="412" t="s">
        <v>56</v>
      </c>
      <c r="E26" s="413" t="s">
        <v>747</v>
      </c>
      <c r="F26" s="433" t="str">
        <f t="shared" si="0"/>
        <v>Link</v>
      </c>
      <c r="G26" s="412" t="s">
        <v>748</v>
      </c>
      <c r="H26" s="410" t="s">
        <v>3068</v>
      </c>
    </row>
    <row r="27" spans="1:8" ht="33.75">
      <c r="A27" s="411">
        <v>27</v>
      </c>
      <c r="B27" s="412">
        <v>22.03</v>
      </c>
      <c r="C27" s="412" t="s">
        <v>155</v>
      </c>
      <c r="D27" s="412" t="s">
        <v>56</v>
      </c>
      <c r="E27" s="413" t="s">
        <v>752</v>
      </c>
      <c r="F27" s="433" t="str">
        <f t="shared" si="0"/>
        <v>Link</v>
      </c>
      <c r="G27" s="412" t="s">
        <v>753</v>
      </c>
      <c r="H27" s="410" t="s">
        <v>3069</v>
      </c>
    </row>
    <row r="28" spans="1:8" ht="33.75">
      <c r="A28" s="411">
        <v>28</v>
      </c>
      <c r="B28" s="412">
        <v>22.04</v>
      </c>
      <c r="C28" s="412" t="s">
        <v>155</v>
      </c>
      <c r="D28" s="412" t="s">
        <v>56</v>
      </c>
      <c r="E28" s="413" t="s">
        <v>758</v>
      </c>
      <c r="F28" s="433" t="str">
        <f t="shared" si="0"/>
        <v>Link</v>
      </c>
      <c r="G28" s="412" t="s">
        <v>759</v>
      </c>
      <c r="H28" s="410" t="s">
        <v>3070</v>
      </c>
    </row>
    <row r="29" spans="1:8" ht="22.5">
      <c r="A29" s="411">
        <v>29</v>
      </c>
      <c r="B29" s="412">
        <v>22.05</v>
      </c>
      <c r="C29" s="412" t="s">
        <v>155</v>
      </c>
      <c r="D29" s="412" t="s">
        <v>56</v>
      </c>
      <c r="E29" s="413" t="s">
        <v>760</v>
      </c>
      <c r="F29" s="433" t="str">
        <f t="shared" si="0"/>
        <v>Link</v>
      </c>
      <c r="G29" s="425" t="s">
        <v>762</v>
      </c>
      <c r="H29" s="410" t="s">
        <v>3071</v>
      </c>
    </row>
    <row r="30" spans="1:8" ht="45">
      <c r="A30" s="411">
        <v>30</v>
      </c>
      <c r="B30" s="412">
        <v>22.06</v>
      </c>
      <c r="C30" s="412" t="s">
        <v>155</v>
      </c>
      <c r="D30" s="412" t="s">
        <v>56</v>
      </c>
      <c r="E30" s="413" t="s">
        <v>766</v>
      </c>
      <c r="F30" s="433" t="str">
        <f t="shared" si="0"/>
        <v>Link</v>
      </c>
      <c r="G30" s="412" t="s">
        <v>767</v>
      </c>
      <c r="H30" s="410" t="s">
        <v>3072</v>
      </c>
    </row>
    <row r="31" spans="1:8">
      <c r="A31" s="411">
        <v>31</v>
      </c>
      <c r="B31" s="412">
        <v>23</v>
      </c>
      <c r="C31" s="412" t="s">
        <v>155</v>
      </c>
      <c r="D31" s="412" t="s">
        <v>56</v>
      </c>
      <c r="E31" s="415" t="s">
        <v>179</v>
      </c>
      <c r="F31" s="433" t="str">
        <f t="shared" si="0"/>
        <v>Link</v>
      </c>
      <c r="G31" s="412"/>
      <c r="H31" s="410" t="s">
        <v>177</v>
      </c>
    </row>
    <row r="32" spans="1:8" ht="22.5">
      <c r="A32" s="411">
        <v>32</v>
      </c>
      <c r="B32" s="412">
        <v>23.01</v>
      </c>
      <c r="C32" s="412" t="s">
        <v>155</v>
      </c>
      <c r="D32" s="412" t="s">
        <v>56</v>
      </c>
      <c r="E32" s="413" t="s">
        <v>774</v>
      </c>
      <c r="F32" s="433" t="str">
        <f t="shared" si="0"/>
        <v>Link</v>
      </c>
      <c r="G32" s="412" t="s">
        <v>775</v>
      </c>
      <c r="H32" s="410" t="s">
        <v>3073</v>
      </c>
    </row>
    <row r="33" spans="1:8" ht="45">
      <c r="A33" s="411">
        <v>33</v>
      </c>
      <c r="B33" s="412">
        <v>23.02</v>
      </c>
      <c r="C33" s="412" t="s">
        <v>155</v>
      </c>
      <c r="D33" s="412" t="s">
        <v>56</v>
      </c>
      <c r="E33" s="413" t="s">
        <v>776</v>
      </c>
      <c r="F33" s="433" t="str">
        <f t="shared" si="0"/>
        <v>Link</v>
      </c>
      <c r="G33" s="425" t="s">
        <v>777</v>
      </c>
      <c r="H33" s="410" t="s">
        <v>3074</v>
      </c>
    </row>
    <row r="34" spans="1:8" ht="33.75">
      <c r="A34" s="411">
        <v>34</v>
      </c>
      <c r="B34" s="412">
        <v>23.03</v>
      </c>
      <c r="C34" s="412" t="s">
        <v>155</v>
      </c>
      <c r="D34" s="412" t="s">
        <v>56</v>
      </c>
      <c r="E34" s="413" t="s">
        <v>781</v>
      </c>
      <c r="F34" s="433" t="str">
        <f t="shared" si="0"/>
        <v>Link</v>
      </c>
      <c r="G34" s="412" t="s">
        <v>782</v>
      </c>
      <c r="H34" s="410" t="s">
        <v>3075</v>
      </c>
    </row>
    <row r="35" spans="1:8" ht="22.5">
      <c r="A35" s="411">
        <v>35</v>
      </c>
      <c r="B35" s="412">
        <v>24</v>
      </c>
      <c r="C35" s="412" t="s">
        <v>155</v>
      </c>
      <c r="D35" s="412" t="s">
        <v>56</v>
      </c>
      <c r="E35" s="416" t="s">
        <v>859</v>
      </c>
      <c r="F35" s="433" t="str">
        <f t="shared" si="0"/>
        <v>Link</v>
      </c>
      <c r="G35" s="417"/>
      <c r="H35" s="410" t="s">
        <v>184</v>
      </c>
    </row>
    <row r="36" spans="1:8" ht="22.5">
      <c r="A36" s="411">
        <v>36</v>
      </c>
      <c r="B36" s="412">
        <v>24.01</v>
      </c>
      <c r="C36" s="412" t="s">
        <v>155</v>
      </c>
      <c r="D36" s="412" t="s">
        <v>56</v>
      </c>
      <c r="E36" s="413" t="s">
        <v>863</v>
      </c>
      <c r="F36" s="433" t="str">
        <f t="shared" si="0"/>
        <v>Link</v>
      </c>
      <c r="G36" s="425" t="s">
        <v>864</v>
      </c>
      <c r="H36" s="410" t="s">
        <v>3076</v>
      </c>
    </row>
    <row r="37" spans="1:8" ht="33.75">
      <c r="A37" s="411">
        <v>37</v>
      </c>
      <c r="B37" s="412">
        <v>24.02</v>
      </c>
      <c r="C37" s="412" t="s">
        <v>155</v>
      </c>
      <c r="D37" s="412" t="s">
        <v>56</v>
      </c>
      <c r="E37" s="413" t="s">
        <v>867</v>
      </c>
      <c r="F37" s="433" t="str">
        <f t="shared" si="0"/>
        <v>Link</v>
      </c>
      <c r="G37" s="412" t="s">
        <v>868</v>
      </c>
      <c r="H37" s="410" t="s">
        <v>3077</v>
      </c>
    </row>
    <row r="38" spans="1:8" ht="33.75">
      <c r="A38" s="411">
        <v>38</v>
      </c>
      <c r="B38" s="412">
        <v>24.03</v>
      </c>
      <c r="C38" s="412" t="s">
        <v>155</v>
      </c>
      <c r="D38" s="412" t="s">
        <v>56</v>
      </c>
      <c r="E38" s="413" t="s">
        <v>871</v>
      </c>
      <c r="F38" s="433" t="str">
        <f t="shared" si="0"/>
        <v>Link</v>
      </c>
      <c r="G38" s="425" t="s">
        <v>872</v>
      </c>
      <c r="H38" s="410" t="s">
        <v>3078</v>
      </c>
    </row>
    <row r="39" spans="1:8" ht="33.75">
      <c r="A39" s="411">
        <v>39</v>
      </c>
      <c r="B39" s="412">
        <v>24.04</v>
      </c>
      <c r="C39" s="412" t="s">
        <v>155</v>
      </c>
      <c r="D39" s="412" t="s">
        <v>56</v>
      </c>
      <c r="E39" s="413" t="s">
        <v>875</v>
      </c>
      <c r="F39" s="433" t="str">
        <f t="shared" si="0"/>
        <v>Link</v>
      </c>
      <c r="G39" s="412" t="s">
        <v>876</v>
      </c>
      <c r="H39" s="410" t="s">
        <v>3079</v>
      </c>
    </row>
    <row r="40" spans="1:8">
      <c r="A40" s="411">
        <v>40</v>
      </c>
      <c r="B40" s="412">
        <v>25</v>
      </c>
      <c r="C40" s="412" t="s">
        <v>155</v>
      </c>
      <c r="D40" s="412" t="s">
        <v>56</v>
      </c>
      <c r="E40" s="415" t="s">
        <v>194</v>
      </c>
      <c r="F40" s="433" t="str">
        <f t="shared" si="0"/>
        <v>Link</v>
      </c>
      <c r="G40" s="412"/>
      <c r="H40" s="410" t="s">
        <v>193</v>
      </c>
    </row>
    <row r="41" spans="1:8" ht="33.75">
      <c r="A41" s="411">
        <v>41</v>
      </c>
      <c r="B41" s="412">
        <v>25.01</v>
      </c>
      <c r="C41" s="412" t="s">
        <v>155</v>
      </c>
      <c r="D41" s="412" t="s">
        <v>56</v>
      </c>
      <c r="E41" s="413" t="s">
        <v>875</v>
      </c>
      <c r="F41" s="433" t="str">
        <f t="shared" si="0"/>
        <v>Link</v>
      </c>
      <c r="G41" s="412" t="s">
        <v>880</v>
      </c>
      <c r="H41" s="410" t="s">
        <v>3080</v>
      </c>
    </row>
    <row r="42" spans="1:8">
      <c r="A42" s="411">
        <v>42</v>
      </c>
      <c r="B42" s="412">
        <v>26</v>
      </c>
      <c r="C42" s="412" t="s">
        <v>155</v>
      </c>
      <c r="D42" s="412" t="s">
        <v>56</v>
      </c>
      <c r="E42" s="415" t="s">
        <v>199</v>
      </c>
      <c r="F42" s="433" t="str">
        <f t="shared" si="0"/>
        <v>Link</v>
      </c>
      <c r="G42" s="412"/>
      <c r="H42" s="410" t="s">
        <v>198</v>
      </c>
    </row>
    <row r="43" spans="1:8" ht="22.5">
      <c r="A43" s="411">
        <v>43</v>
      </c>
      <c r="B43" s="412">
        <v>26.01</v>
      </c>
      <c r="C43" s="412" t="s">
        <v>155</v>
      </c>
      <c r="D43" s="412" t="s">
        <v>56</v>
      </c>
      <c r="E43" s="413" t="s">
        <v>747</v>
      </c>
      <c r="F43" s="433" t="str">
        <f t="shared" si="0"/>
        <v>Link</v>
      </c>
      <c r="G43" s="412" t="s">
        <v>786</v>
      </c>
      <c r="H43" s="410" t="s">
        <v>3081</v>
      </c>
    </row>
    <row r="44" spans="1:8" ht="33.75">
      <c r="A44" s="411">
        <v>44</v>
      </c>
      <c r="B44" s="412">
        <v>26.02</v>
      </c>
      <c r="C44" s="412" t="s">
        <v>155</v>
      </c>
      <c r="D44" s="412" t="s">
        <v>56</v>
      </c>
      <c r="E44" s="413" t="s">
        <v>792</v>
      </c>
      <c r="F44" s="433" t="str">
        <f t="shared" si="0"/>
        <v>Link</v>
      </c>
      <c r="G44" s="412" t="s">
        <v>793</v>
      </c>
      <c r="H44" s="410" t="s">
        <v>3082</v>
      </c>
    </row>
    <row r="45" spans="1:8" ht="33.75">
      <c r="A45" s="411">
        <v>45</v>
      </c>
      <c r="B45" s="412">
        <v>26.03</v>
      </c>
      <c r="C45" s="412" t="s">
        <v>155</v>
      </c>
      <c r="D45" s="412" t="s">
        <v>56</v>
      </c>
      <c r="E45" s="413" t="s">
        <v>798</v>
      </c>
      <c r="F45" s="433" t="str">
        <f t="shared" si="0"/>
        <v>Link</v>
      </c>
      <c r="G45" s="412" t="s">
        <v>799</v>
      </c>
      <c r="H45" s="410" t="s">
        <v>3083</v>
      </c>
    </row>
    <row r="46" spans="1:8">
      <c r="A46" s="411">
        <v>46</v>
      </c>
      <c r="B46" s="412">
        <v>27</v>
      </c>
      <c r="C46" s="412" t="s">
        <v>155</v>
      </c>
      <c r="D46" s="412" t="s">
        <v>56</v>
      </c>
      <c r="E46" s="415" t="s">
        <v>206</v>
      </c>
      <c r="F46" s="433" t="str">
        <f t="shared" si="0"/>
        <v>Link</v>
      </c>
      <c r="G46" s="412"/>
      <c r="H46" s="410" t="s">
        <v>205</v>
      </c>
    </row>
    <row r="47" spans="1:8">
      <c r="A47" s="411">
        <v>47</v>
      </c>
      <c r="B47" s="412">
        <v>28</v>
      </c>
      <c r="C47" s="412" t="s">
        <v>155</v>
      </c>
      <c r="D47" s="412" t="s">
        <v>56</v>
      </c>
      <c r="E47" s="415" t="s">
        <v>212</v>
      </c>
      <c r="F47" s="433" t="str">
        <f t="shared" si="0"/>
        <v>Link</v>
      </c>
      <c r="G47" s="412"/>
      <c r="H47" s="410" t="s">
        <v>210</v>
      </c>
    </row>
    <row r="48" spans="1:8" ht="33.75">
      <c r="A48" s="411">
        <v>48</v>
      </c>
      <c r="B48" s="412">
        <v>28.01</v>
      </c>
      <c r="C48" s="412" t="s">
        <v>155</v>
      </c>
      <c r="D48" s="412" t="s">
        <v>56</v>
      </c>
      <c r="E48" s="413" t="s">
        <v>804</v>
      </c>
      <c r="F48" s="433" t="str">
        <f t="shared" si="0"/>
        <v>Link</v>
      </c>
      <c r="G48" s="412" t="s">
        <v>805</v>
      </c>
      <c r="H48" s="410" t="s">
        <v>3084</v>
      </c>
    </row>
    <row r="49" spans="1:8" ht="22.5">
      <c r="A49" s="411">
        <v>49</v>
      </c>
      <c r="B49" s="412">
        <v>28.02</v>
      </c>
      <c r="C49" s="412" t="s">
        <v>155</v>
      </c>
      <c r="D49" s="412" t="s">
        <v>56</v>
      </c>
      <c r="E49" s="413" t="s">
        <v>807</v>
      </c>
      <c r="F49" s="433" t="str">
        <f t="shared" si="0"/>
        <v>Link</v>
      </c>
      <c r="G49" s="412" t="s">
        <v>808</v>
      </c>
      <c r="H49" s="410" t="s">
        <v>3085</v>
      </c>
    </row>
    <row r="50" spans="1:8" ht="22.5">
      <c r="A50" s="411">
        <v>50</v>
      </c>
      <c r="B50" s="412">
        <v>28.03</v>
      </c>
      <c r="C50" s="412" t="s">
        <v>155</v>
      </c>
      <c r="D50" s="412" t="s">
        <v>56</v>
      </c>
      <c r="E50" s="413" t="s">
        <v>813</v>
      </c>
      <c r="F50" s="433" t="str">
        <f t="shared" si="0"/>
        <v>Link</v>
      </c>
      <c r="G50" s="412" t="s">
        <v>814</v>
      </c>
      <c r="H50" s="410" t="s">
        <v>3086</v>
      </c>
    </row>
    <row r="51" spans="1:8" ht="33.75">
      <c r="A51" s="411">
        <v>51</v>
      </c>
      <c r="B51" s="412">
        <v>28.04</v>
      </c>
      <c r="C51" s="412" t="s">
        <v>155</v>
      </c>
      <c r="D51" s="412" t="s">
        <v>56</v>
      </c>
      <c r="E51" s="413" t="s">
        <v>815</v>
      </c>
      <c r="F51" s="433" t="str">
        <f t="shared" si="0"/>
        <v>Link</v>
      </c>
      <c r="G51" s="412" t="s">
        <v>816</v>
      </c>
      <c r="H51" s="410" t="s">
        <v>3087</v>
      </c>
    </row>
    <row r="52" spans="1:8" ht="22.5">
      <c r="A52" s="411">
        <v>52</v>
      </c>
      <c r="B52" s="412">
        <v>29</v>
      </c>
      <c r="C52" s="412" t="s">
        <v>155</v>
      </c>
      <c r="D52" s="412" t="s">
        <v>56</v>
      </c>
      <c r="E52" s="415" t="s">
        <v>216</v>
      </c>
      <c r="F52" s="433" t="str">
        <f t="shared" si="0"/>
        <v>Link</v>
      </c>
      <c r="G52" s="412"/>
      <c r="H52" s="410" t="s">
        <v>215</v>
      </c>
    </row>
    <row r="53" spans="1:8" ht="22.5">
      <c r="A53" s="411">
        <v>53</v>
      </c>
      <c r="B53" s="412">
        <v>29.01</v>
      </c>
      <c r="C53" s="412" t="s">
        <v>155</v>
      </c>
      <c r="D53" s="412" t="s">
        <v>56</v>
      </c>
      <c r="E53" s="413" t="s">
        <v>723</v>
      </c>
      <c r="F53" s="433" t="str">
        <f t="shared" si="0"/>
        <v>Link</v>
      </c>
      <c r="G53" s="412" t="s">
        <v>820</v>
      </c>
      <c r="H53" s="410" t="s">
        <v>3088</v>
      </c>
    </row>
    <row r="54" spans="1:8" ht="33.75">
      <c r="A54" s="411">
        <v>54</v>
      </c>
      <c r="B54" s="412">
        <v>29.02</v>
      </c>
      <c r="C54" s="412" t="s">
        <v>155</v>
      </c>
      <c r="D54" s="412" t="s">
        <v>56</v>
      </c>
      <c r="E54" s="413" t="s">
        <v>792</v>
      </c>
      <c r="F54" s="433" t="str">
        <f t="shared" si="0"/>
        <v>Link</v>
      </c>
      <c r="G54" s="412" t="s">
        <v>821</v>
      </c>
      <c r="H54" s="410" t="s">
        <v>3089</v>
      </c>
    </row>
    <row r="55" spans="1:8" ht="22.5">
      <c r="A55" s="411">
        <v>55</v>
      </c>
      <c r="B55" s="412">
        <v>29.03</v>
      </c>
      <c r="C55" s="412" t="s">
        <v>155</v>
      </c>
      <c r="D55" s="412" t="s">
        <v>56</v>
      </c>
      <c r="E55" s="413" t="s">
        <v>823</v>
      </c>
      <c r="F55" s="433" t="str">
        <f t="shared" si="0"/>
        <v>Link</v>
      </c>
      <c r="G55" s="412" t="s">
        <v>824</v>
      </c>
      <c r="H55" s="410" t="s">
        <v>3090</v>
      </c>
    </row>
    <row r="56" spans="1:8" ht="22.5">
      <c r="A56" s="411">
        <v>56</v>
      </c>
      <c r="B56" s="412">
        <v>29.04</v>
      </c>
      <c r="C56" s="412" t="s">
        <v>155</v>
      </c>
      <c r="D56" s="412" t="s">
        <v>56</v>
      </c>
      <c r="E56" s="413" t="s">
        <v>825</v>
      </c>
      <c r="F56" s="433" t="str">
        <f t="shared" si="0"/>
        <v>Link</v>
      </c>
      <c r="G56" s="425" t="s">
        <v>826</v>
      </c>
      <c r="H56" s="410" t="s">
        <v>3091</v>
      </c>
    </row>
    <row r="57" spans="1:8" ht="22.5">
      <c r="A57" s="411">
        <v>57</v>
      </c>
      <c r="B57" s="412">
        <v>29.05</v>
      </c>
      <c r="C57" s="412" t="s">
        <v>155</v>
      </c>
      <c r="D57" s="412" t="s">
        <v>56</v>
      </c>
      <c r="E57" s="413" t="s">
        <v>747</v>
      </c>
      <c r="F57" s="433" t="str">
        <f t="shared" si="0"/>
        <v>Link</v>
      </c>
      <c r="G57" s="412" t="s">
        <v>827</v>
      </c>
      <c r="H57" s="410" t="s">
        <v>3092</v>
      </c>
    </row>
    <row r="58" spans="1:8" ht="33.75">
      <c r="A58" s="411">
        <v>58</v>
      </c>
      <c r="B58" s="412">
        <v>33.01</v>
      </c>
      <c r="C58" s="412" t="s">
        <v>155</v>
      </c>
      <c r="D58" s="412" t="s">
        <v>56</v>
      </c>
      <c r="E58" s="413" t="s">
        <v>885</v>
      </c>
      <c r="F58" s="433" t="str">
        <f t="shared" si="0"/>
        <v>Link</v>
      </c>
      <c r="G58" s="412" t="s">
        <v>886</v>
      </c>
      <c r="H58" s="410" t="s">
        <v>3093</v>
      </c>
    </row>
    <row r="59" spans="1:8" ht="45">
      <c r="A59" s="411">
        <v>59</v>
      </c>
      <c r="B59" s="412">
        <v>33.020000000000003</v>
      </c>
      <c r="C59" s="412" t="s">
        <v>155</v>
      </c>
      <c r="D59" s="412" t="s">
        <v>56</v>
      </c>
      <c r="E59" s="413" t="s">
        <v>894</v>
      </c>
      <c r="F59" s="433" t="str">
        <f t="shared" si="0"/>
        <v>Link</v>
      </c>
      <c r="G59" s="412" t="s">
        <v>895</v>
      </c>
      <c r="H59" s="410" t="s">
        <v>3094</v>
      </c>
    </row>
    <row r="60" spans="1:8">
      <c r="A60" s="411">
        <v>60</v>
      </c>
      <c r="B60" s="412">
        <v>34</v>
      </c>
      <c r="C60" s="412" t="s">
        <v>155</v>
      </c>
      <c r="D60" s="412" t="s">
        <v>56</v>
      </c>
      <c r="E60" s="415" t="s">
        <v>246</v>
      </c>
      <c r="F60" s="433" t="str">
        <f t="shared" si="0"/>
        <v>Link</v>
      </c>
      <c r="G60" s="412"/>
      <c r="H60" s="410" t="s">
        <v>245</v>
      </c>
    </row>
    <row r="61" spans="1:8" ht="45">
      <c r="A61" s="411">
        <v>61</v>
      </c>
      <c r="B61" s="412">
        <v>34.01</v>
      </c>
      <c r="C61" s="412" t="s">
        <v>155</v>
      </c>
      <c r="D61" s="412" t="s">
        <v>56</v>
      </c>
      <c r="E61" s="413" t="s">
        <v>902</v>
      </c>
      <c r="F61" s="433" t="str">
        <f t="shared" si="0"/>
        <v>Link</v>
      </c>
      <c r="G61" s="412" t="s">
        <v>903</v>
      </c>
      <c r="H61" s="410" t="s">
        <v>3095</v>
      </c>
    </row>
    <row r="62" spans="1:8" ht="33.75">
      <c r="A62" s="411">
        <v>62</v>
      </c>
      <c r="B62" s="412">
        <v>34.020000000000003</v>
      </c>
      <c r="C62" s="412" t="s">
        <v>155</v>
      </c>
      <c r="D62" s="412" t="s">
        <v>56</v>
      </c>
      <c r="E62" s="413" t="s">
        <v>906</v>
      </c>
      <c r="F62" s="433" t="str">
        <f t="shared" si="0"/>
        <v>Link</v>
      </c>
      <c r="G62" s="412" t="s">
        <v>907</v>
      </c>
      <c r="H62" s="410" t="s">
        <v>3096</v>
      </c>
    </row>
    <row r="63" spans="1:8" ht="33.75">
      <c r="A63" s="411">
        <v>63</v>
      </c>
      <c r="B63" s="412">
        <v>34.03</v>
      </c>
      <c r="C63" s="412" t="s">
        <v>155</v>
      </c>
      <c r="D63" s="412" t="s">
        <v>56</v>
      </c>
      <c r="E63" s="413" t="s">
        <v>910</v>
      </c>
      <c r="F63" s="433" t="str">
        <f t="shared" si="0"/>
        <v>Link</v>
      </c>
      <c r="G63" s="412" t="s">
        <v>911</v>
      </c>
      <c r="H63" s="410" t="s">
        <v>3097</v>
      </c>
    </row>
    <row r="64" spans="1:8">
      <c r="A64" s="411">
        <v>64</v>
      </c>
      <c r="B64" s="412">
        <v>35</v>
      </c>
      <c r="C64" s="412" t="s">
        <v>155</v>
      </c>
      <c r="D64" s="412" t="s">
        <v>56</v>
      </c>
      <c r="E64" s="415" t="s">
        <v>253</v>
      </c>
      <c r="F64" s="433" t="str">
        <f t="shared" si="0"/>
        <v>Link</v>
      </c>
      <c r="G64" s="412"/>
      <c r="H64" s="410" t="s">
        <v>252</v>
      </c>
    </row>
    <row r="65" spans="1:8" ht="22.5">
      <c r="A65" s="411">
        <v>65</v>
      </c>
      <c r="B65" s="412">
        <v>35.01</v>
      </c>
      <c r="C65" s="412" t="s">
        <v>155</v>
      </c>
      <c r="D65" s="412" t="s">
        <v>56</v>
      </c>
      <c r="E65" s="413" t="s">
        <v>916</v>
      </c>
      <c r="F65" s="433" t="str">
        <f t="shared" si="0"/>
        <v>Link</v>
      </c>
      <c r="G65" s="412" t="s">
        <v>917</v>
      </c>
      <c r="H65" s="410" t="s">
        <v>3098</v>
      </c>
    </row>
    <row r="66" spans="1:8" ht="56.25">
      <c r="A66" s="411">
        <v>66</v>
      </c>
      <c r="B66" s="412">
        <v>35.020000000000003</v>
      </c>
      <c r="C66" s="412" t="s">
        <v>155</v>
      </c>
      <c r="D66" s="412" t="s">
        <v>56</v>
      </c>
      <c r="E66" s="413" t="s">
        <v>920</v>
      </c>
      <c r="F66" s="433" t="str">
        <f t="shared" si="0"/>
        <v>Link</v>
      </c>
      <c r="G66" s="412" t="s">
        <v>921</v>
      </c>
      <c r="H66" s="410" t="s">
        <v>3099</v>
      </c>
    </row>
    <row r="67" spans="1:8">
      <c r="A67" s="411">
        <v>67</v>
      </c>
      <c r="B67" s="412">
        <v>36</v>
      </c>
      <c r="C67" s="412" t="s">
        <v>155</v>
      </c>
      <c r="D67" s="412" t="s">
        <v>56</v>
      </c>
      <c r="E67" s="415" t="s">
        <v>258</v>
      </c>
      <c r="F67" s="433" t="str">
        <f t="shared" ref="F67:F130" si="1">HYPERLINK(H67,"Link")</f>
        <v>Link</v>
      </c>
      <c r="G67" s="412"/>
      <c r="H67" s="410" t="s">
        <v>257</v>
      </c>
    </row>
    <row r="68" spans="1:8" ht="45">
      <c r="A68" s="411">
        <v>68</v>
      </c>
      <c r="B68" s="412">
        <v>36.01</v>
      </c>
      <c r="C68" s="412" t="s">
        <v>155</v>
      </c>
      <c r="D68" s="412" t="s">
        <v>56</v>
      </c>
      <c r="E68" s="413" t="s">
        <v>926</v>
      </c>
      <c r="F68" s="433" t="str">
        <f t="shared" si="1"/>
        <v>Link</v>
      </c>
      <c r="G68" s="412" t="s">
        <v>927</v>
      </c>
      <c r="H68" s="410" t="s">
        <v>3100</v>
      </c>
    </row>
    <row r="69" spans="1:8" ht="33.75">
      <c r="A69" s="411">
        <v>69</v>
      </c>
      <c r="B69" s="412">
        <v>36.020000000000003</v>
      </c>
      <c r="C69" s="412" t="s">
        <v>155</v>
      </c>
      <c r="D69" s="412" t="s">
        <v>56</v>
      </c>
      <c r="E69" s="413" t="s">
        <v>933</v>
      </c>
      <c r="F69" s="433" t="str">
        <f t="shared" si="1"/>
        <v>Link</v>
      </c>
      <c r="G69" s="412" t="s">
        <v>934</v>
      </c>
      <c r="H69" s="410" t="s">
        <v>3101</v>
      </c>
    </row>
    <row r="70" spans="1:8" ht="56.25">
      <c r="A70" s="411">
        <v>70</v>
      </c>
      <c r="B70" s="412">
        <v>36.03</v>
      </c>
      <c r="C70" s="412" t="s">
        <v>155</v>
      </c>
      <c r="D70" s="412" t="s">
        <v>56</v>
      </c>
      <c r="E70" s="413" t="s">
        <v>937</v>
      </c>
      <c r="F70" s="433" t="str">
        <f t="shared" si="1"/>
        <v>Link</v>
      </c>
      <c r="G70" s="412" t="s">
        <v>938</v>
      </c>
      <c r="H70" s="410" t="s">
        <v>3102</v>
      </c>
    </row>
    <row r="71" spans="1:8" ht="33.75">
      <c r="A71" s="411">
        <v>71</v>
      </c>
      <c r="B71" s="412">
        <v>36.04</v>
      </c>
      <c r="C71" s="412" t="s">
        <v>155</v>
      </c>
      <c r="D71" s="412" t="s">
        <v>56</v>
      </c>
      <c r="E71" s="413" t="s">
        <v>942</v>
      </c>
      <c r="F71" s="433" t="str">
        <f t="shared" si="1"/>
        <v>Link</v>
      </c>
      <c r="G71" s="412" t="s">
        <v>943</v>
      </c>
      <c r="H71" s="410" t="s">
        <v>3103</v>
      </c>
    </row>
    <row r="72" spans="1:8">
      <c r="A72" s="411">
        <v>72</v>
      </c>
      <c r="B72" s="412">
        <v>37</v>
      </c>
      <c r="C72" s="412" t="s">
        <v>155</v>
      </c>
      <c r="D72" s="412" t="s">
        <v>56</v>
      </c>
      <c r="E72" s="415" t="s">
        <v>265</v>
      </c>
      <c r="F72" s="433" t="str">
        <f t="shared" si="1"/>
        <v>Link</v>
      </c>
      <c r="G72" s="412"/>
      <c r="H72" s="410" t="s">
        <v>264</v>
      </c>
    </row>
    <row r="73" spans="1:8" ht="45">
      <c r="A73" s="411">
        <v>73</v>
      </c>
      <c r="B73" s="412">
        <v>37.01</v>
      </c>
      <c r="C73" s="412" t="s">
        <v>155</v>
      </c>
      <c r="D73" s="412" t="s">
        <v>56</v>
      </c>
      <c r="E73" s="413" t="s">
        <v>948</v>
      </c>
      <c r="F73" s="433" t="str">
        <f t="shared" si="1"/>
        <v>Link</v>
      </c>
      <c r="G73" s="412" t="s">
        <v>949</v>
      </c>
      <c r="H73" s="410" t="s">
        <v>3104</v>
      </c>
    </row>
    <row r="74" spans="1:8" ht="22.5">
      <c r="A74" s="411">
        <v>74</v>
      </c>
      <c r="B74" s="412">
        <v>37.020000000000003</v>
      </c>
      <c r="C74" s="412" t="s">
        <v>155</v>
      </c>
      <c r="D74" s="412" t="s">
        <v>56</v>
      </c>
      <c r="E74" s="413" t="s">
        <v>954</v>
      </c>
      <c r="F74" s="433" t="str">
        <f t="shared" si="1"/>
        <v>Link</v>
      </c>
      <c r="G74" s="412" t="s">
        <v>955</v>
      </c>
      <c r="H74" s="410" t="s">
        <v>3105</v>
      </c>
    </row>
    <row r="75" spans="1:8" ht="45">
      <c r="A75" s="411">
        <v>75</v>
      </c>
      <c r="B75" s="412">
        <v>37.03</v>
      </c>
      <c r="C75" s="412" t="s">
        <v>155</v>
      </c>
      <c r="D75" s="412" t="s">
        <v>56</v>
      </c>
      <c r="E75" s="413" t="s">
        <v>960</v>
      </c>
      <c r="F75" s="433" t="str">
        <f t="shared" si="1"/>
        <v>Link</v>
      </c>
      <c r="G75" s="412" t="s">
        <v>961</v>
      </c>
      <c r="H75" s="410" t="s">
        <v>3106</v>
      </c>
    </row>
    <row r="76" spans="1:8">
      <c r="A76" s="411">
        <v>76</v>
      </c>
      <c r="B76" s="412">
        <v>38</v>
      </c>
      <c r="C76" s="412" t="s">
        <v>155</v>
      </c>
      <c r="D76" s="412" t="s">
        <v>142</v>
      </c>
      <c r="E76" s="415" t="s">
        <v>271</v>
      </c>
      <c r="F76" s="433" t="str">
        <f t="shared" si="1"/>
        <v>Link</v>
      </c>
      <c r="G76" s="412"/>
      <c r="H76" s="410" t="s">
        <v>270</v>
      </c>
    </row>
    <row r="77" spans="1:8">
      <c r="A77" s="411">
        <v>77</v>
      </c>
      <c r="B77" s="412">
        <v>40</v>
      </c>
      <c r="C77" s="418" t="s">
        <v>54</v>
      </c>
      <c r="D77" s="412" t="s">
        <v>56</v>
      </c>
      <c r="E77" s="415" t="s">
        <v>144</v>
      </c>
      <c r="F77" s="433" t="str">
        <f t="shared" si="1"/>
        <v>Link</v>
      </c>
      <c r="G77" s="412"/>
      <c r="H77" s="410" t="s">
        <v>143</v>
      </c>
    </row>
    <row r="78" spans="1:8" ht="22.5">
      <c r="A78" s="411">
        <v>78</v>
      </c>
      <c r="B78" s="412">
        <v>40.01</v>
      </c>
      <c r="C78" s="418" t="s">
        <v>54</v>
      </c>
      <c r="D78" s="412" t="s">
        <v>56</v>
      </c>
      <c r="E78" s="413" t="s">
        <v>149</v>
      </c>
      <c r="F78" s="433" t="str">
        <f t="shared" si="1"/>
        <v>Link</v>
      </c>
      <c r="G78" s="412" t="s">
        <v>150</v>
      </c>
      <c r="H78" s="410" t="s">
        <v>3107</v>
      </c>
    </row>
    <row r="79" spans="1:8">
      <c r="A79" s="411">
        <v>79</v>
      </c>
      <c r="B79" s="412">
        <v>41</v>
      </c>
      <c r="C79" s="418" t="s">
        <v>54</v>
      </c>
      <c r="D79" s="412" t="s">
        <v>56</v>
      </c>
      <c r="E79" s="415" t="s">
        <v>161</v>
      </c>
      <c r="F79" s="433" t="str">
        <f t="shared" si="1"/>
        <v>Link</v>
      </c>
      <c r="G79" s="412"/>
      <c r="H79" s="410" t="s">
        <v>160</v>
      </c>
    </row>
    <row r="80" spans="1:8">
      <c r="A80" s="411">
        <v>80</v>
      </c>
      <c r="B80" s="412">
        <v>41.01</v>
      </c>
      <c r="C80" s="418" t="s">
        <v>54</v>
      </c>
      <c r="D80" s="412" t="s">
        <v>56</v>
      </c>
      <c r="E80" s="413" t="s">
        <v>163</v>
      </c>
      <c r="F80" s="433" t="str">
        <f t="shared" si="1"/>
        <v>Link</v>
      </c>
      <c r="G80" s="425" t="s">
        <v>164</v>
      </c>
      <c r="H80" s="410" t="s">
        <v>3108</v>
      </c>
    </row>
    <row r="81" spans="1:8" ht="22.5">
      <c r="A81" s="411">
        <v>81</v>
      </c>
      <c r="B81" s="412">
        <v>41.02</v>
      </c>
      <c r="C81" s="418" t="s">
        <v>54</v>
      </c>
      <c r="D81" s="412" t="s">
        <v>56</v>
      </c>
      <c r="E81" s="413" t="s">
        <v>172</v>
      </c>
      <c r="F81" s="433" t="str">
        <f t="shared" si="1"/>
        <v>Link</v>
      </c>
      <c r="G81" s="412" t="s">
        <v>173</v>
      </c>
      <c r="H81" s="410" t="s">
        <v>3109</v>
      </c>
    </row>
    <row r="82" spans="1:8">
      <c r="A82" s="411">
        <v>82</v>
      </c>
      <c r="B82" s="412">
        <v>41.03</v>
      </c>
      <c r="C82" s="418" t="s">
        <v>54</v>
      </c>
      <c r="D82" s="412" t="s">
        <v>56</v>
      </c>
      <c r="E82" s="413" t="s">
        <v>178</v>
      </c>
      <c r="F82" s="433" t="str">
        <f t="shared" si="1"/>
        <v>Link</v>
      </c>
      <c r="G82" s="412" t="s">
        <v>180</v>
      </c>
      <c r="H82" s="410" t="s">
        <v>3110</v>
      </c>
    </row>
    <row r="83" spans="1:8" ht="33.75">
      <c r="A83" s="411">
        <v>83</v>
      </c>
      <c r="B83" s="412">
        <v>41.04</v>
      </c>
      <c r="C83" s="418" t="s">
        <v>54</v>
      </c>
      <c r="D83" s="412" t="s">
        <v>56</v>
      </c>
      <c r="E83" s="413" t="s">
        <v>185</v>
      </c>
      <c r="F83" s="433" t="str">
        <f t="shared" si="1"/>
        <v>Link</v>
      </c>
      <c r="G83" s="412" t="s">
        <v>187</v>
      </c>
      <c r="H83" s="410" t="s">
        <v>3111</v>
      </c>
    </row>
    <row r="84" spans="1:8">
      <c r="A84" s="411">
        <v>84</v>
      </c>
      <c r="B84" s="412">
        <v>42</v>
      </c>
      <c r="C84" s="418" t="s">
        <v>54</v>
      </c>
      <c r="D84" s="412" t="s">
        <v>56</v>
      </c>
      <c r="E84" s="415" t="s">
        <v>192</v>
      </c>
      <c r="F84" s="433" t="str">
        <f t="shared" si="1"/>
        <v>Link</v>
      </c>
      <c r="G84" s="412"/>
      <c r="H84" s="410" t="s">
        <v>191</v>
      </c>
    </row>
    <row r="85" spans="1:8" ht="22.5">
      <c r="A85" s="411">
        <v>85</v>
      </c>
      <c r="B85" s="412">
        <v>42.1</v>
      </c>
      <c r="C85" s="418" t="s">
        <v>54</v>
      </c>
      <c r="D85" s="412" t="s">
        <v>56</v>
      </c>
      <c r="E85" s="413" t="s">
        <v>196</v>
      </c>
      <c r="F85" s="433" t="str">
        <f t="shared" si="1"/>
        <v>Link</v>
      </c>
      <c r="G85" s="412" t="s">
        <v>197</v>
      </c>
      <c r="H85" s="410" t="s">
        <v>3112</v>
      </c>
    </row>
    <row r="86" spans="1:8">
      <c r="A86" s="411">
        <v>86</v>
      </c>
      <c r="B86" s="412">
        <v>43</v>
      </c>
      <c r="C86" s="418" t="s">
        <v>54</v>
      </c>
      <c r="D86" s="412" t="s">
        <v>56</v>
      </c>
      <c r="E86" s="415" t="s">
        <v>204</v>
      </c>
      <c r="F86" s="433" t="str">
        <f t="shared" si="1"/>
        <v>Link</v>
      </c>
      <c r="G86" s="412"/>
      <c r="H86" s="410" t="s">
        <v>203</v>
      </c>
    </row>
    <row r="87" spans="1:8" ht="22.5">
      <c r="A87" s="411">
        <v>87</v>
      </c>
      <c r="B87" s="412">
        <v>43.1</v>
      </c>
      <c r="C87" s="418" t="s">
        <v>54</v>
      </c>
      <c r="D87" s="412" t="s">
        <v>56</v>
      </c>
      <c r="E87" s="413" t="s">
        <v>209</v>
      </c>
      <c r="F87" s="433" t="str">
        <f t="shared" si="1"/>
        <v>Link</v>
      </c>
      <c r="G87" s="412" t="s">
        <v>211</v>
      </c>
      <c r="H87" s="410" t="s">
        <v>3113</v>
      </c>
    </row>
    <row r="88" spans="1:8">
      <c r="A88" s="411">
        <v>88</v>
      </c>
      <c r="B88" s="412">
        <v>44</v>
      </c>
      <c r="C88" s="418" t="s">
        <v>54</v>
      </c>
      <c r="D88" s="412" t="s">
        <v>56</v>
      </c>
      <c r="E88" s="415" t="s">
        <v>219</v>
      </c>
      <c r="F88" s="433" t="str">
        <f t="shared" si="1"/>
        <v>Link</v>
      </c>
      <c r="G88" s="412"/>
      <c r="H88" s="410" t="s">
        <v>217</v>
      </c>
    </row>
    <row r="89" spans="1:8">
      <c r="A89" s="411">
        <v>89</v>
      </c>
      <c r="B89" s="412">
        <v>44.1</v>
      </c>
      <c r="C89" s="418" t="s">
        <v>54</v>
      </c>
      <c r="D89" s="412" t="s">
        <v>56</v>
      </c>
      <c r="E89" s="413" t="s">
        <v>222</v>
      </c>
      <c r="F89" s="433" t="str">
        <f t="shared" si="1"/>
        <v>Link</v>
      </c>
      <c r="G89" s="412" t="s">
        <v>224</v>
      </c>
      <c r="H89" s="410" t="s">
        <v>3114</v>
      </c>
    </row>
    <row r="90" spans="1:8">
      <c r="A90" s="411">
        <v>90</v>
      </c>
      <c r="B90" s="412">
        <v>45</v>
      </c>
      <c r="C90" s="418" t="s">
        <v>54</v>
      </c>
      <c r="D90" s="412" t="s">
        <v>56</v>
      </c>
      <c r="E90" s="415" t="s">
        <v>230</v>
      </c>
      <c r="F90" s="433" t="str">
        <f t="shared" si="1"/>
        <v>Link</v>
      </c>
      <c r="G90" s="412"/>
      <c r="H90" s="410" t="s">
        <v>229</v>
      </c>
    </row>
    <row r="91" spans="1:8">
      <c r="A91" s="411">
        <v>91</v>
      </c>
      <c r="B91" s="412">
        <v>45.1</v>
      </c>
      <c r="C91" s="418" t="s">
        <v>54</v>
      </c>
      <c r="D91" s="412" t="s">
        <v>56</v>
      </c>
      <c r="E91" s="413" t="s">
        <v>236</v>
      </c>
      <c r="F91" s="433" t="str">
        <f t="shared" si="1"/>
        <v>Link</v>
      </c>
      <c r="G91" s="412" t="s">
        <v>237</v>
      </c>
      <c r="H91" s="410" t="s">
        <v>3115</v>
      </c>
    </row>
    <row r="92" spans="1:8" ht="22.5">
      <c r="A92" s="411">
        <v>92</v>
      </c>
      <c r="B92" s="412">
        <v>46</v>
      </c>
      <c r="C92" s="418" t="s">
        <v>54</v>
      </c>
      <c r="D92" s="412" t="s">
        <v>56</v>
      </c>
      <c r="E92" s="415" t="s">
        <v>244</v>
      </c>
      <c r="F92" s="433" t="str">
        <f t="shared" si="1"/>
        <v>Link</v>
      </c>
      <c r="G92" s="412"/>
      <c r="H92" s="410" t="s">
        <v>243</v>
      </c>
    </row>
    <row r="93" spans="1:8">
      <c r="A93" s="411">
        <v>93</v>
      </c>
      <c r="B93" s="412">
        <v>46.1</v>
      </c>
      <c r="C93" s="418" t="s">
        <v>54</v>
      </c>
      <c r="D93" s="412" t="s">
        <v>56</v>
      </c>
      <c r="E93" s="413" t="s">
        <v>249</v>
      </c>
      <c r="F93" s="433" t="str">
        <f t="shared" si="1"/>
        <v>Link</v>
      </c>
      <c r="G93" s="412"/>
      <c r="H93" s="410" t="s">
        <v>3116</v>
      </c>
    </row>
    <row r="94" spans="1:8" ht="22.5">
      <c r="A94" s="411">
        <v>94</v>
      </c>
      <c r="B94" s="412">
        <v>47</v>
      </c>
      <c r="C94" s="418" t="s">
        <v>54</v>
      </c>
      <c r="D94" s="412" t="s">
        <v>142</v>
      </c>
      <c r="E94" s="415" t="s">
        <v>256</v>
      </c>
      <c r="F94" s="433" t="str">
        <f t="shared" si="1"/>
        <v>Link</v>
      </c>
      <c r="G94" s="412"/>
      <c r="H94" s="410" t="s">
        <v>255</v>
      </c>
    </row>
    <row r="95" spans="1:8">
      <c r="A95" s="411">
        <v>95</v>
      </c>
      <c r="B95" s="412">
        <v>48</v>
      </c>
      <c r="C95" s="418" t="s">
        <v>54</v>
      </c>
      <c r="D95" s="412" t="s">
        <v>56</v>
      </c>
      <c r="E95" s="415" t="s">
        <v>263</v>
      </c>
      <c r="F95" s="433" t="str">
        <f t="shared" si="1"/>
        <v>Link</v>
      </c>
      <c r="G95" s="412"/>
      <c r="H95" s="410" t="s">
        <v>262</v>
      </c>
    </row>
    <row r="96" spans="1:8">
      <c r="A96" s="411">
        <v>96</v>
      </c>
      <c r="B96" s="412">
        <v>48.1</v>
      </c>
      <c r="C96" s="418" t="s">
        <v>54</v>
      </c>
      <c r="D96" s="412" t="s">
        <v>56</v>
      </c>
      <c r="E96" s="413" t="s">
        <v>266</v>
      </c>
      <c r="F96" s="433" t="str">
        <f t="shared" si="1"/>
        <v>Link</v>
      </c>
      <c r="G96" s="412"/>
      <c r="H96" s="410" t="s">
        <v>3117</v>
      </c>
    </row>
    <row r="97" spans="1:8" ht="22.5">
      <c r="A97" s="411">
        <v>97</v>
      </c>
      <c r="B97" s="412">
        <v>49</v>
      </c>
      <c r="C97" s="418" t="s">
        <v>54</v>
      </c>
      <c r="D97" s="412" t="s">
        <v>56</v>
      </c>
      <c r="E97" s="415" t="s">
        <v>274</v>
      </c>
      <c r="F97" s="433" t="str">
        <f t="shared" si="1"/>
        <v>Link</v>
      </c>
      <c r="G97" s="412"/>
      <c r="H97" s="410" t="s">
        <v>273</v>
      </c>
    </row>
    <row r="98" spans="1:8">
      <c r="A98" s="411">
        <v>98</v>
      </c>
      <c r="B98" s="412">
        <v>49.01</v>
      </c>
      <c r="C98" s="418" t="s">
        <v>54</v>
      </c>
      <c r="D98" s="412" t="s">
        <v>56</v>
      </c>
      <c r="E98" s="413" t="s">
        <v>276</v>
      </c>
      <c r="F98" s="433" t="str">
        <f t="shared" si="1"/>
        <v>Link</v>
      </c>
      <c r="G98" s="412"/>
      <c r="H98" s="410" t="s">
        <v>3118</v>
      </c>
    </row>
    <row r="99" spans="1:8" ht="22.5">
      <c r="A99" s="411">
        <v>99</v>
      </c>
      <c r="B99" s="412">
        <v>49.02</v>
      </c>
      <c r="C99" s="418" t="s">
        <v>54</v>
      </c>
      <c r="D99" s="412" t="s">
        <v>56</v>
      </c>
      <c r="E99" s="413" t="s">
        <v>280</v>
      </c>
      <c r="F99" s="433" t="str">
        <f t="shared" si="1"/>
        <v>Link</v>
      </c>
      <c r="G99" s="412"/>
      <c r="H99" s="410" t="s">
        <v>3119</v>
      </c>
    </row>
    <row r="100" spans="1:8" ht="22.5">
      <c r="A100" s="411">
        <v>100</v>
      </c>
      <c r="B100" s="412">
        <v>50</v>
      </c>
      <c r="C100" s="412" t="s">
        <v>155</v>
      </c>
      <c r="D100" s="412" t="s">
        <v>56</v>
      </c>
      <c r="E100" s="415" t="s">
        <v>317</v>
      </c>
      <c r="F100" s="433" t="str">
        <f t="shared" si="1"/>
        <v>Link</v>
      </c>
      <c r="G100" s="412"/>
      <c r="H100" s="410" t="s">
        <v>316</v>
      </c>
    </row>
    <row r="101" spans="1:8" ht="33.75">
      <c r="A101" s="411">
        <v>101</v>
      </c>
      <c r="B101" s="412">
        <v>50.01</v>
      </c>
      <c r="C101" s="412" t="s">
        <v>155</v>
      </c>
      <c r="D101" s="412" t="s">
        <v>56</v>
      </c>
      <c r="E101" s="413" t="s">
        <v>968</v>
      </c>
      <c r="F101" s="433" t="str">
        <f t="shared" si="1"/>
        <v>Link</v>
      </c>
      <c r="G101" s="412" t="s">
        <v>970</v>
      </c>
      <c r="H101" s="410" t="s">
        <v>3120</v>
      </c>
    </row>
    <row r="102" spans="1:8" ht="22.5">
      <c r="A102" s="411">
        <v>102</v>
      </c>
      <c r="B102" s="412">
        <v>50.02</v>
      </c>
      <c r="C102" s="412" t="s">
        <v>155</v>
      </c>
      <c r="D102" s="412" t="s">
        <v>142</v>
      </c>
      <c r="E102" s="413" t="s">
        <v>974</v>
      </c>
      <c r="F102" s="433" t="str">
        <f t="shared" si="1"/>
        <v>Link</v>
      </c>
      <c r="G102" s="412" t="s">
        <v>975</v>
      </c>
      <c r="H102" s="410" t="s">
        <v>3121</v>
      </c>
    </row>
    <row r="103" spans="1:8" ht="22.5">
      <c r="A103" s="411">
        <v>103</v>
      </c>
      <c r="B103" s="412">
        <v>50.03</v>
      </c>
      <c r="C103" s="412" t="s">
        <v>155</v>
      </c>
      <c r="D103" s="412" t="s">
        <v>56</v>
      </c>
      <c r="E103" s="413" t="s">
        <v>977</v>
      </c>
      <c r="F103" s="433" t="str">
        <f t="shared" si="1"/>
        <v>Link</v>
      </c>
      <c r="G103" s="412" t="s">
        <v>978</v>
      </c>
      <c r="H103" s="410" t="s">
        <v>3122</v>
      </c>
    </row>
    <row r="104" spans="1:8" ht="56.25">
      <c r="A104" s="411">
        <v>104</v>
      </c>
      <c r="B104" s="412">
        <v>50.04</v>
      </c>
      <c r="C104" s="412" t="s">
        <v>155</v>
      </c>
      <c r="D104" s="412" t="s">
        <v>56</v>
      </c>
      <c r="E104" s="413" t="s">
        <v>981</v>
      </c>
      <c r="F104" s="433" t="str">
        <f t="shared" si="1"/>
        <v>Link</v>
      </c>
      <c r="G104" s="412" t="s">
        <v>982</v>
      </c>
      <c r="H104" s="410" t="s">
        <v>3123</v>
      </c>
    </row>
    <row r="105" spans="1:8" ht="22.5">
      <c r="A105" s="411">
        <v>105</v>
      </c>
      <c r="B105" s="412">
        <v>51</v>
      </c>
      <c r="C105" s="412" t="s">
        <v>155</v>
      </c>
      <c r="D105" s="412" t="s">
        <v>56</v>
      </c>
      <c r="E105" s="415" t="s">
        <v>322</v>
      </c>
      <c r="F105" s="433" t="str">
        <f t="shared" si="1"/>
        <v>Link</v>
      </c>
      <c r="G105" s="412"/>
      <c r="H105" s="410" t="s">
        <v>321</v>
      </c>
    </row>
    <row r="106" spans="1:8" ht="67.5">
      <c r="A106" s="411">
        <v>106</v>
      </c>
      <c r="B106" s="412">
        <v>51.01</v>
      </c>
      <c r="C106" s="412" t="s">
        <v>155</v>
      </c>
      <c r="D106" s="412" t="s">
        <v>56</v>
      </c>
      <c r="E106" s="413" t="s">
        <v>987</v>
      </c>
      <c r="F106" s="433" t="str">
        <f t="shared" si="1"/>
        <v>Link</v>
      </c>
      <c r="G106" s="412" t="s">
        <v>988</v>
      </c>
      <c r="H106" s="410" t="s">
        <v>3124</v>
      </c>
    </row>
    <row r="107" spans="1:8">
      <c r="A107" s="411">
        <v>107</v>
      </c>
      <c r="B107" s="412">
        <v>52</v>
      </c>
      <c r="C107" s="412" t="s">
        <v>155</v>
      </c>
      <c r="D107" s="412" t="s">
        <v>56</v>
      </c>
      <c r="E107" s="415" t="s">
        <v>328</v>
      </c>
      <c r="F107" s="433" t="str">
        <f t="shared" si="1"/>
        <v>Link</v>
      </c>
      <c r="G107" s="412"/>
      <c r="H107" s="410" t="s">
        <v>327</v>
      </c>
    </row>
    <row r="108" spans="1:8" ht="33.75">
      <c r="A108" s="411">
        <v>108</v>
      </c>
      <c r="B108" s="412">
        <v>52.01</v>
      </c>
      <c r="C108" s="412" t="s">
        <v>155</v>
      </c>
      <c r="D108" s="419" t="s">
        <v>56</v>
      </c>
      <c r="E108" s="413" t="s">
        <v>998</v>
      </c>
      <c r="F108" s="433" t="str">
        <f t="shared" si="1"/>
        <v>Link</v>
      </c>
      <c r="G108" s="412" t="s">
        <v>999</v>
      </c>
      <c r="H108" s="410" t="s">
        <v>3125</v>
      </c>
    </row>
    <row r="109" spans="1:8" ht="33.75">
      <c r="A109" s="411">
        <v>109</v>
      </c>
      <c r="B109" s="412">
        <v>52.02</v>
      </c>
      <c r="C109" s="412" t="s">
        <v>155</v>
      </c>
      <c r="D109" s="419" t="s">
        <v>56</v>
      </c>
      <c r="E109" s="413" t="s">
        <v>1002</v>
      </c>
      <c r="F109" s="433" t="str">
        <f t="shared" si="1"/>
        <v>Link</v>
      </c>
      <c r="G109" s="412" t="s">
        <v>1003</v>
      </c>
      <c r="H109" s="410" t="s">
        <v>3126</v>
      </c>
    </row>
    <row r="110" spans="1:8">
      <c r="A110" s="411">
        <v>110</v>
      </c>
      <c r="B110" s="412">
        <v>53</v>
      </c>
      <c r="C110" s="412" t="s">
        <v>155</v>
      </c>
      <c r="D110" s="412" t="s">
        <v>56</v>
      </c>
      <c r="E110" s="415" t="s">
        <v>333</v>
      </c>
      <c r="F110" s="433" t="str">
        <f t="shared" si="1"/>
        <v>Link</v>
      </c>
      <c r="G110" s="412"/>
      <c r="H110" s="410" t="s">
        <v>332</v>
      </c>
    </row>
    <row r="111" spans="1:8" ht="45">
      <c r="A111" s="411">
        <v>111</v>
      </c>
      <c r="B111" s="412">
        <v>53.01</v>
      </c>
      <c r="C111" s="412" t="s">
        <v>155</v>
      </c>
      <c r="D111" s="412" t="s">
        <v>56</v>
      </c>
      <c r="E111" s="413" t="s">
        <v>894</v>
      </c>
      <c r="F111" s="433" t="str">
        <f t="shared" si="1"/>
        <v>Link</v>
      </c>
      <c r="G111" s="412" t="s">
        <v>1006</v>
      </c>
      <c r="H111" s="410" t="s">
        <v>3127</v>
      </c>
    </row>
    <row r="112" spans="1:8" ht="45">
      <c r="A112" s="411">
        <v>112</v>
      </c>
      <c r="B112" s="412">
        <v>53.02</v>
      </c>
      <c r="C112" s="412" t="s">
        <v>155</v>
      </c>
      <c r="D112" s="412" t="s">
        <v>56</v>
      </c>
      <c r="E112" s="413" t="s">
        <v>1010</v>
      </c>
      <c r="F112" s="433" t="str">
        <f t="shared" si="1"/>
        <v>Link</v>
      </c>
      <c r="G112" s="412" t="s">
        <v>767</v>
      </c>
      <c r="H112" s="410" t="s">
        <v>3128</v>
      </c>
    </row>
    <row r="113" spans="1:8" ht="22.5">
      <c r="A113" s="411">
        <v>113</v>
      </c>
      <c r="B113" s="412">
        <v>53.03</v>
      </c>
      <c r="C113" s="412" t="s">
        <v>155</v>
      </c>
      <c r="D113" s="412" t="s">
        <v>56</v>
      </c>
      <c r="E113" s="413" t="s">
        <v>1014</v>
      </c>
      <c r="F113" s="433" t="str">
        <f t="shared" si="1"/>
        <v>Link</v>
      </c>
      <c r="G113" s="412" t="s">
        <v>1015</v>
      </c>
      <c r="H113" s="410" t="s">
        <v>3129</v>
      </c>
    </row>
    <row r="114" spans="1:8" ht="22.5">
      <c r="A114" s="411">
        <v>114</v>
      </c>
      <c r="B114" s="412">
        <v>53.04</v>
      </c>
      <c r="C114" s="412" t="s">
        <v>155</v>
      </c>
      <c r="D114" s="412" t="s">
        <v>56</v>
      </c>
      <c r="E114" s="413" t="s">
        <v>823</v>
      </c>
      <c r="F114" s="433" t="str">
        <f t="shared" si="1"/>
        <v>Link</v>
      </c>
      <c r="G114" s="412" t="s">
        <v>824</v>
      </c>
      <c r="H114" s="410" t="s">
        <v>3130</v>
      </c>
    </row>
    <row r="115" spans="1:8">
      <c r="A115" s="411">
        <v>115</v>
      </c>
      <c r="B115" s="412">
        <v>59</v>
      </c>
      <c r="C115" s="412" t="s">
        <v>55</v>
      </c>
      <c r="D115" s="412" t="s">
        <v>56</v>
      </c>
      <c r="E115" s="415" t="s">
        <v>235</v>
      </c>
      <c r="F115" s="433" t="str">
        <f t="shared" si="1"/>
        <v>Link</v>
      </c>
      <c r="G115" s="412"/>
      <c r="H115" s="410" t="s">
        <v>234</v>
      </c>
    </row>
    <row r="116" spans="1:8" ht="33.75">
      <c r="A116" s="411">
        <v>116</v>
      </c>
      <c r="B116" s="420">
        <v>59.01</v>
      </c>
      <c r="C116" s="412" t="s">
        <v>55</v>
      </c>
      <c r="D116" s="412" t="s">
        <v>56</v>
      </c>
      <c r="E116" s="413" t="s">
        <v>241</v>
      </c>
      <c r="F116" s="433" t="str">
        <f t="shared" si="1"/>
        <v>Link</v>
      </c>
      <c r="G116" s="412" t="s">
        <v>2967</v>
      </c>
      <c r="H116" s="410" t="s">
        <v>3131</v>
      </c>
    </row>
    <row r="117" spans="1:8">
      <c r="A117" s="411">
        <v>117</v>
      </c>
      <c r="B117" s="420">
        <v>59.02</v>
      </c>
      <c r="C117" s="412" t="s">
        <v>55</v>
      </c>
      <c r="D117" s="412" t="s">
        <v>56</v>
      </c>
      <c r="E117" s="413" t="s">
        <v>247</v>
      </c>
      <c r="F117" s="433" t="str">
        <f t="shared" si="1"/>
        <v>Link</v>
      </c>
      <c r="G117" s="412" t="s">
        <v>248</v>
      </c>
      <c r="H117" s="410" t="s">
        <v>3132</v>
      </c>
    </row>
    <row r="118" spans="1:8" ht="22.5">
      <c r="A118" s="411">
        <v>118</v>
      </c>
      <c r="B118" s="420">
        <v>59.03</v>
      </c>
      <c r="C118" s="412" t="s">
        <v>55</v>
      </c>
      <c r="D118" s="412" t="s">
        <v>56</v>
      </c>
      <c r="E118" s="413" t="s">
        <v>250</v>
      </c>
      <c r="F118" s="433" t="str">
        <f t="shared" si="1"/>
        <v>Link</v>
      </c>
      <c r="G118" s="412" t="s">
        <v>251</v>
      </c>
      <c r="H118" s="410" t="s">
        <v>3133</v>
      </c>
    </row>
    <row r="119" spans="1:8" ht="22.5">
      <c r="A119" s="411">
        <v>119</v>
      </c>
      <c r="B119" s="420">
        <v>59.04</v>
      </c>
      <c r="C119" s="412" t="s">
        <v>55</v>
      </c>
      <c r="D119" s="412" t="s">
        <v>56</v>
      </c>
      <c r="E119" s="413" t="s">
        <v>260</v>
      </c>
      <c r="F119" s="433" t="str">
        <f t="shared" si="1"/>
        <v>Link</v>
      </c>
      <c r="G119" s="412" t="s">
        <v>261</v>
      </c>
      <c r="H119" s="410" t="s">
        <v>3134</v>
      </c>
    </row>
    <row r="120" spans="1:8" ht="22.5">
      <c r="A120" s="411">
        <v>120</v>
      </c>
      <c r="B120" s="420">
        <v>59.05</v>
      </c>
      <c r="C120" s="412" t="s">
        <v>55</v>
      </c>
      <c r="D120" s="412" t="s">
        <v>56</v>
      </c>
      <c r="E120" s="413" t="s">
        <v>267</v>
      </c>
      <c r="F120" s="433" t="str">
        <f t="shared" si="1"/>
        <v>Link</v>
      </c>
      <c r="G120" s="412" t="s">
        <v>268</v>
      </c>
      <c r="H120" s="410" t="s">
        <v>3135</v>
      </c>
    </row>
    <row r="121" spans="1:8">
      <c r="A121" s="411">
        <v>121</v>
      </c>
      <c r="B121" s="420">
        <v>59.06</v>
      </c>
      <c r="C121" s="412" t="s">
        <v>55</v>
      </c>
      <c r="D121" s="412" t="s">
        <v>56</v>
      </c>
      <c r="E121" s="413" t="s">
        <v>272</v>
      </c>
      <c r="F121" s="433" t="str">
        <f t="shared" si="1"/>
        <v>Link</v>
      </c>
      <c r="G121" s="412"/>
      <c r="H121" s="410" t="s">
        <v>3136</v>
      </c>
    </row>
    <row r="122" spans="1:8">
      <c r="A122" s="411">
        <v>122</v>
      </c>
      <c r="B122" s="420">
        <v>59.07</v>
      </c>
      <c r="C122" s="412" t="s">
        <v>55</v>
      </c>
      <c r="D122" s="412" t="s">
        <v>56</v>
      </c>
      <c r="E122" s="413" t="s">
        <v>275</v>
      </c>
      <c r="F122" s="433" t="str">
        <f t="shared" si="1"/>
        <v>Link</v>
      </c>
      <c r="G122" s="412"/>
      <c r="H122" s="410" t="s">
        <v>3137</v>
      </c>
    </row>
    <row r="123" spans="1:8" ht="22.5">
      <c r="A123" s="411">
        <v>123</v>
      </c>
      <c r="B123" s="420">
        <v>59.08</v>
      </c>
      <c r="C123" s="412" t="s">
        <v>55</v>
      </c>
      <c r="D123" s="412" t="s">
        <v>56</v>
      </c>
      <c r="E123" s="413" t="s">
        <v>277</v>
      </c>
      <c r="F123" s="433" t="str">
        <f t="shared" si="1"/>
        <v>Link</v>
      </c>
      <c r="G123" s="412" t="s">
        <v>2968</v>
      </c>
      <c r="H123" s="410" t="s">
        <v>3138</v>
      </c>
    </row>
    <row r="124" spans="1:8">
      <c r="A124" s="411">
        <v>124</v>
      </c>
      <c r="B124" s="420">
        <v>59.09</v>
      </c>
      <c r="C124" s="412" t="s">
        <v>55</v>
      </c>
      <c r="D124" s="412" t="s">
        <v>56</v>
      </c>
      <c r="E124" s="413" t="s">
        <v>2969</v>
      </c>
      <c r="F124" s="433" t="str">
        <f t="shared" si="1"/>
        <v>Link</v>
      </c>
      <c r="G124" s="412" t="s">
        <v>282</v>
      </c>
      <c r="H124" s="410" t="s">
        <v>3139</v>
      </c>
    </row>
    <row r="125" spans="1:8">
      <c r="A125" s="411">
        <v>125</v>
      </c>
      <c r="B125" s="420">
        <v>59.1</v>
      </c>
      <c r="C125" s="412" t="s">
        <v>55</v>
      </c>
      <c r="D125" s="412" t="s">
        <v>56</v>
      </c>
      <c r="E125" s="413" t="s">
        <v>285</v>
      </c>
      <c r="F125" s="433" t="str">
        <f t="shared" si="1"/>
        <v>Link</v>
      </c>
      <c r="G125" s="412"/>
      <c r="H125" s="410" t="s">
        <v>3140</v>
      </c>
    </row>
    <row r="126" spans="1:8">
      <c r="A126" s="411">
        <v>126</v>
      </c>
      <c r="B126" s="420">
        <v>59.11</v>
      </c>
      <c r="C126" s="412" t="s">
        <v>55</v>
      </c>
      <c r="D126" s="412" t="s">
        <v>56</v>
      </c>
      <c r="E126" s="413" t="s">
        <v>288</v>
      </c>
      <c r="F126" s="433" t="str">
        <f t="shared" si="1"/>
        <v>Link</v>
      </c>
      <c r="G126" s="412"/>
      <c r="H126" s="410" t="s">
        <v>3141</v>
      </c>
    </row>
    <row r="127" spans="1:8">
      <c r="A127" s="411">
        <v>127</v>
      </c>
      <c r="B127" s="420">
        <v>59.120000000000097</v>
      </c>
      <c r="C127" s="412" t="s">
        <v>55</v>
      </c>
      <c r="D127" s="412" t="s">
        <v>56</v>
      </c>
      <c r="E127" s="413" t="s">
        <v>291</v>
      </c>
      <c r="F127" s="433" t="str">
        <f t="shared" si="1"/>
        <v>Link</v>
      </c>
      <c r="G127" s="412"/>
      <c r="H127" s="410" t="s">
        <v>3142</v>
      </c>
    </row>
    <row r="128" spans="1:8" ht="56.25">
      <c r="A128" s="411">
        <v>128</v>
      </c>
      <c r="B128" s="420">
        <v>59.130000000000102</v>
      </c>
      <c r="C128" s="412" t="s">
        <v>55</v>
      </c>
      <c r="D128" s="412" t="s">
        <v>56</v>
      </c>
      <c r="E128" s="413" t="s">
        <v>294</v>
      </c>
      <c r="F128" s="433" t="str">
        <f t="shared" si="1"/>
        <v>Link</v>
      </c>
      <c r="G128" s="412" t="s">
        <v>295</v>
      </c>
      <c r="H128" s="410" t="s">
        <v>3143</v>
      </c>
    </row>
    <row r="129" spans="1:8" ht="22.5">
      <c r="A129" s="411">
        <v>129</v>
      </c>
      <c r="B129" s="420">
        <v>59.1400000000001</v>
      </c>
      <c r="C129" s="412" t="s">
        <v>55</v>
      </c>
      <c r="D129" s="412" t="s">
        <v>56</v>
      </c>
      <c r="E129" s="413" t="s">
        <v>296</v>
      </c>
      <c r="F129" s="433" t="str">
        <f t="shared" si="1"/>
        <v>Link</v>
      </c>
      <c r="G129" s="412" t="s">
        <v>297</v>
      </c>
      <c r="H129" s="410" t="s">
        <v>3144</v>
      </c>
    </row>
    <row r="130" spans="1:8">
      <c r="A130" s="411">
        <v>130</v>
      </c>
      <c r="B130" s="412">
        <v>62</v>
      </c>
      <c r="C130" s="412" t="s">
        <v>55</v>
      </c>
      <c r="D130" s="412" t="s">
        <v>56</v>
      </c>
      <c r="E130" s="415" t="s">
        <v>300</v>
      </c>
      <c r="F130" s="433" t="str">
        <f t="shared" si="1"/>
        <v>Link</v>
      </c>
      <c r="G130" s="412"/>
      <c r="H130" s="410" t="s">
        <v>299</v>
      </c>
    </row>
    <row r="131" spans="1:8">
      <c r="A131" s="411">
        <v>131</v>
      </c>
      <c r="B131" s="420">
        <v>62.01</v>
      </c>
      <c r="C131" s="412" t="s">
        <v>55</v>
      </c>
      <c r="D131" s="412" t="s">
        <v>56</v>
      </c>
      <c r="E131" s="413" t="s">
        <v>302</v>
      </c>
      <c r="F131" s="433" t="str">
        <f t="shared" ref="F131:F194" si="2">HYPERLINK(H131,"Link")</f>
        <v>Link</v>
      </c>
      <c r="G131" s="412"/>
      <c r="H131" s="410" t="s">
        <v>3145</v>
      </c>
    </row>
    <row r="132" spans="1:8" ht="33.75">
      <c r="A132" s="411">
        <v>132</v>
      </c>
      <c r="B132" s="420">
        <v>62.02</v>
      </c>
      <c r="C132" s="412" t="s">
        <v>55</v>
      </c>
      <c r="D132" s="412" t="s">
        <v>56</v>
      </c>
      <c r="E132" s="413" t="s">
        <v>304</v>
      </c>
      <c r="F132" s="433" t="str">
        <f t="shared" si="2"/>
        <v>Link</v>
      </c>
      <c r="G132" s="412" t="s">
        <v>305</v>
      </c>
      <c r="H132" s="410" t="s">
        <v>3146</v>
      </c>
    </row>
    <row r="133" spans="1:8" ht="33.75">
      <c r="A133" s="411">
        <v>133</v>
      </c>
      <c r="B133" s="420">
        <v>62.03</v>
      </c>
      <c r="C133" s="412" t="s">
        <v>55</v>
      </c>
      <c r="D133" s="412" t="s">
        <v>56</v>
      </c>
      <c r="E133" s="413" t="s">
        <v>307</v>
      </c>
      <c r="F133" s="433" t="str">
        <f t="shared" si="2"/>
        <v>Link</v>
      </c>
      <c r="G133" s="412" t="s">
        <v>308</v>
      </c>
      <c r="H133" s="410" t="s">
        <v>3147</v>
      </c>
    </row>
    <row r="134" spans="1:8">
      <c r="A134" s="411">
        <v>134</v>
      </c>
      <c r="B134" s="420">
        <v>62.04</v>
      </c>
      <c r="C134" s="412" t="s">
        <v>55</v>
      </c>
      <c r="D134" s="412" t="s">
        <v>56</v>
      </c>
      <c r="E134" s="413" t="s">
        <v>310</v>
      </c>
      <c r="F134" s="433" t="str">
        <f t="shared" si="2"/>
        <v>Link</v>
      </c>
      <c r="G134" s="412"/>
      <c r="H134" s="410" t="s">
        <v>3148</v>
      </c>
    </row>
    <row r="135" spans="1:8">
      <c r="A135" s="411">
        <v>135</v>
      </c>
      <c r="B135" s="420">
        <v>62.05</v>
      </c>
      <c r="C135" s="412" t="s">
        <v>55</v>
      </c>
      <c r="D135" s="412" t="s">
        <v>56</v>
      </c>
      <c r="E135" s="413" t="s">
        <v>311</v>
      </c>
      <c r="F135" s="433" t="str">
        <f t="shared" si="2"/>
        <v>Link</v>
      </c>
      <c r="G135" s="412"/>
      <c r="H135" s="410" t="s">
        <v>3149</v>
      </c>
    </row>
    <row r="136" spans="1:8">
      <c r="A136" s="411">
        <v>136</v>
      </c>
      <c r="B136" s="420">
        <v>62.06</v>
      </c>
      <c r="C136" s="412" t="s">
        <v>55</v>
      </c>
      <c r="D136" s="412" t="s">
        <v>56</v>
      </c>
      <c r="E136" s="413" t="s">
        <v>313</v>
      </c>
      <c r="F136" s="433" t="str">
        <f t="shared" si="2"/>
        <v>Link</v>
      </c>
      <c r="G136" s="412"/>
      <c r="H136" s="410" t="s">
        <v>3150</v>
      </c>
    </row>
    <row r="137" spans="1:8">
      <c r="A137" s="411">
        <v>137</v>
      </c>
      <c r="B137" s="420">
        <v>62.07</v>
      </c>
      <c r="C137" s="412" t="s">
        <v>55</v>
      </c>
      <c r="D137" s="412" t="s">
        <v>56</v>
      </c>
      <c r="E137" s="413" t="s">
        <v>314</v>
      </c>
      <c r="F137" s="433" t="str">
        <f t="shared" si="2"/>
        <v>Link</v>
      </c>
      <c r="G137" s="412"/>
      <c r="H137" s="410" t="s">
        <v>3151</v>
      </c>
    </row>
    <row r="138" spans="1:8" ht="45">
      <c r="A138" s="411">
        <v>138</v>
      </c>
      <c r="B138" s="412">
        <v>63</v>
      </c>
      <c r="C138" s="418" t="s">
        <v>382</v>
      </c>
      <c r="D138" s="412" t="s">
        <v>56</v>
      </c>
      <c r="E138" s="413" t="s">
        <v>2355</v>
      </c>
      <c r="F138" s="433" t="str">
        <f t="shared" si="2"/>
        <v>Link</v>
      </c>
      <c r="G138" s="417" t="s">
        <v>2356</v>
      </c>
      <c r="H138" s="410" t="s">
        <v>384</v>
      </c>
    </row>
    <row r="139" spans="1:8">
      <c r="A139" s="411">
        <v>139</v>
      </c>
      <c r="B139" s="412">
        <v>64</v>
      </c>
      <c r="C139" s="418" t="s">
        <v>382</v>
      </c>
      <c r="D139" s="412" t="s">
        <v>56</v>
      </c>
      <c r="E139" s="415" t="s">
        <v>389</v>
      </c>
      <c r="F139" s="433" t="str">
        <f t="shared" si="2"/>
        <v>Link</v>
      </c>
      <c r="G139" s="412"/>
      <c r="H139" s="410" t="s">
        <v>388</v>
      </c>
    </row>
    <row r="140" spans="1:8" ht="22.5">
      <c r="A140" s="411">
        <v>140</v>
      </c>
      <c r="B140" s="417">
        <v>64.010000000000005</v>
      </c>
      <c r="C140" s="418" t="s">
        <v>382</v>
      </c>
      <c r="D140" s="412" t="s">
        <v>56</v>
      </c>
      <c r="E140" s="416" t="s">
        <v>2363</v>
      </c>
      <c r="F140" s="433" t="str">
        <f t="shared" si="2"/>
        <v>Link</v>
      </c>
      <c r="G140" s="417" t="s">
        <v>2364</v>
      </c>
      <c r="H140" s="410" t="s">
        <v>3152</v>
      </c>
    </row>
    <row r="141" spans="1:8">
      <c r="A141" s="411">
        <v>141</v>
      </c>
      <c r="B141" s="412">
        <v>65</v>
      </c>
      <c r="C141" s="418" t="s">
        <v>382</v>
      </c>
      <c r="D141" s="412" t="s">
        <v>56</v>
      </c>
      <c r="E141" s="415" t="s">
        <v>394</v>
      </c>
      <c r="F141" s="433" t="str">
        <f t="shared" si="2"/>
        <v>Link</v>
      </c>
      <c r="G141" s="412"/>
      <c r="H141" s="410" t="s">
        <v>393</v>
      </c>
    </row>
    <row r="142" spans="1:8">
      <c r="A142" s="411">
        <v>142</v>
      </c>
      <c r="B142" s="417">
        <v>65.010000000000005</v>
      </c>
      <c r="C142" s="418" t="s">
        <v>382</v>
      </c>
      <c r="D142" s="412" t="s">
        <v>56</v>
      </c>
      <c r="E142" s="413" t="s">
        <v>2369</v>
      </c>
      <c r="F142" s="433" t="str">
        <f t="shared" si="2"/>
        <v>Link</v>
      </c>
      <c r="G142" s="412"/>
      <c r="H142" s="410" t="s">
        <v>3153</v>
      </c>
    </row>
    <row r="143" spans="1:8">
      <c r="A143" s="411">
        <v>143</v>
      </c>
      <c r="B143" s="417">
        <v>65.02</v>
      </c>
      <c r="C143" s="418" t="s">
        <v>382</v>
      </c>
      <c r="D143" s="412" t="s">
        <v>56</v>
      </c>
      <c r="E143" s="413" t="s">
        <v>2372</v>
      </c>
      <c r="F143" s="433" t="str">
        <f t="shared" si="2"/>
        <v>Link</v>
      </c>
      <c r="G143" s="412"/>
      <c r="H143" s="410" t="s">
        <v>3154</v>
      </c>
    </row>
    <row r="144" spans="1:8" ht="22.5">
      <c r="A144" s="411">
        <v>144</v>
      </c>
      <c r="B144" s="412">
        <v>68</v>
      </c>
      <c r="C144" s="418" t="s">
        <v>382</v>
      </c>
      <c r="D144" s="412" t="s">
        <v>56</v>
      </c>
      <c r="E144" s="413" t="s">
        <v>2373</v>
      </c>
      <c r="F144" s="433" t="str">
        <f t="shared" si="2"/>
        <v>Link</v>
      </c>
      <c r="G144" s="412" t="s">
        <v>2374</v>
      </c>
      <c r="H144" s="410" t="s">
        <v>412</v>
      </c>
    </row>
    <row r="145" spans="1:8" ht="22.5">
      <c r="A145" s="411">
        <v>145</v>
      </c>
      <c r="B145" s="412">
        <v>69</v>
      </c>
      <c r="C145" s="418" t="s">
        <v>382</v>
      </c>
      <c r="D145" s="412" t="s">
        <v>56</v>
      </c>
      <c r="E145" s="415" t="s">
        <v>420</v>
      </c>
      <c r="F145" s="433" t="str">
        <f t="shared" si="2"/>
        <v>Link</v>
      </c>
      <c r="G145" s="412"/>
      <c r="H145" s="410" t="s">
        <v>418</v>
      </c>
    </row>
    <row r="146" spans="1:8" ht="22.5">
      <c r="A146" s="411">
        <v>146</v>
      </c>
      <c r="B146" s="412">
        <v>69.010000000000005</v>
      </c>
      <c r="C146" s="418" t="s">
        <v>382</v>
      </c>
      <c r="D146" s="412" t="s">
        <v>56</v>
      </c>
      <c r="E146" s="413" t="s">
        <v>2381</v>
      </c>
      <c r="F146" s="433" t="str">
        <f t="shared" si="2"/>
        <v>Link</v>
      </c>
      <c r="G146" s="412" t="s">
        <v>2374</v>
      </c>
      <c r="H146" s="410" t="s">
        <v>3155</v>
      </c>
    </row>
    <row r="147" spans="1:8" ht="22.5">
      <c r="A147" s="411">
        <v>147</v>
      </c>
      <c r="B147" s="412">
        <v>69.02</v>
      </c>
      <c r="C147" s="418" t="s">
        <v>382</v>
      </c>
      <c r="D147" s="412" t="s">
        <v>56</v>
      </c>
      <c r="E147" s="413" t="s">
        <v>2383</v>
      </c>
      <c r="F147" s="433" t="str">
        <f t="shared" si="2"/>
        <v>Link</v>
      </c>
      <c r="G147" s="412" t="s">
        <v>2384</v>
      </c>
      <c r="H147" s="410" t="s">
        <v>3156</v>
      </c>
    </row>
    <row r="148" spans="1:8" ht="22.5">
      <c r="A148" s="411">
        <v>148</v>
      </c>
      <c r="B148" s="412">
        <v>70</v>
      </c>
      <c r="C148" s="418" t="s">
        <v>382</v>
      </c>
      <c r="D148" s="412" t="s">
        <v>56</v>
      </c>
      <c r="E148" s="415" t="s">
        <v>423</v>
      </c>
      <c r="F148" s="433" t="str">
        <f t="shared" si="2"/>
        <v>Link</v>
      </c>
      <c r="G148" s="412"/>
      <c r="H148" s="410" t="s">
        <v>422</v>
      </c>
    </row>
    <row r="149" spans="1:8">
      <c r="A149" s="411">
        <v>149</v>
      </c>
      <c r="B149" s="412">
        <v>71</v>
      </c>
      <c r="C149" s="418" t="s">
        <v>382</v>
      </c>
      <c r="D149" s="412" t="s">
        <v>56</v>
      </c>
      <c r="E149" s="413" t="s">
        <v>2392</v>
      </c>
      <c r="F149" s="433" t="str">
        <f t="shared" si="2"/>
        <v>Link</v>
      </c>
      <c r="G149" s="412" t="s">
        <v>2393</v>
      </c>
      <c r="H149" s="410" t="s">
        <v>429</v>
      </c>
    </row>
    <row r="150" spans="1:8" ht="22.5">
      <c r="A150" s="411">
        <v>150</v>
      </c>
      <c r="B150" s="412">
        <v>72</v>
      </c>
      <c r="C150" s="418" t="s">
        <v>382</v>
      </c>
      <c r="D150" s="412" t="s">
        <v>56</v>
      </c>
      <c r="E150" s="415" t="s">
        <v>438</v>
      </c>
      <c r="F150" s="433" t="str">
        <f t="shared" si="2"/>
        <v>Link</v>
      </c>
      <c r="G150" s="412"/>
      <c r="H150" s="410" t="s">
        <v>437</v>
      </c>
    </row>
    <row r="151" spans="1:8" ht="22.5">
      <c r="A151" s="411">
        <v>151</v>
      </c>
      <c r="B151" s="420">
        <v>72.010000000000005</v>
      </c>
      <c r="C151" s="418" t="s">
        <v>382</v>
      </c>
      <c r="D151" s="412" t="s">
        <v>56</v>
      </c>
      <c r="E151" s="413" t="s">
        <v>2398</v>
      </c>
      <c r="F151" s="433" t="str">
        <f t="shared" si="2"/>
        <v>Link</v>
      </c>
      <c r="G151" s="412" t="s">
        <v>2399</v>
      </c>
      <c r="H151" s="410" t="s">
        <v>3157</v>
      </c>
    </row>
    <row r="152" spans="1:8">
      <c r="A152" s="411">
        <v>152</v>
      </c>
      <c r="B152" s="412">
        <v>73</v>
      </c>
      <c r="C152" s="418" t="s">
        <v>54</v>
      </c>
      <c r="D152" s="412" t="s">
        <v>56</v>
      </c>
      <c r="E152" s="415" t="s">
        <v>284</v>
      </c>
      <c r="F152" s="433" t="str">
        <f t="shared" si="2"/>
        <v>Link</v>
      </c>
      <c r="G152" s="412"/>
      <c r="H152" s="410" t="s">
        <v>283</v>
      </c>
    </row>
    <row r="153" spans="1:8" ht="22.5">
      <c r="A153" s="411">
        <v>153</v>
      </c>
      <c r="B153" s="412">
        <v>73.010000000000005</v>
      </c>
      <c r="C153" s="418" t="s">
        <v>54</v>
      </c>
      <c r="D153" s="412" t="s">
        <v>56</v>
      </c>
      <c r="E153" s="413" t="s">
        <v>287</v>
      </c>
      <c r="F153" s="433" t="str">
        <f t="shared" si="2"/>
        <v>Link</v>
      </c>
      <c r="G153" s="412" t="s">
        <v>289</v>
      </c>
      <c r="H153" s="410" t="s">
        <v>3412</v>
      </c>
    </row>
    <row r="154" spans="1:8" ht="22.5">
      <c r="A154" s="411">
        <v>154</v>
      </c>
      <c r="B154" s="412">
        <v>73.02</v>
      </c>
      <c r="C154" s="418" t="s">
        <v>54</v>
      </c>
      <c r="D154" s="412" t="s">
        <v>56</v>
      </c>
      <c r="E154" s="413" t="s">
        <v>292</v>
      </c>
      <c r="F154" s="433" t="str">
        <f t="shared" si="2"/>
        <v>Link</v>
      </c>
      <c r="G154" s="412"/>
      <c r="H154" s="410" t="s">
        <v>3413</v>
      </c>
    </row>
    <row r="155" spans="1:8" ht="22.5">
      <c r="A155" s="411">
        <v>155</v>
      </c>
      <c r="B155" s="412">
        <v>73.03</v>
      </c>
      <c r="C155" s="418" t="s">
        <v>54</v>
      </c>
      <c r="D155" s="412" t="s">
        <v>56</v>
      </c>
      <c r="E155" s="413" t="s">
        <v>293</v>
      </c>
      <c r="F155" s="433" t="str">
        <f t="shared" si="2"/>
        <v>Link</v>
      </c>
      <c r="G155" s="412"/>
      <c r="H155" s="410" t="s">
        <v>3414</v>
      </c>
    </row>
    <row r="156" spans="1:8" ht="22.5">
      <c r="A156" s="411">
        <v>156</v>
      </c>
      <c r="B156" s="412">
        <v>73.040000000000006</v>
      </c>
      <c r="C156" s="418" t="s">
        <v>54</v>
      </c>
      <c r="D156" s="412" t="s">
        <v>56</v>
      </c>
      <c r="E156" s="413" t="s">
        <v>298</v>
      </c>
      <c r="F156" s="433" t="str">
        <f t="shared" si="2"/>
        <v>Link</v>
      </c>
      <c r="G156" s="412"/>
      <c r="H156" s="410" t="s">
        <v>3415</v>
      </c>
    </row>
    <row r="157" spans="1:8">
      <c r="A157" s="411">
        <v>157</v>
      </c>
      <c r="B157" s="412">
        <v>73.05</v>
      </c>
      <c r="C157" s="418" t="s">
        <v>54</v>
      </c>
      <c r="D157" s="412" t="s">
        <v>56</v>
      </c>
      <c r="E157" s="413" t="s">
        <v>301</v>
      </c>
      <c r="F157" s="433" t="str">
        <f t="shared" si="2"/>
        <v>Link</v>
      </c>
      <c r="G157" s="412"/>
      <c r="H157" s="410" t="s">
        <v>3416</v>
      </c>
    </row>
    <row r="158" spans="1:8">
      <c r="A158" s="411">
        <v>158</v>
      </c>
      <c r="B158" s="412">
        <v>73.06</v>
      </c>
      <c r="C158" s="418" t="s">
        <v>54</v>
      </c>
      <c r="D158" s="412" t="s">
        <v>56</v>
      </c>
      <c r="E158" s="413" t="s">
        <v>303</v>
      </c>
      <c r="F158" s="433" t="str">
        <f t="shared" si="2"/>
        <v>Link</v>
      </c>
      <c r="G158" s="412"/>
      <c r="H158" s="410" t="s">
        <v>3417</v>
      </c>
    </row>
    <row r="159" spans="1:8">
      <c r="A159" s="411">
        <v>159</v>
      </c>
      <c r="B159" s="412">
        <v>73.069999999999993</v>
      </c>
      <c r="C159" s="418" t="s">
        <v>54</v>
      </c>
      <c r="D159" s="412" t="s">
        <v>56</v>
      </c>
      <c r="E159" s="413" t="s">
        <v>306</v>
      </c>
      <c r="F159" s="433" t="str">
        <f t="shared" si="2"/>
        <v>Link</v>
      </c>
      <c r="G159" s="412"/>
      <c r="H159" s="410" t="s">
        <v>3418</v>
      </c>
    </row>
    <row r="160" spans="1:8" ht="22.5">
      <c r="A160" s="411">
        <v>160</v>
      </c>
      <c r="B160" s="412">
        <v>73.08</v>
      </c>
      <c r="C160" s="418" t="s">
        <v>54</v>
      </c>
      <c r="D160" s="412" t="s">
        <v>56</v>
      </c>
      <c r="E160" s="413" t="s">
        <v>309</v>
      </c>
      <c r="F160" s="433" t="str">
        <f t="shared" si="2"/>
        <v>Link</v>
      </c>
      <c r="G160" s="412"/>
      <c r="H160" s="410" t="s">
        <v>3419</v>
      </c>
    </row>
    <row r="161" spans="1:8">
      <c r="A161" s="411">
        <v>161</v>
      </c>
      <c r="B161" s="412">
        <v>73.09</v>
      </c>
      <c r="C161" s="418" t="s">
        <v>54</v>
      </c>
      <c r="D161" s="412" t="s">
        <v>56</v>
      </c>
      <c r="E161" s="416" t="s">
        <v>312</v>
      </c>
      <c r="F161" s="433" t="str">
        <f t="shared" si="2"/>
        <v>Link</v>
      </c>
      <c r="G161" s="421"/>
      <c r="H161" s="410" t="s">
        <v>3420</v>
      </c>
    </row>
    <row r="162" spans="1:8">
      <c r="A162" s="411">
        <v>162</v>
      </c>
      <c r="B162" s="420">
        <v>73.099999999999994</v>
      </c>
      <c r="C162" s="418" t="s">
        <v>54</v>
      </c>
      <c r="D162" s="412" t="s">
        <v>56</v>
      </c>
      <c r="E162" s="413" t="s">
        <v>315</v>
      </c>
      <c r="F162" s="433" t="str">
        <f t="shared" si="2"/>
        <v>Link</v>
      </c>
      <c r="G162" s="412"/>
      <c r="H162" s="410" t="s">
        <v>3421</v>
      </c>
    </row>
    <row r="163" spans="1:8">
      <c r="A163" s="411">
        <v>163</v>
      </c>
      <c r="B163" s="412">
        <v>73.11</v>
      </c>
      <c r="C163" s="418" t="s">
        <v>54</v>
      </c>
      <c r="D163" s="412" t="s">
        <v>56</v>
      </c>
      <c r="E163" s="413" t="s">
        <v>320</v>
      </c>
      <c r="F163" s="433" t="str">
        <f t="shared" si="2"/>
        <v>Link</v>
      </c>
      <c r="G163" s="425"/>
      <c r="H163" s="410" t="s">
        <v>3422</v>
      </c>
    </row>
    <row r="164" spans="1:8" ht="22.5">
      <c r="A164" s="411">
        <v>164</v>
      </c>
      <c r="B164" s="412">
        <v>73.12</v>
      </c>
      <c r="C164" s="418" t="s">
        <v>54</v>
      </c>
      <c r="D164" s="412" t="s">
        <v>56</v>
      </c>
      <c r="E164" s="413" t="s">
        <v>325</v>
      </c>
      <c r="F164" s="433" t="str">
        <f t="shared" si="2"/>
        <v>Link</v>
      </c>
      <c r="G164" s="425"/>
      <c r="H164" s="410" t="s">
        <v>3423</v>
      </c>
    </row>
    <row r="165" spans="1:8">
      <c r="A165" s="411">
        <v>165</v>
      </c>
      <c r="B165" s="412">
        <v>73.13</v>
      </c>
      <c r="C165" s="418" t="s">
        <v>54</v>
      </c>
      <c r="D165" s="412" t="s">
        <v>56</v>
      </c>
      <c r="E165" s="413" t="s">
        <v>329</v>
      </c>
      <c r="F165" s="433" t="str">
        <f t="shared" si="2"/>
        <v>Link</v>
      </c>
      <c r="G165" s="412"/>
      <c r="H165" s="410" t="s">
        <v>3424</v>
      </c>
    </row>
    <row r="166" spans="1:8" ht="22.5">
      <c r="A166" s="411">
        <v>166</v>
      </c>
      <c r="B166" s="412">
        <v>73.14</v>
      </c>
      <c r="C166" s="418" t="s">
        <v>54</v>
      </c>
      <c r="D166" s="412" t="s">
        <v>56</v>
      </c>
      <c r="E166" s="413" t="s">
        <v>334</v>
      </c>
      <c r="F166" s="433" t="str">
        <f t="shared" si="2"/>
        <v>Link</v>
      </c>
      <c r="G166" s="425"/>
      <c r="H166" s="410" t="s">
        <v>3425</v>
      </c>
    </row>
    <row r="167" spans="1:8" ht="22.5">
      <c r="A167" s="411">
        <v>167</v>
      </c>
      <c r="B167" s="412">
        <v>73.150000000000006</v>
      </c>
      <c r="C167" s="418" t="s">
        <v>54</v>
      </c>
      <c r="D167" s="412" t="s">
        <v>56</v>
      </c>
      <c r="E167" s="413" t="s">
        <v>336</v>
      </c>
      <c r="F167" s="433" t="str">
        <f t="shared" si="2"/>
        <v>Link</v>
      </c>
      <c r="G167" s="412"/>
      <c r="H167" s="410" t="s">
        <v>3426</v>
      </c>
    </row>
    <row r="168" spans="1:8">
      <c r="A168" s="411">
        <v>168</v>
      </c>
      <c r="B168" s="412">
        <v>73.16</v>
      </c>
      <c r="C168" s="418" t="s">
        <v>54</v>
      </c>
      <c r="D168" s="412" t="s">
        <v>56</v>
      </c>
      <c r="E168" s="413" t="s">
        <v>341</v>
      </c>
      <c r="F168" s="433" t="str">
        <f t="shared" si="2"/>
        <v>Link</v>
      </c>
      <c r="G168" s="412"/>
      <c r="H168" s="410" t="s">
        <v>3427</v>
      </c>
    </row>
    <row r="169" spans="1:8" ht="22.5">
      <c r="A169" s="411">
        <v>169</v>
      </c>
      <c r="B169" s="412">
        <v>74</v>
      </c>
      <c r="C169" s="412" t="s">
        <v>55</v>
      </c>
      <c r="D169" s="412" t="s">
        <v>56</v>
      </c>
      <c r="E169" s="415" t="s">
        <v>319</v>
      </c>
      <c r="F169" s="433" t="str">
        <f t="shared" si="2"/>
        <v>Link</v>
      </c>
      <c r="G169" s="412"/>
      <c r="H169" s="410" t="s">
        <v>318</v>
      </c>
    </row>
    <row r="170" spans="1:8">
      <c r="A170" s="411">
        <v>170</v>
      </c>
      <c r="B170" s="420">
        <v>74.010000000000005</v>
      </c>
      <c r="C170" s="412" t="s">
        <v>55</v>
      </c>
      <c r="D170" s="412" t="s">
        <v>56</v>
      </c>
      <c r="E170" s="413" t="s">
        <v>2970</v>
      </c>
      <c r="F170" s="433" t="str">
        <f t="shared" si="2"/>
        <v>Link</v>
      </c>
      <c r="G170" s="412"/>
      <c r="H170" s="410" t="s">
        <v>3158</v>
      </c>
    </row>
    <row r="171" spans="1:8" ht="45">
      <c r="A171" s="411">
        <v>171</v>
      </c>
      <c r="B171" s="420">
        <v>74.02</v>
      </c>
      <c r="C171" s="412" t="s">
        <v>55</v>
      </c>
      <c r="D171" s="412" t="s">
        <v>56</v>
      </c>
      <c r="E171" s="413" t="s">
        <v>330</v>
      </c>
      <c r="F171" s="433" t="str">
        <f t="shared" si="2"/>
        <v>Link</v>
      </c>
      <c r="G171" s="412" t="s">
        <v>331</v>
      </c>
      <c r="H171" s="410" t="s">
        <v>3159</v>
      </c>
    </row>
    <row r="172" spans="1:8">
      <c r="A172" s="411">
        <v>172</v>
      </c>
      <c r="B172" s="420">
        <v>74.03</v>
      </c>
      <c r="C172" s="412" t="s">
        <v>55</v>
      </c>
      <c r="D172" s="412" t="s">
        <v>56</v>
      </c>
      <c r="E172" s="413" t="s">
        <v>335</v>
      </c>
      <c r="F172" s="433" t="str">
        <f t="shared" si="2"/>
        <v>Link</v>
      </c>
      <c r="G172" s="412"/>
      <c r="H172" s="410" t="s">
        <v>3160</v>
      </c>
    </row>
    <row r="173" spans="1:8">
      <c r="A173" s="411">
        <v>173</v>
      </c>
      <c r="B173" s="420">
        <v>74.040000000000006</v>
      </c>
      <c r="C173" s="412" t="s">
        <v>55</v>
      </c>
      <c r="D173" s="412" t="s">
        <v>56</v>
      </c>
      <c r="E173" s="413" t="s">
        <v>339</v>
      </c>
      <c r="F173" s="433" t="str">
        <f t="shared" si="2"/>
        <v>Link</v>
      </c>
      <c r="G173" s="412" t="s">
        <v>340</v>
      </c>
      <c r="H173" s="410" t="s">
        <v>3161</v>
      </c>
    </row>
    <row r="174" spans="1:8">
      <c r="A174" s="411">
        <v>174</v>
      </c>
      <c r="B174" s="420">
        <v>74.05</v>
      </c>
      <c r="C174" s="412" t="s">
        <v>55</v>
      </c>
      <c r="D174" s="412" t="s">
        <v>56</v>
      </c>
      <c r="E174" s="413" t="s">
        <v>344</v>
      </c>
      <c r="F174" s="433" t="str">
        <f t="shared" si="2"/>
        <v>Link</v>
      </c>
      <c r="G174" s="412"/>
      <c r="H174" s="410" t="s">
        <v>3162</v>
      </c>
    </row>
    <row r="175" spans="1:8">
      <c r="A175" s="411">
        <v>175</v>
      </c>
      <c r="B175" s="420">
        <v>74.06</v>
      </c>
      <c r="C175" s="412" t="s">
        <v>55</v>
      </c>
      <c r="D175" s="412" t="s">
        <v>56</v>
      </c>
      <c r="E175" s="413" t="s">
        <v>347</v>
      </c>
      <c r="F175" s="433" t="str">
        <f t="shared" si="2"/>
        <v>Link</v>
      </c>
      <c r="G175" s="412"/>
      <c r="H175" s="410" t="s">
        <v>3163</v>
      </c>
    </row>
    <row r="176" spans="1:8">
      <c r="A176" s="411">
        <v>176</v>
      </c>
      <c r="B176" s="420">
        <v>74.069999999999993</v>
      </c>
      <c r="C176" s="412" t="s">
        <v>55</v>
      </c>
      <c r="D176" s="412" t="s">
        <v>56</v>
      </c>
      <c r="E176" s="413" t="s">
        <v>350</v>
      </c>
      <c r="F176" s="433" t="str">
        <f t="shared" si="2"/>
        <v>Link</v>
      </c>
      <c r="G176" s="412"/>
      <c r="H176" s="410" t="s">
        <v>3164</v>
      </c>
    </row>
    <row r="177" spans="1:8">
      <c r="A177" s="411">
        <v>177</v>
      </c>
      <c r="B177" s="420">
        <v>74.079999999999899</v>
      </c>
      <c r="C177" s="412" t="s">
        <v>55</v>
      </c>
      <c r="D177" s="412" t="s">
        <v>56</v>
      </c>
      <c r="E177" s="413" t="s">
        <v>354</v>
      </c>
      <c r="F177" s="433" t="str">
        <f t="shared" si="2"/>
        <v>Link</v>
      </c>
      <c r="G177" s="412"/>
      <c r="H177" s="410" t="s">
        <v>3165</v>
      </c>
    </row>
    <row r="178" spans="1:8">
      <c r="A178" s="411">
        <v>178</v>
      </c>
      <c r="B178" s="420">
        <v>74.089999999999904</v>
      </c>
      <c r="C178" s="412" t="s">
        <v>55</v>
      </c>
      <c r="D178" s="412" t="s">
        <v>56</v>
      </c>
      <c r="E178" s="413" t="s">
        <v>355</v>
      </c>
      <c r="F178" s="433" t="str">
        <f t="shared" si="2"/>
        <v>Link</v>
      </c>
      <c r="G178" s="412"/>
      <c r="H178" s="410" t="s">
        <v>3166</v>
      </c>
    </row>
    <row r="179" spans="1:8">
      <c r="A179" s="411">
        <v>179</v>
      </c>
      <c r="B179" s="420">
        <v>74.099999999999895</v>
      </c>
      <c r="C179" s="412" t="s">
        <v>55</v>
      </c>
      <c r="D179" s="412" t="s">
        <v>56</v>
      </c>
      <c r="E179" s="413" t="s">
        <v>359</v>
      </c>
      <c r="F179" s="433" t="str">
        <f t="shared" si="2"/>
        <v>Link</v>
      </c>
      <c r="G179" s="412"/>
      <c r="H179" s="410" t="s">
        <v>3167</v>
      </c>
    </row>
    <row r="180" spans="1:8">
      <c r="A180" s="411">
        <v>180</v>
      </c>
      <c r="B180" s="420">
        <v>74.1099999999999</v>
      </c>
      <c r="C180" s="412" t="s">
        <v>55</v>
      </c>
      <c r="D180" s="412" t="s">
        <v>56</v>
      </c>
      <c r="E180" s="413" t="s">
        <v>360</v>
      </c>
      <c r="F180" s="433" t="str">
        <f t="shared" si="2"/>
        <v>Link</v>
      </c>
      <c r="G180" s="412" t="s">
        <v>361</v>
      </c>
      <c r="H180" s="410" t="s">
        <v>3168</v>
      </c>
    </row>
    <row r="181" spans="1:8">
      <c r="A181" s="411">
        <v>181</v>
      </c>
      <c r="B181" s="412">
        <v>75</v>
      </c>
      <c r="C181" s="418" t="s">
        <v>382</v>
      </c>
      <c r="D181" s="412" t="s">
        <v>56</v>
      </c>
      <c r="E181" s="415" t="s">
        <v>451</v>
      </c>
      <c r="F181" s="433" t="str">
        <f t="shared" si="2"/>
        <v>Link</v>
      </c>
      <c r="G181" s="412"/>
      <c r="H181" s="410" t="s">
        <v>450</v>
      </c>
    </row>
    <row r="182" spans="1:8" ht="33.75">
      <c r="A182" s="411">
        <v>182</v>
      </c>
      <c r="B182" s="412">
        <v>75.010000000000005</v>
      </c>
      <c r="C182" s="418" t="s">
        <v>382</v>
      </c>
      <c r="D182" s="412" t="s">
        <v>56</v>
      </c>
      <c r="E182" s="413" t="s">
        <v>2405</v>
      </c>
      <c r="F182" s="433" t="str">
        <f t="shared" si="2"/>
        <v>Link</v>
      </c>
      <c r="G182" s="412" t="s">
        <v>2407</v>
      </c>
      <c r="H182" s="410" t="s">
        <v>3169</v>
      </c>
    </row>
    <row r="183" spans="1:8">
      <c r="A183" s="411">
        <v>183</v>
      </c>
      <c r="B183" s="412">
        <v>75.02</v>
      </c>
      <c r="C183" s="418" t="s">
        <v>382</v>
      </c>
      <c r="D183" s="412" t="s">
        <v>56</v>
      </c>
      <c r="E183" s="413" t="s">
        <v>2408</v>
      </c>
      <c r="F183" s="433" t="str">
        <f t="shared" si="2"/>
        <v>Link</v>
      </c>
      <c r="G183" s="412"/>
      <c r="H183" s="410" t="s">
        <v>3170</v>
      </c>
    </row>
    <row r="184" spans="1:8">
      <c r="A184" s="411">
        <v>184</v>
      </c>
      <c r="B184" s="412">
        <v>75.03</v>
      </c>
      <c r="C184" s="418" t="s">
        <v>382</v>
      </c>
      <c r="D184" s="412" t="s">
        <v>56</v>
      </c>
      <c r="E184" s="413" t="s">
        <v>2411</v>
      </c>
      <c r="F184" s="433" t="str">
        <f t="shared" si="2"/>
        <v>Link</v>
      </c>
      <c r="G184" s="425" t="s">
        <v>2412</v>
      </c>
      <c r="H184" s="410" t="s">
        <v>3171</v>
      </c>
    </row>
    <row r="185" spans="1:8" ht="22.5">
      <c r="A185" s="411">
        <v>185</v>
      </c>
      <c r="B185" s="412">
        <v>75.040000000000006</v>
      </c>
      <c r="C185" s="418" t="s">
        <v>382</v>
      </c>
      <c r="D185" s="412" t="s">
        <v>56</v>
      </c>
      <c r="E185" s="413" t="s">
        <v>2415</v>
      </c>
      <c r="F185" s="433" t="str">
        <f t="shared" si="2"/>
        <v>Link</v>
      </c>
      <c r="G185" s="412" t="s">
        <v>2416</v>
      </c>
      <c r="H185" s="410" t="s">
        <v>3172</v>
      </c>
    </row>
    <row r="186" spans="1:8" ht="22.5">
      <c r="A186" s="411">
        <v>186</v>
      </c>
      <c r="B186" s="412">
        <v>75.040000000000006</v>
      </c>
      <c r="C186" s="418" t="s">
        <v>382</v>
      </c>
      <c r="D186" s="412" t="s">
        <v>56</v>
      </c>
      <c r="E186" s="413" t="s">
        <v>2419</v>
      </c>
      <c r="F186" s="433" t="str">
        <f t="shared" si="2"/>
        <v>Link</v>
      </c>
      <c r="G186" s="425" t="s">
        <v>2420</v>
      </c>
      <c r="H186" s="410" t="s">
        <v>3173</v>
      </c>
    </row>
    <row r="187" spans="1:8">
      <c r="A187" s="411">
        <v>187</v>
      </c>
      <c r="B187" s="412">
        <v>75.05</v>
      </c>
      <c r="C187" s="418" t="s">
        <v>382</v>
      </c>
      <c r="D187" s="412" t="s">
        <v>56</v>
      </c>
      <c r="E187" s="413" t="s">
        <v>2423</v>
      </c>
      <c r="F187" s="433" t="str">
        <f t="shared" si="2"/>
        <v>Link</v>
      </c>
      <c r="G187" s="425" t="s">
        <v>2424</v>
      </c>
      <c r="H187" s="410" t="s">
        <v>3174</v>
      </c>
    </row>
    <row r="188" spans="1:8">
      <c r="A188" s="411">
        <v>188</v>
      </c>
      <c r="B188" s="412">
        <v>76</v>
      </c>
      <c r="C188" s="418" t="s">
        <v>54</v>
      </c>
      <c r="D188" s="412" t="s">
        <v>56</v>
      </c>
      <c r="E188" s="415" t="s">
        <v>458</v>
      </c>
      <c r="F188" s="433" t="str">
        <f t="shared" si="2"/>
        <v>Link</v>
      </c>
      <c r="G188" s="412"/>
      <c r="H188" s="410" t="s">
        <v>457</v>
      </c>
    </row>
    <row r="189" spans="1:8">
      <c r="A189" s="411">
        <v>189</v>
      </c>
      <c r="B189" s="412">
        <v>76.010000000000005</v>
      </c>
      <c r="C189" s="418" t="s">
        <v>54</v>
      </c>
      <c r="D189" s="412" t="s">
        <v>56</v>
      </c>
      <c r="E189" s="413" t="s">
        <v>496</v>
      </c>
      <c r="F189" s="433" t="str">
        <f t="shared" si="2"/>
        <v>Link</v>
      </c>
      <c r="G189" s="412"/>
      <c r="H189" s="410" t="s">
        <v>3428</v>
      </c>
    </row>
    <row r="190" spans="1:8" ht="22.5">
      <c r="A190" s="411">
        <v>190</v>
      </c>
      <c r="B190" s="412">
        <v>76.02</v>
      </c>
      <c r="C190" s="418" t="s">
        <v>54</v>
      </c>
      <c r="D190" s="412" t="s">
        <v>56</v>
      </c>
      <c r="E190" s="413" t="s">
        <v>505</v>
      </c>
      <c r="F190" s="433" t="str">
        <f t="shared" si="2"/>
        <v>Link</v>
      </c>
      <c r="G190" s="412"/>
      <c r="H190" s="410" t="s">
        <v>3429</v>
      </c>
    </row>
    <row r="191" spans="1:8">
      <c r="A191" s="411">
        <v>191</v>
      </c>
      <c r="B191" s="412">
        <v>76.03</v>
      </c>
      <c r="C191" s="418" t="s">
        <v>54</v>
      </c>
      <c r="D191" s="412" t="s">
        <v>56</v>
      </c>
      <c r="E191" s="413" t="s">
        <v>510</v>
      </c>
      <c r="F191" s="433" t="str">
        <f t="shared" si="2"/>
        <v>Link</v>
      </c>
      <c r="G191" s="412"/>
      <c r="H191" s="410" t="s">
        <v>3430</v>
      </c>
    </row>
    <row r="192" spans="1:8" ht="22.5">
      <c r="A192" s="411">
        <v>192</v>
      </c>
      <c r="B192" s="412">
        <v>76.040000000000006</v>
      </c>
      <c r="C192" s="418" t="s">
        <v>54</v>
      </c>
      <c r="D192" s="412" t="s">
        <v>56</v>
      </c>
      <c r="E192" s="413" t="s">
        <v>512</v>
      </c>
      <c r="F192" s="433" t="str">
        <f t="shared" si="2"/>
        <v>Link</v>
      </c>
      <c r="G192" s="412"/>
      <c r="H192" s="410" t="s">
        <v>3431</v>
      </c>
    </row>
    <row r="193" spans="1:8">
      <c r="A193" s="411">
        <v>193</v>
      </c>
      <c r="B193" s="412">
        <v>76.05</v>
      </c>
      <c r="C193" s="418" t="s">
        <v>54</v>
      </c>
      <c r="D193" s="412" t="s">
        <v>56</v>
      </c>
      <c r="E193" s="413" t="s">
        <v>515</v>
      </c>
      <c r="F193" s="433" t="str">
        <f t="shared" si="2"/>
        <v>Link</v>
      </c>
      <c r="G193" s="412"/>
      <c r="H193" s="410" t="s">
        <v>3432</v>
      </c>
    </row>
    <row r="194" spans="1:8">
      <c r="A194" s="411">
        <v>194</v>
      </c>
      <c r="B194" s="412">
        <v>76.06</v>
      </c>
      <c r="C194" s="418" t="s">
        <v>54</v>
      </c>
      <c r="D194" s="412" t="s">
        <v>56</v>
      </c>
      <c r="E194" s="413" t="s">
        <v>521</v>
      </c>
      <c r="F194" s="433" t="str">
        <f t="shared" si="2"/>
        <v>Link</v>
      </c>
      <c r="G194" s="412"/>
      <c r="H194" s="410" t="s">
        <v>3433</v>
      </c>
    </row>
    <row r="195" spans="1:8" ht="22.5">
      <c r="A195" s="411">
        <v>195</v>
      </c>
      <c r="B195" s="412">
        <v>76.069999999999993</v>
      </c>
      <c r="C195" s="418" t="s">
        <v>54</v>
      </c>
      <c r="D195" s="412" t="s">
        <v>56</v>
      </c>
      <c r="E195" s="413" t="s">
        <v>524</v>
      </c>
      <c r="F195" s="433" t="str">
        <f t="shared" ref="F195:F258" si="3">HYPERLINK(H195,"Link")</f>
        <v>Link</v>
      </c>
      <c r="G195" s="412"/>
      <c r="H195" s="410" t="s">
        <v>3434</v>
      </c>
    </row>
    <row r="196" spans="1:8">
      <c r="A196" s="411">
        <v>196</v>
      </c>
      <c r="B196" s="412">
        <v>76.08</v>
      </c>
      <c r="C196" s="418" t="s">
        <v>54</v>
      </c>
      <c r="D196" s="412" t="s">
        <v>56</v>
      </c>
      <c r="E196" s="413" t="s">
        <v>529</v>
      </c>
      <c r="F196" s="433" t="str">
        <f t="shared" si="3"/>
        <v>Link</v>
      </c>
      <c r="G196" s="412"/>
      <c r="H196" s="410" t="s">
        <v>3435</v>
      </c>
    </row>
    <row r="197" spans="1:8">
      <c r="A197" s="411">
        <v>197</v>
      </c>
      <c r="B197" s="412">
        <v>76.09</v>
      </c>
      <c r="C197" s="418" t="s">
        <v>54</v>
      </c>
      <c r="D197" s="412" t="s">
        <v>56</v>
      </c>
      <c r="E197" s="413" t="s">
        <v>532</v>
      </c>
      <c r="F197" s="433" t="str">
        <f t="shared" si="3"/>
        <v>Link</v>
      </c>
      <c r="G197" s="412"/>
      <c r="H197" s="410" t="s">
        <v>3436</v>
      </c>
    </row>
    <row r="198" spans="1:8">
      <c r="A198" s="411">
        <v>198</v>
      </c>
      <c r="B198" s="420">
        <v>76.099999999999994</v>
      </c>
      <c r="C198" s="422" t="s">
        <v>54</v>
      </c>
      <c r="D198" s="420" t="s">
        <v>56</v>
      </c>
      <c r="E198" s="413" t="s">
        <v>539</v>
      </c>
      <c r="F198" s="433" t="str">
        <f t="shared" si="3"/>
        <v>Link</v>
      </c>
      <c r="G198" s="412"/>
      <c r="H198" s="410" t="s">
        <v>3437</v>
      </c>
    </row>
    <row r="199" spans="1:8">
      <c r="A199" s="411">
        <v>199</v>
      </c>
      <c r="B199" s="420">
        <v>76.11</v>
      </c>
      <c r="C199" s="422" t="s">
        <v>54</v>
      </c>
      <c r="D199" s="420" t="s">
        <v>56</v>
      </c>
      <c r="E199" s="413" t="s">
        <v>542</v>
      </c>
      <c r="F199" s="433" t="str">
        <f t="shared" si="3"/>
        <v>Link</v>
      </c>
      <c r="G199" s="412"/>
      <c r="H199" s="410" t="s">
        <v>3438</v>
      </c>
    </row>
    <row r="200" spans="1:8">
      <c r="A200" s="411">
        <v>200</v>
      </c>
      <c r="B200" s="420">
        <v>76.12</v>
      </c>
      <c r="C200" s="422" t="s">
        <v>54</v>
      </c>
      <c r="D200" s="420" t="s">
        <v>56</v>
      </c>
      <c r="E200" s="413" t="s">
        <v>544</v>
      </c>
      <c r="F200" s="433" t="str">
        <f t="shared" si="3"/>
        <v>Link</v>
      </c>
      <c r="G200" s="412"/>
      <c r="H200" s="410" t="s">
        <v>3439</v>
      </c>
    </row>
    <row r="201" spans="1:8">
      <c r="A201" s="411">
        <v>201</v>
      </c>
      <c r="B201" s="420">
        <v>76.13</v>
      </c>
      <c r="C201" s="422" t="s">
        <v>54</v>
      </c>
      <c r="D201" s="420" t="s">
        <v>56</v>
      </c>
      <c r="E201" s="413" t="s">
        <v>549</v>
      </c>
      <c r="F201" s="433" t="str">
        <f t="shared" si="3"/>
        <v>Link</v>
      </c>
      <c r="G201" s="412"/>
      <c r="H201" s="410" t="s">
        <v>3440</v>
      </c>
    </row>
    <row r="202" spans="1:8" ht="22.5">
      <c r="A202" s="411">
        <v>202</v>
      </c>
      <c r="B202" s="412">
        <v>79</v>
      </c>
      <c r="C202" s="412" t="s">
        <v>55</v>
      </c>
      <c r="D202" s="412" t="s">
        <v>56</v>
      </c>
      <c r="E202" s="415" t="s">
        <v>476</v>
      </c>
      <c r="F202" s="433" t="str">
        <f t="shared" si="3"/>
        <v>Link</v>
      </c>
      <c r="G202" s="412"/>
      <c r="H202" s="410" t="s">
        <v>475</v>
      </c>
    </row>
    <row r="203" spans="1:8">
      <c r="A203" s="411">
        <v>203</v>
      </c>
      <c r="B203" s="412">
        <v>79.010000000000005</v>
      </c>
      <c r="C203" s="412" t="s">
        <v>55</v>
      </c>
      <c r="D203" s="412" t="s">
        <v>56</v>
      </c>
      <c r="E203" s="413" t="s">
        <v>502</v>
      </c>
      <c r="F203" s="433" t="str">
        <f t="shared" si="3"/>
        <v>Link</v>
      </c>
      <c r="G203" s="412"/>
      <c r="H203" s="410" t="s">
        <v>3175</v>
      </c>
    </row>
    <row r="204" spans="1:8" ht="22.5">
      <c r="A204" s="411">
        <v>204</v>
      </c>
      <c r="B204" s="412">
        <v>89</v>
      </c>
      <c r="C204" s="412" t="s">
        <v>55</v>
      </c>
      <c r="D204" s="412" t="s">
        <v>56</v>
      </c>
      <c r="E204" s="415" t="s">
        <v>519</v>
      </c>
      <c r="F204" s="433" t="str">
        <f t="shared" si="3"/>
        <v>Link</v>
      </c>
      <c r="G204" s="412"/>
      <c r="H204" s="410" t="s">
        <v>518</v>
      </c>
    </row>
    <row r="205" spans="1:8">
      <c r="A205" s="411">
        <v>205</v>
      </c>
      <c r="B205" s="420">
        <v>89.01</v>
      </c>
      <c r="C205" s="418" t="s">
        <v>55</v>
      </c>
      <c r="D205" s="412" t="s">
        <v>56</v>
      </c>
      <c r="E205" s="413" t="s">
        <v>591</v>
      </c>
      <c r="F205" s="433" t="str">
        <f t="shared" si="3"/>
        <v>Link</v>
      </c>
      <c r="G205" s="412"/>
      <c r="H205" s="410" t="s">
        <v>3176</v>
      </c>
    </row>
    <row r="206" spans="1:8" ht="22.5">
      <c r="A206" s="411">
        <v>206</v>
      </c>
      <c r="B206" s="412">
        <v>89.02</v>
      </c>
      <c r="C206" s="418" t="s">
        <v>55</v>
      </c>
      <c r="D206" s="412" t="s">
        <v>56</v>
      </c>
      <c r="E206" s="413" t="s">
        <v>597</v>
      </c>
      <c r="F206" s="433" t="str">
        <f t="shared" si="3"/>
        <v>Link</v>
      </c>
      <c r="G206" s="412"/>
      <c r="H206" s="410" t="s">
        <v>3177</v>
      </c>
    </row>
    <row r="207" spans="1:8">
      <c r="A207" s="411">
        <v>207</v>
      </c>
      <c r="B207" s="420">
        <v>89.03</v>
      </c>
      <c r="C207" s="418" t="s">
        <v>55</v>
      </c>
      <c r="D207" s="412" t="s">
        <v>56</v>
      </c>
      <c r="E207" s="413" t="s">
        <v>601</v>
      </c>
      <c r="F207" s="433" t="str">
        <f t="shared" si="3"/>
        <v>Link</v>
      </c>
      <c r="G207" s="412"/>
      <c r="H207" s="410" t="s">
        <v>3178</v>
      </c>
    </row>
    <row r="208" spans="1:8">
      <c r="A208" s="411">
        <v>208</v>
      </c>
      <c r="B208" s="412">
        <v>89.04</v>
      </c>
      <c r="C208" s="418" t="s">
        <v>55</v>
      </c>
      <c r="D208" s="412" t="s">
        <v>56</v>
      </c>
      <c r="E208" s="413" t="s">
        <v>603</v>
      </c>
      <c r="F208" s="433" t="str">
        <f t="shared" si="3"/>
        <v>Link</v>
      </c>
      <c r="G208" s="412"/>
      <c r="H208" s="410" t="s">
        <v>3179</v>
      </c>
    </row>
    <row r="209" spans="1:8">
      <c r="A209" s="411">
        <v>209</v>
      </c>
      <c r="B209" s="420">
        <v>89.05</v>
      </c>
      <c r="C209" s="418" t="s">
        <v>55</v>
      </c>
      <c r="D209" s="412" t="s">
        <v>56</v>
      </c>
      <c r="E209" s="413" t="s">
        <v>604</v>
      </c>
      <c r="F209" s="433" t="str">
        <f t="shared" si="3"/>
        <v>Link</v>
      </c>
      <c r="G209" s="412"/>
      <c r="H209" s="410" t="s">
        <v>3180</v>
      </c>
    </row>
    <row r="210" spans="1:8" ht="22.5">
      <c r="A210" s="411">
        <v>210</v>
      </c>
      <c r="B210" s="412">
        <v>89.06</v>
      </c>
      <c r="C210" s="418" t="s">
        <v>55</v>
      </c>
      <c r="D210" s="412" t="s">
        <v>56</v>
      </c>
      <c r="E210" s="413" t="s">
        <v>608</v>
      </c>
      <c r="F210" s="433" t="str">
        <f t="shared" si="3"/>
        <v>Link</v>
      </c>
      <c r="G210" s="412"/>
      <c r="H210" s="410" t="s">
        <v>3181</v>
      </c>
    </row>
    <row r="211" spans="1:8">
      <c r="A211" s="411">
        <v>211</v>
      </c>
      <c r="B211" s="420">
        <v>89.07</v>
      </c>
      <c r="C211" s="418" t="s">
        <v>55</v>
      </c>
      <c r="D211" s="412" t="s">
        <v>56</v>
      </c>
      <c r="E211" s="413" t="s">
        <v>609</v>
      </c>
      <c r="F211" s="433" t="str">
        <f t="shared" si="3"/>
        <v>Link</v>
      </c>
      <c r="G211" s="412"/>
      <c r="H211" s="410" t="s">
        <v>3182</v>
      </c>
    </row>
    <row r="212" spans="1:8">
      <c r="A212" s="411">
        <v>212</v>
      </c>
      <c r="B212" s="412">
        <v>89.079999999999899</v>
      </c>
      <c r="C212" s="418" t="s">
        <v>55</v>
      </c>
      <c r="D212" s="412" t="s">
        <v>56</v>
      </c>
      <c r="E212" s="413" t="s">
        <v>613</v>
      </c>
      <c r="F212" s="433" t="str">
        <f t="shared" si="3"/>
        <v>Link</v>
      </c>
      <c r="G212" s="412"/>
      <c r="H212" s="410" t="s">
        <v>3183</v>
      </c>
    </row>
    <row r="213" spans="1:8">
      <c r="A213" s="411">
        <v>213</v>
      </c>
      <c r="B213" s="420">
        <v>89.089999999999904</v>
      </c>
      <c r="C213" s="418" t="s">
        <v>55</v>
      </c>
      <c r="D213" s="412" t="s">
        <v>56</v>
      </c>
      <c r="E213" s="413" t="s">
        <v>614</v>
      </c>
      <c r="F213" s="433" t="str">
        <f t="shared" si="3"/>
        <v>Link</v>
      </c>
      <c r="G213" s="412"/>
      <c r="H213" s="410" t="s">
        <v>3184</v>
      </c>
    </row>
    <row r="214" spans="1:8">
      <c r="A214" s="411">
        <v>214</v>
      </c>
      <c r="B214" s="420">
        <v>89.099999999999895</v>
      </c>
      <c r="C214" s="418" t="s">
        <v>55</v>
      </c>
      <c r="D214" s="412" t="s">
        <v>56</v>
      </c>
      <c r="E214" s="413" t="s">
        <v>616</v>
      </c>
      <c r="F214" s="433" t="str">
        <f t="shared" si="3"/>
        <v>Link</v>
      </c>
      <c r="G214" s="412"/>
      <c r="H214" s="410" t="s">
        <v>3185</v>
      </c>
    </row>
    <row r="215" spans="1:8">
      <c r="A215" s="411">
        <v>215</v>
      </c>
      <c r="B215" s="420">
        <v>89.1099999999999</v>
      </c>
      <c r="C215" s="418" t="s">
        <v>55</v>
      </c>
      <c r="D215" s="412" t="s">
        <v>56</v>
      </c>
      <c r="E215" s="413" t="s">
        <v>619</v>
      </c>
      <c r="F215" s="433" t="str">
        <f t="shared" si="3"/>
        <v>Link</v>
      </c>
      <c r="G215" s="412"/>
      <c r="H215" s="410" t="s">
        <v>3186</v>
      </c>
    </row>
    <row r="216" spans="1:8">
      <c r="A216" s="411">
        <v>216</v>
      </c>
      <c r="B216" s="420">
        <v>89.119999999999905</v>
      </c>
      <c r="C216" s="418" t="s">
        <v>55</v>
      </c>
      <c r="D216" s="412" t="s">
        <v>56</v>
      </c>
      <c r="E216" s="413" t="s">
        <v>623</v>
      </c>
      <c r="F216" s="433" t="str">
        <f t="shared" si="3"/>
        <v>Link</v>
      </c>
      <c r="G216" s="412"/>
      <c r="H216" s="410" t="s">
        <v>3187</v>
      </c>
    </row>
    <row r="217" spans="1:8">
      <c r="A217" s="411">
        <v>217</v>
      </c>
      <c r="B217" s="412">
        <v>91</v>
      </c>
      <c r="C217" s="412" t="s">
        <v>155</v>
      </c>
      <c r="D217" s="412" t="s">
        <v>56</v>
      </c>
      <c r="E217" s="415" t="s">
        <v>528</v>
      </c>
      <c r="F217" s="433" t="str">
        <f t="shared" si="3"/>
        <v>Link</v>
      </c>
      <c r="G217" s="412"/>
      <c r="H217" s="410" t="s">
        <v>527</v>
      </c>
    </row>
    <row r="218" spans="1:8">
      <c r="A218" s="411">
        <v>218</v>
      </c>
      <c r="B218" s="412">
        <v>91.01</v>
      </c>
      <c r="C218" s="412" t="s">
        <v>155</v>
      </c>
      <c r="D218" s="412" t="s">
        <v>56</v>
      </c>
      <c r="E218" s="413" t="s">
        <v>828</v>
      </c>
      <c r="F218" s="433" t="str">
        <f t="shared" si="3"/>
        <v>Link</v>
      </c>
      <c r="G218" s="412" t="s">
        <v>829</v>
      </c>
      <c r="H218" s="410" t="s">
        <v>3188</v>
      </c>
    </row>
    <row r="219" spans="1:8">
      <c r="A219" s="411">
        <v>219</v>
      </c>
      <c r="B219" s="412">
        <v>91.02</v>
      </c>
      <c r="C219" s="412" t="s">
        <v>155</v>
      </c>
      <c r="D219" s="412" t="s">
        <v>56</v>
      </c>
      <c r="E219" s="413" t="s">
        <v>834</v>
      </c>
      <c r="F219" s="433" t="str">
        <f t="shared" si="3"/>
        <v>Link</v>
      </c>
      <c r="G219" s="412" t="s">
        <v>835</v>
      </c>
      <c r="H219" s="410" t="s">
        <v>3189</v>
      </c>
    </row>
    <row r="220" spans="1:8">
      <c r="A220" s="411">
        <v>220</v>
      </c>
      <c r="B220" s="412">
        <v>91.03</v>
      </c>
      <c r="C220" s="412" t="s">
        <v>155</v>
      </c>
      <c r="D220" s="412" t="s">
        <v>56</v>
      </c>
      <c r="E220" s="413" t="s">
        <v>836</v>
      </c>
      <c r="F220" s="433" t="str">
        <f t="shared" si="3"/>
        <v>Link</v>
      </c>
      <c r="G220" s="412" t="s">
        <v>837</v>
      </c>
      <c r="H220" s="410" t="s">
        <v>3190</v>
      </c>
    </row>
    <row r="221" spans="1:8" ht="22.5">
      <c r="A221" s="411">
        <v>221</v>
      </c>
      <c r="B221" s="412">
        <v>91.04</v>
      </c>
      <c r="C221" s="412" t="s">
        <v>155</v>
      </c>
      <c r="D221" s="412" t="s">
        <v>56</v>
      </c>
      <c r="E221" s="413" t="s">
        <v>841</v>
      </c>
      <c r="F221" s="433" t="str">
        <f t="shared" si="3"/>
        <v>Link</v>
      </c>
      <c r="G221" s="412" t="s">
        <v>842</v>
      </c>
      <c r="H221" s="410" t="s">
        <v>3191</v>
      </c>
    </row>
    <row r="222" spans="1:8">
      <c r="A222" s="411">
        <v>222</v>
      </c>
      <c r="B222" s="412">
        <v>91.05</v>
      </c>
      <c r="C222" s="412" t="s">
        <v>155</v>
      </c>
      <c r="D222" s="412" t="s">
        <v>56</v>
      </c>
      <c r="E222" s="413" t="s">
        <v>845</v>
      </c>
      <c r="F222" s="433" t="str">
        <f t="shared" si="3"/>
        <v>Link</v>
      </c>
      <c r="G222" s="412" t="s">
        <v>846</v>
      </c>
      <c r="H222" s="410" t="s">
        <v>3192</v>
      </c>
    </row>
    <row r="223" spans="1:8" ht="22.5">
      <c r="A223" s="411">
        <v>223</v>
      </c>
      <c r="B223" s="412">
        <v>91.06</v>
      </c>
      <c r="C223" s="412" t="s">
        <v>155</v>
      </c>
      <c r="D223" s="412" t="s">
        <v>56</v>
      </c>
      <c r="E223" s="413" t="s">
        <v>849</v>
      </c>
      <c r="F223" s="433" t="str">
        <f t="shared" si="3"/>
        <v>Link</v>
      </c>
      <c r="G223" s="412" t="s">
        <v>850</v>
      </c>
      <c r="H223" s="410" t="s">
        <v>3193</v>
      </c>
    </row>
    <row r="224" spans="1:8">
      <c r="A224" s="411">
        <v>224</v>
      </c>
      <c r="B224" s="412">
        <v>91.07</v>
      </c>
      <c r="C224" s="412" t="s">
        <v>155</v>
      </c>
      <c r="D224" s="412" t="s">
        <v>56</v>
      </c>
      <c r="E224" s="413" t="s">
        <v>855</v>
      </c>
      <c r="F224" s="433" t="str">
        <f t="shared" si="3"/>
        <v>Link</v>
      </c>
      <c r="G224" s="412" t="s">
        <v>856</v>
      </c>
      <c r="H224" s="410" t="s">
        <v>3194</v>
      </c>
    </row>
    <row r="225" spans="1:8">
      <c r="A225" s="411">
        <v>225</v>
      </c>
      <c r="B225" s="412">
        <v>92</v>
      </c>
      <c r="C225" s="418" t="s">
        <v>155</v>
      </c>
      <c r="D225" s="412" t="s">
        <v>56</v>
      </c>
      <c r="E225" s="415" t="s">
        <v>534</v>
      </c>
      <c r="F225" s="433" t="str">
        <f t="shared" si="3"/>
        <v>Link</v>
      </c>
      <c r="G225" s="412"/>
      <c r="H225" s="410" t="s">
        <v>533</v>
      </c>
    </row>
    <row r="226" spans="1:8" ht="56.25">
      <c r="A226" s="411">
        <v>226</v>
      </c>
      <c r="B226" s="412">
        <v>92.01</v>
      </c>
      <c r="C226" s="412" t="s">
        <v>155</v>
      </c>
      <c r="D226" s="412" t="s">
        <v>56</v>
      </c>
      <c r="E226" s="413" t="s">
        <v>1021</v>
      </c>
      <c r="F226" s="433" t="str">
        <f t="shared" si="3"/>
        <v>Link</v>
      </c>
      <c r="G226" s="412" t="s">
        <v>1022</v>
      </c>
      <c r="H226" s="410" t="s">
        <v>3195</v>
      </c>
    </row>
    <row r="227" spans="1:8" ht="67.5">
      <c r="A227" s="411">
        <v>227</v>
      </c>
      <c r="B227" s="412">
        <v>92.02</v>
      </c>
      <c r="C227" s="412" t="s">
        <v>155</v>
      </c>
      <c r="D227" s="412" t="s">
        <v>56</v>
      </c>
      <c r="E227" s="413" t="s">
        <v>1027</v>
      </c>
      <c r="F227" s="433" t="str">
        <f t="shared" si="3"/>
        <v>Link</v>
      </c>
      <c r="G227" s="412" t="s">
        <v>1028</v>
      </c>
      <c r="H227" s="410" t="s">
        <v>3196</v>
      </c>
    </row>
    <row r="228" spans="1:8" ht="56.25">
      <c r="A228" s="411">
        <v>228</v>
      </c>
      <c r="B228" s="412">
        <v>92.03</v>
      </c>
      <c r="C228" s="412" t="s">
        <v>155</v>
      </c>
      <c r="D228" s="412" t="s">
        <v>56</v>
      </c>
      <c r="E228" s="413" t="s">
        <v>1029</v>
      </c>
      <c r="F228" s="433" t="str">
        <f t="shared" si="3"/>
        <v>Link</v>
      </c>
      <c r="G228" s="412" t="s">
        <v>1031</v>
      </c>
      <c r="H228" s="410" t="s">
        <v>3197</v>
      </c>
    </row>
    <row r="229" spans="1:8" ht="33.75">
      <c r="A229" s="411">
        <v>229</v>
      </c>
      <c r="B229" s="412">
        <v>92.04</v>
      </c>
      <c r="C229" s="412" t="s">
        <v>155</v>
      </c>
      <c r="D229" s="412" t="s">
        <v>56</v>
      </c>
      <c r="E229" s="413" t="s">
        <v>1033</v>
      </c>
      <c r="F229" s="433" t="str">
        <f t="shared" si="3"/>
        <v>Link</v>
      </c>
      <c r="G229" s="412" t="s">
        <v>1034</v>
      </c>
      <c r="H229" s="410" t="s">
        <v>3198</v>
      </c>
    </row>
    <row r="230" spans="1:8" ht="33.75">
      <c r="A230" s="411">
        <v>230</v>
      </c>
      <c r="B230" s="412">
        <v>92.05</v>
      </c>
      <c r="C230" s="412" t="s">
        <v>155</v>
      </c>
      <c r="D230" s="412" t="s">
        <v>56</v>
      </c>
      <c r="E230" s="413" t="s">
        <v>1037</v>
      </c>
      <c r="F230" s="433" t="str">
        <f t="shared" si="3"/>
        <v>Link</v>
      </c>
      <c r="G230" s="412" t="s">
        <v>1038</v>
      </c>
      <c r="H230" s="410" t="s">
        <v>3199</v>
      </c>
    </row>
    <row r="231" spans="1:8" ht="45">
      <c r="A231" s="411">
        <v>231</v>
      </c>
      <c r="B231" s="412">
        <v>92.06</v>
      </c>
      <c r="C231" s="412" t="s">
        <v>155</v>
      </c>
      <c r="D231" s="412" t="s">
        <v>56</v>
      </c>
      <c r="E231" s="413" t="s">
        <v>1041</v>
      </c>
      <c r="F231" s="433" t="str">
        <f t="shared" si="3"/>
        <v>Link</v>
      </c>
      <c r="G231" s="412" t="s">
        <v>1043</v>
      </c>
      <c r="H231" s="410" t="s">
        <v>3200</v>
      </c>
    </row>
    <row r="232" spans="1:8" ht="33.75">
      <c r="A232" s="411">
        <v>232</v>
      </c>
      <c r="B232" s="412">
        <v>92.07</v>
      </c>
      <c r="C232" s="412" t="s">
        <v>155</v>
      </c>
      <c r="D232" s="412" t="s">
        <v>56</v>
      </c>
      <c r="E232" s="413" t="s">
        <v>2972</v>
      </c>
      <c r="F232" s="433" t="str">
        <f t="shared" si="3"/>
        <v>Link</v>
      </c>
      <c r="G232" s="412" t="s">
        <v>1046</v>
      </c>
      <c r="H232" s="410" t="s">
        <v>3201</v>
      </c>
    </row>
    <row r="233" spans="1:8" ht="22.5">
      <c r="A233" s="411">
        <v>233</v>
      </c>
      <c r="B233" s="412">
        <v>92.08</v>
      </c>
      <c r="C233" s="412" t="s">
        <v>155</v>
      </c>
      <c r="D233" s="412" t="s">
        <v>56</v>
      </c>
      <c r="E233" s="413" t="s">
        <v>2973</v>
      </c>
      <c r="F233" s="433" t="str">
        <f t="shared" si="3"/>
        <v>Link</v>
      </c>
      <c r="G233" s="412"/>
      <c r="H233" s="410" t="s">
        <v>3202</v>
      </c>
    </row>
    <row r="234" spans="1:8" ht="45">
      <c r="A234" s="411">
        <v>234</v>
      </c>
      <c r="B234" s="412">
        <v>92.09</v>
      </c>
      <c r="C234" s="412" t="s">
        <v>155</v>
      </c>
      <c r="D234" s="412" t="s">
        <v>56</v>
      </c>
      <c r="E234" s="413" t="s">
        <v>1052</v>
      </c>
      <c r="F234" s="433" t="str">
        <f t="shared" si="3"/>
        <v>Link</v>
      </c>
      <c r="G234" s="412" t="s">
        <v>2974</v>
      </c>
      <c r="H234" s="410" t="s">
        <v>3203</v>
      </c>
    </row>
    <row r="235" spans="1:8">
      <c r="A235" s="411">
        <v>235</v>
      </c>
      <c r="B235" s="412">
        <v>93</v>
      </c>
      <c r="C235" s="412" t="s">
        <v>155</v>
      </c>
      <c r="D235" s="412" t="s">
        <v>56</v>
      </c>
      <c r="E235" s="415" t="s">
        <v>540</v>
      </c>
      <c r="F235" s="433" t="str">
        <f t="shared" si="3"/>
        <v>Link</v>
      </c>
      <c r="G235" s="412"/>
      <c r="H235" s="410" t="s">
        <v>538</v>
      </c>
    </row>
    <row r="236" spans="1:8" ht="56.25">
      <c r="A236" s="411">
        <v>236</v>
      </c>
      <c r="B236" s="412">
        <v>93.01</v>
      </c>
      <c r="C236" s="412" t="s">
        <v>155</v>
      </c>
      <c r="D236" s="412" t="s">
        <v>56</v>
      </c>
      <c r="E236" s="413" t="s">
        <v>1021</v>
      </c>
      <c r="F236" s="433" t="str">
        <f t="shared" si="3"/>
        <v>Link</v>
      </c>
      <c r="G236" s="412" t="s">
        <v>1058</v>
      </c>
      <c r="H236" s="410" t="s">
        <v>3204</v>
      </c>
    </row>
    <row r="237" spans="1:8" ht="78.75">
      <c r="A237" s="411">
        <v>237</v>
      </c>
      <c r="B237" s="412">
        <v>93.02</v>
      </c>
      <c r="C237" s="412" t="s">
        <v>155</v>
      </c>
      <c r="D237" s="412" t="s">
        <v>56</v>
      </c>
      <c r="E237" s="413" t="s">
        <v>1027</v>
      </c>
      <c r="F237" s="433" t="str">
        <f t="shared" si="3"/>
        <v>Link</v>
      </c>
      <c r="G237" s="412" t="s">
        <v>2975</v>
      </c>
      <c r="H237" s="410" t="s">
        <v>3205</v>
      </c>
    </row>
    <row r="238" spans="1:8" ht="33.75">
      <c r="A238" s="411">
        <v>238</v>
      </c>
      <c r="B238" s="412">
        <v>93.03</v>
      </c>
      <c r="C238" s="412" t="s">
        <v>155</v>
      </c>
      <c r="D238" s="412" t="s">
        <v>56</v>
      </c>
      <c r="E238" s="413" t="s">
        <v>1068</v>
      </c>
      <c r="F238" s="433" t="str">
        <f t="shared" si="3"/>
        <v>Link</v>
      </c>
      <c r="G238" s="412" t="s">
        <v>1069</v>
      </c>
      <c r="H238" s="410" t="s">
        <v>3206</v>
      </c>
    </row>
    <row r="239" spans="1:8" ht="45">
      <c r="A239" s="411">
        <v>239</v>
      </c>
      <c r="B239" s="412">
        <v>93.04</v>
      </c>
      <c r="C239" s="412" t="s">
        <v>155</v>
      </c>
      <c r="D239" s="412" t="s">
        <v>56</v>
      </c>
      <c r="E239" s="413" t="s">
        <v>1073</v>
      </c>
      <c r="F239" s="433" t="str">
        <f t="shared" si="3"/>
        <v>Link</v>
      </c>
      <c r="G239" s="412" t="s">
        <v>1074</v>
      </c>
      <c r="H239" s="410" t="s">
        <v>3207</v>
      </c>
    </row>
    <row r="240" spans="1:8" ht="22.5">
      <c r="A240" s="411">
        <v>240</v>
      </c>
      <c r="B240" s="412">
        <v>93.05</v>
      </c>
      <c r="C240" s="412" t="s">
        <v>155</v>
      </c>
      <c r="D240" s="412" t="s">
        <v>56</v>
      </c>
      <c r="E240" s="413" t="s">
        <v>1077</v>
      </c>
      <c r="F240" s="433" t="str">
        <f t="shared" si="3"/>
        <v>Link</v>
      </c>
      <c r="G240" s="412" t="s">
        <v>1078</v>
      </c>
      <c r="H240" s="410" t="s">
        <v>3208</v>
      </c>
    </row>
    <row r="241" spans="1:8" ht="22.5">
      <c r="A241" s="411">
        <v>241</v>
      </c>
      <c r="B241" s="412">
        <v>94</v>
      </c>
      <c r="C241" s="412" t="s">
        <v>55</v>
      </c>
      <c r="D241" s="412" t="s">
        <v>56</v>
      </c>
      <c r="E241" s="415" t="s">
        <v>507</v>
      </c>
      <c r="F241" s="433" t="str">
        <f t="shared" si="3"/>
        <v>Link</v>
      </c>
      <c r="G241" s="412"/>
      <c r="H241" s="410" t="s">
        <v>506</v>
      </c>
    </row>
    <row r="242" spans="1:8">
      <c r="A242" s="411">
        <v>242</v>
      </c>
      <c r="B242" s="420">
        <v>94.01</v>
      </c>
      <c r="C242" s="412" t="s">
        <v>55</v>
      </c>
      <c r="D242" s="412" t="s">
        <v>56</v>
      </c>
      <c r="E242" s="413" t="s">
        <v>511</v>
      </c>
      <c r="F242" s="433" t="str">
        <f t="shared" si="3"/>
        <v>Link</v>
      </c>
      <c r="G242" s="412"/>
      <c r="H242" s="410" t="s">
        <v>3209</v>
      </c>
    </row>
    <row r="243" spans="1:8" ht="22.5">
      <c r="A243" s="411">
        <v>243</v>
      </c>
      <c r="B243" s="420">
        <v>94.02</v>
      </c>
      <c r="C243" s="412" t="s">
        <v>55</v>
      </c>
      <c r="D243" s="412" t="s">
        <v>56</v>
      </c>
      <c r="E243" s="413" t="s">
        <v>516</v>
      </c>
      <c r="F243" s="433" t="str">
        <f t="shared" si="3"/>
        <v>Link</v>
      </c>
      <c r="G243" s="412" t="s">
        <v>517</v>
      </c>
      <c r="H243" s="410" t="s">
        <v>3210</v>
      </c>
    </row>
    <row r="244" spans="1:8">
      <c r="A244" s="411">
        <v>244</v>
      </c>
      <c r="B244" s="420">
        <v>94.03</v>
      </c>
      <c r="C244" s="412" t="s">
        <v>55</v>
      </c>
      <c r="D244" s="412" t="s">
        <v>56</v>
      </c>
      <c r="E244" s="413" t="s">
        <v>520</v>
      </c>
      <c r="F244" s="433" t="str">
        <f t="shared" si="3"/>
        <v>Link</v>
      </c>
      <c r="G244" s="412"/>
      <c r="H244" s="410" t="s">
        <v>3211</v>
      </c>
    </row>
    <row r="245" spans="1:8">
      <c r="A245" s="411">
        <v>245</v>
      </c>
      <c r="B245" s="420">
        <v>94.04</v>
      </c>
      <c r="C245" s="412" t="s">
        <v>55</v>
      </c>
      <c r="D245" s="412" t="s">
        <v>56</v>
      </c>
      <c r="E245" s="413" t="s">
        <v>525</v>
      </c>
      <c r="F245" s="433" t="str">
        <f t="shared" si="3"/>
        <v>Link</v>
      </c>
      <c r="G245" s="412"/>
      <c r="H245" s="410" t="s">
        <v>3212</v>
      </c>
    </row>
    <row r="246" spans="1:8">
      <c r="A246" s="411">
        <v>246</v>
      </c>
      <c r="B246" s="420">
        <v>94.05</v>
      </c>
      <c r="C246" s="423" t="s">
        <v>55</v>
      </c>
      <c r="D246" s="423" t="s">
        <v>56</v>
      </c>
      <c r="E246" s="413" t="s">
        <v>526</v>
      </c>
      <c r="F246" s="433" t="str">
        <f t="shared" si="3"/>
        <v>Link</v>
      </c>
      <c r="G246" s="412"/>
      <c r="H246" s="410" t="s">
        <v>3213</v>
      </c>
    </row>
    <row r="247" spans="1:8">
      <c r="A247" s="411">
        <v>247</v>
      </c>
      <c r="B247" s="420">
        <v>94.06</v>
      </c>
      <c r="C247" s="423" t="s">
        <v>55</v>
      </c>
      <c r="D247" s="423" t="s">
        <v>56</v>
      </c>
      <c r="E247" s="413" t="s">
        <v>530</v>
      </c>
      <c r="F247" s="433" t="str">
        <f t="shared" si="3"/>
        <v>Link</v>
      </c>
      <c r="G247" s="412" t="s">
        <v>531</v>
      </c>
      <c r="H247" s="410" t="s">
        <v>3214</v>
      </c>
    </row>
    <row r="248" spans="1:8">
      <c r="A248" s="411">
        <v>248</v>
      </c>
      <c r="B248" s="420">
        <v>94.07</v>
      </c>
      <c r="C248" s="423" t="s">
        <v>55</v>
      </c>
      <c r="D248" s="423" t="s">
        <v>56</v>
      </c>
      <c r="E248" s="413" t="s">
        <v>535</v>
      </c>
      <c r="F248" s="433" t="str">
        <f t="shared" si="3"/>
        <v>Link</v>
      </c>
      <c r="G248" s="412"/>
      <c r="H248" s="410" t="s">
        <v>3215</v>
      </c>
    </row>
    <row r="249" spans="1:8" ht="22.5">
      <c r="A249" s="411">
        <v>249</v>
      </c>
      <c r="B249" s="420">
        <v>94.08</v>
      </c>
      <c r="C249" s="423" t="s">
        <v>55</v>
      </c>
      <c r="D249" s="423" t="s">
        <v>56</v>
      </c>
      <c r="E249" s="413" t="s">
        <v>536</v>
      </c>
      <c r="F249" s="433" t="str">
        <f t="shared" si="3"/>
        <v>Link</v>
      </c>
      <c r="G249" s="412" t="s">
        <v>537</v>
      </c>
      <c r="H249" s="410" t="s">
        <v>3216</v>
      </c>
    </row>
    <row r="250" spans="1:8">
      <c r="A250" s="411">
        <v>250</v>
      </c>
      <c r="B250" s="420">
        <v>94.09</v>
      </c>
      <c r="C250" s="423" t="s">
        <v>55</v>
      </c>
      <c r="D250" s="423" t="s">
        <v>56</v>
      </c>
      <c r="E250" s="413" t="s">
        <v>541</v>
      </c>
      <c r="F250" s="433" t="str">
        <f t="shared" si="3"/>
        <v>Link</v>
      </c>
      <c r="G250" s="412"/>
      <c r="H250" s="410" t="s">
        <v>3217</v>
      </c>
    </row>
    <row r="251" spans="1:8" ht="22.5">
      <c r="A251" s="411">
        <v>251</v>
      </c>
      <c r="B251" s="420">
        <v>94.1</v>
      </c>
      <c r="C251" s="423" t="s">
        <v>55</v>
      </c>
      <c r="D251" s="423" t="s">
        <v>56</v>
      </c>
      <c r="E251" s="413" t="s">
        <v>543</v>
      </c>
      <c r="F251" s="433" t="str">
        <f t="shared" si="3"/>
        <v>Link</v>
      </c>
      <c r="G251" s="412"/>
      <c r="H251" s="410" t="s">
        <v>3218</v>
      </c>
    </row>
    <row r="252" spans="1:8">
      <c r="A252" s="411">
        <v>252</v>
      </c>
      <c r="B252" s="412">
        <v>101</v>
      </c>
      <c r="C252" s="418" t="s">
        <v>382</v>
      </c>
      <c r="D252" s="412" t="s">
        <v>56</v>
      </c>
      <c r="E252" s="415" t="s">
        <v>577</v>
      </c>
      <c r="F252" s="433" t="str">
        <f t="shared" si="3"/>
        <v>Link</v>
      </c>
      <c r="G252" s="412"/>
      <c r="H252" s="410" t="s">
        <v>576</v>
      </c>
    </row>
    <row r="253" spans="1:8">
      <c r="A253" s="411">
        <v>253</v>
      </c>
      <c r="B253" s="412">
        <v>101.01</v>
      </c>
      <c r="C253" s="418" t="s">
        <v>382</v>
      </c>
      <c r="D253" s="412" t="s">
        <v>56</v>
      </c>
      <c r="E253" s="413" t="s">
        <v>2429</v>
      </c>
      <c r="F253" s="433" t="str">
        <f t="shared" si="3"/>
        <v>Link</v>
      </c>
      <c r="G253" s="412" t="s">
        <v>2430</v>
      </c>
      <c r="H253" s="410" t="s">
        <v>3219</v>
      </c>
    </row>
    <row r="254" spans="1:8">
      <c r="A254" s="411">
        <v>254</v>
      </c>
      <c r="B254" s="412">
        <v>101.02</v>
      </c>
      <c r="C254" s="418" t="s">
        <v>382</v>
      </c>
      <c r="D254" s="412" t="s">
        <v>56</v>
      </c>
      <c r="E254" s="413" t="s">
        <v>2433</v>
      </c>
      <c r="F254" s="433" t="str">
        <f t="shared" si="3"/>
        <v>Link</v>
      </c>
      <c r="G254" s="412" t="s">
        <v>2434</v>
      </c>
      <c r="H254" s="410" t="s">
        <v>3220</v>
      </c>
    </row>
    <row r="255" spans="1:8" ht="22.5">
      <c r="A255" s="411">
        <v>255</v>
      </c>
      <c r="B255" s="412">
        <v>101.03</v>
      </c>
      <c r="C255" s="418" t="s">
        <v>382</v>
      </c>
      <c r="D255" s="412" t="s">
        <v>56</v>
      </c>
      <c r="E255" s="413" t="s">
        <v>2435</v>
      </c>
      <c r="F255" s="433" t="str">
        <f t="shared" si="3"/>
        <v>Link</v>
      </c>
      <c r="G255" s="425" t="s">
        <v>2437</v>
      </c>
      <c r="H255" s="410" t="s">
        <v>3221</v>
      </c>
    </row>
    <row r="256" spans="1:8" ht="22.5">
      <c r="A256" s="411">
        <v>256</v>
      </c>
      <c r="B256" s="412">
        <v>101.04</v>
      </c>
      <c r="C256" s="418" t="s">
        <v>382</v>
      </c>
      <c r="D256" s="412" t="s">
        <v>56</v>
      </c>
      <c r="E256" s="413" t="s">
        <v>2439</v>
      </c>
      <c r="F256" s="433" t="str">
        <f t="shared" si="3"/>
        <v>Link</v>
      </c>
      <c r="G256" s="425" t="s">
        <v>2440</v>
      </c>
      <c r="H256" s="410" t="s">
        <v>3222</v>
      </c>
    </row>
    <row r="257" spans="1:8">
      <c r="A257" s="411">
        <v>257</v>
      </c>
      <c r="B257" s="412">
        <v>101.05</v>
      </c>
      <c r="C257" s="418" t="s">
        <v>382</v>
      </c>
      <c r="D257" s="412" t="s">
        <v>56</v>
      </c>
      <c r="E257" s="413" t="s">
        <v>2441</v>
      </c>
      <c r="F257" s="433" t="str">
        <f t="shared" si="3"/>
        <v>Link</v>
      </c>
      <c r="G257" s="425" t="s">
        <v>2442</v>
      </c>
      <c r="H257" s="410" t="s">
        <v>3223</v>
      </c>
    </row>
    <row r="258" spans="1:8">
      <c r="A258" s="411">
        <v>258</v>
      </c>
      <c r="B258" s="412">
        <v>101.06</v>
      </c>
      <c r="C258" s="418" t="s">
        <v>382</v>
      </c>
      <c r="D258" s="412" t="s">
        <v>56</v>
      </c>
      <c r="E258" s="413" t="s">
        <v>2445</v>
      </c>
      <c r="F258" s="433" t="str">
        <f t="shared" si="3"/>
        <v>Link</v>
      </c>
      <c r="G258" s="425" t="s">
        <v>2446</v>
      </c>
      <c r="H258" s="410" t="s">
        <v>3224</v>
      </c>
    </row>
    <row r="259" spans="1:8">
      <c r="A259" s="411">
        <v>259</v>
      </c>
      <c r="B259" s="412">
        <v>101.07</v>
      </c>
      <c r="C259" s="418" t="s">
        <v>382</v>
      </c>
      <c r="D259" s="412" t="s">
        <v>56</v>
      </c>
      <c r="E259" s="413" t="s">
        <v>2449</v>
      </c>
      <c r="F259" s="433" t="str">
        <f t="shared" ref="F259:F322" si="4">HYPERLINK(H259,"Link")</f>
        <v>Link</v>
      </c>
      <c r="G259" s="425"/>
      <c r="H259" s="410" t="s">
        <v>3225</v>
      </c>
    </row>
    <row r="260" spans="1:8" ht="22.5">
      <c r="A260" s="411">
        <v>260</v>
      </c>
      <c r="B260" s="412">
        <v>101.08</v>
      </c>
      <c r="C260" s="418" t="s">
        <v>382</v>
      </c>
      <c r="D260" s="412" t="s">
        <v>56</v>
      </c>
      <c r="E260" s="413" t="s">
        <v>2452</v>
      </c>
      <c r="F260" s="433" t="str">
        <f t="shared" si="4"/>
        <v>Link</v>
      </c>
      <c r="G260" s="425"/>
      <c r="H260" s="410" t="s">
        <v>3226</v>
      </c>
    </row>
    <row r="261" spans="1:8" ht="157.5">
      <c r="A261" s="411">
        <v>261</v>
      </c>
      <c r="B261" s="412">
        <v>102</v>
      </c>
      <c r="C261" s="412" t="s">
        <v>55</v>
      </c>
      <c r="D261" s="412" t="s">
        <v>56</v>
      </c>
      <c r="E261" s="413" t="s">
        <v>365</v>
      </c>
      <c r="F261" s="433" t="str">
        <f t="shared" si="4"/>
        <v>Link</v>
      </c>
      <c r="G261" s="412" t="s">
        <v>366</v>
      </c>
      <c r="H261" s="410" t="s">
        <v>363</v>
      </c>
    </row>
    <row r="262" spans="1:8" ht="22.5">
      <c r="A262" s="411">
        <v>262</v>
      </c>
      <c r="B262" s="412">
        <v>103</v>
      </c>
      <c r="C262" s="412" t="s">
        <v>55</v>
      </c>
      <c r="D262" s="412" t="s">
        <v>56</v>
      </c>
      <c r="E262" s="415" t="s">
        <v>370</v>
      </c>
      <c r="F262" s="433" t="str">
        <f t="shared" si="4"/>
        <v>Link</v>
      </c>
      <c r="G262" s="412"/>
      <c r="H262" s="410" t="s">
        <v>369</v>
      </c>
    </row>
    <row r="263" spans="1:8" ht="78.75">
      <c r="A263" s="411">
        <v>263</v>
      </c>
      <c r="B263" s="412">
        <v>103.01</v>
      </c>
      <c r="C263" s="412" t="s">
        <v>55</v>
      </c>
      <c r="D263" s="412" t="s">
        <v>56</v>
      </c>
      <c r="E263" s="413" t="s">
        <v>374</v>
      </c>
      <c r="F263" s="433" t="str">
        <f t="shared" si="4"/>
        <v>Link</v>
      </c>
      <c r="G263" s="412" t="s">
        <v>375</v>
      </c>
      <c r="H263" s="410" t="s">
        <v>3227</v>
      </c>
    </row>
    <row r="264" spans="1:8">
      <c r="A264" s="411">
        <v>264</v>
      </c>
      <c r="B264" s="412">
        <v>103.02</v>
      </c>
      <c r="C264" s="412" t="s">
        <v>55</v>
      </c>
      <c r="D264" s="412" t="s">
        <v>56</v>
      </c>
      <c r="E264" s="413" t="s">
        <v>379</v>
      </c>
      <c r="F264" s="433" t="str">
        <f t="shared" si="4"/>
        <v>Link</v>
      </c>
      <c r="G264" s="412" t="s">
        <v>2976</v>
      </c>
      <c r="H264" s="410" t="s">
        <v>3228</v>
      </c>
    </row>
    <row r="265" spans="1:8" ht="22.5">
      <c r="A265" s="411">
        <v>265</v>
      </c>
      <c r="B265" s="412">
        <v>103.03</v>
      </c>
      <c r="C265" s="412" t="s">
        <v>55</v>
      </c>
      <c r="D265" s="412" t="s">
        <v>56</v>
      </c>
      <c r="E265" s="413" t="s">
        <v>383</v>
      </c>
      <c r="F265" s="433" t="str">
        <f t="shared" si="4"/>
        <v>Link</v>
      </c>
      <c r="G265" s="412" t="s">
        <v>2977</v>
      </c>
      <c r="H265" s="410" t="s">
        <v>3229</v>
      </c>
    </row>
    <row r="266" spans="1:8" ht="22.5">
      <c r="A266" s="411">
        <v>266</v>
      </c>
      <c r="B266" s="412">
        <v>103.04</v>
      </c>
      <c r="C266" s="412" t="s">
        <v>55</v>
      </c>
      <c r="D266" s="412" t="s">
        <v>56</v>
      </c>
      <c r="E266" s="413" t="s">
        <v>387</v>
      </c>
      <c r="F266" s="433" t="str">
        <f t="shared" si="4"/>
        <v>Link</v>
      </c>
      <c r="G266" s="412" t="s">
        <v>2978</v>
      </c>
      <c r="H266" s="410" t="s">
        <v>3230</v>
      </c>
    </row>
    <row r="267" spans="1:8" ht="22.5">
      <c r="A267" s="411">
        <v>267</v>
      </c>
      <c r="B267" s="412">
        <v>103.05</v>
      </c>
      <c r="C267" s="412" t="s">
        <v>55</v>
      </c>
      <c r="D267" s="412" t="s">
        <v>56</v>
      </c>
      <c r="E267" s="413" t="s">
        <v>390</v>
      </c>
      <c r="F267" s="433" t="str">
        <f t="shared" si="4"/>
        <v>Link</v>
      </c>
      <c r="G267" s="412" t="s">
        <v>2979</v>
      </c>
      <c r="H267" s="410" t="s">
        <v>3231</v>
      </c>
    </row>
    <row r="268" spans="1:8" ht="22.5">
      <c r="A268" s="411">
        <v>268</v>
      </c>
      <c r="B268" s="412">
        <v>103.06</v>
      </c>
      <c r="C268" s="412" t="s">
        <v>55</v>
      </c>
      <c r="D268" s="412" t="s">
        <v>56</v>
      </c>
      <c r="E268" s="413" t="s">
        <v>395</v>
      </c>
      <c r="F268" s="433" t="str">
        <f t="shared" si="4"/>
        <v>Link</v>
      </c>
      <c r="G268" s="412" t="s">
        <v>2980</v>
      </c>
      <c r="H268" s="410" t="s">
        <v>3232</v>
      </c>
    </row>
    <row r="269" spans="1:8" ht="22.5">
      <c r="A269" s="411">
        <v>269</v>
      </c>
      <c r="B269" s="412">
        <v>103.07</v>
      </c>
      <c r="C269" s="412" t="s">
        <v>55</v>
      </c>
      <c r="D269" s="412" t="s">
        <v>56</v>
      </c>
      <c r="E269" s="413" t="s">
        <v>402</v>
      </c>
      <c r="F269" s="433" t="str">
        <f t="shared" si="4"/>
        <v>Link</v>
      </c>
      <c r="G269" s="412" t="s">
        <v>403</v>
      </c>
      <c r="H269" s="410" t="s">
        <v>3233</v>
      </c>
    </row>
    <row r="270" spans="1:8">
      <c r="A270" s="411">
        <v>270</v>
      </c>
      <c r="B270" s="412">
        <v>103.08</v>
      </c>
      <c r="C270" s="412" t="s">
        <v>55</v>
      </c>
      <c r="D270" s="412" t="s">
        <v>56</v>
      </c>
      <c r="E270" s="413" t="s">
        <v>405</v>
      </c>
      <c r="F270" s="433" t="str">
        <f t="shared" si="4"/>
        <v>Link</v>
      </c>
      <c r="G270" s="412" t="s">
        <v>406</v>
      </c>
      <c r="H270" s="410" t="s">
        <v>3234</v>
      </c>
    </row>
    <row r="271" spans="1:8" ht="22.5">
      <c r="A271" s="411">
        <v>271</v>
      </c>
      <c r="B271" s="412">
        <v>103.09</v>
      </c>
      <c r="C271" s="412" t="s">
        <v>55</v>
      </c>
      <c r="D271" s="412" t="s">
        <v>56</v>
      </c>
      <c r="E271" s="413" t="s">
        <v>410</v>
      </c>
      <c r="F271" s="433" t="str">
        <f t="shared" si="4"/>
        <v>Link</v>
      </c>
      <c r="G271" s="412" t="s">
        <v>2981</v>
      </c>
      <c r="H271" s="410" t="s">
        <v>3235</v>
      </c>
    </row>
    <row r="272" spans="1:8" ht="22.5">
      <c r="A272" s="411">
        <v>272</v>
      </c>
      <c r="B272" s="412">
        <v>103</v>
      </c>
      <c r="C272" s="418" t="s">
        <v>54</v>
      </c>
      <c r="D272" s="412" t="s">
        <v>56</v>
      </c>
      <c r="E272" s="415" t="s">
        <v>370</v>
      </c>
      <c r="F272" s="433" t="str">
        <f t="shared" si="4"/>
        <v>Link</v>
      </c>
      <c r="G272" s="412"/>
      <c r="H272" s="410" t="s">
        <v>369</v>
      </c>
    </row>
    <row r="273" spans="1:8">
      <c r="A273" s="411">
        <v>273</v>
      </c>
      <c r="B273" s="412">
        <v>103.01</v>
      </c>
      <c r="C273" s="418" t="s">
        <v>54</v>
      </c>
      <c r="D273" s="420" t="s">
        <v>56</v>
      </c>
      <c r="E273" s="413" t="s">
        <v>557</v>
      </c>
      <c r="F273" s="433" t="str">
        <f t="shared" si="4"/>
        <v>Link</v>
      </c>
      <c r="G273" s="412"/>
      <c r="H273" s="410" t="s">
        <v>3441</v>
      </c>
    </row>
    <row r="274" spans="1:8">
      <c r="A274" s="411">
        <v>274</v>
      </c>
      <c r="B274" s="412">
        <v>103.02</v>
      </c>
      <c r="C274" s="418" t="s">
        <v>54</v>
      </c>
      <c r="D274" s="420" t="s">
        <v>56</v>
      </c>
      <c r="E274" s="413" t="s">
        <v>565</v>
      </c>
      <c r="F274" s="433" t="str">
        <f t="shared" si="4"/>
        <v>Link</v>
      </c>
      <c r="G274" s="412"/>
      <c r="H274" s="410" t="s">
        <v>3442</v>
      </c>
    </row>
    <row r="275" spans="1:8" ht="22.5">
      <c r="A275" s="411">
        <v>275</v>
      </c>
      <c r="B275" s="412">
        <v>103.03</v>
      </c>
      <c r="C275" s="418" t="s">
        <v>54</v>
      </c>
      <c r="D275" s="420" t="s">
        <v>56</v>
      </c>
      <c r="E275" s="413" t="s">
        <v>566</v>
      </c>
      <c r="F275" s="433" t="str">
        <f t="shared" si="4"/>
        <v>Link</v>
      </c>
      <c r="G275" s="412"/>
      <c r="H275" s="410" t="s">
        <v>3443</v>
      </c>
    </row>
    <row r="276" spans="1:8" ht="22.5">
      <c r="A276" s="411">
        <v>276</v>
      </c>
      <c r="B276" s="412">
        <v>103.04</v>
      </c>
      <c r="C276" s="418" t="s">
        <v>54</v>
      </c>
      <c r="D276" s="420" t="s">
        <v>56</v>
      </c>
      <c r="E276" s="413" t="s">
        <v>571</v>
      </c>
      <c r="F276" s="433" t="str">
        <f t="shared" si="4"/>
        <v>Link</v>
      </c>
      <c r="G276" s="412"/>
      <c r="H276" s="410" t="s">
        <v>3444</v>
      </c>
    </row>
    <row r="277" spans="1:8">
      <c r="A277" s="411">
        <v>277</v>
      </c>
      <c r="B277" s="412">
        <v>103.05</v>
      </c>
      <c r="C277" s="418" t="s">
        <v>54</v>
      </c>
      <c r="D277" s="420" t="s">
        <v>56</v>
      </c>
      <c r="E277" s="413" t="s">
        <v>574</v>
      </c>
      <c r="F277" s="433" t="str">
        <f t="shared" si="4"/>
        <v>Link</v>
      </c>
      <c r="G277" s="412"/>
      <c r="H277" s="410" t="s">
        <v>3445</v>
      </c>
    </row>
    <row r="278" spans="1:8">
      <c r="A278" s="411">
        <v>278</v>
      </c>
      <c r="B278" s="412">
        <v>103.06</v>
      </c>
      <c r="C278" s="418" t="s">
        <v>54</v>
      </c>
      <c r="D278" s="420" t="s">
        <v>56</v>
      </c>
      <c r="E278" s="413" t="s">
        <v>579</v>
      </c>
      <c r="F278" s="433" t="str">
        <f t="shared" si="4"/>
        <v>Link</v>
      </c>
      <c r="G278" s="412"/>
      <c r="H278" s="410" t="s">
        <v>3446</v>
      </c>
    </row>
    <row r="279" spans="1:8" ht="22.5">
      <c r="A279" s="411">
        <v>279</v>
      </c>
      <c r="B279" s="412">
        <v>103.07</v>
      </c>
      <c r="C279" s="418" t="s">
        <v>54</v>
      </c>
      <c r="D279" s="420" t="s">
        <v>56</v>
      </c>
      <c r="E279" s="413" t="s">
        <v>581</v>
      </c>
      <c r="F279" s="433" t="str">
        <f t="shared" si="4"/>
        <v>Link</v>
      </c>
      <c r="G279" s="412"/>
      <c r="H279" s="410" t="s">
        <v>3447</v>
      </c>
    </row>
    <row r="280" spans="1:8" ht="22.5">
      <c r="A280" s="411">
        <v>280</v>
      </c>
      <c r="B280" s="412">
        <v>103.08</v>
      </c>
      <c r="C280" s="418" t="s">
        <v>54</v>
      </c>
      <c r="D280" s="420" t="s">
        <v>56</v>
      </c>
      <c r="E280" s="413" t="s">
        <v>584</v>
      </c>
      <c r="F280" s="433" t="str">
        <f t="shared" si="4"/>
        <v>Link</v>
      </c>
      <c r="G280" s="412"/>
      <c r="H280" s="410" t="s">
        <v>3448</v>
      </c>
    </row>
    <row r="281" spans="1:8">
      <c r="A281" s="411">
        <v>281</v>
      </c>
      <c r="B281" s="412">
        <v>103.09</v>
      </c>
      <c r="C281" s="418" t="s">
        <v>54</v>
      </c>
      <c r="D281" s="420" t="s">
        <v>56</v>
      </c>
      <c r="E281" s="413" t="s">
        <v>586</v>
      </c>
      <c r="F281" s="433" t="str">
        <f t="shared" si="4"/>
        <v>Link</v>
      </c>
      <c r="G281" s="412"/>
      <c r="H281" s="410" t="s">
        <v>3449</v>
      </c>
    </row>
    <row r="282" spans="1:8">
      <c r="A282" s="411">
        <v>282</v>
      </c>
      <c r="B282" s="420">
        <v>103.1</v>
      </c>
      <c r="C282" s="418" t="s">
        <v>54</v>
      </c>
      <c r="D282" s="420" t="s">
        <v>56</v>
      </c>
      <c r="E282" s="413" t="s">
        <v>588</v>
      </c>
      <c r="F282" s="433" t="str">
        <f t="shared" si="4"/>
        <v>Link</v>
      </c>
      <c r="G282" s="412"/>
      <c r="H282" s="410" t="s">
        <v>3450</v>
      </c>
    </row>
    <row r="283" spans="1:8">
      <c r="A283" s="411">
        <v>283</v>
      </c>
      <c r="B283" s="420">
        <v>103.11</v>
      </c>
      <c r="C283" s="418" t="s">
        <v>54</v>
      </c>
      <c r="D283" s="420" t="s">
        <v>56</v>
      </c>
      <c r="E283" s="413" t="s">
        <v>592</v>
      </c>
      <c r="F283" s="433" t="str">
        <f t="shared" si="4"/>
        <v>Link</v>
      </c>
      <c r="G283" s="412"/>
      <c r="H283" s="410" t="s">
        <v>3451</v>
      </c>
    </row>
    <row r="284" spans="1:8" ht="22.5">
      <c r="A284" s="411">
        <v>284</v>
      </c>
      <c r="B284" s="420">
        <v>103.12</v>
      </c>
      <c r="C284" s="418" t="s">
        <v>54</v>
      </c>
      <c r="D284" s="420" t="s">
        <v>56</v>
      </c>
      <c r="E284" s="413" t="s">
        <v>595</v>
      </c>
      <c r="F284" s="433" t="str">
        <f t="shared" si="4"/>
        <v>Link</v>
      </c>
      <c r="G284" s="412"/>
      <c r="H284" s="410" t="s">
        <v>3452</v>
      </c>
    </row>
    <row r="285" spans="1:8">
      <c r="A285" s="411">
        <v>285</v>
      </c>
      <c r="B285" s="420">
        <v>103.13</v>
      </c>
      <c r="C285" s="418" t="s">
        <v>54</v>
      </c>
      <c r="D285" s="420" t="s">
        <v>56</v>
      </c>
      <c r="E285" s="413" t="s">
        <v>600</v>
      </c>
      <c r="F285" s="433" t="str">
        <f t="shared" si="4"/>
        <v>Link</v>
      </c>
      <c r="G285" s="412"/>
      <c r="H285" s="410" t="s">
        <v>3453</v>
      </c>
    </row>
    <row r="286" spans="1:8">
      <c r="A286" s="411">
        <v>286</v>
      </c>
      <c r="B286" s="420">
        <v>103.14</v>
      </c>
      <c r="C286" s="418" t="s">
        <v>54</v>
      </c>
      <c r="D286" s="420" t="s">
        <v>56</v>
      </c>
      <c r="E286" s="413" t="s">
        <v>602</v>
      </c>
      <c r="F286" s="433" t="str">
        <f t="shared" si="4"/>
        <v>Link</v>
      </c>
      <c r="G286" s="412"/>
      <c r="H286" s="410" t="s">
        <v>3454</v>
      </c>
    </row>
    <row r="287" spans="1:8">
      <c r="A287" s="411">
        <v>287</v>
      </c>
      <c r="B287" s="420">
        <v>103.15</v>
      </c>
      <c r="C287" s="418" t="s">
        <v>54</v>
      </c>
      <c r="D287" s="420" t="s">
        <v>56</v>
      </c>
      <c r="E287" s="413" t="s">
        <v>607</v>
      </c>
      <c r="F287" s="433" t="str">
        <f t="shared" si="4"/>
        <v>Link</v>
      </c>
      <c r="G287" s="412"/>
      <c r="H287" s="410" t="s">
        <v>3455</v>
      </c>
    </row>
    <row r="288" spans="1:8">
      <c r="A288" s="411">
        <v>288</v>
      </c>
      <c r="B288" s="420">
        <v>103.16</v>
      </c>
      <c r="C288" s="418" t="s">
        <v>54</v>
      </c>
      <c r="D288" s="420" t="s">
        <v>56</v>
      </c>
      <c r="E288" s="413" t="s">
        <v>610</v>
      </c>
      <c r="F288" s="433" t="str">
        <f t="shared" si="4"/>
        <v>Link</v>
      </c>
      <c r="G288" s="412"/>
      <c r="H288" s="410" t="s">
        <v>3456</v>
      </c>
    </row>
    <row r="289" spans="1:8">
      <c r="A289" s="411">
        <v>289</v>
      </c>
      <c r="B289" s="420">
        <v>103.17</v>
      </c>
      <c r="C289" s="418" t="s">
        <v>54</v>
      </c>
      <c r="D289" s="420" t="s">
        <v>56</v>
      </c>
      <c r="E289" s="413" t="s">
        <v>615</v>
      </c>
      <c r="F289" s="433" t="str">
        <f t="shared" si="4"/>
        <v>Link</v>
      </c>
      <c r="G289" s="412"/>
      <c r="H289" s="410" t="s">
        <v>3457</v>
      </c>
    </row>
    <row r="290" spans="1:8">
      <c r="A290" s="411">
        <v>290</v>
      </c>
      <c r="B290" s="420">
        <v>103.18</v>
      </c>
      <c r="C290" s="418" t="s">
        <v>54</v>
      </c>
      <c r="D290" s="420" t="s">
        <v>56</v>
      </c>
      <c r="E290" s="413" t="s">
        <v>620</v>
      </c>
      <c r="F290" s="433" t="str">
        <f t="shared" si="4"/>
        <v>Link</v>
      </c>
      <c r="G290" s="412"/>
      <c r="H290" s="410" t="s">
        <v>3458</v>
      </c>
    </row>
    <row r="291" spans="1:8">
      <c r="A291" s="411">
        <v>291</v>
      </c>
      <c r="B291" s="420">
        <v>103.19</v>
      </c>
      <c r="C291" s="418" t="s">
        <v>54</v>
      </c>
      <c r="D291" s="420" t="s">
        <v>56</v>
      </c>
      <c r="E291" s="413" t="s">
        <v>624</v>
      </c>
      <c r="F291" s="433" t="str">
        <f t="shared" si="4"/>
        <v>Link</v>
      </c>
      <c r="G291" s="412"/>
      <c r="H291" s="410" t="s">
        <v>3459</v>
      </c>
    </row>
    <row r="292" spans="1:8">
      <c r="A292" s="411">
        <v>292</v>
      </c>
      <c r="B292" s="420">
        <v>103.2</v>
      </c>
      <c r="C292" s="418" t="s">
        <v>54</v>
      </c>
      <c r="D292" s="420" t="s">
        <v>56</v>
      </c>
      <c r="E292" s="413" t="s">
        <v>627</v>
      </c>
      <c r="F292" s="433" t="str">
        <f t="shared" si="4"/>
        <v>Link</v>
      </c>
      <c r="G292" s="412"/>
      <c r="H292" s="410" t="s">
        <v>3460</v>
      </c>
    </row>
    <row r="293" spans="1:8">
      <c r="A293" s="411">
        <v>293</v>
      </c>
      <c r="B293" s="420">
        <v>103.21</v>
      </c>
      <c r="C293" s="418" t="s">
        <v>54</v>
      </c>
      <c r="D293" s="420" t="s">
        <v>56</v>
      </c>
      <c r="E293" s="413" t="s">
        <v>630</v>
      </c>
      <c r="F293" s="433" t="str">
        <f t="shared" si="4"/>
        <v>Link</v>
      </c>
      <c r="G293" s="425"/>
      <c r="H293" s="410" t="s">
        <v>3461</v>
      </c>
    </row>
    <row r="294" spans="1:8">
      <c r="A294" s="411">
        <v>294</v>
      </c>
      <c r="B294" s="412">
        <v>103.22</v>
      </c>
      <c r="C294" s="418" t="s">
        <v>54</v>
      </c>
      <c r="D294" s="420" t="s">
        <v>56</v>
      </c>
      <c r="E294" s="413" t="s">
        <v>631</v>
      </c>
      <c r="F294" s="433" t="str">
        <f t="shared" si="4"/>
        <v>Link</v>
      </c>
      <c r="G294" s="412"/>
      <c r="H294" s="410" t="s">
        <v>3462</v>
      </c>
    </row>
    <row r="295" spans="1:8">
      <c r="A295" s="411">
        <v>295</v>
      </c>
      <c r="B295" s="412">
        <v>103.23</v>
      </c>
      <c r="C295" s="418" t="s">
        <v>54</v>
      </c>
      <c r="D295" s="420" t="s">
        <v>56</v>
      </c>
      <c r="E295" s="413" t="s">
        <v>634</v>
      </c>
      <c r="F295" s="433" t="str">
        <f t="shared" si="4"/>
        <v>Link</v>
      </c>
      <c r="G295" s="412"/>
      <c r="H295" s="410" t="s">
        <v>3463</v>
      </c>
    </row>
    <row r="296" spans="1:8">
      <c r="A296" s="411">
        <v>296</v>
      </c>
      <c r="B296" s="412">
        <v>103.24</v>
      </c>
      <c r="C296" s="418" t="s">
        <v>54</v>
      </c>
      <c r="D296" s="420" t="s">
        <v>56</v>
      </c>
      <c r="E296" s="413" t="s">
        <v>637</v>
      </c>
      <c r="F296" s="433" t="str">
        <f t="shared" si="4"/>
        <v>Link</v>
      </c>
      <c r="G296" s="412"/>
      <c r="H296" s="410" t="s">
        <v>3464</v>
      </c>
    </row>
    <row r="297" spans="1:8" ht="22.5">
      <c r="A297" s="411">
        <v>297</v>
      </c>
      <c r="B297" s="412">
        <v>103.25</v>
      </c>
      <c r="C297" s="418" t="s">
        <v>54</v>
      </c>
      <c r="D297" s="420" t="s">
        <v>56</v>
      </c>
      <c r="E297" s="413" t="s">
        <v>640</v>
      </c>
      <c r="F297" s="433" t="str">
        <f t="shared" si="4"/>
        <v>Link</v>
      </c>
      <c r="G297" s="425"/>
      <c r="H297" s="410" t="s">
        <v>3465</v>
      </c>
    </row>
    <row r="298" spans="1:8">
      <c r="A298" s="411">
        <v>298</v>
      </c>
      <c r="B298" s="412">
        <v>104</v>
      </c>
      <c r="C298" s="418" t="s">
        <v>155</v>
      </c>
      <c r="D298" s="412" t="s">
        <v>56</v>
      </c>
      <c r="E298" s="415" t="s">
        <v>590</v>
      </c>
      <c r="F298" s="433" t="str">
        <f t="shared" si="4"/>
        <v>Link</v>
      </c>
      <c r="G298" s="412"/>
      <c r="H298" s="410" t="s">
        <v>589</v>
      </c>
    </row>
    <row r="299" spans="1:8" ht="33.75">
      <c r="A299" s="411">
        <v>299</v>
      </c>
      <c r="B299" s="412">
        <v>104.01</v>
      </c>
      <c r="C299" s="418" t="s">
        <v>155</v>
      </c>
      <c r="D299" s="412" t="s">
        <v>56</v>
      </c>
      <c r="E299" s="413" t="s">
        <v>1085</v>
      </c>
      <c r="F299" s="433" t="str">
        <f t="shared" si="4"/>
        <v>Link</v>
      </c>
      <c r="G299" s="412" t="s">
        <v>1086</v>
      </c>
      <c r="H299" s="410" t="s">
        <v>3236</v>
      </c>
    </row>
    <row r="300" spans="1:8" ht="33.75">
      <c r="A300" s="411">
        <v>300</v>
      </c>
      <c r="B300" s="412">
        <v>104.02</v>
      </c>
      <c r="C300" s="418" t="s">
        <v>155</v>
      </c>
      <c r="D300" s="412" t="s">
        <v>56</v>
      </c>
      <c r="E300" s="413" t="s">
        <v>1090</v>
      </c>
      <c r="F300" s="433" t="str">
        <f t="shared" si="4"/>
        <v>Link</v>
      </c>
      <c r="G300" s="412" t="s">
        <v>1091</v>
      </c>
      <c r="H300" s="410" t="s">
        <v>3237</v>
      </c>
    </row>
    <row r="301" spans="1:8" ht="33.75">
      <c r="A301" s="411">
        <v>301</v>
      </c>
      <c r="B301" s="412">
        <v>104.03</v>
      </c>
      <c r="C301" s="418" t="s">
        <v>155</v>
      </c>
      <c r="D301" s="412" t="s">
        <v>56</v>
      </c>
      <c r="E301" s="413" t="s">
        <v>1095</v>
      </c>
      <c r="F301" s="433" t="str">
        <f t="shared" si="4"/>
        <v>Link</v>
      </c>
      <c r="G301" s="412" t="s">
        <v>1096</v>
      </c>
      <c r="H301" s="410" t="s">
        <v>3238</v>
      </c>
    </row>
    <row r="302" spans="1:8" ht="67.5">
      <c r="A302" s="411">
        <v>302</v>
      </c>
      <c r="B302" s="412">
        <v>104.04</v>
      </c>
      <c r="C302" s="418" t="s">
        <v>155</v>
      </c>
      <c r="D302" s="412" t="s">
        <v>56</v>
      </c>
      <c r="E302" s="413" t="s">
        <v>1099</v>
      </c>
      <c r="F302" s="433" t="str">
        <f t="shared" si="4"/>
        <v>Link</v>
      </c>
      <c r="G302" s="412" t="s">
        <v>1100</v>
      </c>
      <c r="H302" s="410" t="s">
        <v>3239</v>
      </c>
    </row>
    <row r="303" spans="1:8" ht="22.5">
      <c r="A303" s="411">
        <v>303</v>
      </c>
      <c r="B303" s="412">
        <v>105</v>
      </c>
      <c r="C303" s="418" t="s">
        <v>155</v>
      </c>
      <c r="D303" s="412" t="s">
        <v>56</v>
      </c>
      <c r="E303" s="415" t="s">
        <v>594</v>
      </c>
      <c r="F303" s="433" t="str">
        <f t="shared" si="4"/>
        <v>Link</v>
      </c>
      <c r="G303" s="412"/>
      <c r="H303" s="410" t="s">
        <v>593</v>
      </c>
    </row>
    <row r="304" spans="1:8" ht="56.25">
      <c r="A304" s="411">
        <v>304</v>
      </c>
      <c r="B304" s="412">
        <v>105.05</v>
      </c>
      <c r="C304" s="418" t="s">
        <v>155</v>
      </c>
      <c r="D304" s="412" t="s">
        <v>56</v>
      </c>
      <c r="E304" s="413" t="s">
        <v>1123</v>
      </c>
      <c r="F304" s="433" t="str">
        <f t="shared" si="4"/>
        <v>Link</v>
      </c>
      <c r="G304" s="424" t="s">
        <v>1125</v>
      </c>
      <c r="H304" s="410" t="s">
        <v>3240</v>
      </c>
    </row>
    <row r="305" spans="1:8" ht="33.75">
      <c r="A305" s="411">
        <v>305</v>
      </c>
      <c r="B305" s="412">
        <v>105.06</v>
      </c>
      <c r="C305" s="418" t="s">
        <v>155</v>
      </c>
      <c r="D305" s="412" t="s">
        <v>56</v>
      </c>
      <c r="E305" s="413" t="s">
        <v>1128</v>
      </c>
      <c r="F305" s="433" t="str">
        <f t="shared" si="4"/>
        <v>Link</v>
      </c>
      <c r="G305" s="424" t="s">
        <v>1129</v>
      </c>
      <c r="H305" s="410" t="s">
        <v>3241</v>
      </c>
    </row>
    <row r="306" spans="1:8" ht="22.5">
      <c r="A306" s="411">
        <v>306</v>
      </c>
      <c r="B306" s="412">
        <v>105.07</v>
      </c>
      <c r="C306" s="418" t="s">
        <v>155</v>
      </c>
      <c r="D306" s="412" t="s">
        <v>56</v>
      </c>
      <c r="E306" s="413" t="s">
        <v>1132</v>
      </c>
      <c r="F306" s="433" t="str">
        <f t="shared" si="4"/>
        <v>Link</v>
      </c>
      <c r="G306" s="424" t="s">
        <v>1133</v>
      </c>
      <c r="H306" s="410" t="s">
        <v>3242</v>
      </c>
    </row>
    <row r="307" spans="1:8" ht="56.25">
      <c r="A307" s="411">
        <v>307</v>
      </c>
      <c r="B307" s="412">
        <v>105.08</v>
      </c>
      <c r="C307" s="418" t="s">
        <v>155</v>
      </c>
      <c r="D307" s="412" t="s">
        <v>56</v>
      </c>
      <c r="E307" s="413" t="s">
        <v>1137</v>
      </c>
      <c r="F307" s="433" t="str">
        <f t="shared" si="4"/>
        <v>Link</v>
      </c>
      <c r="G307" s="424" t="s">
        <v>1138</v>
      </c>
      <c r="H307" s="410" t="s">
        <v>3243</v>
      </c>
    </row>
    <row r="308" spans="1:8" ht="45">
      <c r="A308" s="411">
        <v>308</v>
      </c>
      <c r="B308" s="412">
        <v>105.09</v>
      </c>
      <c r="C308" s="418" t="s">
        <v>155</v>
      </c>
      <c r="D308" s="412" t="s">
        <v>56</v>
      </c>
      <c r="E308" s="413" t="s">
        <v>1142</v>
      </c>
      <c r="F308" s="433" t="str">
        <f t="shared" si="4"/>
        <v>Link</v>
      </c>
      <c r="G308" s="424" t="s">
        <v>1143</v>
      </c>
      <c r="H308" s="410" t="s">
        <v>3244</v>
      </c>
    </row>
    <row r="309" spans="1:8" ht="33.75">
      <c r="A309" s="411">
        <v>309</v>
      </c>
      <c r="B309" s="420">
        <v>105.1</v>
      </c>
      <c r="C309" s="418" t="s">
        <v>155</v>
      </c>
      <c r="D309" s="412" t="s">
        <v>56</v>
      </c>
      <c r="E309" s="413" t="s">
        <v>1146</v>
      </c>
      <c r="F309" s="433" t="str">
        <f t="shared" si="4"/>
        <v>Link</v>
      </c>
      <c r="G309" s="424" t="s">
        <v>1147</v>
      </c>
      <c r="H309" s="410" t="s">
        <v>3245</v>
      </c>
    </row>
    <row r="310" spans="1:8" ht="45">
      <c r="A310" s="411">
        <v>310</v>
      </c>
      <c r="B310" s="412">
        <v>105.11</v>
      </c>
      <c r="C310" s="418" t="s">
        <v>155</v>
      </c>
      <c r="D310" s="412" t="s">
        <v>56</v>
      </c>
      <c r="E310" s="413" t="s">
        <v>1150</v>
      </c>
      <c r="F310" s="433" t="str">
        <f t="shared" si="4"/>
        <v>Link</v>
      </c>
      <c r="G310" s="424" t="s">
        <v>1151</v>
      </c>
      <c r="H310" s="410" t="s">
        <v>3246</v>
      </c>
    </row>
    <row r="311" spans="1:8" ht="22.5">
      <c r="A311" s="411">
        <v>311</v>
      </c>
      <c r="B311" s="412">
        <v>105.12</v>
      </c>
      <c r="C311" s="418" t="s">
        <v>155</v>
      </c>
      <c r="D311" s="412" t="s">
        <v>56</v>
      </c>
      <c r="E311" s="413" t="s">
        <v>1154</v>
      </c>
      <c r="F311" s="433" t="str">
        <f t="shared" si="4"/>
        <v>Link</v>
      </c>
      <c r="G311" s="424" t="s">
        <v>1155</v>
      </c>
      <c r="H311" s="410" t="s">
        <v>3247</v>
      </c>
    </row>
    <row r="312" spans="1:8" ht="56.25">
      <c r="A312" s="411">
        <v>312</v>
      </c>
      <c r="B312" s="412">
        <v>105.13</v>
      </c>
      <c r="C312" s="418" t="s">
        <v>155</v>
      </c>
      <c r="D312" s="412" t="s">
        <v>56</v>
      </c>
      <c r="E312" s="413" t="s">
        <v>1158</v>
      </c>
      <c r="F312" s="433" t="str">
        <f t="shared" si="4"/>
        <v>Link</v>
      </c>
      <c r="G312" s="424" t="s">
        <v>1159</v>
      </c>
      <c r="H312" s="410" t="s">
        <v>3248</v>
      </c>
    </row>
    <row r="313" spans="1:8" ht="45">
      <c r="A313" s="411">
        <v>313</v>
      </c>
      <c r="B313" s="412">
        <v>105.14</v>
      </c>
      <c r="C313" s="418" t="s">
        <v>155</v>
      </c>
      <c r="D313" s="412" t="s">
        <v>56</v>
      </c>
      <c r="E313" s="413" t="s">
        <v>1162</v>
      </c>
      <c r="F313" s="433" t="str">
        <f t="shared" si="4"/>
        <v>Link</v>
      </c>
      <c r="G313" s="424" t="s">
        <v>1163</v>
      </c>
      <c r="H313" s="410" t="s">
        <v>3249</v>
      </c>
    </row>
    <row r="314" spans="1:8" ht="56.25">
      <c r="A314" s="411">
        <v>314</v>
      </c>
      <c r="B314" s="412">
        <v>105.15</v>
      </c>
      <c r="C314" s="418" t="s">
        <v>155</v>
      </c>
      <c r="D314" s="412" t="s">
        <v>56</v>
      </c>
      <c r="E314" s="413" t="s">
        <v>1166</v>
      </c>
      <c r="F314" s="433" t="str">
        <f t="shared" si="4"/>
        <v>Link</v>
      </c>
      <c r="G314" s="424" t="s">
        <v>1167</v>
      </c>
      <c r="H314" s="410" t="s">
        <v>3250</v>
      </c>
    </row>
    <row r="315" spans="1:8" ht="22.5">
      <c r="A315" s="411">
        <v>315</v>
      </c>
      <c r="B315" s="412">
        <v>105.16</v>
      </c>
      <c r="C315" s="418" t="s">
        <v>155</v>
      </c>
      <c r="D315" s="412" t="s">
        <v>56</v>
      </c>
      <c r="E315" s="413" t="s">
        <v>1170</v>
      </c>
      <c r="F315" s="433" t="str">
        <f t="shared" si="4"/>
        <v>Link</v>
      </c>
      <c r="G315" s="424" t="s">
        <v>1171</v>
      </c>
      <c r="H315" s="410" t="s">
        <v>3251</v>
      </c>
    </row>
    <row r="316" spans="1:8" s="96" customFormat="1">
      <c r="A316" s="411">
        <v>316</v>
      </c>
      <c r="B316" s="412">
        <v>106</v>
      </c>
      <c r="C316" s="418" t="s">
        <v>596</v>
      </c>
      <c r="D316" s="412" t="s">
        <v>56</v>
      </c>
      <c r="E316" s="415" t="s">
        <v>599</v>
      </c>
      <c r="F316" s="433" t="str">
        <f t="shared" si="4"/>
        <v>Link</v>
      </c>
      <c r="G316" s="424"/>
      <c r="H316" s="410" t="s">
        <v>598</v>
      </c>
    </row>
    <row r="317" spans="1:8" s="96" customFormat="1" ht="56.25">
      <c r="A317" s="411">
        <v>317</v>
      </c>
      <c r="B317" s="412">
        <v>106.01</v>
      </c>
      <c r="C317" s="418" t="s">
        <v>596</v>
      </c>
      <c r="D317" s="412" t="s">
        <v>56</v>
      </c>
      <c r="E317" s="413" t="s">
        <v>2982</v>
      </c>
      <c r="F317" s="433" t="str">
        <f t="shared" si="4"/>
        <v>Link</v>
      </c>
      <c r="G317" s="424" t="s">
        <v>1679</v>
      </c>
      <c r="H317" s="410" t="s">
        <v>3466</v>
      </c>
    </row>
    <row r="318" spans="1:8" s="96" customFormat="1" ht="22.5">
      <c r="A318" s="411">
        <v>318</v>
      </c>
      <c r="B318" s="412">
        <v>106.02</v>
      </c>
      <c r="C318" s="418" t="s">
        <v>596</v>
      </c>
      <c r="D318" s="412" t="s">
        <v>56</v>
      </c>
      <c r="E318" s="413" t="s">
        <v>2983</v>
      </c>
      <c r="F318" s="433" t="str">
        <f t="shared" si="4"/>
        <v>Link</v>
      </c>
      <c r="G318" s="424" t="s">
        <v>2984</v>
      </c>
      <c r="H318" s="410" t="s">
        <v>3467</v>
      </c>
    </row>
    <row r="319" spans="1:8" s="96" customFormat="1" ht="22.5">
      <c r="A319" s="411">
        <v>319</v>
      </c>
      <c r="B319" s="412">
        <v>106.03</v>
      </c>
      <c r="C319" s="418" t="s">
        <v>596</v>
      </c>
      <c r="D319" s="412" t="s">
        <v>56</v>
      </c>
      <c r="E319" s="413" t="s">
        <v>1686</v>
      </c>
      <c r="F319" s="433" t="str">
        <f t="shared" si="4"/>
        <v>Link</v>
      </c>
      <c r="G319" s="424" t="s">
        <v>1689</v>
      </c>
      <c r="H319" s="410" t="s">
        <v>3468</v>
      </c>
    </row>
    <row r="320" spans="1:8" s="96" customFormat="1" ht="56.25">
      <c r="A320" s="411">
        <v>320</v>
      </c>
      <c r="B320" s="412">
        <v>106.04</v>
      </c>
      <c r="C320" s="418" t="s">
        <v>596</v>
      </c>
      <c r="D320" s="412" t="s">
        <v>56</v>
      </c>
      <c r="E320" s="413" t="s">
        <v>1692</v>
      </c>
      <c r="F320" s="433" t="str">
        <f t="shared" si="4"/>
        <v>Link</v>
      </c>
      <c r="G320" s="424" t="s">
        <v>1693</v>
      </c>
      <c r="H320" s="410" t="s">
        <v>3469</v>
      </c>
    </row>
    <row r="321" spans="1:8" s="96" customFormat="1" ht="22.5">
      <c r="A321" s="411">
        <v>321</v>
      </c>
      <c r="B321" s="412">
        <v>106.05</v>
      </c>
      <c r="C321" s="418" t="s">
        <v>596</v>
      </c>
      <c r="D321" s="412" t="s">
        <v>56</v>
      </c>
      <c r="E321" s="413" t="s">
        <v>1698</v>
      </c>
      <c r="F321" s="433" t="str">
        <f t="shared" si="4"/>
        <v>Link</v>
      </c>
      <c r="G321" s="424" t="s">
        <v>1699</v>
      </c>
      <c r="H321" s="410" t="s">
        <v>3470</v>
      </c>
    </row>
    <row r="322" spans="1:8" s="96" customFormat="1" ht="67.5">
      <c r="A322" s="411">
        <v>322</v>
      </c>
      <c r="B322" s="412">
        <v>106.06</v>
      </c>
      <c r="C322" s="418" t="s">
        <v>596</v>
      </c>
      <c r="D322" s="412" t="s">
        <v>56</v>
      </c>
      <c r="E322" s="413" t="s">
        <v>1702</v>
      </c>
      <c r="F322" s="433" t="str">
        <f t="shared" si="4"/>
        <v>Link</v>
      </c>
      <c r="G322" s="424" t="s">
        <v>1703</v>
      </c>
      <c r="H322" s="410" t="s">
        <v>3471</v>
      </c>
    </row>
    <row r="323" spans="1:8" s="96" customFormat="1" ht="67.5">
      <c r="A323" s="411">
        <v>323</v>
      </c>
      <c r="B323" s="412">
        <v>106.07</v>
      </c>
      <c r="C323" s="418" t="s">
        <v>596</v>
      </c>
      <c r="D323" s="412" t="s">
        <v>56</v>
      </c>
      <c r="E323" s="413" t="s">
        <v>1706</v>
      </c>
      <c r="F323" s="433" t="str">
        <f t="shared" ref="F323:F386" si="5">HYPERLINK(H323,"Link")</f>
        <v>Link</v>
      </c>
      <c r="G323" s="424" t="s">
        <v>1707</v>
      </c>
      <c r="H323" s="410" t="s">
        <v>3472</v>
      </c>
    </row>
    <row r="324" spans="1:8" s="96" customFormat="1" ht="56.25">
      <c r="A324" s="411">
        <v>324</v>
      </c>
      <c r="B324" s="412">
        <v>106.08</v>
      </c>
      <c r="C324" s="418" t="s">
        <v>596</v>
      </c>
      <c r="D324" s="412" t="s">
        <v>56</v>
      </c>
      <c r="E324" s="413" t="s">
        <v>1710</v>
      </c>
      <c r="F324" s="433" t="str">
        <f t="shared" si="5"/>
        <v>Link</v>
      </c>
      <c r="G324" s="424" t="s">
        <v>1711</v>
      </c>
      <c r="H324" s="410" t="s">
        <v>3473</v>
      </c>
    </row>
    <row r="325" spans="1:8" s="96" customFormat="1" ht="33.75">
      <c r="A325" s="411">
        <v>325</v>
      </c>
      <c r="B325" s="412">
        <v>106.09</v>
      </c>
      <c r="C325" s="418" t="s">
        <v>596</v>
      </c>
      <c r="D325" s="412" t="s">
        <v>56</v>
      </c>
      <c r="E325" s="413" t="s">
        <v>1712</v>
      </c>
      <c r="F325" s="433" t="str">
        <f t="shared" si="5"/>
        <v>Link</v>
      </c>
      <c r="G325" s="424" t="s">
        <v>1713</v>
      </c>
      <c r="H325" s="410" t="s">
        <v>3474</v>
      </c>
    </row>
    <row r="326" spans="1:8" s="96" customFormat="1" ht="56.25">
      <c r="A326" s="411">
        <v>326</v>
      </c>
      <c r="B326" s="412">
        <v>106.1</v>
      </c>
      <c r="C326" s="418" t="s">
        <v>596</v>
      </c>
      <c r="D326" s="412" t="s">
        <v>56</v>
      </c>
      <c r="E326" s="413" t="s">
        <v>1716</v>
      </c>
      <c r="F326" s="433" t="str">
        <f t="shared" si="5"/>
        <v>Link</v>
      </c>
      <c r="G326" s="424" t="s">
        <v>1717</v>
      </c>
      <c r="H326" s="410" t="s">
        <v>3475</v>
      </c>
    </row>
    <row r="327" spans="1:8" s="96" customFormat="1" ht="45">
      <c r="A327" s="411">
        <v>327</v>
      </c>
      <c r="B327" s="412">
        <v>106.11</v>
      </c>
      <c r="C327" s="418" t="s">
        <v>596</v>
      </c>
      <c r="D327" s="412" t="s">
        <v>56</v>
      </c>
      <c r="E327" s="413" t="s">
        <v>2985</v>
      </c>
      <c r="F327" s="433" t="str">
        <f t="shared" si="5"/>
        <v>Link</v>
      </c>
      <c r="G327" s="424" t="s">
        <v>1722</v>
      </c>
      <c r="H327" s="410" t="s">
        <v>3476</v>
      </c>
    </row>
    <row r="328" spans="1:8" s="96" customFormat="1" ht="45">
      <c r="A328" s="411">
        <v>328</v>
      </c>
      <c r="B328" s="412">
        <v>106.12</v>
      </c>
      <c r="C328" s="418" t="s">
        <v>596</v>
      </c>
      <c r="D328" s="412" t="s">
        <v>56</v>
      </c>
      <c r="E328" s="413" t="s">
        <v>1727</v>
      </c>
      <c r="F328" s="433" t="str">
        <f t="shared" si="5"/>
        <v>Link</v>
      </c>
      <c r="G328" s="424" t="s">
        <v>1728</v>
      </c>
      <c r="H328" s="410" t="s">
        <v>3477</v>
      </c>
    </row>
    <row r="329" spans="1:8" s="96" customFormat="1" ht="22.5">
      <c r="A329" s="411">
        <v>329</v>
      </c>
      <c r="B329" s="412">
        <v>106.13</v>
      </c>
      <c r="C329" s="418" t="s">
        <v>596</v>
      </c>
      <c r="D329" s="412" t="s">
        <v>56</v>
      </c>
      <c r="E329" s="413" t="s">
        <v>1731</v>
      </c>
      <c r="F329" s="433" t="str">
        <f t="shared" si="5"/>
        <v>Link</v>
      </c>
      <c r="G329" s="424" t="s">
        <v>1732</v>
      </c>
      <c r="H329" s="410" t="s">
        <v>3478</v>
      </c>
    </row>
    <row r="330" spans="1:8" s="96" customFormat="1" ht="33.75">
      <c r="A330" s="411">
        <v>330</v>
      </c>
      <c r="B330" s="412">
        <v>106.14</v>
      </c>
      <c r="C330" s="418" t="s">
        <v>596</v>
      </c>
      <c r="D330" s="412" t="s">
        <v>56</v>
      </c>
      <c r="E330" s="413" t="s">
        <v>1733</v>
      </c>
      <c r="F330" s="433" t="str">
        <f t="shared" si="5"/>
        <v>Link</v>
      </c>
      <c r="G330" s="424" t="s">
        <v>2986</v>
      </c>
      <c r="H330" s="410" t="s">
        <v>3479</v>
      </c>
    </row>
    <row r="331" spans="1:8" s="96" customFormat="1" ht="22.5">
      <c r="A331" s="411">
        <v>331</v>
      </c>
      <c r="B331" s="412">
        <v>106.15</v>
      </c>
      <c r="C331" s="418" t="s">
        <v>596</v>
      </c>
      <c r="D331" s="412" t="s">
        <v>56</v>
      </c>
      <c r="E331" s="413" t="s">
        <v>1737</v>
      </c>
      <c r="F331" s="433" t="str">
        <f t="shared" si="5"/>
        <v>Link</v>
      </c>
      <c r="G331" s="424" t="s">
        <v>1738</v>
      </c>
      <c r="H331" s="410" t="s">
        <v>3480</v>
      </c>
    </row>
    <row r="332" spans="1:8" s="96" customFormat="1">
      <c r="A332" s="411">
        <v>332</v>
      </c>
      <c r="B332" s="412">
        <v>106.16</v>
      </c>
      <c r="C332" s="418" t="s">
        <v>596</v>
      </c>
      <c r="D332" s="412" t="s">
        <v>56</v>
      </c>
      <c r="E332" s="413" t="s">
        <v>2987</v>
      </c>
      <c r="F332" s="433" t="str">
        <f t="shared" si="5"/>
        <v>Link</v>
      </c>
      <c r="G332" s="424" t="s">
        <v>1743</v>
      </c>
      <c r="H332" s="410" t="s">
        <v>3481</v>
      </c>
    </row>
    <row r="333" spans="1:8" s="96" customFormat="1" ht="33.75">
      <c r="A333" s="411">
        <v>333</v>
      </c>
      <c r="B333" s="412">
        <v>106.17</v>
      </c>
      <c r="C333" s="418" t="s">
        <v>596</v>
      </c>
      <c r="D333" s="412" t="s">
        <v>56</v>
      </c>
      <c r="E333" s="413" t="s">
        <v>1745</v>
      </c>
      <c r="F333" s="433" t="str">
        <f t="shared" si="5"/>
        <v>Link</v>
      </c>
      <c r="G333" s="424" t="s">
        <v>1746</v>
      </c>
      <c r="H333" s="410" t="s">
        <v>3482</v>
      </c>
    </row>
    <row r="334" spans="1:8" s="96" customFormat="1" ht="22.5">
      <c r="A334" s="411">
        <v>334</v>
      </c>
      <c r="B334" s="412">
        <v>107</v>
      </c>
      <c r="C334" s="418" t="s">
        <v>55</v>
      </c>
      <c r="D334" s="412" t="s">
        <v>56</v>
      </c>
      <c r="E334" s="415" t="s">
        <v>447</v>
      </c>
      <c r="F334" s="433" t="str">
        <f t="shared" si="5"/>
        <v>Link</v>
      </c>
      <c r="G334" s="424"/>
      <c r="H334" s="410" t="s">
        <v>446</v>
      </c>
    </row>
    <row r="335" spans="1:8">
      <c r="A335" s="411">
        <v>335</v>
      </c>
      <c r="B335" s="412">
        <v>107.01</v>
      </c>
      <c r="C335" s="412" t="s">
        <v>55</v>
      </c>
      <c r="D335" s="412" t="s">
        <v>56</v>
      </c>
      <c r="E335" s="413" t="s">
        <v>449</v>
      </c>
      <c r="F335" s="433" t="str">
        <f t="shared" si="5"/>
        <v>Link</v>
      </c>
      <c r="G335" s="412"/>
      <c r="H335" s="410" t="s">
        <v>3252</v>
      </c>
    </row>
    <row r="336" spans="1:8">
      <c r="A336" s="411">
        <v>336</v>
      </c>
      <c r="B336" s="412">
        <v>107.02</v>
      </c>
      <c r="C336" s="412" t="s">
        <v>55</v>
      </c>
      <c r="D336" s="412" t="s">
        <v>56</v>
      </c>
      <c r="E336" s="413" t="s">
        <v>454</v>
      </c>
      <c r="F336" s="433" t="str">
        <f t="shared" si="5"/>
        <v>Link</v>
      </c>
      <c r="G336" s="412"/>
      <c r="H336" s="410" t="s">
        <v>3253</v>
      </c>
    </row>
    <row r="337" spans="1:8" ht="22.5">
      <c r="A337" s="411">
        <v>337</v>
      </c>
      <c r="B337" s="412">
        <v>107.03</v>
      </c>
      <c r="C337" s="412" t="s">
        <v>55</v>
      </c>
      <c r="D337" s="412" t="s">
        <v>56</v>
      </c>
      <c r="E337" s="413" t="s">
        <v>2988</v>
      </c>
      <c r="F337" s="433" t="str">
        <f t="shared" si="5"/>
        <v>Link</v>
      </c>
      <c r="G337" s="412"/>
      <c r="H337" s="410" t="s">
        <v>3254</v>
      </c>
    </row>
    <row r="338" spans="1:8">
      <c r="A338" s="411">
        <v>338</v>
      </c>
      <c r="B338" s="412">
        <v>107.04</v>
      </c>
      <c r="C338" s="412" t="s">
        <v>55</v>
      </c>
      <c r="D338" s="412" t="s">
        <v>56</v>
      </c>
      <c r="E338" s="413" t="s">
        <v>461</v>
      </c>
      <c r="F338" s="433" t="str">
        <f t="shared" si="5"/>
        <v>Link</v>
      </c>
      <c r="G338" s="412"/>
      <c r="H338" s="410" t="s">
        <v>3255</v>
      </c>
    </row>
    <row r="339" spans="1:8">
      <c r="A339" s="411">
        <v>339</v>
      </c>
      <c r="B339" s="420">
        <v>107.05</v>
      </c>
      <c r="C339" s="412" t="s">
        <v>55</v>
      </c>
      <c r="D339" s="412" t="s">
        <v>56</v>
      </c>
      <c r="E339" s="413" t="s">
        <v>2989</v>
      </c>
      <c r="F339" s="433" t="str">
        <f t="shared" si="5"/>
        <v>Link</v>
      </c>
      <c r="G339" s="412"/>
      <c r="H339" s="410" t="s">
        <v>3256</v>
      </c>
    </row>
    <row r="340" spans="1:8">
      <c r="A340" s="411">
        <v>340</v>
      </c>
      <c r="B340" s="420">
        <v>107.06</v>
      </c>
      <c r="C340" s="412" t="s">
        <v>55</v>
      </c>
      <c r="D340" s="412" t="s">
        <v>56</v>
      </c>
      <c r="E340" s="413" t="s">
        <v>468</v>
      </c>
      <c r="F340" s="433" t="str">
        <f t="shared" si="5"/>
        <v>Link</v>
      </c>
      <c r="G340" s="412"/>
      <c r="H340" s="410" t="s">
        <v>3257</v>
      </c>
    </row>
    <row r="341" spans="1:8">
      <c r="A341" s="411">
        <v>341</v>
      </c>
      <c r="B341" s="420">
        <v>107.07</v>
      </c>
      <c r="C341" s="412" t="s">
        <v>55</v>
      </c>
      <c r="D341" s="412" t="s">
        <v>56</v>
      </c>
      <c r="E341" s="413" t="s">
        <v>471</v>
      </c>
      <c r="F341" s="433" t="str">
        <f t="shared" si="5"/>
        <v>Link</v>
      </c>
      <c r="G341" s="412"/>
      <c r="H341" s="410" t="s">
        <v>3258</v>
      </c>
    </row>
    <row r="342" spans="1:8">
      <c r="A342" s="411">
        <v>342</v>
      </c>
      <c r="B342" s="420">
        <v>107.08</v>
      </c>
      <c r="C342" s="412" t="s">
        <v>55</v>
      </c>
      <c r="D342" s="412" t="s">
        <v>56</v>
      </c>
      <c r="E342" s="413" t="s">
        <v>474</v>
      </c>
      <c r="F342" s="433" t="str">
        <f t="shared" si="5"/>
        <v>Link</v>
      </c>
      <c r="G342" s="412"/>
      <c r="H342" s="410" t="s">
        <v>3259</v>
      </c>
    </row>
    <row r="343" spans="1:8" ht="22.5">
      <c r="A343" s="411">
        <v>343</v>
      </c>
      <c r="B343" s="420">
        <v>107.09</v>
      </c>
      <c r="C343" s="412" t="s">
        <v>55</v>
      </c>
      <c r="D343" s="412" t="s">
        <v>56</v>
      </c>
      <c r="E343" s="413" t="s">
        <v>477</v>
      </c>
      <c r="F343" s="433" t="str">
        <f t="shared" si="5"/>
        <v>Link</v>
      </c>
      <c r="G343" s="412"/>
      <c r="H343" s="410" t="s">
        <v>3260</v>
      </c>
    </row>
    <row r="344" spans="1:8">
      <c r="A344" s="411">
        <v>344</v>
      </c>
      <c r="B344" s="420">
        <v>107.1</v>
      </c>
      <c r="C344" s="412" t="s">
        <v>55</v>
      </c>
      <c r="D344" s="412" t="s">
        <v>56</v>
      </c>
      <c r="E344" s="413" t="s">
        <v>481</v>
      </c>
      <c r="F344" s="433" t="str">
        <f t="shared" si="5"/>
        <v>Link</v>
      </c>
      <c r="G344" s="412"/>
      <c r="H344" s="410" t="s">
        <v>3261</v>
      </c>
    </row>
    <row r="345" spans="1:8" ht="33.75">
      <c r="A345" s="411">
        <v>345</v>
      </c>
      <c r="B345" s="420">
        <v>107.11</v>
      </c>
      <c r="C345" s="412" t="s">
        <v>55</v>
      </c>
      <c r="D345" s="412" t="s">
        <v>56</v>
      </c>
      <c r="E345" s="413" t="s">
        <v>486</v>
      </c>
      <c r="F345" s="433" t="str">
        <f t="shared" si="5"/>
        <v>Link</v>
      </c>
      <c r="G345" s="412" t="s">
        <v>487</v>
      </c>
      <c r="H345" s="410" t="s">
        <v>3262</v>
      </c>
    </row>
    <row r="346" spans="1:8" ht="22.5">
      <c r="A346" s="411">
        <v>346</v>
      </c>
      <c r="B346" s="420">
        <v>107.12</v>
      </c>
      <c r="C346" s="412" t="s">
        <v>55</v>
      </c>
      <c r="D346" s="412" t="s">
        <v>56</v>
      </c>
      <c r="E346" s="413" t="s">
        <v>489</v>
      </c>
      <c r="F346" s="433" t="str">
        <f t="shared" si="5"/>
        <v>Link</v>
      </c>
      <c r="G346" s="425"/>
      <c r="H346" s="410" t="s">
        <v>3263</v>
      </c>
    </row>
    <row r="347" spans="1:8">
      <c r="A347" s="411">
        <v>347</v>
      </c>
      <c r="B347" s="420">
        <v>107.13</v>
      </c>
      <c r="C347" s="412" t="s">
        <v>55</v>
      </c>
      <c r="D347" s="412" t="s">
        <v>56</v>
      </c>
      <c r="E347" s="413" t="s">
        <v>492</v>
      </c>
      <c r="F347" s="433" t="str">
        <f t="shared" si="5"/>
        <v>Link</v>
      </c>
      <c r="G347" s="412"/>
      <c r="H347" s="410" t="s">
        <v>3264</v>
      </c>
    </row>
    <row r="348" spans="1:8">
      <c r="A348" s="411">
        <v>348</v>
      </c>
      <c r="B348" s="420">
        <v>107.14</v>
      </c>
      <c r="C348" s="412" t="s">
        <v>55</v>
      </c>
      <c r="D348" s="412" t="s">
        <v>56</v>
      </c>
      <c r="E348" s="413" t="s">
        <v>2990</v>
      </c>
      <c r="F348" s="433" t="str">
        <f t="shared" si="5"/>
        <v>Link</v>
      </c>
      <c r="G348" s="412"/>
      <c r="H348" s="410" t="s">
        <v>3265</v>
      </c>
    </row>
    <row r="349" spans="1:8" ht="22.5">
      <c r="A349" s="411">
        <v>349</v>
      </c>
      <c r="B349" s="412">
        <v>109</v>
      </c>
      <c r="C349" s="418" t="s">
        <v>155</v>
      </c>
      <c r="D349" s="412" t="s">
        <v>56</v>
      </c>
      <c r="E349" s="415" t="s">
        <v>612</v>
      </c>
      <c r="F349" s="433" t="str">
        <f t="shared" si="5"/>
        <v>Link</v>
      </c>
      <c r="G349" s="412"/>
      <c r="H349" s="410" t="s">
        <v>611</v>
      </c>
    </row>
    <row r="350" spans="1:8" ht="22.5">
      <c r="A350" s="411">
        <v>350</v>
      </c>
      <c r="B350" s="420">
        <v>109.01</v>
      </c>
      <c r="C350" s="418" t="s">
        <v>155</v>
      </c>
      <c r="D350" s="412" t="s">
        <v>56</v>
      </c>
      <c r="E350" s="413" t="s">
        <v>1176</v>
      </c>
      <c r="F350" s="433" t="str">
        <f t="shared" si="5"/>
        <v>Link</v>
      </c>
      <c r="G350" s="412" t="s">
        <v>1177</v>
      </c>
      <c r="H350" s="410" t="s">
        <v>3266</v>
      </c>
    </row>
    <row r="351" spans="1:8" ht="33.75">
      <c r="A351" s="411">
        <v>351</v>
      </c>
      <c r="B351" s="412">
        <v>109.02</v>
      </c>
      <c r="C351" s="418" t="s">
        <v>155</v>
      </c>
      <c r="D351" s="412" t="s">
        <v>56</v>
      </c>
      <c r="E351" s="413" t="s">
        <v>1180</v>
      </c>
      <c r="F351" s="433" t="str">
        <f t="shared" si="5"/>
        <v>Link</v>
      </c>
      <c r="G351" s="412" t="s">
        <v>1181</v>
      </c>
      <c r="H351" s="410" t="s">
        <v>3267</v>
      </c>
    </row>
    <row r="352" spans="1:8" ht="45">
      <c r="A352" s="411">
        <v>352</v>
      </c>
      <c r="B352" s="420">
        <v>109.03</v>
      </c>
      <c r="C352" s="418" t="s">
        <v>155</v>
      </c>
      <c r="D352" s="412" t="s">
        <v>56</v>
      </c>
      <c r="E352" s="413" t="s">
        <v>1184</v>
      </c>
      <c r="F352" s="433" t="str">
        <f t="shared" si="5"/>
        <v>Link</v>
      </c>
      <c r="G352" s="412" t="s">
        <v>1185</v>
      </c>
      <c r="H352" s="410" t="s">
        <v>3268</v>
      </c>
    </row>
    <row r="353" spans="1:8" ht="90">
      <c r="A353" s="411">
        <v>353</v>
      </c>
      <c r="B353" s="412">
        <v>109.04</v>
      </c>
      <c r="C353" s="418" t="s">
        <v>155</v>
      </c>
      <c r="D353" s="412" t="s">
        <v>56</v>
      </c>
      <c r="E353" s="413" t="s">
        <v>1188</v>
      </c>
      <c r="F353" s="433" t="str">
        <f t="shared" si="5"/>
        <v>Link</v>
      </c>
      <c r="G353" s="412" t="s">
        <v>1189</v>
      </c>
      <c r="H353" s="410" t="s">
        <v>3269</v>
      </c>
    </row>
    <row r="354" spans="1:8" ht="56.25">
      <c r="A354" s="411">
        <v>354</v>
      </c>
      <c r="B354" s="420">
        <v>109.05</v>
      </c>
      <c r="C354" s="418" t="s">
        <v>155</v>
      </c>
      <c r="D354" s="412" t="s">
        <v>56</v>
      </c>
      <c r="E354" s="413" t="s">
        <v>1194</v>
      </c>
      <c r="F354" s="433" t="str">
        <f t="shared" si="5"/>
        <v>Link</v>
      </c>
      <c r="G354" s="412" t="s">
        <v>1195</v>
      </c>
      <c r="H354" s="410" t="s">
        <v>3270</v>
      </c>
    </row>
    <row r="355" spans="1:8" ht="45">
      <c r="A355" s="411">
        <v>355</v>
      </c>
      <c r="B355" s="412">
        <v>109.06</v>
      </c>
      <c r="C355" s="418" t="s">
        <v>155</v>
      </c>
      <c r="D355" s="412" t="s">
        <v>56</v>
      </c>
      <c r="E355" s="413" t="s">
        <v>1197</v>
      </c>
      <c r="F355" s="433" t="str">
        <f t="shared" si="5"/>
        <v>Link</v>
      </c>
      <c r="G355" s="412" t="s">
        <v>1199</v>
      </c>
      <c r="H355" s="410" t="s">
        <v>3271</v>
      </c>
    </row>
    <row r="356" spans="1:8" ht="45">
      <c r="A356" s="411">
        <v>356</v>
      </c>
      <c r="B356" s="420">
        <v>109.07</v>
      </c>
      <c r="C356" s="418" t="s">
        <v>155</v>
      </c>
      <c r="D356" s="412" t="s">
        <v>56</v>
      </c>
      <c r="E356" s="413" t="s">
        <v>1202</v>
      </c>
      <c r="F356" s="433" t="str">
        <f t="shared" si="5"/>
        <v>Link</v>
      </c>
      <c r="G356" s="412" t="s">
        <v>1203</v>
      </c>
      <c r="H356" s="410" t="s">
        <v>3272</v>
      </c>
    </row>
    <row r="357" spans="1:8">
      <c r="A357" s="411">
        <v>357</v>
      </c>
      <c r="B357" s="412">
        <v>126</v>
      </c>
      <c r="C357" s="418" t="s">
        <v>155</v>
      </c>
      <c r="D357" s="412" t="s">
        <v>56</v>
      </c>
      <c r="E357" s="415" t="s">
        <v>674</v>
      </c>
      <c r="F357" s="433" t="str">
        <f t="shared" si="5"/>
        <v>Link</v>
      </c>
      <c r="G357" s="412"/>
      <c r="H357" s="410" t="s">
        <v>672</v>
      </c>
    </row>
    <row r="358" spans="1:8" ht="33.75">
      <c r="A358" s="411">
        <v>358</v>
      </c>
      <c r="B358" s="412">
        <v>126.01</v>
      </c>
      <c r="C358" s="418" t="s">
        <v>155</v>
      </c>
      <c r="D358" s="412" t="s">
        <v>56</v>
      </c>
      <c r="E358" s="413" t="s">
        <v>1310</v>
      </c>
      <c r="F358" s="433" t="str">
        <f t="shared" si="5"/>
        <v>Link</v>
      </c>
      <c r="G358" s="412" t="s">
        <v>1311</v>
      </c>
      <c r="H358" s="410" t="s">
        <v>3273</v>
      </c>
    </row>
    <row r="359" spans="1:8" ht="78.75">
      <c r="A359" s="411">
        <v>359</v>
      </c>
      <c r="B359" s="412">
        <v>126.02</v>
      </c>
      <c r="C359" s="418" t="s">
        <v>155</v>
      </c>
      <c r="D359" s="412" t="s">
        <v>56</v>
      </c>
      <c r="E359" s="413" t="s">
        <v>1312</v>
      </c>
      <c r="F359" s="433" t="str">
        <f t="shared" si="5"/>
        <v>Link</v>
      </c>
      <c r="G359" s="412" t="s">
        <v>1313</v>
      </c>
      <c r="H359" s="410" t="s">
        <v>3274</v>
      </c>
    </row>
    <row r="360" spans="1:8" ht="33.75">
      <c r="A360" s="411">
        <v>360</v>
      </c>
      <c r="B360" s="412">
        <v>126.03</v>
      </c>
      <c r="C360" s="418" t="s">
        <v>155</v>
      </c>
      <c r="D360" s="412" t="s">
        <v>56</v>
      </c>
      <c r="E360" s="413" t="s">
        <v>1316</v>
      </c>
      <c r="F360" s="433" t="str">
        <f t="shared" si="5"/>
        <v>Link</v>
      </c>
      <c r="G360" s="412" t="s">
        <v>1317</v>
      </c>
      <c r="H360" s="410" t="s">
        <v>3275</v>
      </c>
    </row>
    <row r="361" spans="1:8" ht="33.75">
      <c r="A361" s="411">
        <v>361</v>
      </c>
      <c r="B361" s="412">
        <v>126.04</v>
      </c>
      <c r="C361" s="418" t="s">
        <v>155</v>
      </c>
      <c r="D361" s="412" t="s">
        <v>56</v>
      </c>
      <c r="E361" s="413" t="s">
        <v>1318</v>
      </c>
      <c r="F361" s="433" t="str">
        <f t="shared" si="5"/>
        <v>Link</v>
      </c>
      <c r="G361" s="412" t="s">
        <v>1319</v>
      </c>
      <c r="H361" s="410" t="s">
        <v>3276</v>
      </c>
    </row>
    <row r="362" spans="1:8" ht="56.25">
      <c r="A362" s="411">
        <v>362</v>
      </c>
      <c r="B362" s="412">
        <v>126.05</v>
      </c>
      <c r="C362" s="418" t="s">
        <v>155</v>
      </c>
      <c r="D362" s="412" t="s">
        <v>56</v>
      </c>
      <c r="E362" s="413" t="s">
        <v>1322</v>
      </c>
      <c r="F362" s="433" t="str">
        <f t="shared" si="5"/>
        <v>Link</v>
      </c>
      <c r="G362" s="412" t="s">
        <v>1323</v>
      </c>
      <c r="H362" s="410" t="s">
        <v>3277</v>
      </c>
    </row>
    <row r="363" spans="1:8" ht="56.25">
      <c r="A363" s="411">
        <v>363</v>
      </c>
      <c r="B363" s="412">
        <v>126.06</v>
      </c>
      <c r="C363" s="418" t="s">
        <v>155</v>
      </c>
      <c r="D363" s="412" t="s">
        <v>56</v>
      </c>
      <c r="E363" s="413" t="s">
        <v>1326</v>
      </c>
      <c r="F363" s="433" t="str">
        <f t="shared" si="5"/>
        <v>Link</v>
      </c>
      <c r="G363" s="412" t="s">
        <v>1327</v>
      </c>
      <c r="H363" s="410" t="s">
        <v>3278</v>
      </c>
    </row>
    <row r="364" spans="1:8" ht="22.5">
      <c r="A364" s="411">
        <v>364</v>
      </c>
      <c r="B364" s="412">
        <v>127</v>
      </c>
      <c r="C364" s="418" t="s">
        <v>155</v>
      </c>
      <c r="D364" s="412" t="s">
        <v>56</v>
      </c>
      <c r="E364" s="415" t="s">
        <v>678</v>
      </c>
      <c r="F364" s="433" t="str">
        <f t="shared" si="5"/>
        <v>Link</v>
      </c>
      <c r="G364" s="412"/>
      <c r="H364" s="410" t="s">
        <v>677</v>
      </c>
    </row>
    <row r="365" spans="1:8" ht="67.5">
      <c r="A365" s="411">
        <v>365</v>
      </c>
      <c r="B365" s="412">
        <v>127.01</v>
      </c>
      <c r="C365" s="418" t="s">
        <v>155</v>
      </c>
      <c r="D365" s="412" t="s">
        <v>56</v>
      </c>
      <c r="E365" s="413" t="s">
        <v>1208</v>
      </c>
      <c r="F365" s="433" t="str">
        <f t="shared" si="5"/>
        <v>Link</v>
      </c>
      <c r="G365" s="412" t="s">
        <v>1209</v>
      </c>
      <c r="H365" s="410" t="s">
        <v>3279</v>
      </c>
    </row>
    <row r="366" spans="1:8" ht="56.25">
      <c r="A366" s="411">
        <v>366</v>
      </c>
      <c r="B366" s="412">
        <v>127.02</v>
      </c>
      <c r="C366" s="418" t="s">
        <v>155</v>
      </c>
      <c r="D366" s="412" t="s">
        <v>56</v>
      </c>
      <c r="E366" s="413" t="s">
        <v>1213</v>
      </c>
      <c r="F366" s="433" t="str">
        <f t="shared" si="5"/>
        <v>Link</v>
      </c>
      <c r="G366" s="412" t="s">
        <v>1214</v>
      </c>
      <c r="H366" s="410" t="s">
        <v>3280</v>
      </c>
    </row>
    <row r="367" spans="1:8" ht="67.5">
      <c r="A367" s="411">
        <v>367</v>
      </c>
      <c r="B367" s="412">
        <v>127.03</v>
      </c>
      <c r="C367" s="418" t="s">
        <v>155</v>
      </c>
      <c r="D367" s="412" t="s">
        <v>56</v>
      </c>
      <c r="E367" s="413" t="s">
        <v>1215</v>
      </c>
      <c r="F367" s="433" t="str">
        <f t="shared" si="5"/>
        <v>Link</v>
      </c>
      <c r="G367" s="412" t="s">
        <v>1216</v>
      </c>
      <c r="H367" s="410" t="s">
        <v>3281</v>
      </c>
    </row>
    <row r="368" spans="1:8" ht="45">
      <c r="A368" s="411">
        <v>368</v>
      </c>
      <c r="B368" s="412">
        <v>127.04</v>
      </c>
      <c r="C368" s="418" t="s">
        <v>155</v>
      </c>
      <c r="D368" s="412" t="s">
        <v>56</v>
      </c>
      <c r="E368" s="413" t="s">
        <v>1219</v>
      </c>
      <c r="F368" s="433" t="str">
        <f t="shared" si="5"/>
        <v>Link</v>
      </c>
      <c r="G368" s="412" t="s">
        <v>1220</v>
      </c>
      <c r="H368" s="410" t="s">
        <v>3282</v>
      </c>
    </row>
    <row r="369" spans="1:8" ht="78.75">
      <c r="A369" s="411">
        <v>369</v>
      </c>
      <c r="B369" s="412">
        <v>127.05</v>
      </c>
      <c r="C369" s="418" t="s">
        <v>155</v>
      </c>
      <c r="D369" s="412" t="s">
        <v>56</v>
      </c>
      <c r="E369" s="413" t="s">
        <v>1223</v>
      </c>
      <c r="F369" s="433" t="str">
        <f t="shared" si="5"/>
        <v>Link</v>
      </c>
      <c r="G369" s="412" t="s">
        <v>1224</v>
      </c>
      <c r="H369" s="410" t="s">
        <v>3283</v>
      </c>
    </row>
    <row r="370" spans="1:8" ht="22.5">
      <c r="A370" s="411">
        <v>370</v>
      </c>
      <c r="B370" s="412">
        <v>128</v>
      </c>
      <c r="C370" s="418" t="s">
        <v>155</v>
      </c>
      <c r="D370" s="412" t="s">
        <v>56</v>
      </c>
      <c r="E370" s="415" t="s">
        <v>680</v>
      </c>
      <c r="F370" s="433" t="str">
        <f t="shared" si="5"/>
        <v>Link</v>
      </c>
      <c r="G370" s="412"/>
      <c r="H370" s="410" t="s">
        <v>679</v>
      </c>
    </row>
    <row r="371" spans="1:8" ht="45">
      <c r="A371" s="411">
        <v>371</v>
      </c>
      <c r="B371" s="412">
        <v>128.01</v>
      </c>
      <c r="C371" s="418" t="s">
        <v>155</v>
      </c>
      <c r="D371" s="412" t="s">
        <v>56</v>
      </c>
      <c r="E371" s="413" t="s">
        <v>1227</v>
      </c>
      <c r="F371" s="433" t="str">
        <f t="shared" si="5"/>
        <v>Link</v>
      </c>
      <c r="G371" s="412" t="s">
        <v>1228</v>
      </c>
      <c r="H371" s="410" t="s">
        <v>3284</v>
      </c>
    </row>
    <row r="372" spans="1:8" ht="33.75">
      <c r="A372" s="411">
        <v>372</v>
      </c>
      <c r="B372" s="412">
        <v>128.02000000000001</v>
      </c>
      <c r="C372" s="418" t="s">
        <v>155</v>
      </c>
      <c r="D372" s="412" t="s">
        <v>56</v>
      </c>
      <c r="E372" s="413" t="s">
        <v>1232</v>
      </c>
      <c r="F372" s="433" t="str">
        <f t="shared" si="5"/>
        <v>Link</v>
      </c>
      <c r="G372" s="412" t="s">
        <v>1233</v>
      </c>
      <c r="H372" s="410" t="s">
        <v>3285</v>
      </c>
    </row>
    <row r="373" spans="1:8" ht="33.75">
      <c r="A373" s="411">
        <v>373</v>
      </c>
      <c r="B373" s="412">
        <v>128.03</v>
      </c>
      <c r="C373" s="418" t="s">
        <v>155</v>
      </c>
      <c r="D373" s="412" t="s">
        <v>56</v>
      </c>
      <c r="E373" s="413" t="s">
        <v>1236</v>
      </c>
      <c r="F373" s="433" t="str">
        <f t="shared" si="5"/>
        <v>Link</v>
      </c>
      <c r="G373" s="412" t="s">
        <v>1237</v>
      </c>
      <c r="H373" s="410" t="s">
        <v>3286</v>
      </c>
    </row>
    <row r="374" spans="1:8" ht="56.25">
      <c r="A374" s="411">
        <v>374</v>
      </c>
      <c r="B374" s="412">
        <v>128.04</v>
      </c>
      <c r="C374" s="418" t="s">
        <v>155</v>
      </c>
      <c r="D374" s="412" t="s">
        <v>56</v>
      </c>
      <c r="E374" s="413" t="s">
        <v>1240</v>
      </c>
      <c r="F374" s="433" t="str">
        <f t="shared" si="5"/>
        <v>Link</v>
      </c>
      <c r="G374" s="412" t="s">
        <v>1241</v>
      </c>
      <c r="H374" s="410" t="s">
        <v>3287</v>
      </c>
    </row>
    <row r="375" spans="1:8" ht="45">
      <c r="A375" s="411">
        <v>375</v>
      </c>
      <c r="B375" s="412">
        <v>128.05000000000001</v>
      </c>
      <c r="C375" s="418" t="s">
        <v>155</v>
      </c>
      <c r="D375" s="412" t="s">
        <v>56</v>
      </c>
      <c r="E375" s="413" t="s">
        <v>1242</v>
      </c>
      <c r="F375" s="433" t="str">
        <f t="shared" si="5"/>
        <v>Link</v>
      </c>
      <c r="G375" s="412" t="s">
        <v>1243</v>
      </c>
      <c r="H375" s="410" t="s">
        <v>3288</v>
      </c>
    </row>
    <row r="376" spans="1:8" ht="22.5">
      <c r="A376" s="411">
        <v>376</v>
      </c>
      <c r="B376" s="412">
        <v>129</v>
      </c>
      <c r="C376" s="418" t="s">
        <v>155</v>
      </c>
      <c r="D376" s="412" t="s">
        <v>56</v>
      </c>
      <c r="E376" s="415" t="s">
        <v>684</v>
      </c>
      <c r="F376" s="433" t="str">
        <f t="shared" si="5"/>
        <v>Link</v>
      </c>
      <c r="G376" s="412"/>
      <c r="H376" s="410" t="s">
        <v>683</v>
      </c>
    </row>
    <row r="377" spans="1:8" ht="78.75">
      <c r="A377" s="411">
        <v>377</v>
      </c>
      <c r="B377" s="412">
        <v>129.01</v>
      </c>
      <c r="C377" s="418" t="s">
        <v>155</v>
      </c>
      <c r="D377" s="412" t="s">
        <v>56</v>
      </c>
      <c r="E377" s="413" t="s">
        <v>1248</v>
      </c>
      <c r="F377" s="433" t="str">
        <f t="shared" si="5"/>
        <v>Link</v>
      </c>
      <c r="G377" s="412" t="s">
        <v>1249</v>
      </c>
      <c r="H377" s="410" t="s">
        <v>3289</v>
      </c>
    </row>
    <row r="378" spans="1:8" ht="33.75">
      <c r="A378" s="411">
        <v>378</v>
      </c>
      <c r="B378" s="412">
        <v>129.02000000000001</v>
      </c>
      <c r="C378" s="418" t="s">
        <v>155</v>
      </c>
      <c r="D378" s="412" t="s">
        <v>56</v>
      </c>
      <c r="E378" s="413" t="s">
        <v>1251</v>
      </c>
      <c r="F378" s="433" t="str">
        <f t="shared" si="5"/>
        <v>Link</v>
      </c>
      <c r="G378" s="412" t="s">
        <v>1252</v>
      </c>
      <c r="H378" s="410" t="s">
        <v>3290</v>
      </c>
    </row>
    <row r="379" spans="1:8">
      <c r="A379" s="411">
        <v>379</v>
      </c>
      <c r="B379" s="412">
        <v>130</v>
      </c>
      <c r="C379" s="418" t="s">
        <v>155</v>
      </c>
      <c r="D379" s="412" t="s">
        <v>56</v>
      </c>
      <c r="E379" s="415" t="s">
        <v>687</v>
      </c>
      <c r="F379" s="433" t="str">
        <f t="shared" si="5"/>
        <v>Link</v>
      </c>
      <c r="G379" s="412"/>
      <c r="H379" s="410" t="s">
        <v>686</v>
      </c>
    </row>
    <row r="380" spans="1:8" ht="33.75">
      <c r="A380" s="411">
        <v>380</v>
      </c>
      <c r="B380" s="412">
        <v>130.01</v>
      </c>
      <c r="C380" s="418" t="s">
        <v>155</v>
      </c>
      <c r="D380" s="412" t="s">
        <v>56</v>
      </c>
      <c r="E380" s="413" t="s">
        <v>1257</v>
      </c>
      <c r="F380" s="433" t="str">
        <f t="shared" si="5"/>
        <v>Link</v>
      </c>
      <c r="G380" s="412" t="s">
        <v>1258</v>
      </c>
      <c r="H380" s="410" t="s">
        <v>3291</v>
      </c>
    </row>
    <row r="381" spans="1:8" ht="22.5">
      <c r="A381" s="411">
        <v>381</v>
      </c>
      <c r="B381" s="412">
        <v>131</v>
      </c>
      <c r="C381" s="418" t="s">
        <v>155</v>
      </c>
      <c r="D381" s="412" t="s">
        <v>56</v>
      </c>
      <c r="E381" s="415" t="s">
        <v>690</v>
      </c>
      <c r="F381" s="433" t="str">
        <f t="shared" si="5"/>
        <v>Link</v>
      </c>
      <c r="G381" s="412"/>
      <c r="H381" s="410" t="s">
        <v>689</v>
      </c>
    </row>
    <row r="382" spans="1:8" ht="33.75">
      <c r="A382" s="411">
        <v>382</v>
      </c>
      <c r="B382" s="412">
        <v>131.01</v>
      </c>
      <c r="C382" s="418" t="s">
        <v>155</v>
      </c>
      <c r="D382" s="412" t="s">
        <v>56</v>
      </c>
      <c r="E382" s="413" t="s">
        <v>1294</v>
      </c>
      <c r="F382" s="433" t="str">
        <f t="shared" si="5"/>
        <v>Link</v>
      </c>
      <c r="G382" s="412" t="s">
        <v>1295</v>
      </c>
      <c r="H382" s="410" t="s">
        <v>3292</v>
      </c>
    </row>
    <row r="383" spans="1:8">
      <c r="A383" s="411">
        <v>383</v>
      </c>
      <c r="B383" s="412">
        <v>132</v>
      </c>
      <c r="C383" s="418" t="s">
        <v>155</v>
      </c>
      <c r="D383" s="412" t="s">
        <v>56</v>
      </c>
      <c r="E383" s="415" t="s">
        <v>694</v>
      </c>
      <c r="F383" s="433" t="str">
        <f t="shared" si="5"/>
        <v>Link</v>
      </c>
      <c r="G383" s="412"/>
      <c r="H383" s="410" t="s">
        <v>692</v>
      </c>
    </row>
    <row r="384" spans="1:8" ht="22.5">
      <c r="A384" s="411">
        <v>384</v>
      </c>
      <c r="B384" s="412">
        <v>132.01</v>
      </c>
      <c r="C384" s="418" t="s">
        <v>155</v>
      </c>
      <c r="D384" s="412" t="s">
        <v>56</v>
      </c>
      <c r="E384" s="413" t="s">
        <v>1298</v>
      </c>
      <c r="F384" s="433" t="str">
        <f t="shared" si="5"/>
        <v>Link</v>
      </c>
      <c r="G384" s="425" t="s">
        <v>1299</v>
      </c>
      <c r="H384" s="410" t="s">
        <v>3293</v>
      </c>
    </row>
    <row r="385" spans="1:8">
      <c r="A385" s="411">
        <v>385</v>
      </c>
      <c r="B385" s="412">
        <v>133</v>
      </c>
      <c r="C385" s="418" t="s">
        <v>155</v>
      </c>
      <c r="D385" s="412" t="s">
        <v>56</v>
      </c>
      <c r="E385" s="415" t="s">
        <v>697</v>
      </c>
      <c r="F385" s="433" t="str">
        <f t="shared" si="5"/>
        <v>Link</v>
      </c>
      <c r="G385" s="412"/>
      <c r="H385" s="410" t="s">
        <v>696</v>
      </c>
    </row>
    <row r="386" spans="1:8" ht="90">
      <c r="A386" s="411">
        <v>386</v>
      </c>
      <c r="B386" s="412">
        <v>133.01</v>
      </c>
      <c r="C386" s="418" t="s">
        <v>155</v>
      </c>
      <c r="D386" s="412" t="s">
        <v>56</v>
      </c>
      <c r="E386" s="416" t="s">
        <v>1264</v>
      </c>
      <c r="F386" s="433" t="str">
        <f t="shared" si="5"/>
        <v>Link</v>
      </c>
      <c r="G386" s="412" t="s">
        <v>1265</v>
      </c>
      <c r="H386" s="410" t="s">
        <v>3294</v>
      </c>
    </row>
    <row r="387" spans="1:8">
      <c r="A387" s="411">
        <v>387</v>
      </c>
      <c r="B387" s="412">
        <v>134</v>
      </c>
      <c r="C387" s="418" t="s">
        <v>155</v>
      </c>
      <c r="D387" s="412" t="s">
        <v>56</v>
      </c>
      <c r="E387" s="415" t="s">
        <v>700</v>
      </c>
      <c r="F387" s="433" t="str">
        <f t="shared" ref="F387:F450" si="6">HYPERLINK(H387,"Link")</f>
        <v>Link</v>
      </c>
      <c r="G387" s="412"/>
      <c r="H387" s="410" t="s">
        <v>699</v>
      </c>
    </row>
    <row r="388" spans="1:8" ht="45">
      <c r="A388" s="411">
        <v>388</v>
      </c>
      <c r="B388" s="412">
        <v>134.01</v>
      </c>
      <c r="C388" s="418" t="s">
        <v>155</v>
      </c>
      <c r="D388" s="412" t="s">
        <v>56</v>
      </c>
      <c r="E388" s="413" t="s">
        <v>1269</v>
      </c>
      <c r="F388" s="433" t="str">
        <f t="shared" si="6"/>
        <v>Link</v>
      </c>
      <c r="G388" s="412" t="s">
        <v>1270</v>
      </c>
      <c r="H388" s="410" t="s">
        <v>3295</v>
      </c>
    </row>
    <row r="389" spans="1:8" ht="56.25">
      <c r="A389" s="411">
        <v>389</v>
      </c>
      <c r="B389" s="412">
        <v>134.02000000000001</v>
      </c>
      <c r="C389" s="418" t="s">
        <v>155</v>
      </c>
      <c r="D389" s="412" t="s">
        <v>56</v>
      </c>
      <c r="E389" s="413" t="s">
        <v>1273</v>
      </c>
      <c r="F389" s="433" t="str">
        <f t="shared" si="6"/>
        <v>Link</v>
      </c>
      <c r="G389" s="412" t="s">
        <v>1274</v>
      </c>
      <c r="H389" s="410" t="s">
        <v>3296</v>
      </c>
    </row>
    <row r="390" spans="1:8" ht="56.25">
      <c r="A390" s="411">
        <v>390</v>
      </c>
      <c r="B390" s="412">
        <v>134.03</v>
      </c>
      <c r="C390" s="418" t="s">
        <v>155</v>
      </c>
      <c r="D390" s="412" t="s">
        <v>56</v>
      </c>
      <c r="E390" s="413" t="s">
        <v>1277</v>
      </c>
      <c r="F390" s="433" t="str">
        <f t="shared" si="6"/>
        <v>Link</v>
      </c>
      <c r="G390" s="412" t="s">
        <v>1278</v>
      </c>
      <c r="H390" s="410" t="s">
        <v>3297</v>
      </c>
    </row>
    <row r="391" spans="1:8" ht="67.5">
      <c r="A391" s="411">
        <v>391</v>
      </c>
      <c r="B391" s="412">
        <v>134.04</v>
      </c>
      <c r="C391" s="418" t="s">
        <v>155</v>
      </c>
      <c r="D391" s="412" t="s">
        <v>56</v>
      </c>
      <c r="E391" s="413" t="s">
        <v>1279</v>
      </c>
      <c r="F391" s="433" t="str">
        <f t="shared" si="6"/>
        <v>Link</v>
      </c>
      <c r="G391" s="412" t="s">
        <v>1280</v>
      </c>
      <c r="H391" s="410" t="s">
        <v>3298</v>
      </c>
    </row>
    <row r="392" spans="1:8" ht="56.25">
      <c r="A392" s="411">
        <v>392</v>
      </c>
      <c r="B392" s="412">
        <v>134.05000000000001</v>
      </c>
      <c r="C392" s="418" t="s">
        <v>155</v>
      </c>
      <c r="D392" s="412" t="s">
        <v>56</v>
      </c>
      <c r="E392" s="413" t="s">
        <v>1284</v>
      </c>
      <c r="F392" s="433" t="str">
        <f t="shared" si="6"/>
        <v>Link</v>
      </c>
      <c r="G392" s="412" t="s">
        <v>1285</v>
      </c>
      <c r="H392" s="410" t="s">
        <v>3299</v>
      </c>
    </row>
    <row r="393" spans="1:8" ht="22.5">
      <c r="A393" s="411">
        <v>393</v>
      </c>
      <c r="B393" s="412">
        <v>135</v>
      </c>
      <c r="C393" s="418" t="s">
        <v>155</v>
      </c>
      <c r="D393" s="412" t="s">
        <v>56</v>
      </c>
      <c r="E393" s="415" t="s">
        <v>704</v>
      </c>
      <c r="F393" s="433" t="str">
        <f t="shared" si="6"/>
        <v>Link</v>
      </c>
      <c r="G393" s="412"/>
      <c r="H393" s="410" t="s">
        <v>703</v>
      </c>
    </row>
    <row r="394" spans="1:8" ht="45">
      <c r="A394" s="411">
        <v>394</v>
      </c>
      <c r="B394" s="412">
        <v>135.01</v>
      </c>
      <c r="C394" s="418" t="s">
        <v>155</v>
      </c>
      <c r="D394" s="412" t="s">
        <v>56</v>
      </c>
      <c r="E394" s="413" t="s">
        <v>1288</v>
      </c>
      <c r="F394" s="433" t="str">
        <f t="shared" si="6"/>
        <v>Link</v>
      </c>
      <c r="G394" s="425" t="s">
        <v>1289</v>
      </c>
      <c r="H394" s="410" t="s">
        <v>3300</v>
      </c>
    </row>
    <row r="395" spans="1:8">
      <c r="A395" s="411">
        <v>395</v>
      </c>
      <c r="B395" s="412">
        <v>136</v>
      </c>
      <c r="C395" s="418" t="s">
        <v>155</v>
      </c>
      <c r="D395" s="412" t="s">
        <v>56</v>
      </c>
      <c r="E395" s="415" t="s">
        <v>707</v>
      </c>
      <c r="F395" s="433" t="str">
        <f t="shared" si="6"/>
        <v>Link</v>
      </c>
      <c r="G395" s="412"/>
      <c r="H395" s="410" t="s">
        <v>706</v>
      </c>
    </row>
    <row r="396" spans="1:8" ht="33.75">
      <c r="A396" s="411">
        <v>396</v>
      </c>
      <c r="B396" s="412">
        <v>136.01</v>
      </c>
      <c r="C396" s="418" t="s">
        <v>155</v>
      </c>
      <c r="D396" s="412" t="s">
        <v>56</v>
      </c>
      <c r="E396" s="413" t="s">
        <v>1304</v>
      </c>
      <c r="F396" s="433" t="str">
        <f t="shared" si="6"/>
        <v>Link</v>
      </c>
      <c r="G396" s="412" t="s">
        <v>1305</v>
      </c>
      <c r="H396" s="410" t="s">
        <v>3301</v>
      </c>
    </row>
    <row r="397" spans="1:8">
      <c r="A397" s="411">
        <v>397</v>
      </c>
      <c r="B397" s="412">
        <v>149</v>
      </c>
      <c r="C397" s="418" t="s">
        <v>54</v>
      </c>
      <c r="D397" s="412" t="s">
        <v>56</v>
      </c>
      <c r="E397" s="415" t="s">
        <v>346</v>
      </c>
      <c r="F397" s="433" t="str">
        <f t="shared" si="6"/>
        <v>Link</v>
      </c>
      <c r="G397" s="412"/>
      <c r="H397" s="410" t="s">
        <v>345</v>
      </c>
    </row>
    <row r="398" spans="1:8">
      <c r="A398" s="411">
        <v>398</v>
      </c>
      <c r="B398" s="412">
        <v>149.01</v>
      </c>
      <c r="C398" s="418" t="s">
        <v>54</v>
      </c>
      <c r="D398" s="412" t="s">
        <v>56</v>
      </c>
      <c r="E398" s="413" t="s">
        <v>351</v>
      </c>
      <c r="F398" s="433" t="str">
        <f t="shared" si="6"/>
        <v>Link</v>
      </c>
      <c r="G398" s="412"/>
      <c r="H398" s="410" t="s">
        <v>3483</v>
      </c>
    </row>
    <row r="399" spans="1:8">
      <c r="A399" s="411">
        <v>399</v>
      </c>
      <c r="B399" s="412">
        <v>149.02000000000001</v>
      </c>
      <c r="C399" s="418" t="s">
        <v>54</v>
      </c>
      <c r="D399" s="412" t="s">
        <v>56</v>
      </c>
      <c r="E399" s="413" t="s">
        <v>358</v>
      </c>
      <c r="F399" s="433" t="str">
        <f t="shared" si="6"/>
        <v>Link</v>
      </c>
      <c r="G399" s="412"/>
      <c r="H399" s="410" t="s">
        <v>3484</v>
      </c>
    </row>
    <row r="400" spans="1:8">
      <c r="A400" s="411">
        <v>400</v>
      </c>
      <c r="B400" s="412">
        <v>149.03</v>
      </c>
      <c r="C400" s="418" t="s">
        <v>54</v>
      </c>
      <c r="D400" s="412" t="s">
        <v>56</v>
      </c>
      <c r="E400" s="413" t="s">
        <v>362</v>
      </c>
      <c r="F400" s="433" t="str">
        <f t="shared" si="6"/>
        <v>Link</v>
      </c>
      <c r="G400" s="425"/>
      <c r="H400" s="410" t="s">
        <v>3485</v>
      </c>
    </row>
    <row r="401" spans="1:8">
      <c r="A401" s="411">
        <v>401</v>
      </c>
      <c r="B401" s="412">
        <v>149.04</v>
      </c>
      <c r="C401" s="418" t="s">
        <v>54</v>
      </c>
      <c r="D401" s="412" t="s">
        <v>56</v>
      </c>
      <c r="E401" s="413" t="s">
        <v>367</v>
      </c>
      <c r="F401" s="433" t="str">
        <f t="shared" si="6"/>
        <v>Link</v>
      </c>
      <c r="G401" s="412"/>
      <c r="H401" s="410" t="s">
        <v>3486</v>
      </c>
    </row>
    <row r="402" spans="1:8">
      <c r="A402" s="411">
        <v>402</v>
      </c>
      <c r="B402" s="412">
        <v>149.05000000000001</v>
      </c>
      <c r="C402" s="418" t="s">
        <v>54</v>
      </c>
      <c r="D402" s="412" t="s">
        <v>56</v>
      </c>
      <c r="E402" s="413" t="s">
        <v>372</v>
      </c>
      <c r="F402" s="433" t="str">
        <f t="shared" si="6"/>
        <v>Link</v>
      </c>
      <c r="G402" s="412"/>
      <c r="H402" s="410" t="s">
        <v>3487</v>
      </c>
    </row>
    <row r="403" spans="1:8">
      <c r="A403" s="411">
        <v>403</v>
      </c>
      <c r="B403" s="412">
        <v>149.06</v>
      </c>
      <c r="C403" s="418" t="s">
        <v>54</v>
      </c>
      <c r="D403" s="412" t="s">
        <v>56</v>
      </c>
      <c r="E403" s="413" t="s">
        <v>376</v>
      </c>
      <c r="F403" s="433" t="str">
        <f t="shared" si="6"/>
        <v>Link</v>
      </c>
      <c r="G403" s="412"/>
      <c r="H403" s="410" t="s">
        <v>3488</v>
      </c>
    </row>
    <row r="404" spans="1:8">
      <c r="A404" s="411">
        <v>404</v>
      </c>
      <c r="B404" s="412">
        <v>149.07</v>
      </c>
      <c r="C404" s="418" t="s">
        <v>54</v>
      </c>
      <c r="D404" s="412" t="s">
        <v>56</v>
      </c>
      <c r="E404" s="413" t="s">
        <v>380</v>
      </c>
      <c r="F404" s="433" t="str">
        <f t="shared" si="6"/>
        <v>Link</v>
      </c>
      <c r="G404" s="412"/>
      <c r="H404" s="410" t="s">
        <v>3489</v>
      </c>
    </row>
    <row r="405" spans="1:8">
      <c r="A405" s="411">
        <v>405</v>
      </c>
      <c r="B405" s="412">
        <v>149.08000000000001</v>
      </c>
      <c r="C405" s="418" t="s">
        <v>54</v>
      </c>
      <c r="D405" s="412" t="s">
        <v>56</v>
      </c>
      <c r="E405" s="413" t="s">
        <v>381</v>
      </c>
      <c r="F405" s="433" t="str">
        <f t="shared" si="6"/>
        <v>Link</v>
      </c>
      <c r="G405" s="412"/>
      <c r="H405" s="410" t="s">
        <v>3490</v>
      </c>
    </row>
    <row r="406" spans="1:8">
      <c r="A406" s="411">
        <v>406</v>
      </c>
      <c r="B406" s="412">
        <v>149.09</v>
      </c>
      <c r="C406" s="418" t="s">
        <v>54</v>
      </c>
      <c r="D406" s="412" t="s">
        <v>56</v>
      </c>
      <c r="E406" s="413" t="s">
        <v>386</v>
      </c>
      <c r="F406" s="433" t="str">
        <f t="shared" si="6"/>
        <v>Link</v>
      </c>
      <c r="G406" s="412"/>
      <c r="H406" s="410" t="s">
        <v>3491</v>
      </c>
    </row>
    <row r="407" spans="1:8">
      <c r="A407" s="411">
        <v>407</v>
      </c>
      <c r="B407" s="420">
        <v>149.1</v>
      </c>
      <c r="C407" s="418" t="s">
        <v>54</v>
      </c>
      <c r="D407" s="412" t="s">
        <v>56</v>
      </c>
      <c r="E407" s="413" t="s">
        <v>392</v>
      </c>
      <c r="F407" s="433" t="str">
        <f t="shared" si="6"/>
        <v>Link</v>
      </c>
      <c r="G407" s="425"/>
      <c r="H407" s="410" t="s">
        <v>3492</v>
      </c>
    </row>
    <row r="408" spans="1:8" ht="22.5">
      <c r="A408" s="411">
        <v>408</v>
      </c>
      <c r="B408" s="412">
        <v>155</v>
      </c>
      <c r="C408" s="418" t="s">
        <v>54</v>
      </c>
      <c r="D408" s="412" t="s">
        <v>56</v>
      </c>
      <c r="E408" s="415" t="s">
        <v>398</v>
      </c>
      <c r="F408" s="433" t="str">
        <f t="shared" si="6"/>
        <v>Link</v>
      </c>
      <c r="G408" s="412"/>
      <c r="H408" s="410" t="s">
        <v>396</v>
      </c>
    </row>
    <row r="409" spans="1:8">
      <c r="A409" s="411">
        <v>409</v>
      </c>
      <c r="B409" s="412">
        <v>155.01</v>
      </c>
      <c r="C409" s="418" t="s">
        <v>54</v>
      </c>
      <c r="D409" s="412" t="s">
        <v>56</v>
      </c>
      <c r="E409" s="413" t="s">
        <v>400</v>
      </c>
      <c r="F409" s="433" t="str">
        <f t="shared" si="6"/>
        <v>Link</v>
      </c>
      <c r="G409" s="412"/>
      <c r="H409" s="410" t="s">
        <v>3493</v>
      </c>
    </row>
    <row r="410" spans="1:8" ht="22.5">
      <c r="A410" s="411">
        <v>410</v>
      </c>
      <c r="B410" s="412">
        <v>156</v>
      </c>
      <c r="C410" s="418" t="s">
        <v>54</v>
      </c>
      <c r="D410" s="412" t="s">
        <v>56</v>
      </c>
      <c r="E410" s="415" t="s">
        <v>409</v>
      </c>
      <c r="F410" s="433" t="str">
        <f t="shared" si="6"/>
        <v>Link</v>
      </c>
      <c r="G410" s="412"/>
      <c r="H410" s="410" t="s">
        <v>408</v>
      </c>
    </row>
    <row r="411" spans="1:8">
      <c r="A411" s="411">
        <v>411</v>
      </c>
      <c r="B411" s="412">
        <v>156.01</v>
      </c>
      <c r="C411" s="418" t="s">
        <v>54</v>
      </c>
      <c r="D411" s="412" t="s">
        <v>56</v>
      </c>
      <c r="E411" s="413" t="s">
        <v>2991</v>
      </c>
      <c r="F411" s="433" t="str">
        <f t="shared" si="6"/>
        <v>Link</v>
      </c>
      <c r="G411" s="412"/>
      <c r="H411" s="410" t="s">
        <v>3494</v>
      </c>
    </row>
    <row r="412" spans="1:8" ht="22.5">
      <c r="A412" s="411">
        <v>412</v>
      </c>
      <c r="B412" s="412">
        <v>157</v>
      </c>
      <c r="C412" s="418" t="s">
        <v>54</v>
      </c>
      <c r="D412" s="412" t="s">
        <v>56</v>
      </c>
      <c r="E412" s="415" t="s">
        <v>419</v>
      </c>
      <c r="F412" s="433" t="str">
        <f t="shared" si="6"/>
        <v>Link</v>
      </c>
      <c r="G412" s="412"/>
      <c r="H412" s="410" t="s">
        <v>417</v>
      </c>
    </row>
    <row r="413" spans="1:8">
      <c r="A413" s="411">
        <v>413</v>
      </c>
      <c r="B413" s="412">
        <v>157.01</v>
      </c>
      <c r="C413" s="418" t="s">
        <v>54</v>
      </c>
      <c r="D413" s="412" t="s">
        <v>56</v>
      </c>
      <c r="E413" s="413" t="s">
        <v>424</v>
      </c>
      <c r="F413" s="433" t="str">
        <f t="shared" si="6"/>
        <v>Link</v>
      </c>
      <c r="G413" s="412"/>
      <c r="H413" s="410" t="s">
        <v>3495</v>
      </c>
    </row>
    <row r="414" spans="1:8" ht="22.5">
      <c r="A414" s="411">
        <v>414</v>
      </c>
      <c r="B414" s="412">
        <v>158</v>
      </c>
      <c r="C414" s="418" t="s">
        <v>54</v>
      </c>
      <c r="D414" s="412" t="s">
        <v>56</v>
      </c>
      <c r="E414" s="415" t="s">
        <v>433</v>
      </c>
      <c r="F414" s="433" t="str">
        <f t="shared" si="6"/>
        <v>Link</v>
      </c>
      <c r="G414" s="412"/>
      <c r="H414" s="410" t="s">
        <v>432</v>
      </c>
    </row>
    <row r="415" spans="1:8">
      <c r="A415" s="411">
        <v>415</v>
      </c>
      <c r="B415" s="412">
        <v>158.01</v>
      </c>
      <c r="C415" s="418" t="s">
        <v>54</v>
      </c>
      <c r="D415" s="412" t="s">
        <v>56</v>
      </c>
      <c r="E415" s="413" t="s">
        <v>440</v>
      </c>
      <c r="F415" s="433" t="str">
        <f t="shared" si="6"/>
        <v>Link</v>
      </c>
      <c r="G415" s="412"/>
      <c r="H415" s="410" t="s">
        <v>3496</v>
      </c>
    </row>
    <row r="416" spans="1:8" ht="22.5">
      <c r="A416" s="411">
        <v>416</v>
      </c>
      <c r="B416" s="412">
        <v>159</v>
      </c>
      <c r="C416" s="418" t="s">
        <v>54</v>
      </c>
      <c r="D416" s="412" t="s">
        <v>56</v>
      </c>
      <c r="E416" s="415" t="s">
        <v>445</v>
      </c>
      <c r="F416" s="433" t="str">
        <f t="shared" si="6"/>
        <v>Link</v>
      </c>
      <c r="G416" s="412"/>
      <c r="H416" s="410" t="s">
        <v>443</v>
      </c>
    </row>
    <row r="417" spans="1:8">
      <c r="A417" s="411">
        <v>417</v>
      </c>
      <c r="B417" s="412">
        <v>159.01</v>
      </c>
      <c r="C417" s="418" t="s">
        <v>54</v>
      </c>
      <c r="D417" s="412" t="s">
        <v>56</v>
      </c>
      <c r="E417" s="413" t="s">
        <v>448</v>
      </c>
      <c r="F417" s="433" t="str">
        <f t="shared" si="6"/>
        <v>Link</v>
      </c>
      <c r="G417" s="412"/>
      <c r="H417" s="410" t="s">
        <v>3497</v>
      </c>
    </row>
    <row r="418" spans="1:8" ht="22.5">
      <c r="A418" s="411">
        <v>418</v>
      </c>
      <c r="B418" s="412">
        <v>160</v>
      </c>
      <c r="C418" s="418" t="s">
        <v>54</v>
      </c>
      <c r="D418" s="412" t="s">
        <v>56</v>
      </c>
      <c r="E418" s="415" t="s">
        <v>453</v>
      </c>
      <c r="F418" s="433" t="str">
        <f t="shared" si="6"/>
        <v>Link</v>
      </c>
      <c r="G418" s="412"/>
      <c r="H418" s="410" t="s">
        <v>452</v>
      </c>
    </row>
    <row r="419" spans="1:8" ht="22.5">
      <c r="A419" s="411">
        <v>419</v>
      </c>
      <c r="B419" s="412">
        <v>160.1</v>
      </c>
      <c r="C419" s="418" t="s">
        <v>54</v>
      </c>
      <c r="D419" s="412" t="s">
        <v>56</v>
      </c>
      <c r="E419" s="413" t="s">
        <v>455</v>
      </c>
      <c r="F419" s="433" t="str">
        <f t="shared" si="6"/>
        <v>Link</v>
      </c>
      <c r="G419" s="412"/>
      <c r="H419" s="410" t="s">
        <v>3498</v>
      </c>
    </row>
    <row r="420" spans="1:8" ht="22.5">
      <c r="A420" s="411">
        <v>420</v>
      </c>
      <c r="B420" s="412">
        <v>161</v>
      </c>
      <c r="C420" s="418" t="s">
        <v>54</v>
      </c>
      <c r="D420" s="412" t="s">
        <v>56</v>
      </c>
      <c r="E420" s="415" t="s">
        <v>460</v>
      </c>
      <c r="F420" s="433" t="str">
        <f t="shared" si="6"/>
        <v>Link</v>
      </c>
      <c r="G420" s="412"/>
      <c r="H420" s="410" t="s">
        <v>459</v>
      </c>
    </row>
    <row r="421" spans="1:8" ht="22.5">
      <c r="A421" s="411">
        <v>421</v>
      </c>
      <c r="B421" s="412">
        <v>162</v>
      </c>
      <c r="C421" s="418" t="s">
        <v>54</v>
      </c>
      <c r="D421" s="412" t="s">
        <v>56</v>
      </c>
      <c r="E421" s="415" t="s">
        <v>467</v>
      </c>
      <c r="F421" s="433" t="str">
        <f t="shared" si="6"/>
        <v>Link</v>
      </c>
      <c r="G421" s="412"/>
      <c r="H421" s="410" t="s">
        <v>466</v>
      </c>
    </row>
    <row r="422" spans="1:8" ht="22.5">
      <c r="A422" s="411">
        <v>422</v>
      </c>
      <c r="B422" s="412">
        <v>163</v>
      </c>
      <c r="C422" s="418" t="s">
        <v>54</v>
      </c>
      <c r="D422" s="412" t="s">
        <v>56</v>
      </c>
      <c r="E422" s="415" t="s">
        <v>473</v>
      </c>
      <c r="F422" s="433" t="str">
        <f t="shared" si="6"/>
        <v>Link</v>
      </c>
      <c r="G422" s="412"/>
      <c r="H422" s="410" t="s">
        <v>472</v>
      </c>
    </row>
    <row r="423" spans="1:8">
      <c r="A423" s="411">
        <v>423</v>
      </c>
      <c r="B423" s="412">
        <v>163.1</v>
      </c>
      <c r="C423" s="418" t="s">
        <v>54</v>
      </c>
      <c r="D423" s="412" t="s">
        <v>56</v>
      </c>
      <c r="E423" s="413" t="s">
        <v>478</v>
      </c>
      <c r="F423" s="433" t="str">
        <f t="shared" si="6"/>
        <v>Link</v>
      </c>
      <c r="G423" s="412"/>
      <c r="H423" s="410" t="s">
        <v>3499</v>
      </c>
    </row>
    <row r="424" spans="1:8" ht="22.5">
      <c r="A424" s="411">
        <v>424</v>
      </c>
      <c r="B424" s="412">
        <v>164</v>
      </c>
      <c r="C424" s="418" t="s">
        <v>54</v>
      </c>
      <c r="D424" s="412" t="s">
        <v>56</v>
      </c>
      <c r="E424" s="415" t="s">
        <v>483</v>
      </c>
      <c r="F424" s="433" t="str">
        <f t="shared" si="6"/>
        <v>Link</v>
      </c>
      <c r="G424" s="412"/>
      <c r="H424" s="410" t="s">
        <v>482</v>
      </c>
    </row>
    <row r="425" spans="1:8">
      <c r="A425" s="411">
        <v>425</v>
      </c>
      <c r="B425" s="412">
        <v>164.1</v>
      </c>
      <c r="C425" s="418" t="s">
        <v>54</v>
      </c>
      <c r="D425" s="412" t="s">
        <v>56</v>
      </c>
      <c r="E425" s="413" t="s">
        <v>488</v>
      </c>
      <c r="F425" s="433" t="str">
        <f t="shared" si="6"/>
        <v>Link</v>
      </c>
      <c r="G425" s="412"/>
      <c r="H425" s="410" t="s">
        <v>3500</v>
      </c>
    </row>
    <row r="426" spans="1:8">
      <c r="A426" s="411">
        <v>426</v>
      </c>
      <c r="B426" s="412">
        <v>178</v>
      </c>
      <c r="C426" s="418" t="s">
        <v>55</v>
      </c>
      <c r="D426" s="412" t="s">
        <v>56</v>
      </c>
      <c r="E426" s="415" t="s">
        <v>548</v>
      </c>
      <c r="F426" s="433" t="str">
        <f t="shared" si="6"/>
        <v>Link</v>
      </c>
      <c r="G426" s="412"/>
      <c r="H426" s="410" t="s">
        <v>547</v>
      </c>
    </row>
    <row r="427" spans="1:8">
      <c r="A427" s="411">
        <v>427</v>
      </c>
      <c r="B427" s="420">
        <v>178.01</v>
      </c>
      <c r="C427" s="418" t="s">
        <v>55</v>
      </c>
      <c r="D427" s="412" t="s">
        <v>56</v>
      </c>
      <c r="E427" s="426" t="s">
        <v>553</v>
      </c>
      <c r="F427" s="433" t="str">
        <f t="shared" si="6"/>
        <v>Link</v>
      </c>
      <c r="G427" s="412"/>
      <c r="H427" s="410" t="s">
        <v>3302</v>
      </c>
    </row>
    <row r="428" spans="1:8" ht="146.25">
      <c r="A428" s="411">
        <v>428</v>
      </c>
      <c r="B428" s="412">
        <v>178.02</v>
      </c>
      <c r="C428" s="418" t="s">
        <v>55</v>
      </c>
      <c r="D428" s="412" t="s">
        <v>56</v>
      </c>
      <c r="E428" s="413" t="s">
        <v>559</v>
      </c>
      <c r="F428" s="433" t="str">
        <f t="shared" si="6"/>
        <v>Link</v>
      </c>
      <c r="G428" s="412" t="s">
        <v>560</v>
      </c>
      <c r="H428" s="410" t="s">
        <v>3303</v>
      </c>
    </row>
    <row r="429" spans="1:8" ht="22.5">
      <c r="A429" s="411">
        <v>429</v>
      </c>
      <c r="B429" s="420">
        <v>178.03</v>
      </c>
      <c r="C429" s="418" t="s">
        <v>55</v>
      </c>
      <c r="D429" s="412" t="s">
        <v>56</v>
      </c>
      <c r="E429" s="413" t="s">
        <v>569</v>
      </c>
      <c r="F429" s="433" t="str">
        <f t="shared" si="6"/>
        <v>Link</v>
      </c>
      <c r="G429" s="412" t="s">
        <v>570</v>
      </c>
      <c r="H429" s="410" t="s">
        <v>3304</v>
      </c>
    </row>
    <row r="430" spans="1:8" ht="22.5">
      <c r="A430" s="411">
        <v>430</v>
      </c>
      <c r="B430" s="412">
        <v>178.04</v>
      </c>
      <c r="C430" s="418" t="s">
        <v>55</v>
      </c>
      <c r="D430" s="412" t="s">
        <v>56</v>
      </c>
      <c r="E430" s="413" t="s">
        <v>575</v>
      </c>
      <c r="F430" s="433" t="str">
        <f t="shared" si="6"/>
        <v>Link</v>
      </c>
      <c r="G430" s="412"/>
      <c r="H430" s="410" t="s">
        <v>3305</v>
      </c>
    </row>
    <row r="431" spans="1:8" ht="22.5">
      <c r="A431" s="411">
        <v>431</v>
      </c>
      <c r="B431" s="420">
        <v>178.05</v>
      </c>
      <c r="C431" s="418" t="s">
        <v>55</v>
      </c>
      <c r="D431" s="412" t="s">
        <v>56</v>
      </c>
      <c r="E431" s="413" t="s">
        <v>578</v>
      </c>
      <c r="F431" s="433" t="str">
        <f t="shared" si="6"/>
        <v>Link</v>
      </c>
      <c r="G431" s="412"/>
      <c r="H431" s="410" t="s">
        <v>3306</v>
      </c>
    </row>
    <row r="432" spans="1:8">
      <c r="A432" s="411">
        <v>432</v>
      </c>
      <c r="B432" s="412">
        <v>178.06</v>
      </c>
      <c r="C432" s="418" t="s">
        <v>55</v>
      </c>
      <c r="D432" s="412" t="s">
        <v>56</v>
      </c>
      <c r="E432" s="413" t="s">
        <v>580</v>
      </c>
      <c r="F432" s="433" t="str">
        <f t="shared" si="6"/>
        <v>Link</v>
      </c>
      <c r="G432" s="412"/>
      <c r="H432" s="410" t="s">
        <v>3307</v>
      </c>
    </row>
    <row r="433" spans="1:8">
      <c r="A433" s="411">
        <v>433</v>
      </c>
      <c r="B433" s="420">
        <v>178.07</v>
      </c>
      <c r="C433" s="418" t="s">
        <v>55</v>
      </c>
      <c r="D433" s="412" t="s">
        <v>56</v>
      </c>
      <c r="E433" s="413" t="s">
        <v>582</v>
      </c>
      <c r="F433" s="433" t="str">
        <f t="shared" si="6"/>
        <v>Link</v>
      </c>
      <c r="G433" s="412"/>
      <c r="H433" s="410" t="s">
        <v>3308</v>
      </c>
    </row>
    <row r="434" spans="1:8">
      <c r="A434" s="411">
        <v>434</v>
      </c>
      <c r="B434" s="412">
        <v>178.08</v>
      </c>
      <c r="C434" s="418" t="s">
        <v>55</v>
      </c>
      <c r="D434" s="412" t="s">
        <v>56</v>
      </c>
      <c r="E434" s="413" t="s">
        <v>583</v>
      </c>
      <c r="F434" s="433" t="str">
        <f t="shared" si="6"/>
        <v>Link</v>
      </c>
      <c r="G434" s="412"/>
      <c r="H434" s="410" t="s">
        <v>3309</v>
      </c>
    </row>
    <row r="435" spans="1:8">
      <c r="A435" s="411">
        <v>435</v>
      </c>
      <c r="B435" s="420">
        <v>178.09</v>
      </c>
      <c r="C435" s="418" t="s">
        <v>55</v>
      </c>
      <c r="D435" s="412" t="s">
        <v>56</v>
      </c>
      <c r="E435" s="413" t="s">
        <v>585</v>
      </c>
      <c r="F435" s="433" t="str">
        <f t="shared" si="6"/>
        <v>Link</v>
      </c>
      <c r="G435" s="412"/>
      <c r="H435" s="410" t="s">
        <v>3310</v>
      </c>
    </row>
    <row r="436" spans="1:8" ht="22.5">
      <c r="A436" s="411">
        <v>436</v>
      </c>
      <c r="B436" s="412">
        <v>271</v>
      </c>
      <c r="C436" s="418" t="s">
        <v>136</v>
      </c>
      <c r="D436" s="412" t="s">
        <v>56</v>
      </c>
      <c r="E436" s="415" t="s">
        <v>1218</v>
      </c>
      <c r="F436" s="433" t="str">
        <f t="shared" si="6"/>
        <v>Link</v>
      </c>
      <c r="G436" s="412"/>
      <c r="H436" s="410" t="s">
        <v>1217</v>
      </c>
    </row>
    <row r="437" spans="1:8" ht="67.5">
      <c r="A437" s="411">
        <v>437</v>
      </c>
      <c r="B437" s="412">
        <v>271.01</v>
      </c>
      <c r="C437" s="418" t="s">
        <v>136</v>
      </c>
      <c r="D437" s="412" t="s">
        <v>56</v>
      </c>
      <c r="E437" s="413" t="s">
        <v>2062</v>
      </c>
      <c r="F437" s="433" t="str">
        <f t="shared" si="6"/>
        <v>Link</v>
      </c>
      <c r="G437" s="412" t="s">
        <v>2063</v>
      </c>
      <c r="H437" s="410" t="s">
        <v>3311</v>
      </c>
    </row>
    <row r="438" spans="1:8" ht="90">
      <c r="A438" s="411">
        <v>438</v>
      </c>
      <c r="B438" s="412">
        <v>271.02</v>
      </c>
      <c r="C438" s="418" t="s">
        <v>136</v>
      </c>
      <c r="D438" s="412" t="s">
        <v>56</v>
      </c>
      <c r="E438" s="413" t="s">
        <v>2066</v>
      </c>
      <c r="F438" s="433" t="str">
        <f t="shared" si="6"/>
        <v>Link</v>
      </c>
      <c r="G438" s="412" t="s">
        <v>2067</v>
      </c>
      <c r="H438" s="410" t="s">
        <v>3312</v>
      </c>
    </row>
    <row r="439" spans="1:8" ht="33.75">
      <c r="A439" s="411">
        <v>439</v>
      </c>
      <c r="B439" s="412">
        <v>271.02999999999997</v>
      </c>
      <c r="C439" s="418" t="s">
        <v>136</v>
      </c>
      <c r="D439" s="412" t="s">
        <v>56</v>
      </c>
      <c r="E439" s="413" t="s">
        <v>2070</v>
      </c>
      <c r="F439" s="433" t="str">
        <f t="shared" si="6"/>
        <v>Link</v>
      </c>
      <c r="G439" s="412" t="s">
        <v>2071</v>
      </c>
      <c r="H439" s="410" t="s">
        <v>3313</v>
      </c>
    </row>
    <row r="440" spans="1:8" ht="90">
      <c r="A440" s="411">
        <v>440</v>
      </c>
      <c r="B440" s="412">
        <v>271.04000000000002</v>
      </c>
      <c r="C440" s="418" t="s">
        <v>136</v>
      </c>
      <c r="D440" s="412" t="s">
        <v>56</v>
      </c>
      <c r="E440" s="413" t="s">
        <v>2074</v>
      </c>
      <c r="F440" s="433" t="str">
        <f t="shared" si="6"/>
        <v>Link</v>
      </c>
      <c r="G440" s="412" t="s">
        <v>2075</v>
      </c>
      <c r="H440" s="410" t="s">
        <v>3314</v>
      </c>
    </row>
    <row r="441" spans="1:8" ht="112.5">
      <c r="A441" s="411">
        <v>441</v>
      </c>
      <c r="B441" s="412">
        <v>271.05</v>
      </c>
      <c r="C441" s="418" t="s">
        <v>136</v>
      </c>
      <c r="D441" s="412" t="s">
        <v>56</v>
      </c>
      <c r="E441" s="413" t="s">
        <v>2076</v>
      </c>
      <c r="F441" s="433" t="str">
        <f t="shared" si="6"/>
        <v>Link</v>
      </c>
      <c r="G441" s="412" t="s">
        <v>2077</v>
      </c>
      <c r="H441" s="410" t="s">
        <v>3315</v>
      </c>
    </row>
    <row r="442" spans="1:8" ht="56.25">
      <c r="A442" s="411">
        <v>442</v>
      </c>
      <c r="B442" s="412">
        <v>271.06</v>
      </c>
      <c r="C442" s="418" t="s">
        <v>136</v>
      </c>
      <c r="D442" s="412" t="s">
        <v>56</v>
      </c>
      <c r="E442" s="413" t="s">
        <v>2994</v>
      </c>
      <c r="F442" s="433" t="str">
        <f t="shared" si="6"/>
        <v>Link</v>
      </c>
      <c r="G442" s="412" t="s">
        <v>2082</v>
      </c>
      <c r="H442" s="410" t="s">
        <v>3316</v>
      </c>
    </row>
    <row r="443" spans="1:8" ht="45">
      <c r="A443" s="411">
        <v>443</v>
      </c>
      <c r="B443" s="412">
        <v>271.07</v>
      </c>
      <c r="C443" s="418" t="s">
        <v>136</v>
      </c>
      <c r="D443" s="412" t="s">
        <v>56</v>
      </c>
      <c r="E443" s="413" t="s">
        <v>2995</v>
      </c>
      <c r="F443" s="433" t="str">
        <f t="shared" si="6"/>
        <v>Link</v>
      </c>
      <c r="G443" s="412" t="s">
        <v>2087</v>
      </c>
      <c r="H443" s="410" t="s">
        <v>3317</v>
      </c>
    </row>
    <row r="444" spans="1:8" ht="56.25">
      <c r="A444" s="411">
        <v>444</v>
      </c>
      <c r="B444" s="412">
        <v>271.08</v>
      </c>
      <c r="C444" s="418" t="s">
        <v>136</v>
      </c>
      <c r="D444" s="412" t="s">
        <v>56</v>
      </c>
      <c r="E444" s="413" t="s">
        <v>2996</v>
      </c>
      <c r="F444" s="433" t="str">
        <f t="shared" si="6"/>
        <v>Link</v>
      </c>
      <c r="G444" s="412" t="s">
        <v>2090</v>
      </c>
      <c r="H444" s="410" t="s">
        <v>3318</v>
      </c>
    </row>
    <row r="445" spans="1:8" ht="56.25">
      <c r="A445" s="411">
        <v>445</v>
      </c>
      <c r="B445" s="412">
        <v>271.08999999999997</v>
      </c>
      <c r="C445" s="418" t="s">
        <v>136</v>
      </c>
      <c r="D445" s="412" t="s">
        <v>56</v>
      </c>
      <c r="E445" s="413" t="s">
        <v>2093</v>
      </c>
      <c r="F445" s="433" t="str">
        <f t="shared" si="6"/>
        <v>Link</v>
      </c>
      <c r="G445" s="412" t="s">
        <v>2094</v>
      </c>
      <c r="H445" s="410" t="s">
        <v>3319</v>
      </c>
    </row>
    <row r="446" spans="1:8" ht="56.25">
      <c r="A446" s="411">
        <v>446</v>
      </c>
      <c r="B446" s="420">
        <v>271.10000000000002</v>
      </c>
      <c r="C446" s="418" t="s">
        <v>136</v>
      </c>
      <c r="D446" s="412" t="s">
        <v>56</v>
      </c>
      <c r="E446" s="413" t="s">
        <v>2097</v>
      </c>
      <c r="F446" s="433" t="str">
        <f t="shared" si="6"/>
        <v>Link</v>
      </c>
      <c r="G446" s="412" t="s">
        <v>2098</v>
      </c>
      <c r="H446" s="410" t="s">
        <v>3320</v>
      </c>
    </row>
    <row r="447" spans="1:8" ht="45">
      <c r="A447" s="411">
        <v>447</v>
      </c>
      <c r="B447" s="412">
        <v>271.11</v>
      </c>
      <c r="C447" s="418" t="s">
        <v>136</v>
      </c>
      <c r="D447" s="412" t="s">
        <v>56</v>
      </c>
      <c r="E447" s="413" t="s">
        <v>2099</v>
      </c>
      <c r="F447" s="433" t="str">
        <f t="shared" si="6"/>
        <v>Link</v>
      </c>
      <c r="G447" s="412" t="s">
        <v>2100</v>
      </c>
      <c r="H447" s="410" t="s">
        <v>3321</v>
      </c>
    </row>
    <row r="448" spans="1:8" ht="45">
      <c r="A448" s="411">
        <v>448</v>
      </c>
      <c r="B448" s="412">
        <v>271.12</v>
      </c>
      <c r="C448" s="418" t="s">
        <v>136</v>
      </c>
      <c r="D448" s="412" t="s">
        <v>56</v>
      </c>
      <c r="E448" s="413" t="s">
        <v>2103</v>
      </c>
      <c r="F448" s="433" t="str">
        <f t="shared" si="6"/>
        <v>Link</v>
      </c>
      <c r="G448" s="412" t="s">
        <v>2104</v>
      </c>
      <c r="H448" s="410" t="s">
        <v>3322</v>
      </c>
    </row>
    <row r="449" spans="1:8" ht="123.75">
      <c r="A449" s="411">
        <v>449</v>
      </c>
      <c r="B449" s="412">
        <v>271.13</v>
      </c>
      <c r="C449" s="418" t="s">
        <v>136</v>
      </c>
      <c r="D449" s="412" t="s">
        <v>56</v>
      </c>
      <c r="E449" s="413" t="s">
        <v>2109</v>
      </c>
      <c r="F449" s="433" t="str">
        <f t="shared" si="6"/>
        <v>Link</v>
      </c>
      <c r="G449" s="412" t="s">
        <v>2997</v>
      </c>
      <c r="H449" s="410" t="s">
        <v>3323</v>
      </c>
    </row>
    <row r="450" spans="1:8" ht="45">
      <c r="A450" s="411">
        <v>450</v>
      </c>
      <c r="B450" s="412">
        <v>271.14</v>
      </c>
      <c r="C450" s="418" t="s">
        <v>136</v>
      </c>
      <c r="D450" s="412" t="s">
        <v>56</v>
      </c>
      <c r="E450" s="413" t="s">
        <v>2117</v>
      </c>
      <c r="F450" s="433" t="str">
        <f t="shared" si="6"/>
        <v>Link</v>
      </c>
      <c r="G450" s="412" t="s">
        <v>2118</v>
      </c>
      <c r="H450" s="410" t="s">
        <v>3324</v>
      </c>
    </row>
    <row r="451" spans="1:8" ht="123.75">
      <c r="A451" s="411">
        <v>451</v>
      </c>
      <c r="B451" s="412">
        <v>271.14999999999998</v>
      </c>
      <c r="C451" s="418" t="s">
        <v>136</v>
      </c>
      <c r="D451" s="412" t="s">
        <v>56</v>
      </c>
      <c r="E451" s="413" t="s">
        <v>2124</v>
      </c>
      <c r="F451" s="433" t="str">
        <f t="shared" ref="F451:F514" si="7">HYPERLINK(H451,"Link")</f>
        <v>Link</v>
      </c>
      <c r="G451" s="412" t="s">
        <v>2126</v>
      </c>
      <c r="H451" s="410" t="s">
        <v>3325</v>
      </c>
    </row>
    <row r="452" spans="1:8" ht="90">
      <c r="A452" s="411">
        <v>452</v>
      </c>
      <c r="B452" s="412">
        <v>271.16000000000003</v>
      </c>
      <c r="C452" s="418" t="s">
        <v>136</v>
      </c>
      <c r="D452" s="412" t="s">
        <v>56</v>
      </c>
      <c r="E452" s="413" t="s">
        <v>2129</v>
      </c>
      <c r="F452" s="433" t="str">
        <f t="shared" si="7"/>
        <v>Link</v>
      </c>
      <c r="G452" s="412" t="s">
        <v>2132</v>
      </c>
      <c r="H452" s="410" t="s">
        <v>3326</v>
      </c>
    </row>
    <row r="453" spans="1:8" ht="22.5">
      <c r="A453" s="411">
        <v>453</v>
      </c>
      <c r="B453" s="412">
        <v>273</v>
      </c>
      <c r="C453" s="418" t="s">
        <v>136</v>
      </c>
      <c r="D453" s="412" t="s">
        <v>56</v>
      </c>
      <c r="E453" s="415" t="s">
        <v>1226</v>
      </c>
      <c r="F453" s="433" t="str">
        <f t="shared" si="7"/>
        <v>Link</v>
      </c>
      <c r="G453" s="412"/>
      <c r="H453" s="410" t="s">
        <v>1225</v>
      </c>
    </row>
    <row r="454" spans="1:8" ht="78.75">
      <c r="A454" s="411">
        <v>454</v>
      </c>
      <c r="B454" s="412">
        <v>273.01</v>
      </c>
      <c r="C454" s="418" t="s">
        <v>136</v>
      </c>
      <c r="D454" s="412" t="s">
        <v>56</v>
      </c>
      <c r="E454" s="413" t="s">
        <v>2140</v>
      </c>
      <c r="F454" s="433" t="str">
        <f t="shared" si="7"/>
        <v>Link</v>
      </c>
      <c r="G454" s="412" t="s">
        <v>2141</v>
      </c>
      <c r="H454" s="410" t="s">
        <v>3327</v>
      </c>
    </row>
    <row r="455" spans="1:8" ht="90">
      <c r="A455" s="411">
        <v>455</v>
      </c>
      <c r="B455" s="412">
        <v>273.02</v>
      </c>
      <c r="C455" s="418" t="s">
        <v>136</v>
      </c>
      <c r="D455" s="412" t="s">
        <v>56</v>
      </c>
      <c r="E455" s="413" t="s">
        <v>2145</v>
      </c>
      <c r="F455" s="433" t="str">
        <f t="shared" si="7"/>
        <v>Link</v>
      </c>
      <c r="G455" s="412" t="s">
        <v>2146</v>
      </c>
      <c r="H455" s="410" t="s">
        <v>3328</v>
      </c>
    </row>
    <row r="456" spans="1:8" ht="168.75">
      <c r="A456" s="411">
        <v>456</v>
      </c>
      <c r="B456" s="412">
        <v>273.02999999999997</v>
      </c>
      <c r="C456" s="418" t="s">
        <v>136</v>
      </c>
      <c r="D456" s="412" t="s">
        <v>56</v>
      </c>
      <c r="E456" s="413" t="s">
        <v>2151</v>
      </c>
      <c r="F456" s="433" t="str">
        <f t="shared" si="7"/>
        <v>Link</v>
      </c>
      <c r="G456" s="412" t="s">
        <v>2152</v>
      </c>
      <c r="H456" s="410" t="s">
        <v>3329</v>
      </c>
    </row>
    <row r="457" spans="1:8" ht="56.25">
      <c r="A457" s="411">
        <v>457</v>
      </c>
      <c r="B457" s="412">
        <v>273.04000000000002</v>
      </c>
      <c r="C457" s="418" t="s">
        <v>136</v>
      </c>
      <c r="D457" s="412" t="s">
        <v>56</v>
      </c>
      <c r="E457" s="413" t="s">
        <v>2156</v>
      </c>
      <c r="F457" s="433" t="str">
        <f t="shared" si="7"/>
        <v>Link</v>
      </c>
      <c r="G457" s="412" t="s">
        <v>2157</v>
      </c>
      <c r="H457" s="410" t="s">
        <v>3330</v>
      </c>
    </row>
    <row r="458" spans="1:8" ht="45">
      <c r="A458" s="411">
        <v>458</v>
      </c>
      <c r="B458" s="412">
        <v>273.05</v>
      </c>
      <c r="C458" s="418" t="s">
        <v>136</v>
      </c>
      <c r="D458" s="412" t="s">
        <v>56</v>
      </c>
      <c r="E458" s="413" t="s">
        <v>2158</v>
      </c>
      <c r="F458" s="433" t="str">
        <f t="shared" si="7"/>
        <v>Link</v>
      </c>
      <c r="G458" s="412" t="s">
        <v>2159</v>
      </c>
      <c r="H458" s="410" t="s">
        <v>3331</v>
      </c>
    </row>
    <row r="459" spans="1:8" ht="90">
      <c r="A459" s="411">
        <v>459</v>
      </c>
      <c r="B459" s="412">
        <v>273.06</v>
      </c>
      <c r="C459" s="418" t="s">
        <v>136</v>
      </c>
      <c r="D459" s="412" t="s">
        <v>56</v>
      </c>
      <c r="E459" s="413" t="s">
        <v>2162</v>
      </c>
      <c r="F459" s="433" t="str">
        <f t="shared" si="7"/>
        <v>Link</v>
      </c>
      <c r="G459" s="412" t="s">
        <v>2163</v>
      </c>
      <c r="H459" s="410" t="s">
        <v>3332</v>
      </c>
    </row>
    <row r="460" spans="1:8" ht="45">
      <c r="A460" s="411">
        <v>460</v>
      </c>
      <c r="B460" s="412">
        <v>273.07</v>
      </c>
      <c r="C460" s="418" t="s">
        <v>136</v>
      </c>
      <c r="D460" s="412" t="s">
        <v>56</v>
      </c>
      <c r="E460" s="413" t="s">
        <v>2167</v>
      </c>
      <c r="F460" s="433" t="str">
        <f t="shared" si="7"/>
        <v>Link</v>
      </c>
      <c r="G460" s="412" t="s">
        <v>2168</v>
      </c>
      <c r="H460" s="410" t="s">
        <v>3333</v>
      </c>
    </row>
    <row r="461" spans="1:8" ht="78.75">
      <c r="A461" s="411">
        <v>461</v>
      </c>
      <c r="B461" s="412">
        <v>273.08</v>
      </c>
      <c r="C461" s="418" t="s">
        <v>136</v>
      </c>
      <c r="D461" s="412" t="s">
        <v>56</v>
      </c>
      <c r="E461" s="413" t="s">
        <v>2171</v>
      </c>
      <c r="F461" s="433" t="str">
        <f t="shared" si="7"/>
        <v>Link</v>
      </c>
      <c r="G461" s="412" t="s">
        <v>2172</v>
      </c>
      <c r="H461" s="410" t="s">
        <v>3334</v>
      </c>
    </row>
    <row r="462" spans="1:8" ht="33.75">
      <c r="A462" s="411">
        <v>462</v>
      </c>
      <c r="B462" s="412">
        <v>273.08999999999997</v>
      </c>
      <c r="C462" s="418" t="s">
        <v>136</v>
      </c>
      <c r="D462" s="412" t="s">
        <v>56</v>
      </c>
      <c r="E462" s="413" t="s">
        <v>2175</v>
      </c>
      <c r="F462" s="433" t="str">
        <f t="shared" si="7"/>
        <v>Link</v>
      </c>
      <c r="G462" s="412" t="s">
        <v>2176</v>
      </c>
      <c r="H462" s="410" t="s">
        <v>3335</v>
      </c>
    </row>
    <row r="463" spans="1:8" ht="213.75">
      <c r="A463" s="411">
        <v>463</v>
      </c>
      <c r="B463" s="420">
        <v>273.10000000000002</v>
      </c>
      <c r="C463" s="418" t="s">
        <v>136</v>
      </c>
      <c r="D463" s="412" t="s">
        <v>56</v>
      </c>
      <c r="E463" s="413" t="s">
        <v>2179</v>
      </c>
      <c r="F463" s="433" t="str">
        <f t="shared" si="7"/>
        <v>Link</v>
      </c>
      <c r="G463" s="412" t="s">
        <v>2180</v>
      </c>
      <c r="H463" s="410" t="s">
        <v>3336</v>
      </c>
    </row>
    <row r="464" spans="1:8" ht="225">
      <c r="A464" s="411">
        <v>464</v>
      </c>
      <c r="B464" s="412">
        <v>273.11</v>
      </c>
      <c r="C464" s="418" t="s">
        <v>136</v>
      </c>
      <c r="D464" s="412" t="s">
        <v>56</v>
      </c>
      <c r="E464" s="413" t="s">
        <v>2181</v>
      </c>
      <c r="F464" s="433" t="str">
        <f t="shared" si="7"/>
        <v>Link</v>
      </c>
      <c r="G464" s="412" t="s">
        <v>2184</v>
      </c>
      <c r="H464" s="410" t="s">
        <v>3337</v>
      </c>
    </row>
    <row r="465" spans="1:8" ht="45">
      <c r="A465" s="411">
        <v>465</v>
      </c>
      <c r="B465" s="412">
        <v>273.12</v>
      </c>
      <c r="C465" s="418" t="s">
        <v>136</v>
      </c>
      <c r="D465" s="412" t="s">
        <v>56</v>
      </c>
      <c r="E465" s="413" t="s">
        <v>2185</v>
      </c>
      <c r="F465" s="433" t="str">
        <f t="shared" si="7"/>
        <v>Link</v>
      </c>
      <c r="G465" s="412" t="s">
        <v>2186</v>
      </c>
      <c r="H465" s="410" t="s">
        <v>3338</v>
      </c>
    </row>
    <row r="466" spans="1:8" ht="270">
      <c r="A466" s="411">
        <v>466</v>
      </c>
      <c r="B466" s="412">
        <v>273.13</v>
      </c>
      <c r="C466" s="418" t="s">
        <v>136</v>
      </c>
      <c r="D466" s="412" t="s">
        <v>56</v>
      </c>
      <c r="E466" s="413" t="s">
        <v>2189</v>
      </c>
      <c r="F466" s="433" t="str">
        <f t="shared" si="7"/>
        <v>Link</v>
      </c>
      <c r="G466" s="412" t="s">
        <v>2190</v>
      </c>
      <c r="H466" s="410" t="s">
        <v>3339</v>
      </c>
    </row>
    <row r="467" spans="1:8" ht="360">
      <c r="A467" s="411">
        <v>467</v>
      </c>
      <c r="B467" s="412">
        <v>273.14</v>
      </c>
      <c r="C467" s="418" t="s">
        <v>136</v>
      </c>
      <c r="D467" s="412" t="s">
        <v>56</v>
      </c>
      <c r="E467" s="413" t="s">
        <v>2193</v>
      </c>
      <c r="F467" s="433" t="str">
        <f t="shared" si="7"/>
        <v>Link</v>
      </c>
      <c r="G467" s="412" t="s">
        <v>2194</v>
      </c>
      <c r="H467" s="410" t="s">
        <v>3340</v>
      </c>
    </row>
    <row r="468" spans="1:8" ht="22.5">
      <c r="A468" s="411">
        <v>468</v>
      </c>
      <c r="B468" s="412">
        <v>274</v>
      </c>
      <c r="C468" s="418" t="s">
        <v>136</v>
      </c>
      <c r="D468" s="412" t="s">
        <v>56</v>
      </c>
      <c r="E468" s="415" t="s">
        <v>1230</v>
      </c>
      <c r="F468" s="433" t="str">
        <f t="shared" si="7"/>
        <v>Link</v>
      </c>
      <c r="G468" s="412"/>
      <c r="H468" s="410" t="s">
        <v>1229</v>
      </c>
    </row>
    <row r="469" spans="1:8" ht="45">
      <c r="A469" s="411">
        <v>469</v>
      </c>
      <c r="B469" s="412">
        <v>274.01</v>
      </c>
      <c r="C469" s="418" t="s">
        <v>136</v>
      </c>
      <c r="D469" s="412" t="s">
        <v>56</v>
      </c>
      <c r="E469" s="413" t="s">
        <v>2198</v>
      </c>
      <c r="F469" s="433" t="str">
        <f t="shared" si="7"/>
        <v>Link</v>
      </c>
      <c r="G469" s="412" t="s">
        <v>2199</v>
      </c>
      <c r="H469" s="410" t="s">
        <v>3341</v>
      </c>
    </row>
    <row r="470" spans="1:8" ht="78.75">
      <c r="A470" s="411">
        <v>470</v>
      </c>
      <c r="B470" s="412">
        <v>274.02</v>
      </c>
      <c r="C470" s="418" t="s">
        <v>136</v>
      </c>
      <c r="D470" s="412" t="s">
        <v>56</v>
      </c>
      <c r="E470" s="413" t="s">
        <v>2203</v>
      </c>
      <c r="F470" s="433" t="str">
        <f t="shared" si="7"/>
        <v>Link</v>
      </c>
      <c r="G470" s="412" t="s">
        <v>2204</v>
      </c>
      <c r="H470" s="410" t="s">
        <v>3342</v>
      </c>
    </row>
    <row r="471" spans="1:8" ht="56.25">
      <c r="A471" s="411">
        <v>471</v>
      </c>
      <c r="B471" s="412">
        <v>274.02999999999997</v>
      </c>
      <c r="C471" s="418" t="s">
        <v>136</v>
      </c>
      <c r="D471" s="412" t="s">
        <v>56</v>
      </c>
      <c r="E471" s="413" t="s">
        <v>2208</v>
      </c>
      <c r="F471" s="433" t="str">
        <f t="shared" si="7"/>
        <v>Link</v>
      </c>
      <c r="G471" s="412" t="s">
        <v>2209</v>
      </c>
      <c r="H471" s="410" t="s">
        <v>3343</v>
      </c>
    </row>
    <row r="472" spans="1:8" ht="67.5">
      <c r="A472" s="411">
        <v>472</v>
      </c>
      <c r="B472" s="412">
        <v>274.04000000000002</v>
      </c>
      <c r="C472" s="418" t="s">
        <v>136</v>
      </c>
      <c r="D472" s="412" t="s">
        <v>56</v>
      </c>
      <c r="E472" s="413" t="s">
        <v>2210</v>
      </c>
      <c r="F472" s="433" t="str">
        <f t="shared" si="7"/>
        <v>Link</v>
      </c>
      <c r="G472" s="412" t="s">
        <v>2211</v>
      </c>
      <c r="H472" s="410" t="s">
        <v>3344</v>
      </c>
    </row>
    <row r="473" spans="1:8" ht="78.75">
      <c r="A473" s="411">
        <v>473</v>
      </c>
      <c r="B473" s="412">
        <v>274.05</v>
      </c>
      <c r="C473" s="418" t="s">
        <v>136</v>
      </c>
      <c r="D473" s="412" t="s">
        <v>56</v>
      </c>
      <c r="E473" s="413" t="s">
        <v>2215</v>
      </c>
      <c r="F473" s="433" t="str">
        <f t="shared" si="7"/>
        <v>Link</v>
      </c>
      <c r="G473" s="412" t="s">
        <v>2216</v>
      </c>
      <c r="H473" s="410" t="s">
        <v>3345</v>
      </c>
    </row>
    <row r="474" spans="1:8" ht="45">
      <c r="A474" s="411">
        <v>474</v>
      </c>
      <c r="B474" s="412">
        <v>274.06</v>
      </c>
      <c r="C474" s="418" t="s">
        <v>136</v>
      </c>
      <c r="D474" s="412" t="s">
        <v>56</v>
      </c>
      <c r="E474" s="413" t="s">
        <v>2220</v>
      </c>
      <c r="F474" s="433" t="str">
        <f t="shared" si="7"/>
        <v>Link</v>
      </c>
      <c r="G474" s="412" t="s">
        <v>2221</v>
      </c>
      <c r="H474" s="410" t="s">
        <v>3346</v>
      </c>
    </row>
    <row r="475" spans="1:8" ht="123.75">
      <c r="A475" s="411">
        <v>475</v>
      </c>
      <c r="B475" s="412">
        <v>274.07</v>
      </c>
      <c r="C475" s="418" t="s">
        <v>136</v>
      </c>
      <c r="D475" s="412" t="s">
        <v>56</v>
      </c>
      <c r="E475" s="413" t="s">
        <v>2222</v>
      </c>
      <c r="F475" s="433" t="str">
        <f t="shared" si="7"/>
        <v>Link</v>
      </c>
      <c r="G475" s="412" t="s">
        <v>2224</v>
      </c>
      <c r="H475" s="410" t="s">
        <v>3347</v>
      </c>
    </row>
    <row r="476" spans="1:8" ht="123.75">
      <c r="A476" s="411">
        <v>476</v>
      </c>
      <c r="B476" s="412">
        <v>274.08</v>
      </c>
      <c r="C476" s="418" t="s">
        <v>136</v>
      </c>
      <c r="D476" s="412" t="s">
        <v>56</v>
      </c>
      <c r="E476" s="413" t="s">
        <v>2227</v>
      </c>
      <c r="F476" s="433" t="str">
        <f t="shared" si="7"/>
        <v>Link</v>
      </c>
      <c r="G476" s="412" t="s">
        <v>2228</v>
      </c>
      <c r="H476" s="410" t="s">
        <v>3348</v>
      </c>
    </row>
    <row r="477" spans="1:8" ht="135">
      <c r="A477" s="411">
        <v>477</v>
      </c>
      <c r="B477" s="412">
        <v>274.08999999999997</v>
      </c>
      <c r="C477" s="418" t="s">
        <v>136</v>
      </c>
      <c r="D477" s="412" t="s">
        <v>56</v>
      </c>
      <c r="E477" s="413" t="s">
        <v>2232</v>
      </c>
      <c r="F477" s="433" t="str">
        <f t="shared" si="7"/>
        <v>Link</v>
      </c>
      <c r="G477" s="412" t="s">
        <v>2233</v>
      </c>
      <c r="H477" s="410" t="s">
        <v>3349</v>
      </c>
    </row>
    <row r="478" spans="1:8" ht="168.75">
      <c r="A478" s="411">
        <v>478</v>
      </c>
      <c r="B478" s="420">
        <v>274.10000000000002</v>
      </c>
      <c r="C478" s="418" t="s">
        <v>136</v>
      </c>
      <c r="D478" s="412" t="s">
        <v>56</v>
      </c>
      <c r="E478" s="413" t="s">
        <v>2237</v>
      </c>
      <c r="F478" s="433" t="str">
        <f t="shared" si="7"/>
        <v>Link</v>
      </c>
      <c r="G478" s="412" t="s">
        <v>2238</v>
      </c>
      <c r="H478" s="410" t="s">
        <v>3350</v>
      </c>
    </row>
    <row r="479" spans="1:8" ht="22.5">
      <c r="A479" s="411">
        <v>479</v>
      </c>
      <c r="B479" s="412">
        <v>276</v>
      </c>
      <c r="C479" s="418" t="s">
        <v>136</v>
      </c>
      <c r="D479" s="412" t="s">
        <v>56</v>
      </c>
      <c r="E479" s="415" t="s">
        <v>1239</v>
      </c>
      <c r="F479" s="433" t="str">
        <f t="shared" si="7"/>
        <v>Link</v>
      </c>
      <c r="G479" s="412"/>
      <c r="H479" s="410" t="s">
        <v>1238</v>
      </c>
    </row>
    <row r="480" spans="1:8" ht="112.5">
      <c r="A480" s="411">
        <v>480</v>
      </c>
      <c r="B480" s="412">
        <v>276.01</v>
      </c>
      <c r="C480" s="418" t="s">
        <v>136</v>
      </c>
      <c r="D480" s="412" t="s">
        <v>56</v>
      </c>
      <c r="E480" s="413" t="s">
        <v>2247</v>
      </c>
      <c r="F480" s="433" t="str">
        <f t="shared" si="7"/>
        <v>Link</v>
      </c>
      <c r="G480" s="412" t="s">
        <v>2248</v>
      </c>
      <c r="H480" s="410" t="s">
        <v>3351</v>
      </c>
    </row>
    <row r="481" spans="1:8" ht="157.5">
      <c r="A481" s="411">
        <v>481</v>
      </c>
      <c r="B481" s="412">
        <v>276.02</v>
      </c>
      <c r="C481" s="418" t="s">
        <v>136</v>
      </c>
      <c r="D481" s="412" t="s">
        <v>56</v>
      </c>
      <c r="E481" s="413" t="s">
        <v>2252</v>
      </c>
      <c r="F481" s="433" t="str">
        <f t="shared" si="7"/>
        <v>Link</v>
      </c>
      <c r="G481" s="412" t="s">
        <v>2253</v>
      </c>
      <c r="H481" s="410" t="s">
        <v>3352</v>
      </c>
    </row>
    <row r="482" spans="1:8">
      <c r="A482" s="411">
        <v>482</v>
      </c>
      <c r="B482" s="412">
        <v>615</v>
      </c>
      <c r="C482" s="418" t="s">
        <v>54</v>
      </c>
      <c r="D482" s="412" t="s">
        <v>56</v>
      </c>
      <c r="E482" s="415" t="s">
        <v>676</v>
      </c>
      <c r="F482" s="433" t="str">
        <f t="shared" si="7"/>
        <v>Link</v>
      </c>
      <c r="G482" s="412"/>
      <c r="H482" s="410" t="s">
        <v>675</v>
      </c>
    </row>
    <row r="483" spans="1:8">
      <c r="A483" s="411">
        <v>483</v>
      </c>
      <c r="B483" s="412">
        <v>615.01</v>
      </c>
      <c r="C483" s="418" t="s">
        <v>54</v>
      </c>
      <c r="D483" s="420" t="s">
        <v>56</v>
      </c>
      <c r="E483" s="413" t="s">
        <v>681</v>
      </c>
      <c r="F483" s="433" t="str">
        <f t="shared" si="7"/>
        <v>Link</v>
      </c>
      <c r="G483" s="412"/>
      <c r="H483" s="410" t="s">
        <v>3501</v>
      </c>
    </row>
    <row r="484" spans="1:8" ht="22.5">
      <c r="A484" s="411">
        <v>484</v>
      </c>
      <c r="B484" s="412">
        <v>615.02</v>
      </c>
      <c r="C484" s="418" t="s">
        <v>54</v>
      </c>
      <c r="D484" s="420" t="s">
        <v>56</v>
      </c>
      <c r="E484" s="413" t="s">
        <v>682</v>
      </c>
      <c r="F484" s="433" t="str">
        <f t="shared" si="7"/>
        <v>Link</v>
      </c>
      <c r="G484" s="412"/>
      <c r="H484" s="410" t="s">
        <v>3502</v>
      </c>
    </row>
    <row r="485" spans="1:8">
      <c r="A485" s="411">
        <v>485</v>
      </c>
      <c r="B485" s="412">
        <v>615.03</v>
      </c>
      <c r="C485" s="418" t="s">
        <v>54</v>
      </c>
      <c r="D485" s="420" t="s">
        <v>56</v>
      </c>
      <c r="E485" s="413" t="s">
        <v>685</v>
      </c>
      <c r="F485" s="433" t="str">
        <f t="shared" si="7"/>
        <v>Link</v>
      </c>
      <c r="G485" s="412"/>
      <c r="H485" s="410" t="s">
        <v>3503</v>
      </c>
    </row>
    <row r="486" spans="1:8">
      <c r="A486" s="411">
        <v>486</v>
      </c>
      <c r="B486" s="412">
        <v>615.04</v>
      </c>
      <c r="C486" s="418" t="s">
        <v>54</v>
      </c>
      <c r="D486" s="420" t="s">
        <v>56</v>
      </c>
      <c r="E486" s="413" t="s">
        <v>688</v>
      </c>
      <c r="F486" s="433" t="str">
        <f t="shared" si="7"/>
        <v>Link</v>
      </c>
      <c r="G486" s="412"/>
      <c r="H486" s="410" t="s">
        <v>3504</v>
      </c>
    </row>
    <row r="487" spans="1:8">
      <c r="A487" s="411">
        <v>487</v>
      </c>
      <c r="B487" s="412">
        <v>615.04999999999995</v>
      </c>
      <c r="C487" s="418" t="s">
        <v>54</v>
      </c>
      <c r="D487" s="420" t="s">
        <v>56</v>
      </c>
      <c r="E487" s="413" t="s">
        <v>691</v>
      </c>
      <c r="F487" s="433" t="str">
        <f t="shared" si="7"/>
        <v>Link</v>
      </c>
      <c r="G487" s="412"/>
      <c r="H487" s="410" t="s">
        <v>3505</v>
      </c>
    </row>
    <row r="488" spans="1:8" ht="22.5">
      <c r="A488" s="411">
        <v>488</v>
      </c>
      <c r="B488" s="412">
        <v>615.05999999999995</v>
      </c>
      <c r="C488" s="418" t="s">
        <v>54</v>
      </c>
      <c r="D488" s="420" t="s">
        <v>56</v>
      </c>
      <c r="E488" s="413" t="s">
        <v>693</v>
      </c>
      <c r="F488" s="433" t="str">
        <f t="shared" si="7"/>
        <v>Link</v>
      </c>
      <c r="G488" s="412"/>
      <c r="H488" s="410" t="s">
        <v>3506</v>
      </c>
    </row>
    <row r="489" spans="1:8">
      <c r="A489" s="411">
        <v>489</v>
      </c>
      <c r="B489" s="412">
        <v>615.07000000000005</v>
      </c>
      <c r="C489" s="418" t="s">
        <v>54</v>
      </c>
      <c r="D489" s="420" t="s">
        <v>56</v>
      </c>
      <c r="E489" s="413" t="s">
        <v>695</v>
      </c>
      <c r="F489" s="433" t="str">
        <f t="shared" si="7"/>
        <v>Link</v>
      </c>
      <c r="G489" s="412"/>
      <c r="H489" s="410" t="s">
        <v>3507</v>
      </c>
    </row>
    <row r="490" spans="1:8">
      <c r="A490" s="411">
        <v>490</v>
      </c>
      <c r="B490" s="412">
        <v>615.08000000000004</v>
      </c>
      <c r="C490" s="418" t="s">
        <v>54</v>
      </c>
      <c r="D490" s="420" t="s">
        <v>56</v>
      </c>
      <c r="E490" s="413" t="s">
        <v>698</v>
      </c>
      <c r="F490" s="433" t="str">
        <f t="shared" si="7"/>
        <v>Link</v>
      </c>
      <c r="G490" s="412"/>
      <c r="H490" s="410" t="s">
        <v>3508</v>
      </c>
    </row>
    <row r="491" spans="1:8">
      <c r="A491" s="411">
        <v>491</v>
      </c>
      <c r="B491" s="412">
        <v>615.09</v>
      </c>
      <c r="C491" s="418" t="s">
        <v>54</v>
      </c>
      <c r="D491" s="420" t="s">
        <v>56</v>
      </c>
      <c r="E491" s="413" t="s">
        <v>701</v>
      </c>
      <c r="F491" s="433" t="str">
        <f t="shared" si="7"/>
        <v>Link</v>
      </c>
      <c r="G491" s="412"/>
      <c r="H491" s="410" t="s">
        <v>3509</v>
      </c>
    </row>
    <row r="492" spans="1:8">
      <c r="A492" s="411">
        <v>492</v>
      </c>
      <c r="B492" s="420">
        <v>615.1</v>
      </c>
      <c r="C492" s="418" t="s">
        <v>54</v>
      </c>
      <c r="D492" s="420" t="s">
        <v>56</v>
      </c>
      <c r="E492" s="413" t="s">
        <v>702</v>
      </c>
      <c r="F492" s="433" t="str">
        <f t="shared" si="7"/>
        <v>Link</v>
      </c>
      <c r="G492" s="425"/>
      <c r="H492" s="410" t="s">
        <v>3510</v>
      </c>
    </row>
    <row r="493" spans="1:8">
      <c r="A493" s="411">
        <v>493</v>
      </c>
      <c r="B493" s="412">
        <v>615.11</v>
      </c>
      <c r="C493" s="418" t="s">
        <v>54</v>
      </c>
      <c r="D493" s="420" t="s">
        <v>56</v>
      </c>
      <c r="E493" s="413" t="s">
        <v>705</v>
      </c>
      <c r="F493" s="433" t="str">
        <f t="shared" si="7"/>
        <v>Link</v>
      </c>
      <c r="G493" s="425"/>
      <c r="H493" s="410" t="s">
        <v>3511</v>
      </c>
    </row>
    <row r="494" spans="1:8">
      <c r="A494" s="411">
        <v>494</v>
      </c>
      <c r="B494" s="412">
        <v>700</v>
      </c>
      <c r="C494" s="418" t="s">
        <v>596</v>
      </c>
      <c r="D494" s="412" t="s">
        <v>56</v>
      </c>
      <c r="E494" s="415" t="s">
        <v>1653</v>
      </c>
      <c r="F494" s="433" t="str">
        <f t="shared" si="7"/>
        <v>Link</v>
      </c>
      <c r="G494" s="412"/>
      <c r="H494" s="410" t="s">
        <v>1652</v>
      </c>
    </row>
    <row r="495" spans="1:8" ht="56.25">
      <c r="A495" s="411">
        <v>495</v>
      </c>
      <c r="B495" s="417">
        <v>700.01</v>
      </c>
      <c r="C495" s="418" t="s">
        <v>596</v>
      </c>
      <c r="D495" s="412" t="s">
        <v>56</v>
      </c>
      <c r="E495" s="416" t="s">
        <v>1657</v>
      </c>
      <c r="F495" s="433" t="str">
        <f t="shared" si="7"/>
        <v>Link</v>
      </c>
      <c r="G495" s="417" t="s">
        <v>1659</v>
      </c>
      <c r="H495" s="410" t="s">
        <v>3512</v>
      </c>
    </row>
    <row r="496" spans="1:8" ht="67.5">
      <c r="A496" s="411">
        <v>496</v>
      </c>
      <c r="B496" s="417">
        <v>700.02</v>
      </c>
      <c r="C496" s="418" t="s">
        <v>596</v>
      </c>
      <c r="D496" s="412" t="s">
        <v>56</v>
      </c>
      <c r="E496" s="416" t="s">
        <v>1660</v>
      </c>
      <c r="F496" s="433" t="str">
        <f t="shared" si="7"/>
        <v>Link</v>
      </c>
      <c r="G496" s="417" t="s">
        <v>1661</v>
      </c>
      <c r="H496" s="410" t="s">
        <v>3513</v>
      </c>
    </row>
    <row r="497" spans="1:8" ht="101.25">
      <c r="A497" s="411">
        <v>497</v>
      </c>
      <c r="B497" s="417">
        <v>700.03</v>
      </c>
      <c r="C497" s="418" t="s">
        <v>596</v>
      </c>
      <c r="D497" s="412" t="s">
        <v>56</v>
      </c>
      <c r="E497" s="416" t="s">
        <v>1664</v>
      </c>
      <c r="F497" s="433" t="str">
        <f t="shared" si="7"/>
        <v>Link</v>
      </c>
      <c r="G497" s="417" t="s">
        <v>2998</v>
      </c>
      <c r="H497" s="410" t="s">
        <v>3514</v>
      </c>
    </row>
    <row r="498" spans="1:8" ht="135">
      <c r="A498" s="411">
        <v>498</v>
      </c>
      <c r="B498" s="417">
        <v>700.04</v>
      </c>
      <c r="C498" s="418" t="s">
        <v>596</v>
      </c>
      <c r="D498" s="412" t="s">
        <v>56</v>
      </c>
      <c r="E498" s="416" t="s">
        <v>1668</v>
      </c>
      <c r="F498" s="433" t="str">
        <f t="shared" si="7"/>
        <v>Link</v>
      </c>
      <c r="G498" s="417" t="s">
        <v>2999</v>
      </c>
      <c r="H498" s="410" t="s">
        <v>3515</v>
      </c>
    </row>
    <row r="499" spans="1:8">
      <c r="A499" s="411">
        <v>499</v>
      </c>
      <c r="B499" s="412">
        <v>713</v>
      </c>
      <c r="C499" s="418" t="s">
        <v>54</v>
      </c>
      <c r="D499" s="412" t="s">
        <v>56</v>
      </c>
      <c r="E499" s="415" t="s">
        <v>797</v>
      </c>
      <c r="F499" s="433" t="str">
        <f t="shared" si="7"/>
        <v>Link</v>
      </c>
      <c r="G499" s="412"/>
      <c r="H499" s="410" t="s">
        <v>796</v>
      </c>
    </row>
    <row r="500" spans="1:8" ht="22.5">
      <c r="A500" s="411">
        <v>500</v>
      </c>
      <c r="B500" s="420">
        <v>713.01</v>
      </c>
      <c r="C500" s="418" t="s">
        <v>54</v>
      </c>
      <c r="D500" s="420" t="s">
        <v>56</v>
      </c>
      <c r="E500" s="413" t="s">
        <v>800</v>
      </c>
      <c r="F500" s="433" t="str">
        <f t="shared" si="7"/>
        <v>Link</v>
      </c>
      <c r="G500" s="412"/>
      <c r="H500" s="410" t="s">
        <v>3353</v>
      </c>
    </row>
    <row r="501" spans="1:8">
      <c r="A501" s="411">
        <v>501</v>
      </c>
      <c r="B501" s="420">
        <v>713.02</v>
      </c>
      <c r="C501" s="418" t="s">
        <v>54</v>
      </c>
      <c r="D501" s="420" t="s">
        <v>56</v>
      </c>
      <c r="E501" s="413" t="s">
        <v>801</v>
      </c>
      <c r="F501" s="433" t="str">
        <f t="shared" si="7"/>
        <v>Link</v>
      </c>
      <c r="G501" s="412"/>
      <c r="H501" s="410" t="s">
        <v>3354</v>
      </c>
    </row>
    <row r="502" spans="1:8" ht="22.5">
      <c r="A502" s="411">
        <v>502</v>
      </c>
      <c r="B502" s="420">
        <v>713.03</v>
      </c>
      <c r="C502" s="418" t="s">
        <v>54</v>
      </c>
      <c r="D502" s="420" t="s">
        <v>56</v>
      </c>
      <c r="E502" s="413" t="s">
        <v>803</v>
      </c>
      <c r="F502" s="433" t="str">
        <f t="shared" si="7"/>
        <v>Link</v>
      </c>
      <c r="G502" s="412"/>
      <c r="H502" s="410" t="s">
        <v>3355</v>
      </c>
    </row>
    <row r="503" spans="1:8" ht="22.5">
      <c r="A503" s="411">
        <v>503</v>
      </c>
      <c r="B503" s="420">
        <v>713.04</v>
      </c>
      <c r="C503" s="418" t="s">
        <v>54</v>
      </c>
      <c r="D503" s="420" t="s">
        <v>56</v>
      </c>
      <c r="E503" s="413" t="s">
        <v>806</v>
      </c>
      <c r="F503" s="433" t="str">
        <f t="shared" si="7"/>
        <v>Link</v>
      </c>
      <c r="G503" s="412"/>
      <c r="H503" s="410" t="s">
        <v>3356</v>
      </c>
    </row>
    <row r="504" spans="1:8">
      <c r="A504" s="411">
        <v>504</v>
      </c>
      <c r="B504" s="412">
        <v>724</v>
      </c>
      <c r="C504" s="418" t="s">
        <v>54</v>
      </c>
      <c r="D504" s="412" t="s">
        <v>56</v>
      </c>
      <c r="E504" s="415" t="s">
        <v>769</v>
      </c>
      <c r="F504" s="433" t="str">
        <f t="shared" si="7"/>
        <v>Link</v>
      </c>
      <c r="G504" s="412"/>
      <c r="H504" s="410" t="s">
        <v>768</v>
      </c>
    </row>
    <row r="505" spans="1:8">
      <c r="A505" s="411">
        <v>505</v>
      </c>
      <c r="B505" s="412">
        <v>724.01</v>
      </c>
      <c r="C505" s="418" t="s">
        <v>54</v>
      </c>
      <c r="D505" s="420" t="s">
        <v>56</v>
      </c>
      <c r="E505" s="413" t="s">
        <v>771</v>
      </c>
      <c r="F505" s="433" t="str">
        <f t="shared" si="7"/>
        <v>Link</v>
      </c>
      <c r="G505" s="412"/>
      <c r="H505" s="410" t="s">
        <v>3357</v>
      </c>
    </row>
    <row r="506" spans="1:8" ht="22.5">
      <c r="A506" s="411">
        <v>506</v>
      </c>
      <c r="B506" s="412">
        <v>724.02</v>
      </c>
      <c r="C506" s="418" t="s">
        <v>54</v>
      </c>
      <c r="D506" s="420" t="s">
        <v>56</v>
      </c>
      <c r="E506" s="413" t="s">
        <v>778</v>
      </c>
      <c r="F506" s="433" t="str">
        <f t="shared" si="7"/>
        <v>Link</v>
      </c>
      <c r="G506" s="412"/>
      <c r="H506" s="410" t="s">
        <v>3358</v>
      </c>
    </row>
    <row r="507" spans="1:8" ht="22.5">
      <c r="A507" s="411">
        <v>507</v>
      </c>
      <c r="B507" s="412">
        <v>724.03</v>
      </c>
      <c r="C507" s="418" t="s">
        <v>54</v>
      </c>
      <c r="D507" s="420" t="s">
        <v>56</v>
      </c>
      <c r="E507" s="413" t="s">
        <v>783</v>
      </c>
      <c r="F507" s="433" t="str">
        <f t="shared" si="7"/>
        <v>Link</v>
      </c>
      <c r="G507" s="412"/>
      <c r="H507" s="410" t="s">
        <v>3359</v>
      </c>
    </row>
    <row r="508" spans="1:8" ht="22.5">
      <c r="A508" s="411">
        <v>508</v>
      </c>
      <c r="B508" s="412">
        <v>724.04</v>
      </c>
      <c r="C508" s="418" t="s">
        <v>54</v>
      </c>
      <c r="D508" s="420" t="s">
        <v>56</v>
      </c>
      <c r="E508" s="413" t="s">
        <v>787</v>
      </c>
      <c r="F508" s="433" t="str">
        <f t="shared" si="7"/>
        <v>Link</v>
      </c>
      <c r="G508" s="412"/>
      <c r="H508" s="410" t="s">
        <v>3360</v>
      </c>
    </row>
    <row r="509" spans="1:8" ht="22.5">
      <c r="A509" s="411">
        <v>509</v>
      </c>
      <c r="B509" s="412">
        <v>724.05</v>
      </c>
      <c r="C509" s="418" t="s">
        <v>54</v>
      </c>
      <c r="D509" s="420" t="s">
        <v>56</v>
      </c>
      <c r="E509" s="413" t="s">
        <v>791</v>
      </c>
      <c r="F509" s="433" t="str">
        <f t="shared" si="7"/>
        <v>Link</v>
      </c>
      <c r="G509" s="412"/>
      <c r="H509" s="410" t="s">
        <v>3361</v>
      </c>
    </row>
    <row r="510" spans="1:8" ht="22.5">
      <c r="A510" s="411">
        <v>510</v>
      </c>
      <c r="B510" s="412">
        <v>740</v>
      </c>
      <c r="C510" s="418" t="s">
        <v>596</v>
      </c>
      <c r="D510" s="412" t="s">
        <v>56</v>
      </c>
      <c r="E510" s="415" t="s">
        <v>1563</v>
      </c>
      <c r="F510" s="433" t="str">
        <f t="shared" si="7"/>
        <v>Link</v>
      </c>
      <c r="G510" s="412"/>
      <c r="H510" s="410" t="s">
        <v>1562</v>
      </c>
    </row>
    <row r="511" spans="1:8" ht="22.5">
      <c r="A511" s="411">
        <v>511</v>
      </c>
      <c r="B511" s="417">
        <v>740.01</v>
      </c>
      <c r="C511" s="418" t="s">
        <v>596</v>
      </c>
      <c r="D511" s="412" t="s">
        <v>56</v>
      </c>
      <c r="E511" s="416" t="s">
        <v>1569</v>
      </c>
      <c r="F511" s="433" t="str">
        <f t="shared" si="7"/>
        <v>Link</v>
      </c>
      <c r="G511" s="417" t="s">
        <v>1570</v>
      </c>
      <c r="H511" s="410" t="s">
        <v>3362</v>
      </c>
    </row>
    <row r="512" spans="1:8" ht="33.75">
      <c r="A512" s="411">
        <v>512</v>
      </c>
      <c r="B512" s="412">
        <v>740.02</v>
      </c>
      <c r="C512" s="418" t="s">
        <v>596</v>
      </c>
      <c r="D512" s="412" t="s">
        <v>56</v>
      </c>
      <c r="E512" s="416" t="s">
        <v>3000</v>
      </c>
      <c r="F512" s="433" t="str">
        <f t="shared" si="7"/>
        <v>Link</v>
      </c>
      <c r="G512" s="417" t="s">
        <v>1576</v>
      </c>
      <c r="H512" s="410" t="s">
        <v>3363</v>
      </c>
    </row>
    <row r="513" spans="1:8" ht="45">
      <c r="A513" s="411">
        <v>513</v>
      </c>
      <c r="B513" s="412">
        <v>740.03</v>
      </c>
      <c r="C513" s="418" t="s">
        <v>596</v>
      </c>
      <c r="D513" s="412" t="s">
        <v>56</v>
      </c>
      <c r="E513" s="416" t="s">
        <v>3001</v>
      </c>
      <c r="F513" s="433" t="str">
        <f t="shared" si="7"/>
        <v>Link</v>
      </c>
      <c r="G513" s="417" t="s">
        <v>3002</v>
      </c>
      <c r="H513" s="410" t="s">
        <v>3364</v>
      </c>
    </row>
    <row r="514" spans="1:8" ht="33.75">
      <c r="A514" s="411">
        <v>514</v>
      </c>
      <c r="B514" s="412">
        <v>740.04</v>
      </c>
      <c r="C514" s="418" t="s">
        <v>596</v>
      </c>
      <c r="D514" s="412" t="s">
        <v>56</v>
      </c>
      <c r="E514" s="413" t="s">
        <v>3003</v>
      </c>
      <c r="F514" s="433" t="str">
        <f t="shared" si="7"/>
        <v>Link</v>
      </c>
      <c r="G514" s="412" t="s">
        <v>1586</v>
      </c>
      <c r="H514" s="410" t="s">
        <v>3365</v>
      </c>
    </row>
    <row r="515" spans="1:8" ht="45">
      <c r="A515" s="411">
        <v>515</v>
      </c>
      <c r="B515" s="412">
        <v>740.05</v>
      </c>
      <c r="C515" s="418" t="s">
        <v>596</v>
      </c>
      <c r="D515" s="412" t="s">
        <v>56</v>
      </c>
      <c r="E515" s="413" t="s">
        <v>3004</v>
      </c>
      <c r="F515" s="433" t="str">
        <f t="shared" ref="F515:F567" si="8">HYPERLINK(H515,"Link")</f>
        <v>Link</v>
      </c>
      <c r="G515" s="412" t="s">
        <v>3005</v>
      </c>
      <c r="H515" s="410" t="s">
        <v>3366</v>
      </c>
    </row>
    <row r="516" spans="1:8" ht="33.75">
      <c r="A516" s="411">
        <v>516</v>
      </c>
      <c r="B516" s="412">
        <v>740.06</v>
      </c>
      <c r="C516" s="418" t="s">
        <v>596</v>
      </c>
      <c r="D516" s="412" t="s">
        <v>56</v>
      </c>
      <c r="E516" s="413" t="s">
        <v>1593</v>
      </c>
      <c r="F516" s="433" t="str">
        <f t="shared" si="8"/>
        <v>Link</v>
      </c>
      <c r="G516" s="412" t="s">
        <v>1598</v>
      </c>
      <c r="H516" s="410" t="s">
        <v>3367</v>
      </c>
    </row>
    <row r="517" spans="1:8" ht="45">
      <c r="A517" s="411">
        <v>517</v>
      </c>
      <c r="B517" s="412">
        <v>740.07</v>
      </c>
      <c r="C517" s="418" t="s">
        <v>596</v>
      </c>
      <c r="D517" s="412" t="s">
        <v>56</v>
      </c>
      <c r="E517" s="413" t="s">
        <v>3006</v>
      </c>
      <c r="F517" s="433" t="str">
        <f t="shared" si="8"/>
        <v>Link</v>
      </c>
      <c r="G517" s="412" t="s">
        <v>1602</v>
      </c>
      <c r="H517" s="410" t="s">
        <v>3368</v>
      </c>
    </row>
    <row r="518" spans="1:8">
      <c r="A518" s="411">
        <v>518</v>
      </c>
      <c r="B518" s="412">
        <v>740.08</v>
      </c>
      <c r="C518" s="418" t="s">
        <v>596</v>
      </c>
      <c r="D518" s="412" t="s">
        <v>56</v>
      </c>
      <c r="E518" s="413" t="s">
        <v>1605</v>
      </c>
      <c r="F518" s="433" t="str">
        <f t="shared" si="8"/>
        <v>Link</v>
      </c>
      <c r="G518" s="412" t="s">
        <v>3007</v>
      </c>
      <c r="H518" s="410" t="s">
        <v>3369</v>
      </c>
    </row>
    <row r="519" spans="1:8" ht="33.75">
      <c r="A519" s="411">
        <v>519</v>
      </c>
      <c r="B519" s="412">
        <v>740.09</v>
      </c>
      <c r="C519" s="418" t="s">
        <v>596</v>
      </c>
      <c r="D519" s="412" t="s">
        <v>56</v>
      </c>
      <c r="E519" s="416" t="s">
        <v>3008</v>
      </c>
      <c r="F519" s="433" t="str">
        <f t="shared" si="8"/>
        <v>Link</v>
      </c>
      <c r="G519" s="417" t="s">
        <v>3009</v>
      </c>
      <c r="H519" s="410" t="s">
        <v>3370</v>
      </c>
    </row>
    <row r="520" spans="1:8" ht="22.5">
      <c r="A520" s="411">
        <v>520</v>
      </c>
      <c r="B520" s="420">
        <v>740.1</v>
      </c>
      <c r="C520" s="418" t="s">
        <v>596</v>
      </c>
      <c r="D520" s="412" t="s">
        <v>56</v>
      </c>
      <c r="E520" s="416" t="s">
        <v>3010</v>
      </c>
      <c r="F520" s="433" t="str">
        <f t="shared" si="8"/>
        <v>Link</v>
      </c>
      <c r="G520" s="417" t="s">
        <v>3011</v>
      </c>
      <c r="H520" s="410" t="s">
        <v>3371</v>
      </c>
    </row>
    <row r="521" spans="1:8" ht="56.25">
      <c r="A521" s="411">
        <v>521</v>
      </c>
      <c r="B521" s="412">
        <v>740.11</v>
      </c>
      <c r="C521" s="418" t="s">
        <v>596</v>
      </c>
      <c r="D521" s="412" t="s">
        <v>56</v>
      </c>
      <c r="E521" s="413" t="s">
        <v>1616</v>
      </c>
      <c r="F521" s="433" t="str">
        <f t="shared" si="8"/>
        <v>Link</v>
      </c>
      <c r="G521" s="412" t="s">
        <v>3012</v>
      </c>
      <c r="H521" s="410" t="s">
        <v>3372</v>
      </c>
    </row>
    <row r="522" spans="1:8" ht="45">
      <c r="A522" s="411">
        <v>522</v>
      </c>
      <c r="B522" s="412">
        <v>740.12</v>
      </c>
      <c r="C522" s="418" t="s">
        <v>596</v>
      </c>
      <c r="D522" s="412" t="s">
        <v>56</v>
      </c>
      <c r="E522" s="413" t="s">
        <v>3013</v>
      </c>
      <c r="F522" s="433" t="str">
        <f t="shared" si="8"/>
        <v>Link</v>
      </c>
      <c r="G522" s="412" t="s">
        <v>3014</v>
      </c>
      <c r="H522" s="410" t="s">
        <v>3373</v>
      </c>
    </row>
    <row r="523" spans="1:8" ht="56.25">
      <c r="A523" s="411">
        <v>523</v>
      </c>
      <c r="B523" s="412">
        <v>740.13</v>
      </c>
      <c r="C523" s="418" t="s">
        <v>596</v>
      </c>
      <c r="D523" s="412" t="s">
        <v>56</v>
      </c>
      <c r="E523" s="413" t="s">
        <v>3015</v>
      </c>
      <c r="F523" s="433" t="str">
        <f t="shared" si="8"/>
        <v>Link</v>
      </c>
      <c r="G523" s="412" t="s">
        <v>1625</v>
      </c>
      <c r="H523" s="410" t="s">
        <v>3374</v>
      </c>
    </row>
    <row r="524" spans="1:8" ht="33.75">
      <c r="A524" s="411">
        <v>524</v>
      </c>
      <c r="B524" s="412">
        <v>740.14</v>
      </c>
      <c r="C524" s="418" t="s">
        <v>596</v>
      </c>
      <c r="D524" s="412" t="s">
        <v>56</v>
      </c>
      <c r="E524" s="413" t="s">
        <v>1629</v>
      </c>
      <c r="F524" s="433" t="str">
        <f t="shared" si="8"/>
        <v>Link</v>
      </c>
      <c r="G524" s="412" t="s">
        <v>3016</v>
      </c>
      <c r="H524" s="410" t="s">
        <v>3375</v>
      </c>
    </row>
    <row r="525" spans="1:8" ht="33.75">
      <c r="A525" s="411">
        <v>525</v>
      </c>
      <c r="B525" s="412">
        <v>740.15</v>
      </c>
      <c r="C525" s="418" t="s">
        <v>596</v>
      </c>
      <c r="D525" s="412" t="s">
        <v>56</v>
      </c>
      <c r="E525" s="413" t="s">
        <v>3017</v>
      </c>
      <c r="F525" s="433" t="str">
        <f t="shared" si="8"/>
        <v>Link</v>
      </c>
      <c r="G525" s="412" t="s">
        <v>3018</v>
      </c>
      <c r="H525" s="410" t="s">
        <v>3376</v>
      </c>
    </row>
    <row r="526" spans="1:8" ht="33.75">
      <c r="A526" s="411">
        <v>526</v>
      </c>
      <c r="B526" s="412">
        <v>740.16</v>
      </c>
      <c r="C526" s="418" t="s">
        <v>596</v>
      </c>
      <c r="D526" s="412" t="s">
        <v>56</v>
      </c>
      <c r="E526" s="413" t="s">
        <v>3019</v>
      </c>
      <c r="F526" s="433" t="str">
        <f t="shared" si="8"/>
        <v>Link</v>
      </c>
      <c r="G526" s="412" t="s">
        <v>3020</v>
      </c>
      <c r="H526" s="410" t="s">
        <v>3377</v>
      </c>
    </row>
    <row r="527" spans="1:8" ht="56.25">
      <c r="A527" s="411">
        <v>527</v>
      </c>
      <c r="B527" s="412">
        <v>740.17</v>
      </c>
      <c r="C527" s="418" t="s">
        <v>596</v>
      </c>
      <c r="D527" s="412" t="s">
        <v>56</v>
      </c>
      <c r="E527" s="413" t="s">
        <v>3021</v>
      </c>
      <c r="F527" s="433" t="str">
        <f t="shared" si="8"/>
        <v>Link</v>
      </c>
      <c r="G527" s="412" t="s">
        <v>3022</v>
      </c>
      <c r="H527" s="410" t="s">
        <v>3516</v>
      </c>
    </row>
    <row r="528" spans="1:8" ht="56.25">
      <c r="A528" s="411">
        <v>528</v>
      </c>
      <c r="B528" s="412">
        <v>740.18</v>
      </c>
      <c r="C528" s="418" t="s">
        <v>596</v>
      </c>
      <c r="D528" s="412" t="s">
        <v>56</v>
      </c>
      <c r="E528" s="413" t="s">
        <v>3023</v>
      </c>
      <c r="F528" s="433" t="str">
        <f t="shared" si="8"/>
        <v>Link</v>
      </c>
      <c r="G528" s="412" t="s">
        <v>3024</v>
      </c>
      <c r="H528" s="410" t="s">
        <v>3517</v>
      </c>
    </row>
    <row r="529" spans="1:8" ht="45">
      <c r="A529" s="411">
        <v>529</v>
      </c>
      <c r="B529" s="417">
        <v>740.19</v>
      </c>
      <c r="C529" s="418" t="s">
        <v>596</v>
      </c>
      <c r="D529" s="412" t="s">
        <v>56</v>
      </c>
      <c r="E529" s="416" t="s">
        <v>3025</v>
      </c>
      <c r="F529" s="433" t="str">
        <f t="shared" si="8"/>
        <v>Link</v>
      </c>
      <c r="G529" s="417" t="s">
        <v>3026</v>
      </c>
      <c r="H529" s="410" t="s">
        <v>3518</v>
      </c>
    </row>
    <row r="530" spans="1:8" ht="78.75">
      <c r="A530" s="411">
        <v>530</v>
      </c>
      <c r="B530" s="427">
        <v>740.2</v>
      </c>
      <c r="C530" s="418" t="s">
        <v>596</v>
      </c>
      <c r="D530" s="412" t="s">
        <v>56</v>
      </c>
      <c r="E530" s="416" t="s">
        <v>3027</v>
      </c>
      <c r="F530" s="433" t="str">
        <f t="shared" si="8"/>
        <v>Link</v>
      </c>
      <c r="G530" s="417" t="s">
        <v>3028</v>
      </c>
      <c r="H530" s="410" t="s">
        <v>3519</v>
      </c>
    </row>
    <row r="531" spans="1:8" ht="22.5">
      <c r="A531" s="411">
        <v>531</v>
      </c>
      <c r="B531" s="412">
        <v>750</v>
      </c>
      <c r="C531" s="418" t="s">
        <v>596</v>
      </c>
      <c r="D531" s="412" t="s">
        <v>56</v>
      </c>
      <c r="E531" s="415" t="s">
        <v>1524</v>
      </c>
      <c r="F531" s="433" t="str">
        <f t="shared" si="8"/>
        <v>Link</v>
      </c>
      <c r="G531" s="412"/>
      <c r="H531" s="410" t="s">
        <v>1523</v>
      </c>
    </row>
    <row r="532" spans="1:8" ht="33.75">
      <c r="A532" s="411">
        <v>532</v>
      </c>
      <c r="B532" s="417">
        <v>750.01</v>
      </c>
      <c r="C532" s="418" t="s">
        <v>596</v>
      </c>
      <c r="D532" s="412" t="s">
        <v>56</v>
      </c>
      <c r="E532" s="416" t="s">
        <v>1528</v>
      </c>
      <c r="F532" s="433" t="str">
        <f t="shared" si="8"/>
        <v>Link</v>
      </c>
      <c r="G532" s="417" t="s">
        <v>3029</v>
      </c>
      <c r="H532" s="410" t="s">
        <v>3378</v>
      </c>
    </row>
    <row r="533" spans="1:8" ht="33.75">
      <c r="A533" s="411">
        <v>533</v>
      </c>
      <c r="B533" s="417">
        <v>750.02</v>
      </c>
      <c r="C533" s="418" t="s">
        <v>596</v>
      </c>
      <c r="D533" s="412" t="s">
        <v>56</v>
      </c>
      <c r="E533" s="416" t="s">
        <v>3030</v>
      </c>
      <c r="F533" s="433" t="str">
        <f t="shared" si="8"/>
        <v>Link</v>
      </c>
      <c r="G533" s="417" t="s">
        <v>1534</v>
      </c>
      <c r="H533" s="410" t="s">
        <v>3379</v>
      </c>
    </row>
    <row r="534" spans="1:8" ht="45">
      <c r="A534" s="411">
        <v>534</v>
      </c>
      <c r="B534" s="417">
        <v>750.03</v>
      </c>
      <c r="C534" s="418" t="s">
        <v>596</v>
      </c>
      <c r="D534" s="412" t="s">
        <v>56</v>
      </c>
      <c r="E534" s="416" t="s">
        <v>1537</v>
      </c>
      <c r="F534" s="433" t="str">
        <f t="shared" si="8"/>
        <v>Link</v>
      </c>
      <c r="G534" s="417" t="s">
        <v>1538</v>
      </c>
      <c r="H534" s="410" t="s">
        <v>3380</v>
      </c>
    </row>
    <row r="535" spans="1:8" ht="33.75">
      <c r="A535" s="411">
        <v>535</v>
      </c>
      <c r="B535" s="417">
        <v>750.04</v>
      </c>
      <c r="C535" s="418" t="s">
        <v>596</v>
      </c>
      <c r="D535" s="412" t="s">
        <v>56</v>
      </c>
      <c r="E535" s="416" t="s">
        <v>1541</v>
      </c>
      <c r="F535" s="433" t="str">
        <f t="shared" si="8"/>
        <v>Link</v>
      </c>
      <c r="G535" s="417" t="s">
        <v>1542</v>
      </c>
      <c r="H535" s="410" t="s">
        <v>3381</v>
      </c>
    </row>
    <row r="536" spans="1:8" ht="45">
      <c r="A536" s="411">
        <v>536</v>
      </c>
      <c r="B536" s="417">
        <v>750.05</v>
      </c>
      <c r="C536" s="418" t="s">
        <v>596</v>
      </c>
      <c r="D536" s="412" t="s">
        <v>56</v>
      </c>
      <c r="E536" s="416" t="s">
        <v>3031</v>
      </c>
      <c r="F536" s="433" t="str">
        <f t="shared" si="8"/>
        <v>Link</v>
      </c>
      <c r="G536" s="417" t="s">
        <v>1544</v>
      </c>
      <c r="H536" s="410" t="s">
        <v>3382</v>
      </c>
    </row>
    <row r="537" spans="1:8" ht="22.5">
      <c r="A537" s="411">
        <v>537</v>
      </c>
      <c r="B537" s="417">
        <v>750.06</v>
      </c>
      <c r="C537" s="418" t="s">
        <v>596</v>
      </c>
      <c r="D537" s="412" t="s">
        <v>56</v>
      </c>
      <c r="E537" s="416" t="s">
        <v>1547</v>
      </c>
      <c r="F537" s="433" t="str">
        <f t="shared" si="8"/>
        <v>Link</v>
      </c>
      <c r="G537" s="417" t="s">
        <v>3032</v>
      </c>
      <c r="H537" s="410" t="s">
        <v>3383</v>
      </c>
    </row>
    <row r="538" spans="1:8" ht="33.75">
      <c r="A538" s="411">
        <v>538</v>
      </c>
      <c r="B538" s="417">
        <v>750.07</v>
      </c>
      <c r="C538" s="418" t="s">
        <v>596</v>
      </c>
      <c r="D538" s="412" t="s">
        <v>56</v>
      </c>
      <c r="E538" s="416" t="s">
        <v>1551</v>
      </c>
      <c r="F538" s="433" t="str">
        <f t="shared" si="8"/>
        <v>Link</v>
      </c>
      <c r="G538" s="417" t="s">
        <v>1552</v>
      </c>
      <c r="H538" s="410" t="s">
        <v>3384</v>
      </c>
    </row>
    <row r="539" spans="1:8" ht="22.5">
      <c r="A539" s="411">
        <v>539</v>
      </c>
      <c r="B539" s="417">
        <v>750.08</v>
      </c>
      <c r="C539" s="418" t="s">
        <v>596</v>
      </c>
      <c r="D539" s="412" t="s">
        <v>56</v>
      </c>
      <c r="E539" s="416" t="s">
        <v>1556</v>
      </c>
      <c r="F539" s="433" t="str">
        <f t="shared" si="8"/>
        <v>Link</v>
      </c>
      <c r="G539" s="417" t="s">
        <v>3033</v>
      </c>
      <c r="H539" s="410" t="s">
        <v>3385</v>
      </c>
    </row>
    <row r="540" spans="1:8" ht="67.5">
      <c r="A540" s="411">
        <v>540</v>
      </c>
      <c r="B540" s="417">
        <v>750.09</v>
      </c>
      <c r="C540" s="418" t="s">
        <v>596</v>
      </c>
      <c r="D540" s="412" t="s">
        <v>56</v>
      </c>
      <c r="E540" s="416" t="s">
        <v>1560</v>
      </c>
      <c r="F540" s="433" t="str">
        <f t="shared" si="8"/>
        <v>Link</v>
      </c>
      <c r="G540" s="417" t="s">
        <v>3034</v>
      </c>
      <c r="H540" s="410" t="s">
        <v>3386</v>
      </c>
    </row>
    <row r="541" spans="1:8" ht="22.5">
      <c r="A541" s="411">
        <v>541</v>
      </c>
      <c r="B541" s="412">
        <v>754</v>
      </c>
      <c r="C541" s="418" t="s">
        <v>54</v>
      </c>
      <c r="D541" s="420" t="s">
        <v>56</v>
      </c>
      <c r="E541" s="415" t="s">
        <v>709</v>
      </c>
      <c r="F541" s="433" t="str">
        <f t="shared" si="8"/>
        <v>Link</v>
      </c>
      <c r="G541" s="412"/>
      <c r="H541" s="410" t="s">
        <v>708</v>
      </c>
    </row>
    <row r="542" spans="1:8">
      <c r="A542" s="411">
        <v>542</v>
      </c>
      <c r="B542" s="412">
        <v>754.01</v>
      </c>
      <c r="C542" s="418" t="s">
        <v>54</v>
      </c>
      <c r="D542" s="420" t="s">
        <v>56</v>
      </c>
      <c r="E542" s="413" t="s">
        <v>713</v>
      </c>
      <c r="F542" s="433" t="str">
        <f t="shared" si="8"/>
        <v>Link</v>
      </c>
      <c r="G542" s="412"/>
      <c r="H542" s="410" t="s">
        <v>3387</v>
      </c>
    </row>
    <row r="543" spans="1:8">
      <c r="A543" s="411">
        <v>543</v>
      </c>
      <c r="B543" s="412">
        <v>754.02</v>
      </c>
      <c r="C543" s="418" t="s">
        <v>54</v>
      </c>
      <c r="D543" s="420" t="s">
        <v>56</v>
      </c>
      <c r="E543" s="413" t="s">
        <v>716</v>
      </c>
      <c r="F543" s="433" t="str">
        <f t="shared" si="8"/>
        <v>Link</v>
      </c>
      <c r="G543" s="412"/>
      <c r="H543" s="410" t="s">
        <v>3388</v>
      </c>
    </row>
    <row r="544" spans="1:8">
      <c r="A544" s="411">
        <v>544</v>
      </c>
      <c r="B544" s="412">
        <v>754.03</v>
      </c>
      <c r="C544" s="418" t="s">
        <v>54</v>
      </c>
      <c r="D544" s="420" t="s">
        <v>56</v>
      </c>
      <c r="E544" s="428" t="s">
        <v>719</v>
      </c>
      <c r="F544" s="433" t="str">
        <f t="shared" si="8"/>
        <v>Link</v>
      </c>
      <c r="G544" s="412"/>
      <c r="H544" s="410" t="s">
        <v>3389</v>
      </c>
    </row>
    <row r="545" spans="1:8">
      <c r="A545" s="411">
        <v>545</v>
      </c>
      <c r="B545" s="412">
        <v>754.04</v>
      </c>
      <c r="C545" s="418" t="s">
        <v>54</v>
      </c>
      <c r="D545" s="420" t="s">
        <v>56</v>
      </c>
      <c r="E545" s="413" t="s">
        <v>722</v>
      </c>
      <c r="F545" s="433" t="str">
        <f t="shared" si="8"/>
        <v>Link</v>
      </c>
      <c r="G545" s="412"/>
      <c r="H545" s="410" t="s">
        <v>3390</v>
      </c>
    </row>
    <row r="546" spans="1:8" ht="22.5">
      <c r="A546" s="411">
        <v>546</v>
      </c>
      <c r="B546" s="412">
        <v>754.05</v>
      </c>
      <c r="C546" s="418" t="s">
        <v>54</v>
      </c>
      <c r="D546" s="420" t="s">
        <v>56</v>
      </c>
      <c r="E546" s="413" t="s">
        <v>727</v>
      </c>
      <c r="F546" s="433" t="str">
        <f t="shared" si="8"/>
        <v>Link</v>
      </c>
      <c r="G546" s="412"/>
      <c r="H546" s="410" t="s">
        <v>3391</v>
      </c>
    </row>
    <row r="547" spans="1:8">
      <c r="A547" s="411">
        <v>547</v>
      </c>
      <c r="B547" s="412">
        <v>754.06</v>
      </c>
      <c r="C547" s="418" t="s">
        <v>54</v>
      </c>
      <c r="D547" s="420" t="s">
        <v>56</v>
      </c>
      <c r="E547" s="413" t="s">
        <v>729</v>
      </c>
      <c r="F547" s="433" t="str">
        <f t="shared" si="8"/>
        <v>Link</v>
      </c>
      <c r="G547" s="425"/>
      <c r="H547" s="410" t="s">
        <v>3392</v>
      </c>
    </row>
    <row r="548" spans="1:8">
      <c r="A548" s="411">
        <v>548</v>
      </c>
      <c r="B548" s="412">
        <v>754.07</v>
      </c>
      <c r="C548" s="418" t="s">
        <v>54</v>
      </c>
      <c r="D548" s="420" t="s">
        <v>56</v>
      </c>
      <c r="E548" s="413" t="s">
        <v>733</v>
      </c>
      <c r="F548" s="433" t="str">
        <f t="shared" si="8"/>
        <v>Link</v>
      </c>
      <c r="G548" s="412"/>
      <c r="H548" s="410" t="s">
        <v>3393</v>
      </c>
    </row>
    <row r="549" spans="1:8">
      <c r="A549" s="411">
        <v>549</v>
      </c>
      <c r="B549" s="412">
        <v>754.08</v>
      </c>
      <c r="C549" s="418" t="s">
        <v>54</v>
      </c>
      <c r="D549" s="420" t="s">
        <v>56</v>
      </c>
      <c r="E549" s="413" t="s">
        <v>738</v>
      </c>
      <c r="F549" s="433" t="str">
        <f t="shared" si="8"/>
        <v>Link</v>
      </c>
      <c r="G549" s="412"/>
      <c r="H549" s="410" t="s">
        <v>3394</v>
      </c>
    </row>
    <row r="550" spans="1:8">
      <c r="A550" s="411">
        <v>550</v>
      </c>
      <c r="B550" s="412">
        <v>754.09</v>
      </c>
      <c r="C550" s="418" t="s">
        <v>54</v>
      </c>
      <c r="D550" s="420" t="s">
        <v>56</v>
      </c>
      <c r="E550" s="413" t="s">
        <v>741</v>
      </c>
      <c r="F550" s="433" t="str">
        <f t="shared" si="8"/>
        <v>Link</v>
      </c>
      <c r="G550" s="412"/>
      <c r="H550" s="410" t="s">
        <v>3395</v>
      </c>
    </row>
    <row r="551" spans="1:8">
      <c r="A551" s="411">
        <v>551</v>
      </c>
      <c r="B551" s="420">
        <v>754.1</v>
      </c>
      <c r="C551" s="418" t="s">
        <v>54</v>
      </c>
      <c r="D551" s="420" t="s">
        <v>56</v>
      </c>
      <c r="E551" s="413" t="s">
        <v>745</v>
      </c>
      <c r="F551" s="433" t="str">
        <f t="shared" si="8"/>
        <v>Link</v>
      </c>
      <c r="G551" s="412"/>
      <c r="H551" s="410" t="s">
        <v>3396</v>
      </c>
    </row>
    <row r="552" spans="1:8">
      <c r="A552" s="411">
        <v>552</v>
      </c>
      <c r="B552" s="412">
        <v>754.11</v>
      </c>
      <c r="C552" s="418" t="s">
        <v>54</v>
      </c>
      <c r="D552" s="420" t="s">
        <v>56</v>
      </c>
      <c r="E552" s="429" t="s">
        <v>751</v>
      </c>
      <c r="F552" s="433" t="str">
        <f t="shared" si="8"/>
        <v>Link</v>
      </c>
      <c r="G552" s="412"/>
      <c r="H552" s="410" t="s">
        <v>3397</v>
      </c>
    </row>
    <row r="553" spans="1:8">
      <c r="A553" s="411">
        <v>553</v>
      </c>
      <c r="B553" s="412">
        <v>754.12</v>
      </c>
      <c r="C553" s="418" t="s">
        <v>54</v>
      </c>
      <c r="D553" s="420" t="s">
        <v>56</v>
      </c>
      <c r="E553" s="429" t="s">
        <v>757</v>
      </c>
      <c r="F553" s="433" t="str">
        <f t="shared" si="8"/>
        <v>Link</v>
      </c>
      <c r="G553" s="412"/>
      <c r="H553" s="410" t="s">
        <v>3398</v>
      </c>
    </row>
    <row r="554" spans="1:8">
      <c r="A554" s="411">
        <v>554</v>
      </c>
      <c r="B554" s="412">
        <v>754.13</v>
      </c>
      <c r="C554" s="418" t="s">
        <v>54</v>
      </c>
      <c r="D554" s="420" t="s">
        <v>56</v>
      </c>
      <c r="E554" s="413" t="s">
        <v>763</v>
      </c>
      <c r="F554" s="433" t="str">
        <f t="shared" si="8"/>
        <v>Link</v>
      </c>
      <c r="G554" s="412"/>
      <c r="H554" s="410" t="s">
        <v>3399</v>
      </c>
    </row>
    <row r="555" spans="1:8">
      <c r="A555" s="411">
        <v>555</v>
      </c>
      <c r="B555" s="412">
        <v>757</v>
      </c>
      <c r="C555" s="412" t="s">
        <v>54</v>
      </c>
      <c r="D555" s="412" t="s">
        <v>56</v>
      </c>
      <c r="E555" s="415" t="s">
        <v>59</v>
      </c>
      <c r="F555" s="433" t="str">
        <f t="shared" si="8"/>
        <v>Link</v>
      </c>
      <c r="G555" s="412"/>
      <c r="H555" s="410" t="s">
        <v>57</v>
      </c>
    </row>
    <row r="556" spans="1:8">
      <c r="A556" s="411">
        <v>556</v>
      </c>
      <c r="B556" s="412">
        <v>757.01</v>
      </c>
      <c r="C556" s="412" t="s">
        <v>54</v>
      </c>
      <c r="D556" s="412" t="s">
        <v>56</v>
      </c>
      <c r="E556" s="413" t="s">
        <v>68</v>
      </c>
      <c r="F556" s="433" t="str">
        <f t="shared" si="8"/>
        <v>Link</v>
      </c>
      <c r="G556" s="412" t="s">
        <v>69</v>
      </c>
      <c r="H556" s="410" t="s">
        <v>3400</v>
      </c>
    </row>
    <row r="557" spans="1:8">
      <c r="A557" s="411">
        <v>557</v>
      </c>
      <c r="B557" s="412">
        <v>757.02</v>
      </c>
      <c r="C557" s="412" t="s">
        <v>54</v>
      </c>
      <c r="D557" s="412" t="s">
        <v>56</v>
      </c>
      <c r="E557" s="413" t="s">
        <v>72</v>
      </c>
      <c r="F557" s="433" t="str">
        <f t="shared" si="8"/>
        <v>Link</v>
      </c>
      <c r="G557" s="412" t="s">
        <v>73</v>
      </c>
      <c r="H557" s="410" t="s">
        <v>3401</v>
      </c>
    </row>
    <row r="558" spans="1:8">
      <c r="A558" s="411">
        <v>558</v>
      </c>
      <c r="B558" s="412">
        <v>757.03</v>
      </c>
      <c r="C558" s="412" t="s">
        <v>54</v>
      </c>
      <c r="D558" s="412" t="s">
        <v>56</v>
      </c>
      <c r="E558" s="413" t="s">
        <v>77</v>
      </c>
      <c r="F558" s="433" t="str">
        <f t="shared" si="8"/>
        <v>Link</v>
      </c>
      <c r="G558" s="412" t="s">
        <v>78</v>
      </c>
      <c r="H558" s="410" t="s">
        <v>3402</v>
      </c>
    </row>
    <row r="559" spans="1:8" ht="22.5">
      <c r="A559" s="411">
        <v>559</v>
      </c>
      <c r="B559" s="412">
        <v>757.04</v>
      </c>
      <c r="C559" s="412" t="s">
        <v>54</v>
      </c>
      <c r="D559" s="412" t="s">
        <v>56</v>
      </c>
      <c r="E559" s="413" t="s">
        <v>82</v>
      </c>
      <c r="F559" s="433" t="str">
        <f t="shared" si="8"/>
        <v>Link</v>
      </c>
      <c r="G559" s="412" t="s">
        <v>83</v>
      </c>
      <c r="H559" s="410" t="s">
        <v>3403</v>
      </c>
    </row>
    <row r="560" spans="1:8" ht="22.5">
      <c r="A560" s="411">
        <v>560</v>
      </c>
      <c r="B560" s="412">
        <v>757.05</v>
      </c>
      <c r="C560" s="412" t="s">
        <v>54</v>
      </c>
      <c r="D560" s="412" t="s">
        <v>56</v>
      </c>
      <c r="E560" s="413" t="s">
        <v>87</v>
      </c>
      <c r="F560" s="433" t="str">
        <f t="shared" si="8"/>
        <v>Link</v>
      </c>
      <c r="G560" s="412" t="s">
        <v>88</v>
      </c>
      <c r="H560" s="410" t="s">
        <v>3404</v>
      </c>
    </row>
    <row r="561" spans="1:8" ht="33.75">
      <c r="A561" s="411">
        <v>561</v>
      </c>
      <c r="B561" s="412">
        <v>757.06</v>
      </c>
      <c r="C561" s="412" t="s">
        <v>54</v>
      </c>
      <c r="D561" s="412" t="s">
        <v>56</v>
      </c>
      <c r="E561" s="413" t="s">
        <v>92</v>
      </c>
      <c r="F561" s="433" t="str">
        <f t="shared" si="8"/>
        <v>Link</v>
      </c>
      <c r="G561" s="412" t="s">
        <v>93</v>
      </c>
      <c r="H561" s="410" t="s">
        <v>3405</v>
      </c>
    </row>
    <row r="562" spans="1:8">
      <c r="A562" s="411">
        <v>562</v>
      </c>
      <c r="B562" s="412">
        <v>757.07</v>
      </c>
      <c r="C562" s="412" t="s">
        <v>54</v>
      </c>
      <c r="D562" s="412" t="s">
        <v>56</v>
      </c>
      <c r="E562" s="413" t="s">
        <v>95</v>
      </c>
      <c r="F562" s="433" t="str">
        <f t="shared" si="8"/>
        <v>Link</v>
      </c>
      <c r="G562" s="412"/>
      <c r="H562" s="410" t="s">
        <v>3406</v>
      </c>
    </row>
    <row r="563" spans="1:8" ht="22.5">
      <c r="A563" s="411">
        <v>563</v>
      </c>
      <c r="B563" s="412">
        <v>757.08</v>
      </c>
      <c r="C563" s="412" t="s">
        <v>54</v>
      </c>
      <c r="D563" s="412" t="s">
        <v>56</v>
      </c>
      <c r="E563" s="413" t="s">
        <v>98</v>
      </c>
      <c r="F563" s="433" t="str">
        <f t="shared" si="8"/>
        <v>Link</v>
      </c>
      <c r="G563" s="412" t="s">
        <v>99</v>
      </c>
      <c r="H563" s="410" t="s">
        <v>3407</v>
      </c>
    </row>
    <row r="564" spans="1:8" ht="22.5">
      <c r="A564" s="411">
        <v>564</v>
      </c>
      <c r="B564" s="412">
        <v>757.09</v>
      </c>
      <c r="C564" s="412" t="s">
        <v>54</v>
      </c>
      <c r="D564" s="412" t="s">
        <v>56</v>
      </c>
      <c r="E564" s="413" t="s">
        <v>103</v>
      </c>
      <c r="F564" s="433" t="str">
        <f t="shared" si="8"/>
        <v>Link</v>
      </c>
      <c r="G564" s="412" t="s">
        <v>104</v>
      </c>
      <c r="H564" s="410" t="s">
        <v>3408</v>
      </c>
    </row>
    <row r="565" spans="1:8">
      <c r="A565" s="411">
        <v>565</v>
      </c>
      <c r="B565" s="420">
        <v>757.1</v>
      </c>
      <c r="C565" s="412" t="s">
        <v>54</v>
      </c>
      <c r="D565" s="412" t="s">
        <v>56</v>
      </c>
      <c r="E565" s="413" t="s">
        <v>108</v>
      </c>
      <c r="F565" s="433" t="str">
        <f t="shared" si="8"/>
        <v>Link</v>
      </c>
      <c r="G565" s="412"/>
      <c r="H565" s="410" t="s">
        <v>3409</v>
      </c>
    </row>
    <row r="566" spans="1:8">
      <c r="A566" s="411">
        <v>566</v>
      </c>
      <c r="B566" s="412">
        <v>757.11</v>
      </c>
      <c r="C566" s="412" t="s">
        <v>54</v>
      </c>
      <c r="D566" s="412" t="s">
        <v>56</v>
      </c>
      <c r="E566" s="413" t="s">
        <v>111</v>
      </c>
      <c r="F566" s="433" t="str">
        <f t="shared" si="8"/>
        <v>Link</v>
      </c>
      <c r="G566" s="412"/>
      <c r="H566" s="410" t="s">
        <v>3410</v>
      </c>
    </row>
    <row r="567" spans="1:8">
      <c r="A567" s="411">
        <v>567</v>
      </c>
      <c r="B567" s="420">
        <v>757.12</v>
      </c>
      <c r="C567" s="412" t="s">
        <v>54</v>
      </c>
      <c r="D567" s="412" t="s">
        <v>56</v>
      </c>
      <c r="E567" s="413" t="s">
        <v>113</v>
      </c>
      <c r="F567" s="433" t="str">
        <f t="shared" si="8"/>
        <v>Link</v>
      </c>
      <c r="G567" s="412" t="s">
        <v>115</v>
      </c>
      <c r="H567" s="410" t="s">
        <v>3411</v>
      </c>
    </row>
  </sheetData>
  <sortState ref="A2:H567">
    <sortCondition ref="A2:A567"/>
  </sortState>
  <conditionalFormatting sqref="E288">
    <cfRule type="notContainsBlanks" dxfId="2" priority="1">
      <formula>LEN(TRIM(E288))&gt;0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20"/>
  <sheetViews>
    <sheetView workbookViewId="0">
      <pane ySplit="1" topLeftCell="A2" activePane="bottomLeft" state="frozen"/>
      <selection pane="bottomLeft" activeCell="B34" sqref="B34"/>
    </sheetView>
  </sheetViews>
  <sheetFormatPr defaultColWidth="14.42578125" defaultRowHeight="15" customHeight="1"/>
  <cols>
    <col min="1" max="1" width="8.140625" customWidth="1"/>
    <col min="2" max="2" width="14.28515625" customWidth="1"/>
    <col min="3" max="3" width="122.5703125" customWidth="1"/>
    <col min="4" max="27" width="12.5703125" customWidth="1"/>
  </cols>
  <sheetData>
    <row r="1" spans="1:3" ht="15" customHeight="1">
      <c r="A1" s="1" t="s">
        <v>0</v>
      </c>
      <c r="B1" s="438" t="s">
        <v>2</v>
      </c>
      <c r="C1" s="439"/>
    </row>
    <row r="2" spans="1:3">
      <c r="A2" s="3">
        <v>1</v>
      </c>
      <c r="B2" s="4" t="str">
        <f>HYPERLINK("#rangeid=1985494498","Please work only with your sheets and do not temper with any other sheet. First Two letters are your sheet name")</f>
        <v>Please work only with your sheets and do not temper with any other sheet. First Two letters are your sheet name</v>
      </c>
      <c r="C2" s="6"/>
    </row>
    <row r="3" spans="1:3">
      <c r="A3" s="3">
        <v>2</v>
      </c>
      <c r="B3" s="8" t="s">
        <v>3</v>
      </c>
      <c r="C3" s="6"/>
    </row>
    <row r="4" spans="1:3">
      <c r="A4" s="3">
        <v>3</v>
      </c>
      <c r="B4" s="3" t="s">
        <v>4</v>
      </c>
      <c r="C4" s="6"/>
    </row>
    <row r="5" spans="1:3">
      <c r="A5" s="3">
        <v>4</v>
      </c>
      <c r="B5" s="10" t="s">
        <v>5</v>
      </c>
      <c r="C5" s="6"/>
    </row>
    <row r="6" spans="1:3">
      <c r="A6" s="3">
        <v>4.01</v>
      </c>
      <c r="C6" s="3" t="s">
        <v>7</v>
      </c>
    </row>
    <row r="7" spans="1:3">
      <c r="A7" s="3">
        <v>4.0199999999999996</v>
      </c>
      <c r="C7" s="3" t="s">
        <v>8</v>
      </c>
    </row>
    <row r="8" spans="1:3">
      <c r="A8" s="3">
        <v>4.03</v>
      </c>
      <c r="C8" s="12" t="s">
        <v>9</v>
      </c>
    </row>
    <row r="9" spans="1:3">
      <c r="A9" s="3">
        <v>4.04</v>
      </c>
      <c r="C9" s="3" t="s">
        <v>10</v>
      </c>
    </row>
    <row r="10" spans="1:3">
      <c r="A10" s="3">
        <v>4.05</v>
      </c>
      <c r="C10" s="3" t="s">
        <v>11</v>
      </c>
    </row>
    <row r="11" spans="1:3">
      <c r="A11" s="3">
        <v>4.0599999999999996</v>
      </c>
      <c r="C11" s="10" t="s">
        <v>13</v>
      </c>
    </row>
    <row r="12" spans="1:3">
      <c r="A12" s="3">
        <v>4.07</v>
      </c>
      <c r="C12" s="10" t="s">
        <v>14</v>
      </c>
    </row>
    <row r="13" spans="1:3">
      <c r="A13" s="3">
        <v>4.08</v>
      </c>
      <c r="C13" s="10" t="s">
        <v>15</v>
      </c>
    </row>
    <row r="14" spans="1:3">
      <c r="A14" s="15">
        <v>4.09</v>
      </c>
      <c r="B14" s="10"/>
      <c r="C14" s="17" t="s">
        <v>17</v>
      </c>
    </row>
    <row r="15" spans="1:3">
      <c r="A15" s="15">
        <v>4.0999999999999996</v>
      </c>
      <c r="B15" s="10"/>
      <c r="C15" s="18" t="s">
        <v>19</v>
      </c>
    </row>
    <row r="16" spans="1:3">
      <c r="A16" s="15">
        <v>4.1100000000000003</v>
      </c>
      <c r="B16" s="10"/>
      <c r="C16" s="20" t="s">
        <v>21</v>
      </c>
    </row>
    <row r="17" spans="1:3">
      <c r="A17" s="15">
        <v>4.12</v>
      </c>
      <c r="B17" s="10"/>
      <c r="C17" s="22" t="s">
        <v>23</v>
      </c>
    </row>
    <row r="18" spans="1:3">
      <c r="A18" s="15">
        <v>4.13</v>
      </c>
      <c r="B18" s="10"/>
      <c r="C18" s="24" t="s">
        <v>26</v>
      </c>
    </row>
    <row r="19" spans="1:3">
      <c r="A19" s="15">
        <v>4.1399999999999997</v>
      </c>
      <c r="B19" s="10"/>
      <c r="C19" s="27" t="str">
        <f>HYPERLINK("#gid=905707677&amp;range=A1","Update the Final Status accordingly for the clip")</f>
        <v>Update the Final Status accordingly for the clip</v>
      </c>
    </row>
    <row r="20" spans="1:3">
      <c r="A20" s="3">
        <v>4.1500000000000004</v>
      </c>
      <c r="B20" s="10"/>
      <c r="C20" s="31" t="str">
        <f>HYPERLINK("#gid=905707677&amp;range=D1:E1","Update Content Owner Column accordingly, your intials against the clip")</f>
        <v>Update Content Owner Column accordingly, your intials against the clip</v>
      </c>
    </row>
    <row r="21" spans="1:3">
      <c r="A21" s="3">
        <v>4.16</v>
      </c>
      <c r="B21" s="10"/>
      <c r="C21" s="3" t="s">
        <v>38</v>
      </c>
    </row>
    <row r="22" spans="1:3">
      <c r="A22" s="3">
        <v>4.17</v>
      </c>
      <c r="B22" s="10"/>
      <c r="C22" s="17" t="s">
        <v>39</v>
      </c>
    </row>
    <row r="23" spans="1:3">
      <c r="A23" s="3">
        <v>4.18</v>
      </c>
      <c r="B23" s="10"/>
      <c r="C23" s="17" t="s">
        <v>40</v>
      </c>
    </row>
    <row r="24" spans="1:3">
      <c r="A24" s="3">
        <v>4.1900000000000004</v>
      </c>
      <c r="B24" s="10"/>
      <c r="C24" s="17" t="s">
        <v>41</v>
      </c>
    </row>
    <row r="25" spans="1:3">
      <c r="B25" s="10"/>
    </row>
    <row r="26" spans="1:3">
      <c r="A26" s="3"/>
      <c r="B26" s="10"/>
      <c r="C26" s="6"/>
    </row>
    <row r="27" spans="1:3">
      <c r="A27" s="3"/>
      <c r="B27" s="10"/>
      <c r="C27" s="6"/>
    </row>
    <row r="28" spans="1:3">
      <c r="A28" s="3">
        <v>5</v>
      </c>
      <c r="B28" s="10" t="s">
        <v>42</v>
      </c>
      <c r="C28" s="6"/>
    </row>
    <row r="29" spans="1:3">
      <c r="A29" s="3">
        <v>5.01</v>
      </c>
      <c r="C29" s="3" t="s">
        <v>43</v>
      </c>
    </row>
    <row r="30" spans="1:3">
      <c r="A30" s="3"/>
      <c r="C30" s="6"/>
    </row>
    <row r="31" spans="1:3">
      <c r="A31" s="3">
        <v>6</v>
      </c>
      <c r="B31" s="10" t="s">
        <v>44</v>
      </c>
      <c r="C31" s="6"/>
    </row>
    <row r="32" spans="1:3">
      <c r="A32" s="3">
        <v>6.01</v>
      </c>
      <c r="C32" s="10" t="s">
        <v>45</v>
      </c>
    </row>
    <row r="33" spans="1:3">
      <c r="A33" s="3"/>
      <c r="C33" s="6"/>
    </row>
    <row r="34" spans="1:3">
      <c r="A34" s="3">
        <v>7</v>
      </c>
      <c r="B34" s="10" t="s">
        <v>46</v>
      </c>
      <c r="C34" s="10" t="s">
        <v>47</v>
      </c>
    </row>
    <row r="35" spans="1:3">
      <c r="A35" s="3">
        <v>7.01</v>
      </c>
      <c r="C35" s="10" t="s">
        <v>48</v>
      </c>
    </row>
    <row r="36" spans="1:3">
      <c r="A36" s="3">
        <v>7.02</v>
      </c>
      <c r="C36" s="10" t="s">
        <v>50</v>
      </c>
    </row>
    <row r="37" spans="1:3">
      <c r="A37" s="3">
        <v>7.03</v>
      </c>
      <c r="C37" s="35" t="s">
        <v>51</v>
      </c>
    </row>
    <row r="38" spans="1:3">
      <c r="C38" s="6"/>
    </row>
    <row r="39" spans="1:3">
      <c r="C39" s="6"/>
    </row>
    <row r="40" spans="1:3">
      <c r="C40" s="6"/>
    </row>
    <row r="41" spans="1:3">
      <c r="C41" s="6"/>
    </row>
    <row r="42" spans="1:3">
      <c r="C42" s="6"/>
    </row>
    <row r="43" spans="1:3">
      <c r="C43" s="6"/>
    </row>
    <row r="44" spans="1:3">
      <c r="C44" s="6"/>
    </row>
    <row r="45" spans="1:3">
      <c r="C45" s="6"/>
    </row>
    <row r="46" spans="1:3">
      <c r="C46" s="6"/>
    </row>
    <row r="47" spans="1:3">
      <c r="C47" s="6"/>
    </row>
    <row r="48" spans="1:3">
      <c r="C48" s="6"/>
    </row>
    <row r="49" spans="3:3">
      <c r="C49" s="6"/>
    </row>
    <row r="50" spans="3:3">
      <c r="C50" s="6"/>
    </row>
    <row r="51" spans="3:3">
      <c r="C51" s="6"/>
    </row>
    <row r="52" spans="3:3">
      <c r="C52" s="6"/>
    </row>
    <row r="53" spans="3:3">
      <c r="C53" s="6"/>
    </row>
    <row r="54" spans="3:3">
      <c r="C54" s="6"/>
    </row>
    <row r="55" spans="3:3">
      <c r="C55" s="6"/>
    </row>
    <row r="56" spans="3:3">
      <c r="C56" s="6"/>
    </row>
    <row r="57" spans="3:3">
      <c r="C57" s="6"/>
    </row>
    <row r="58" spans="3:3">
      <c r="C58" s="6"/>
    </row>
    <row r="59" spans="3:3">
      <c r="C59" s="6"/>
    </row>
    <row r="60" spans="3:3">
      <c r="C60" s="6"/>
    </row>
    <row r="61" spans="3:3">
      <c r="C61" s="6"/>
    </row>
    <row r="62" spans="3:3">
      <c r="C62" s="6"/>
    </row>
    <row r="63" spans="3:3">
      <c r="C63" s="6"/>
    </row>
    <row r="64" spans="3:3">
      <c r="C64" s="6"/>
    </row>
    <row r="65" spans="3:3">
      <c r="C65" s="6"/>
    </row>
    <row r="66" spans="3:3">
      <c r="C66" s="6"/>
    </row>
    <row r="67" spans="3:3">
      <c r="C67" s="6"/>
    </row>
    <row r="68" spans="3:3">
      <c r="C68" s="6"/>
    </row>
    <row r="69" spans="3:3">
      <c r="C69" s="6"/>
    </row>
    <row r="70" spans="3:3">
      <c r="C70" s="6"/>
    </row>
    <row r="71" spans="3:3">
      <c r="C71" s="6"/>
    </row>
    <row r="72" spans="3:3">
      <c r="C72" s="6"/>
    </row>
    <row r="73" spans="3:3">
      <c r="C73" s="6"/>
    </row>
    <row r="74" spans="3:3">
      <c r="C74" s="6"/>
    </row>
    <row r="75" spans="3:3">
      <c r="C75" s="6"/>
    </row>
    <row r="76" spans="3:3">
      <c r="C76" s="6"/>
    </row>
    <row r="77" spans="3:3">
      <c r="C77" s="6"/>
    </row>
    <row r="78" spans="3:3">
      <c r="C78" s="6"/>
    </row>
    <row r="79" spans="3:3">
      <c r="C79" s="6"/>
    </row>
    <row r="80" spans="3:3">
      <c r="C80" s="6"/>
    </row>
    <row r="81" spans="3:3">
      <c r="C81" s="6"/>
    </row>
    <row r="82" spans="3:3">
      <c r="C82" s="6"/>
    </row>
    <row r="83" spans="3:3">
      <c r="C83" s="6"/>
    </row>
    <row r="84" spans="3:3">
      <c r="C84" s="6"/>
    </row>
    <row r="85" spans="3:3">
      <c r="C85" s="6"/>
    </row>
    <row r="86" spans="3:3">
      <c r="C86" s="6"/>
    </row>
    <row r="87" spans="3:3">
      <c r="C87" s="6"/>
    </row>
    <row r="88" spans="3:3">
      <c r="C88" s="6"/>
    </row>
    <row r="89" spans="3:3">
      <c r="C89" s="6"/>
    </row>
    <row r="90" spans="3:3">
      <c r="C90" s="6"/>
    </row>
    <row r="91" spans="3:3">
      <c r="C91" s="6"/>
    </row>
    <row r="92" spans="3:3">
      <c r="C92" s="6"/>
    </row>
    <row r="93" spans="3:3">
      <c r="C93" s="6"/>
    </row>
    <row r="94" spans="3:3">
      <c r="C94" s="6"/>
    </row>
    <row r="95" spans="3:3">
      <c r="C95" s="6"/>
    </row>
    <row r="96" spans="3:3">
      <c r="C96" s="6"/>
    </row>
    <row r="97" spans="3:3">
      <c r="C97" s="6"/>
    </row>
    <row r="98" spans="3:3">
      <c r="C98" s="6"/>
    </row>
    <row r="99" spans="3:3">
      <c r="C99" s="6"/>
    </row>
    <row r="100" spans="3:3">
      <c r="C100" s="6"/>
    </row>
    <row r="101" spans="3:3">
      <c r="C101" s="6"/>
    </row>
    <row r="102" spans="3:3">
      <c r="C102" s="6"/>
    </row>
    <row r="103" spans="3:3">
      <c r="C103" s="6"/>
    </row>
    <row r="104" spans="3:3">
      <c r="C104" s="6"/>
    </row>
    <row r="105" spans="3:3">
      <c r="C105" s="6"/>
    </row>
    <row r="106" spans="3:3">
      <c r="C106" s="6"/>
    </row>
    <row r="107" spans="3:3">
      <c r="C107" s="6"/>
    </row>
    <row r="108" spans="3:3">
      <c r="C108" s="6"/>
    </row>
    <row r="109" spans="3:3">
      <c r="C109" s="6"/>
    </row>
    <row r="110" spans="3:3">
      <c r="C110" s="6"/>
    </row>
    <row r="111" spans="3:3">
      <c r="C111" s="6"/>
    </row>
    <row r="112" spans="3:3">
      <c r="C112" s="6"/>
    </row>
    <row r="113" spans="3:3">
      <c r="C113" s="6"/>
    </row>
    <row r="114" spans="3:3">
      <c r="C114" s="6"/>
    </row>
    <row r="115" spans="3:3">
      <c r="C115" s="6"/>
    </row>
    <row r="116" spans="3:3">
      <c r="C116" s="6"/>
    </row>
    <row r="117" spans="3:3">
      <c r="C117" s="6"/>
    </row>
    <row r="118" spans="3:3">
      <c r="C118" s="6"/>
    </row>
    <row r="119" spans="3:3">
      <c r="C119" s="6"/>
    </row>
    <row r="120" spans="3:3">
      <c r="C120" s="6"/>
    </row>
    <row r="121" spans="3:3">
      <c r="C121" s="6"/>
    </row>
    <row r="122" spans="3:3">
      <c r="C122" s="6"/>
    </row>
    <row r="123" spans="3:3">
      <c r="C123" s="6"/>
    </row>
    <row r="124" spans="3:3">
      <c r="C124" s="6"/>
    </row>
    <row r="125" spans="3:3">
      <c r="C125" s="6"/>
    </row>
    <row r="126" spans="3:3">
      <c r="C126" s="6"/>
    </row>
    <row r="127" spans="3:3">
      <c r="C127" s="6"/>
    </row>
    <row r="128" spans="3:3">
      <c r="C128" s="6"/>
    </row>
    <row r="129" spans="3:3">
      <c r="C129" s="6"/>
    </row>
    <row r="130" spans="3:3">
      <c r="C130" s="6"/>
    </row>
    <row r="131" spans="3:3">
      <c r="C131" s="6"/>
    </row>
    <row r="132" spans="3:3">
      <c r="C132" s="6"/>
    </row>
    <row r="133" spans="3:3">
      <c r="C133" s="6"/>
    </row>
    <row r="134" spans="3:3">
      <c r="C134" s="6"/>
    </row>
    <row r="135" spans="3:3">
      <c r="C135" s="6"/>
    </row>
    <row r="136" spans="3:3">
      <c r="C136" s="6"/>
    </row>
    <row r="137" spans="3:3">
      <c r="C137" s="6"/>
    </row>
    <row r="138" spans="3:3">
      <c r="C138" s="6"/>
    </row>
    <row r="139" spans="3:3">
      <c r="C139" s="6"/>
    </row>
    <row r="140" spans="3:3">
      <c r="C140" s="6"/>
    </row>
    <row r="141" spans="3:3">
      <c r="C141" s="6"/>
    </row>
    <row r="142" spans="3:3">
      <c r="C142" s="6"/>
    </row>
    <row r="143" spans="3:3">
      <c r="C143" s="6"/>
    </row>
    <row r="144" spans="3:3">
      <c r="C144" s="6"/>
    </row>
    <row r="145" spans="3:3">
      <c r="C145" s="6"/>
    </row>
    <row r="146" spans="3:3">
      <c r="C146" s="6"/>
    </row>
    <row r="147" spans="3:3">
      <c r="C147" s="6"/>
    </row>
    <row r="148" spans="3:3">
      <c r="C148" s="6"/>
    </row>
    <row r="149" spans="3:3">
      <c r="C149" s="6"/>
    </row>
    <row r="150" spans="3:3">
      <c r="C150" s="6"/>
    </row>
    <row r="151" spans="3:3">
      <c r="C151" s="6"/>
    </row>
    <row r="152" spans="3:3">
      <c r="C152" s="6"/>
    </row>
    <row r="153" spans="3:3">
      <c r="C153" s="6"/>
    </row>
    <row r="154" spans="3:3">
      <c r="C154" s="6"/>
    </row>
    <row r="155" spans="3:3">
      <c r="C155" s="6"/>
    </row>
    <row r="156" spans="3:3">
      <c r="C156" s="6"/>
    </row>
    <row r="157" spans="3:3">
      <c r="C157" s="6"/>
    </row>
    <row r="158" spans="3:3">
      <c r="C158" s="6"/>
    </row>
    <row r="159" spans="3:3">
      <c r="C159" s="6"/>
    </row>
    <row r="160" spans="3:3">
      <c r="C160" s="6"/>
    </row>
    <row r="161" spans="3:3">
      <c r="C161" s="6"/>
    </row>
    <row r="162" spans="3:3">
      <c r="C162" s="6"/>
    </row>
    <row r="163" spans="3:3">
      <c r="C163" s="6"/>
    </row>
    <row r="164" spans="3:3">
      <c r="C164" s="6"/>
    </row>
    <row r="165" spans="3:3">
      <c r="C165" s="6"/>
    </row>
    <row r="166" spans="3:3">
      <c r="C166" s="6"/>
    </row>
    <row r="167" spans="3:3">
      <c r="C167" s="6"/>
    </row>
    <row r="168" spans="3:3">
      <c r="C168" s="6"/>
    </row>
    <row r="169" spans="3:3">
      <c r="C169" s="6"/>
    </row>
    <row r="170" spans="3:3">
      <c r="C170" s="6"/>
    </row>
    <row r="171" spans="3:3">
      <c r="C171" s="6"/>
    </row>
    <row r="172" spans="3:3">
      <c r="C172" s="6"/>
    </row>
    <row r="173" spans="3:3">
      <c r="C173" s="6"/>
    </row>
    <row r="174" spans="3:3">
      <c r="C174" s="6"/>
    </row>
    <row r="175" spans="3:3">
      <c r="C175" s="6"/>
    </row>
    <row r="176" spans="3:3">
      <c r="C176" s="6"/>
    </row>
    <row r="177" spans="3:3">
      <c r="C177" s="6"/>
    </row>
    <row r="178" spans="3:3">
      <c r="C178" s="6"/>
    </row>
    <row r="179" spans="3:3">
      <c r="C179" s="6"/>
    </row>
    <row r="180" spans="3:3">
      <c r="C180" s="6"/>
    </row>
    <row r="181" spans="3:3">
      <c r="C181" s="6"/>
    </row>
    <row r="182" spans="3:3">
      <c r="C182" s="6"/>
    </row>
    <row r="183" spans="3:3">
      <c r="C183" s="6"/>
    </row>
    <row r="184" spans="3:3">
      <c r="C184" s="6"/>
    </row>
    <row r="185" spans="3:3">
      <c r="C185" s="6"/>
    </row>
    <row r="186" spans="3:3">
      <c r="C186" s="6"/>
    </row>
    <row r="187" spans="3:3">
      <c r="C187" s="6"/>
    </row>
    <row r="188" spans="3:3">
      <c r="C188" s="6"/>
    </row>
    <row r="189" spans="3:3">
      <c r="C189" s="6"/>
    </row>
    <row r="190" spans="3:3">
      <c r="C190" s="6"/>
    </row>
    <row r="191" spans="3:3">
      <c r="C191" s="6"/>
    </row>
    <row r="192" spans="3:3">
      <c r="C192" s="6"/>
    </row>
    <row r="193" spans="3:3">
      <c r="C193" s="6"/>
    </row>
    <row r="194" spans="3:3">
      <c r="C194" s="6"/>
    </row>
    <row r="195" spans="3:3">
      <c r="C195" s="6"/>
    </row>
    <row r="196" spans="3:3">
      <c r="C196" s="6"/>
    </row>
    <row r="197" spans="3:3">
      <c r="C197" s="6"/>
    </row>
    <row r="198" spans="3:3">
      <c r="C198" s="6"/>
    </row>
    <row r="199" spans="3:3">
      <c r="C199" s="6"/>
    </row>
    <row r="200" spans="3:3">
      <c r="C200" s="6"/>
    </row>
    <row r="201" spans="3:3">
      <c r="C201" s="6"/>
    </row>
    <row r="202" spans="3:3">
      <c r="C202" s="6"/>
    </row>
    <row r="203" spans="3:3">
      <c r="C203" s="6"/>
    </row>
    <row r="204" spans="3:3">
      <c r="C204" s="6"/>
    </row>
    <row r="205" spans="3:3">
      <c r="C205" s="6"/>
    </row>
    <row r="206" spans="3:3">
      <c r="C206" s="6"/>
    </row>
    <row r="207" spans="3:3">
      <c r="C207" s="6"/>
    </row>
    <row r="208" spans="3:3">
      <c r="C208" s="6"/>
    </row>
    <row r="209" spans="3:3">
      <c r="C209" s="6"/>
    </row>
    <row r="210" spans="3:3">
      <c r="C210" s="6"/>
    </row>
    <row r="211" spans="3:3">
      <c r="C211" s="6"/>
    </row>
    <row r="212" spans="3:3">
      <c r="C212" s="6"/>
    </row>
    <row r="213" spans="3:3">
      <c r="C213" s="6"/>
    </row>
    <row r="214" spans="3:3">
      <c r="C214" s="6"/>
    </row>
    <row r="215" spans="3:3">
      <c r="C215" s="6"/>
    </row>
    <row r="216" spans="3:3">
      <c r="C216" s="6"/>
    </row>
    <row r="217" spans="3:3">
      <c r="C217" s="6"/>
    </row>
    <row r="218" spans="3:3">
      <c r="C218" s="6"/>
    </row>
    <row r="219" spans="3:3">
      <c r="C219" s="6"/>
    </row>
    <row r="220" spans="3:3">
      <c r="C220" s="6"/>
    </row>
    <row r="221" spans="3:3">
      <c r="C221" s="6"/>
    </row>
    <row r="222" spans="3:3">
      <c r="C222" s="6"/>
    </row>
    <row r="223" spans="3:3">
      <c r="C223" s="6"/>
    </row>
    <row r="224" spans="3:3">
      <c r="C224" s="6"/>
    </row>
    <row r="225" spans="3:3">
      <c r="C225" s="6"/>
    </row>
    <row r="226" spans="3:3">
      <c r="C226" s="6"/>
    </row>
    <row r="227" spans="3:3">
      <c r="C227" s="6"/>
    </row>
    <row r="228" spans="3:3">
      <c r="C228" s="6"/>
    </row>
    <row r="229" spans="3:3">
      <c r="C229" s="6"/>
    </row>
    <row r="230" spans="3:3">
      <c r="C230" s="6"/>
    </row>
    <row r="231" spans="3:3">
      <c r="C231" s="6"/>
    </row>
    <row r="232" spans="3:3">
      <c r="C232" s="6"/>
    </row>
    <row r="233" spans="3:3">
      <c r="C233" s="6"/>
    </row>
    <row r="234" spans="3:3">
      <c r="C234" s="6"/>
    </row>
    <row r="235" spans="3:3">
      <c r="C235" s="6"/>
    </row>
    <row r="236" spans="3:3">
      <c r="C236" s="6"/>
    </row>
    <row r="237" spans="3:3">
      <c r="C237" s="6"/>
    </row>
    <row r="238" spans="3:3">
      <c r="C238" s="6"/>
    </row>
    <row r="239" spans="3:3">
      <c r="C239" s="6"/>
    </row>
    <row r="240" spans="3:3">
      <c r="C240" s="6"/>
    </row>
    <row r="241" spans="3:3">
      <c r="C241" s="6"/>
    </row>
    <row r="242" spans="3:3">
      <c r="C242" s="6"/>
    </row>
    <row r="243" spans="3:3">
      <c r="C243" s="6"/>
    </row>
    <row r="244" spans="3:3">
      <c r="C244" s="6"/>
    </row>
    <row r="245" spans="3:3">
      <c r="C245" s="6"/>
    </row>
    <row r="246" spans="3:3">
      <c r="C246" s="6"/>
    </row>
    <row r="247" spans="3:3">
      <c r="C247" s="6"/>
    </row>
    <row r="248" spans="3:3">
      <c r="C248" s="6"/>
    </row>
    <row r="249" spans="3:3">
      <c r="C249" s="6"/>
    </row>
    <row r="250" spans="3:3">
      <c r="C250" s="6"/>
    </row>
    <row r="251" spans="3:3">
      <c r="C251" s="6"/>
    </row>
    <row r="252" spans="3:3">
      <c r="C252" s="6"/>
    </row>
    <row r="253" spans="3:3">
      <c r="C253" s="6"/>
    </row>
    <row r="254" spans="3:3">
      <c r="C254" s="6"/>
    </row>
    <row r="255" spans="3:3">
      <c r="C255" s="6"/>
    </row>
    <row r="256" spans="3:3">
      <c r="C256" s="6"/>
    </row>
    <row r="257" spans="3:3">
      <c r="C257" s="6"/>
    </row>
    <row r="258" spans="3:3">
      <c r="C258" s="6"/>
    </row>
    <row r="259" spans="3:3">
      <c r="C259" s="6"/>
    </row>
    <row r="260" spans="3:3">
      <c r="C260" s="6"/>
    </row>
    <row r="261" spans="3:3">
      <c r="C261" s="6"/>
    </row>
    <row r="262" spans="3:3">
      <c r="C262" s="6"/>
    </row>
    <row r="263" spans="3:3">
      <c r="C263" s="6"/>
    </row>
    <row r="264" spans="3:3">
      <c r="C264" s="6"/>
    </row>
    <row r="265" spans="3:3">
      <c r="C265" s="6"/>
    </row>
    <row r="266" spans="3:3">
      <c r="C266" s="6"/>
    </row>
    <row r="267" spans="3:3">
      <c r="C267" s="6"/>
    </row>
    <row r="268" spans="3:3">
      <c r="C268" s="6"/>
    </row>
    <row r="269" spans="3:3">
      <c r="C269" s="6"/>
    </row>
    <row r="270" spans="3:3">
      <c r="C270" s="6"/>
    </row>
    <row r="271" spans="3:3">
      <c r="C271" s="6"/>
    </row>
    <row r="272" spans="3:3">
      <c r="C272" s="6"/>
    </row>
    <row r="273" spans="3:3">
      <c r="C273" s="6"/>
    </row>
    <row r="274" spans="3:3">
      <c r="C274" s="6"/>
    </row>
    <row r="275" spans="3:3">
      <c r="C275" s="6"/>
    </row>
    <row r="276" spans="3:3">
      <c r="C276" s="6"/>
    </row>
    <row r="277" spans="3:3">
      <c r="C277" s="6"/>
    </row>
    <row r="278" spans="3:3">
      <c r="C278" s="6"/>
    </row>
    <row r="279" spans="3:3">
      <c r="C279" s="6"/>
    </row>
    <row r="280" spans="3:3">
      <c r="C280" s="6"/>
    </row>
    <row r="281" spans="3:3">
      <c r="C281" s="6"/>
    </row>
    <row r="282" spans="3:3">
      <c r="C282" s="6"/>
    </row>
    <row r="283" spans="3:3">
      <c r="C283" s="6"/>
    </row>
    <row r="284" spans="3:3">
      <c r="C284" s="6"/>
    </row>
    <row r="285" spans="3:3">
      <c r="C285" s="6"/>
    </row>
    <row r="286" spans="3:3">
      <c r="C286" s="6"/>
    </row>
    <row r="287" spans="3:3">
      <c r="C287" s="6"/>
    </row>
    <row r="288" spans="3:3">
      <c r="C288" s="6"/>
    </row>
    <row r="289" spans="3:3">
      <c r="C289" s="6"/>
    </row>
    <row r="290" spans="3:3">
      <c r="C290" s="6"/>
    </row>
    <row r="291" spans="3:3">
      <c r="C291" s="6"/>
    </row>
    <row r="292" spans="3:3">
      <c r="C292" s="6"/>
    </row>
    <row r="293" spans="3:3">
      <c r="C293" s="6"/>
    </row>
    <row r="294" spans="3:3">
      <c r="C294" s="6"/>
    </row>
    <row r="295" spans="3:3">
      <c r="C295" s="6"/>
    </row>
    <row r="296" spans="3:3">
      <c r="C296" s="6"/>
    </row>
    <row r="297" spans="3:3">
      <c r="C297" s="6"/>
    </row>
    <row r="298" spans="3:3">
      <c r="C298" s="6"/>
    </row>
    <row r="299" spans="3:3">
      <c r="C299" s="6"/>
    </row>
    <row r="300" spans="3:3">
      <c r="C300" s="6"/>
    </row>
    <row r="301" spans="3:3">
      <c r="C301" s="6"/>
    </row>
    <row r="302" spans="3:3">
      <c r="C302" s="6"/>
    </row>
    <row r="303" spans="3:3">
      <c r="C303" s="6"/>
    </row>
    <row r="304" spans="3:3">
      <c r="C304" s="6"/>
    </row>
    <row r="305" spans="3:3">
      <c r="C305" s="6"/>
    </row>
    <row r="306" spans="3:3">
      <c r="C306" s="6"/>
    </row>
    <row r="307" spans="3:3">
      <c r="C307" s="6"/>
    </row>
    <row r="308" spans="3:3">
      <c r="C308" s="6"/>
    </row>
    <row r="309" spans="3:3">
      <c r="C309" s="6"/>
    </row>
    <row r="310" spans="3:3">
      <c r="C310" s="6"/>
    </row>
    <row r="311" spans="3:3">
      <c r="C311" s="6"/>
    </row>
    <row r="312" spans="3:3">
      <c r="C312" s="6"/>
    </row>
    <row r="313" spans="3:3">
      <c r="C313" s="6"/>
    </row>
    <row r="314" spans="3:3">
      <c r="C314" s="6"/>
    </row>
    <row r="315" spans="3:3">
      <c r="C315" s="6"/>
    </row>
    <row r="316" spans="3:3">
      <c r="C316" s="6"/>
    </row>
    <row r="317" spans="3:3">
      <c r="C317" s="6"/>
    </row>
    <row r="318" spans="3:3">
      <c r="C318" s="6"/>
    </row>
    <row r="319" spans="3:3">
      <c r="C319" s="6"/>
    </row>
    <row r="320" spans="3:3">
      <c r="C320" s="6"/>
    </row>
    <row r="321" spans="3:3">
      <c r="C321" s="6"/>
    </row>
    <row r="322" spans="3:3">
      <c r="C322" s="6"/>
    </row>
    <row r="323" spans="3:3">
      <c r="C323" s="6"/>
    </row>
    <row r="324" spans="3:3">
      <c r="C324" s="6"/>
    </row>
    <row r="325" spans="3:3">
      <c r="C325" s="6"/>
    </row>
    <row r="326" spans="3:3">
      <c r="C326" s="6"/>
    </row>
    <row r="327" spans="3:3">
      <c r="C327" s="6"/>
    </row>
    <row r="328" spans="3:3">
      <c r="C328" s="6"/>
    </row>
    <row r="329" spans="3:3">
      <c r="C329" s="6"/>
    </row>
    <row r="330" spans="3:3">
      <c r="C330" s="6"/>
    </row>
    <row r="331" spans="3:3">
      <c r="C331" s="6"/>
    </row>
    <row r="332" spans="3:3">
      <c r="C332" s="6"/>
    </row>
    <row r="333" spans="3:3">
      <c r="C333" s="6"/>
    </row>
    <row r="334" spans="3:3">
      <c r="C334" s="6"/>
    </row>
    <row r="335" spans="3:3">
      <c r="C335" s="6"/>
    </row>
    <row r="336" spans="3:3">
      <c r="C336" s="6"/>
    </row>
    <row r="337" spans="3:3">
      <c r="C337" s="6"/>
    </row>
    <row r="338" spans="3:3">
      <c r="C338" s="6"/>
    </row>
    <row r="339" spans="3:3">
      <c r="C339" s="6"/>
    </row>
    <row r="340" spans="3:3">
      <c r="C340" s="6"/>
    </row>
    <row r="341" spans="3:3">
      <c r="C341" s="6"/>
    </row>
    <row r="342" spans="3:3">
      <c r="C342" s="6"/>
    </row>
    <row r="343" spans="3:3">
      <c r="C343" s="6"/>
    </row>
    <row r="344" spans="3:3">
      <c r="C344" s="6"/>
    </row>
    <row r="345" spans="3:3">
      <c r="C345" s="6"/>
    </row>
    <row r="346" spans="3:3">
      <c r="C346" s="6"/>
    </row>
    <row r="347" spans="3:3">
      <c r="C347" s="6"/>
    </row>
    <row r="348" spans="3:3">
      <c r="C348" s="6"/>
    </row>
    <row r="349" spans="3:3">
      <c r="C349" s="6"/>
    </row>
    <row r="350" spans="3:3">
      <c r="C350" s="6"/>
    </row>
    <row r="351" spans="3:3">
      <c r="C351" s="6"/>
    </row>
    <row r="352" spans="3:3">
      <c r="C352" s="6"/>
    </row>
    <row r="353" spans="3:3">
      <c r="C353" s="6"/>
    </row>
    <row r="354" spans="3:3">
      <c r="C354" s="6"/>
    </row>
    <row r="355" spans="3:3">
      <c r="C355" s="6"/>
    </row>
    <row r="356" spans="3:3">
      <c r="C356" s="6"/>
    </row>
    <row r="357" spans="3:3">
      <c r="C357" s="6"/>
    </row>
    <row r="358" spans="3:3">
      <c r="C358" s="6"/>
    </row>
    <row r="359" spans="3:3">
      <c r="C359" s="6"/>
    </row>
    <row r="360" spans="3:3">
      <c r="C360" s="6"/>
    </row>
    <row r="361" spans="3:3">
      <c r="C361" s="6"/>
    </row>
    <row r="362" spans="3:3">
      <c r="C362" s="6"/>
    </row>
    <row r="363" spans="3:3">
      <c r="C363" s="6"/>
    </row>
    <row r="364" spans="3:3">
      <c r="C364" s="6"/>
    </row>
    <row r="365" spans="3:3">
      <c r="C365" s="6"/>
    </row>
    <row r="366" spans="3:3">
      <c r="C366" s="6"/>
    </row>
    <row r="367" spans="3:3">
      <c r="C367" s="6"/>
    </row>
    <row r="368" spans="3:3">
      <c r="C368" s="6"/>
    </row>
    <row r="369" spans="3:3">
      <c r="C369" s="6"/>
    </row>
    <row r="370" spans="3:3">
      <c r="C370" s="6"/>
    </row>
    <row r="371" spans="3:3">
      <c r="C371" s="6"/>
    </row>
    <row r="372" spans="3:3">
      <c r="C372" s="6"/>
    </row>
    <row r="373" spans="3:3">
      <c r="C373" s="6"/>
    </row>
    <row r="374" spans="3:3">
      <c r="C374" s="6"/>
    </row>
    <row r="375" spans="3:3">
      <c r="C375" s="6"/>
    </row>
    <row r="376" spans="3:3">
      <c r="C376" s="6"/>
    </row>
    <row r="377" spans="3:3">
      <c r="C377" s="6"/>
    </row>
    <row r="378" spans="3:3">
      <c r="C378" s="6"/>
    </row>
    <row r="379" spans="3:3">
      <c r="C379" s="6"/>
    </row>
    <row r="380" spans="3:3">
      <c r="C380" s="6"/>
    </row>
    <row r="381" spans="3:3">
      <c r="C381" s="6"/>
    </row>
    <row r="382" spans="3:3">
      <c r="C382" s="6"/>
    </row>
    <row r="383" spans="3:3">
      <c r="C383" s="6"/>
    </row>
    <row r="384" spans="3:3">
      <c r="C384" s="6"/>
    </row>
    <row r="385" spans="3:3">
      <c r="C385" s="6"/>
    </row>
    <row r="386" spans="3:3">
      <c r="C386" s="6"/>
    </row>
    <row r="387" spans="3:3">
      <c r="C387" s="6"/>
    </row>
    <row r="388" spans="3:3">
      <c r="C388" s="6"/>
    </row>
    <row r="389" spans="3:3">
      <c r="C389" s="6"/>
    </row>
    <row r="390" spans="3:3">
      <c r="C390" s="6"/>
    </row>
    <row r="391" spans="3:3">
      <c r="C391" s="6"/>
    </row>
    <row r="392" spans="3:3">
      <c r="C392" s="6"/>
    </row>
    <row r="393" spans="3:3">
      <c r="C393" s="6"/>
    </row>
    <row r="394" spans="3:3">
      <c r="C394" s="6"/>
    </row>
    <row r="395" spans="3:3">
      <c r="C395" s="6"/>
    </row>
    <row r="396" spans="3:3">
      <c r="C396" s="6"/>
    </row>
    <row r="397" spans="3:3">
      <c r="C397" s="6"/>
    </row>
    <row r="398" spans="3:3">
      <c r="C398" s="6"/>
    </row>
    <row r="399" spans="3:3">
      <c r="C399" s="6"/>
    </row>
    <row r="400" spans="3:3">
      <c r="C400" s="6"/>
    </row>
    <row r="401" spans="3:3">
      <c r="C401" s="6"/>
    </row>
    <row r="402" spans="3:3">
      <c r="C402" s="6"/>
    </row>
    <row r="403" spans="3:3">
      <c r="C403" s="6"/>
    </row>
    <row r="404" spans="3:3">
      <c r="C404" s="6"/>
    </row>
    <row r="405" spans="3:3">
      <c r="C405" s="6"/>
    </row>
    <row r="406" spans="3:3">
      <c r="C406" s="6"/>
    </row>
    <row r="407" spans="3:3">
      <c r="C407" s="6"/>
    </row>
    <row r="408" spans="3:3">
      <c r="C408" s="6"/>
    </row>
    <row r="409" spans="3:3">
      <c r="C409" s="6"/>
    </row>
    <row r="410" spans="3:3">
      <c r="C410" s="6"/>
    </row>
    <row r="411" spans="3:3">
      <c r="C411" s="6"/>
    </row>
    <row r="412" spans="3:3">
      <c r="C412" s="6"/>
    </row>
    <row r="413" spans="3:3">
      <c r="C413" s="6"/>
    </row>
    <row r="414" spans="3:3">
      <c r="C414" s="6"/>
    </row>
    <row r="415" spans="3:3">
      <c r="C415" s="6"/>
    </row>
    <row r="416" spans="3:3">
      <c r="C416" s="6"/>
    </row>
    <row r="417" spans="3:3">
      <c r="C417" s="6"/>
    </row>
    <row r="418" spans="3:3">
      <c r="C418" s="6"/>
    </row>
    <row r="419" spans="3:3">
      <c r="C419" s="6"/>
    </row>
    <row r="420" spans="3:3">
      <c r="C420" s="6"/>
    </row>
    <row r="421" spans="3:3">
      <c r="C421" s="6"/>
    </row>
    <row r="422" spans="3:3">
      <c r="C422" s="6"/>
    </row>
    <row r="423" spans="3:3">
      <c r="C423" s="6"/>
    </row>
    <row r="424" spans="3:3">
      <c r="C424" s="6"/>
    </row>
    <row r="425" spans="3:3">
      <c r="C425" s="6"/>
    </row>
    <row r="426" spans="3:3">
      <c r="C426" s="6"/>
    </row>
    <row r="427" spans="3:3">
      <c r="C427" s="6"/>
    </row>
    <row r="428" spans="3:3">
      <c r="C428" s="6"/>
    </row>
    <row r="429" spans="3:3">
      <c r="C429" s="6"/>
    </row>
    <row r="430" spans="3:3">
      <c r="C430" s="6"/>
    </row>
    <row r="431" spans="3:3">
      <c r="C431" s="6"/>
    </row>
    <row r="432" spans="3:3">
      <c r="C432" s="6"/>
    </row>
    <row r="433" spans="3:3">
      <c r="C433" s="6"/>
    </row>
    <row r="434" spans="3:3">
      <c r="C434" s="6"/>
    </row>
    <row r="435" spans="3:3">
      <c r="C435" s="6"/>
    </row>
    <row r="436" spans="3:3">
      <c r="C436" s="6"/>
    </row>
    <row r="437" spans="3:3">
      <c r="C437" s="6"/>
    </row>
    <row r="438" spans="3:3">
      <c r="C438" s="6"/>
    </row>
    <row r="439" spans="3:3">
      <c r="C439" s="6"/>
    </row>
    <row r="440" spans="3:3">
      <c r="C440" s="6"/>
    </row>
    <row r="441" spans="3:3">
      <c r="C441" s="6"/>
    </row>
    <row r="442" spans="3:3">
      <c r="C442" s="6"/>
    </row>
    <row r="443" spans="3:3">
      <c r="C443" s="6"/>
    </row>
    <row r="444" spans="3:3">
      <c r="C444" s="6"/>
    </row>
    <row r="445" spans="3:3">
      <c r="C445" s="6"/>
    </row>
    <row r="446" spans="3:3">
      <c r="C446" s="6"/>
    </row>
    <row r="447" spans="3:3">
      <c r="C447" s="6"/>
    </row>
    <row r="448" spans="3:3">
      <c r="C448" s="6"/>
    </row>
    <row r="449" spans="3:3">
      <c r="C449" s="6"/>
    </row>
    <row r="450" spans="3:3">
      <c r="C450" s="6"/>
    </row>
    <row r="451" spans="3:3">
      <c r="C451" s="6"/>
    </row>
    <row r="452" spans="3:3">
      <c r="C452" s="6"/>
    </row>
    <row r="453" spans="3:3">
      <c r="C453" s="6"/>
    </row>
    <row r="454" spans="3:3">
      <c r="C454" s="6"/>
    </row>
    <row r="455" spans="3:3">
      <c r="C455" s="6"/>
    </row>
    <row r="456" spans="3:3">
      <c r="C456" s="6"/>
    </row>
    <row r="457" spans="3:3">
      <c r="C457" s="6"/>
    </row>
    <row r="458" spans="3:3">
      <c r="C458" s="6"/>
    </row>
    <row r="459" spans="3:3">
      <c r="C459" s="6"/>
    </row>
    <row r="460" spans="3:3">
      <c r="C460" s="6"/>
    </row>
    <row r="461" spans="3:3">
      <c r="C461" s="6"/>
    </row>
    <row r="462" spans="3:3">
      <c r="C462" s="6"/>
    </row>
    <row r="463" spans="3:3">
      <c r="C463" s="6"/>
    </row>
    <row r="464" spans="3:3">
      <c r="C464" s="6"/>
    </row>
    <row r="465" spans="3:3">
      <c r="C465" s="6"/>
    </row>
    <row r="466" spans="3:3">
      <c r="C466" s="6"/>
    </row>
    <row r="467" spans="3:3">
      <c r="C467" s="6"/>
    </row>
    <row r="468" spans="3:3">
      <c r="C468" s="6"/>
    </row>
    <row r="469" spans="3:3">
      <c r="C469" s="6"/>
    </row>
    <row r="470" spans="3:3">
      <c r="C470" s="6"/>
    </row>
    <row r="471" spans="3:3">
      <c r="C471" s="6"/>
    </row>
    <row r="472" spans="3:3">
      <c r="C472" s="6"/>
    </row>
    <row r="473" spans="3:3">
      <c r="C473" s="6"/>
    </row>
    <row r="474" spans="3:3">
      <c r="C474" s="6"/>
    </row>
    <row r="475" spans="3:3">
      <c r="C475" s="6"/>
    </row>
    <row r="476" spans="3:3">
      <c r="C476" s="6"/>
    </row>
    <row r="477" spans="3:3">
      <c r="C477" s="6"/>
    </row>
    <row r="478" spans="3:3">
      <c r="C478" s="6"/>
    </row>
    <row r="479" spans="3:3">
      <c r="C479" s="6"/>
    </row>
    <row r="480" spans="3:3">
      <c r="C480" s="6"/>
    </row>
    <row r="481" spans="3:3">
      <c r="C481" s="6"/>
    </row>
    <row r="482" spans="3:3">
      <c r="C482" s="6"/>
    </row>
    <row r="483" spans="3:3">
      <c r="C483" s="6"/>
    </row>
    <row r="484" spans="3:3">
      <c r="C484" s="6"/>
    </row>
    <row r="485" spans="3:3">
      <c r="C485" s="6"/>
    </row>
    <row r="486" spans="3:3">
      <c r="C486" s="6"/>
    </row>
    <row r="487" spans="3:3">
      <c r="C487" s="6"/>
    </row>
    <row r="488" spans="3:3">
      <c r="C488" s="6"/>
    </row>
    <row r="489" spans="3:3">
      <c r="C489" s="6"/>
    </row>
    <row r="490" spans="3:3">
      <c r="C490" s="6"/>
    </row>
    <row r="491" spans="3:3">
      <c r="C491" s="6"/>
    </row>
    <row r="492" spans="3:3">
      <c r="C492" s="6"/>
    </row>
    <row r="493" spans="3:3">
      <c r="C493" s="6"/>
    </row>
    <row r="494" spans="3:3">
      <c r="C494" s="6"/>
    </row>
    <row r="495" spans="3:3">
      <c r="C495" s="6"/>
    </row>
    <row r="496" spans="3:3">
      <c r="C496" s="6"/>
    </row>
    <row r="497" spans="3:3">
      <c r="C497" s="6"/>
    </row>
    <row r="498" spans="3:3">
      <c r="C498" s="6"/>
    </row>
    <row r="499" spans="3:3">
      <c r="C499" s="6"/>
    </row>
    <row r="500" spans="3:3">
      <c r="C500" s="6"/>
    </row>
    <row r="501" spans="3:3">
      <c r="C501" s="6"/>
    </row>
    <row r="502" spans="3:3">
      <c r="C502" s="6"/>
    </row>
    <row r="503" spans="3:3">
      <c r="C503" s="6"/>
    </row>
    <row r="504" spans="3:3">
      <c r="C504" s="6"/>
    </row>
    <row r="505" spans="3:3">
      <c r="C505" s="6"/>
    </row>
    <row r="506" spans="3:3">
      <c r="C506" s="6"/>
    </row>
    <row r="507" spans="3:3">
      <c r="C507" s="6"/>
    </row>
    <row r="508" spans="3:3">
      <c r="C508" s="6"/>
    </row>
    <row r="509" spans="3:3">
      <c r="C509" s="6"/>
    </row>
    <row r="510" spans="3:3">
      <c r="C510" s="6"/>
    </row>
    <row r="511" spans="3:3">
      <c r="C511" s="6"/>
    </row>
    <row r="512" spans="3:3">
      <c r="C512" s="6"/>
    </row>
    <row r="513" spans="3:3">
      <c r="C513" s="6"/>
    </row>
    <row r="514" spans="3:3">
      <c r="C514" s="6"/>
    </row>
    <row r="515" spans="3:3">
      <c r="C515" s="6"/>
    </row>
    <row r="516" spans="3:3">
      <c r="C516" s="6"/>
    </row>
    <row r="517" spans="3:3">
      <c r="C517" s="6"/>
    </row>
    <row r="518" spans="3:3">
      <c r="C518" s="6"/>
    </row>
    <row r="519" spans="3:3">
      <c r="C519" s="6"/>
    </row>
    <row r="520" spans="3:3">
      <c r="C520" s="6"/>
    </row>
    <row r="521" spans="3:3">
      <c r="C521" s="6"/>
    </row>
    <row r="522" spans="3:3">
      <c r="C522" s="6"/>
    </row>
    <row r="523" spans="3:3">
      <c r="C523" s="6"/>
    </row>
    <row r="524" spans="3:3">
      <c r="C524" s="6"/>
    </row>
    <row r="525" spans="3:3">
      <c r="C525" s="6"/>
    </row>
    <row r="526" spans="3:3">
      <c r="C526" s="6"/>
    </row>
    <row r="527" spans="3:3">
      <c r="C527" s="6"/>
    </row>
    <row r="528" spans="3:3">
      <c r="C528" s="6"/>
    </row>
    <row r="529" spans="3:3">
      <c r="C529" s="6"/>
    </row>
    <row r="530" spans="3:3">
      <c r="C530" s="6"/>
    </row>
    <row r="531" spans="3:3">
      <c r="C531" s="6"/>
    </row>
    <row r="532" spans="3:3">
      <c r="C532" s="6"/>
    </row>
    <row r="533" spans="3:3">
      <c r="C533" s="6"/>
    </row>
    <row r="534" spans="3:3">
      <c r="C534" s="6"/>
    </row>
    <row r="535" spans="3:3">
      <c r="C535" s="6"/>
    </row>
    <row r="536" spans="3:3">
      <c r="C536" s="6"/>
    </row>
    <row r="537" spans="3:3">
      <c r="C537" s="6"/>
    </row>
    <row r="538" spans="3:3">
      <c r="C538" s="6"/>
    </row>
    <row r="539" spans="3:3">
      <c r="C539" s="6"/>
    </row>
    <row r="540" spans="3:3">
      <c r="C540" s="6"/>
    </row>
    <row r="541" spans="3:3">
      <c r="C541" s="6"/>
    </row>
    <row r="542" spans="3:3">
      <c r="C542" s="6"/>
    </row>
    <row r="543" spans="3:3">
      <c r="C543" s="6"/>
    </row>
    <row r="544" spans="3:3">
      <c r="C544" s="6"/>
    </row>
    <row r="545" spans="3:3">
      <c r="C545" s="6"/>
    </row>
    <row r="546" spans="3:3">
      <c r="C546" s="6"/>
    </row>
    <row r="547" spans="3:3">
      <c r="C547" s="6"/>
    </row>
    <row r="548" spans="3:3">
      <c r="C548" s="6"/>
    </row>
    <row r="549" spans="3:3">
      <c r="C549" s="6"/>
    </row>
    <row r="550" spans="3:3">
      <c r="C550" s="6"/>
    </row>
    <row r="551" spans="3:3">
      <c r="C551" s="6"/>
    </row>
    <row r="552" spans="3:3">
      <c r="C552" s="6"/>
    </row>
    <row r="553" spans="3:3">
      <c r="C553" s="6"/>
    </row>
    <row r="554" spans="3:3">
      <c r="C554" s="6"/>
    </row>
    <row r="555" spans="3:3">
      <c r="C555" s="6"/>
    </row>
    <row r="556" spans="3:3">
      <c r="C556" s="6"/>
    </row>
    <row r="557" spans="3:3">
      <c r="C557" s="6"/>
    </row>
    <row r="558" spans="3:3">
      <c r="C558" s="6"/>
    </row>
    <row r="559" spans="3:3">
      <c r="C559" s="6"/>
    </row>
    <row r="560" spans="3:3">
      <c r="C560" s="6"/>
    </row>
    <row r="561" spans="3:3">
      <c r="C561" s="6"/>
    </row>
    <row r="562" spans="3:3">
      <c r="C562" s="6"/>
    </row>
    <row r="563" spans="3:3">
      <c r="C563" s="6"/>
    </row>
    <row r="564" spans="3:3">
      <c r="C564" s="6"/>
    </row>
    <row r="565" spans="3:3">
      <c r="C565" s="6"/>
    </row>
    <row r="566" spans="3:3">
      <c r="C566" s="6"/>
    </row>
    <row r="567" spans="3:3">
      <c r="C567" s="6"/>
    </row>
    <row r="568" spans="3:3">
      <c r="C568" s="6"/>
    </row>
    <row r="569" spans="3:3">
      <c r="C569" s="6"/>
    </row>
    <row r="570" spans="3:3">
      <c r="C570" s="6"/>
    </row>
    <row r="571" spans="3:3">
      <c r="C571" s="6"/>
    </row>
    <row r="572" spans="3:3">
      <c r="C572" s="6"/>
    </row>
    <row r="573" spans="3:3">
      <c r="C573" s="6"/>
    </row>
    <row r="574" spans="3:3">
      <c r="C574" s="6"/>
    </row>
    <row r="575" spans="3:3">
      <c r="C575" s="6"/>
    </row>
    <row r="576" spans="3:3">
      <c r="C576" s="6"/>
    </row>
    <row r="577" spans="3:3">
      <c r="C577" s="6"/>
    </row>
    <row r="578" spans="3:3">
      <c r="C578" s="6"/>
    </row>
    <row r="579" spans="3:3">
      <c r="C579" s="6"/>
    </row>
    <row r="580" spans="3:3">
      <c r="C580" s="6"/>
    </row>
    <row r="581" spans="3:3">
      <c r="C581" s="6"/>
    </row>
    <row r="582" spans="3:3">
      <c r="C582" s="6"/>
    </row>
    <row r="583" spans="3:3">
      <c r="C583" s="6"/>
    </row>
    <row r="584" spans="3:3">
      <c r="C584" s="6"/>
    </row>
    <row r="585" spans="3:3">
      <c r="C585" s="6"/>
    </row>
    <row r="586" spans="3:3">
      <c r="C586" s="6"/>
    </row>
    <row r="587" spans="3:3">
      <c r="C587" s="6"/>
    </row>
    <row r="588" spans="3:3">
      <c r="C588" s="6"/>
    </row>
    <row r="589" spans="3:3">
      <c r="C589" s="6"/>
    </row>
    <row r="590" spans="3:3">
      <c r="C590" s="6"/>
    </row>
    <row r="591" spans="3:3">
      <c r="C591" s="6"/>
    </row>
    <row r="592" spans="3:3">
      <c r="C592" s="6"/>
    </row>
    <row r="593" spans="3:3">
      <c r="C593" s="6"/>
    </row>
    <row r="594" spans="3:3">
      <c r="C594" s="6"/>
    </row>
    <row r="595" spans="3:3">
      <c r="C595" s="6"/>
    </row>
    <row r="596" spans="3:3">
      <c r="C596" s="6"/>
    </row>
    <row r="597" spans="3:3">
      <c r="C597" s="6"/>
    </row>
    <row r="598" spans="3:3">
      <c r="C598" s="6"/>
    </row>
    <row r="599" spans="3:3">
      <c r="C599" s="6"/>
    </row>
    <row r="600" spans="3:3">
      <c r="C600" s="6"/>
    </row>
    <row r="601" spans="3:3">
      <c r="C601" s="6"/>
    </row>
    <row r="602" spans="3:3">
      <c r="C602" s="6"/>
    </row>
    <row r="603" spans="3:3">
      <c r="C603" s="6"/>
    </row>
    <row r="604" spans="3:3">
      <c r="C604" s="6"/>
    </row>
    <row r="605" spans="3:3">
      <c r="C605" s="6"/>
    </row>
    <row r="606" spans="3:3">
      <c r="C606" s="6"/>
    </row>
    <row r="607" spans="3:3">
      <c r="C607" s="6"/>
    </row>
    <row r="608" spans="3:3">
      <c r="C608" s="6"/>
    </row>
    <row r="609" spans="3:3">
      <c r="C609" s="6"/>
    </row>
    <row r="610" spans="3:3">
      <c r="C610" s="6"/>
    </row>
    <row r="611" spans="3:3">
      <c r="C611" s="6"/>
    </row>
    <row r="612" spans="3:3">
      <c r="C612" s="6"/>
    </row>
    <row r="613" spans="3:3">
      <c r="C613" s="6"/>
    </row>
    <row r="614" spans="3:3">
      <c r="C614" s="6"/>
    </row>
    <row r="615" spans="3:3">
      <c r="C615" s="6"/>
    </row>
    <row r="616" spans="3:3">
      <c r="C616" s="6"/>
    </row>
    <row r="617" spans="3:3">
      <c r="C617" s="6"/>
    </row>
    <row r="618" spans="3:3">
      <c r="C618" s="6"/>
    </row>
    <row r="619" spans="3:3">
      <c r="C619" s="6"/>
    </row>
    <row r="620" spans="3:3">
      <c r="C620" s="6"/>
    </row>
    <row r="621" spans="3:3">
      <c r="C621" s="6"/>
    </row>
    <row r="622" spans="3:3">
      <c r="C622" s="6"/>
    </row>
    <row r="623" spans="3:3">
      <c r="C623" s="6"/>
    </row>
    <row r="624" spans="3:3">
      <c r="C624" s="6"/>
    </row>
    <row r="625" spans="3:3">
      <c r="C625" s="6"/>
    </row>
    <row r="626" spans="3:3">
      <c r="C626" s="6"/>
    </row>
    <row r="627" spans="3:3">
      <c r="C627" s="6"/>
    </row>
    <row r="628" spans="3:3">
      <c r="C628" s="6"/>
    </row>
    <row r="629" spans="3:3">
      <c r="C629" s="6"/>
    </row>
    <row r="630" spans="3:3">
      <c r="C630" s="6"/>
    </row>
    <row r="631" spans="3:3">
      <c r="C631" s="6"/>
    </row>
    <row r="632" spans="3:3">
      <c r="C632" s="6"/>
    </row>
    <row r="633" spans="3:3">
      <c r="C633" s="6"/>
    </row>
    <row r="634" spans="3:3">
      <c r="C634" s="6"/>
    </row>
    <row r="635" spans="3:3">
      <c r="C635" s="6"/>
    </row>
    <row r="636" spans="3:3">
      <c r="C636" s="6"/>
    </row>
    <row r="637" spans="3:3">
      <c r="C637" s="6"/>
    </row>
    <row r="638" spans="3:3">
      <c r="C638" s="6"/>
    </row>
    <row r="639" spans="3:3">
      <c r="C639" s="6"/>
    </row>
    <row r="640" spans="3:3">
      <c r="C640" s="6"/>
    </row>
    <row r="641" spans="3:3">
      <c r="C641" s="6"/>
    </row>
    <row r="642" spans="3:3">
      <c r="C642" s="6"/>
    </row>
    <row r="643" spans="3:3">
      <c r="C643" s="6"/>
    </row>
    <row r="644" spans="3:3">
      <c r="C644" s="6"/>
    </row>
    <row r="645" spans="3:3">
      <c r="C645" s="6"/>
    </row>
    <row r="646" spans="3:3">
      <c r="C646" s="6"/>
    </row>
    <row r="647" spans="3:3">
      <c r="C647" s="6"/>
    </row>
    <row r="648" spans="3:3">
      <c r="C648" s="6"/>
    </row>
    <row r="649" spans="3:3">
      <c r="C649" s="6"/>
    </row>
    <row r="650" spans="3:3">
      <c r="C650" s="6"/>
    </row>
    <row r="651" spans="3:3">
      <c r="C651" s="6"/>
    </row>
    <row r="652" spans="3:3">
      <c r="C652" s="6"/>
    </row>
    <row r="653" spans="3:3">
      <c r="C653" s="6"/>
    </row>
    <row r="654" spans="3:3">
      <c r="C654" s="6"/>
    </row>
    <row r="655" spans="3:3">
      <c r="C655" s="6"/>
    </row>
    <row r="656" spans="3:3">
      <c r="C656" s="6"/>
    </row>
    <row r="657" spans="3:3">
      <c r="C657" s="6"/>
    </row>
    <row r="658" spans="3:3">
      <c r="C658" s="6"/>
    </row>
    <row r="659" spans="3:3">
      <c r="C659" s="6"/>
    </row>
    <row r="660" spans="3:3">
      <c r="C660" s="6"/>
    </row>
    <row r="661" spans="3:3">
      <c r="C661" s="6"/>
    </row>
    <row r="662" spans="3:3">
      <c r="C662" s="6"/>
    </row>
    <row r="663" spans="3:3">
      <c r="C663" s="6"/>
    </row>
    <row r="664" spans="3:3">
      <c r="C664" s="6"/>
    </row>
    <row r="665" spans="3:3">
      <c r="C665" s="6"/>
    </row>
    <row r="666" spans="3:3">
      <c r="C666" s="6"/>
    </row>
    <row r="667" spans="3:3">
      <c r="C667" s="6"/>
    </row>
    <row r="668" spans="3:3">
      <c r="C668" s="6"/>
    </row>
    <row r="669" spans="3:3">
      <c r="C669" s="6"/>
    </row>
    <row r="670" spans="3:3">
      <c r="C670" s="6"/>
    </row>
    <row r="671" spans="3:3">
      <c r="C671" s="6"/>
    </row>
    <row r="672" spans="3:3">
      <c r="C672" s="6"/>
    </row>
    <row r="673" spans="3:3">
      <c r="C673" s="6"/>
    </row>
    <row r="674" spans="3:3">
      <c r="C674" s="6"/>
    </row>
    <row r="675" spans="3:3">
      <c r="C675" s="6"/>
    </row>
    <row r="676" spans="3:3">
      <c r="C676" s="6"/>
    </row>
    <row r="677" spans="3:3">
      <c r="C677" s="6"/>
    </row>
    <row r="678" spans="3:3">
      <c r="C678" s="6"/>
    </row>
    <row r="679" spans="3:3">
      <c r="C679" s="6"/>
    </row>
    <row r="680" spans="3:3">
      <c r="C680" s="6"/>
    </row>
    <row r="681" spans="3:3">
      <c r="C681" s="6"/>
    </row>
    <row r="682" spans="3:3">
      <c r="C682" s="6"/>
    </row>
    <row r="683" spans="3:3">
      <c r="C683" s="6"/>
    </row>
    <row r="684" spans="3:3">
      <c r="C684" s="6"/>
    </row>
    <row r="685" spans="3:3">
      <c r="C685" s="6"/>
    </row>
    <row r="686" spans="3:3">
      <c r="C686" s="6"/>
    </row>
    <row r="687" spans="3:3">
      <c r="C687" s="6"/>
    </row>
    <row r="688" spans="3:3">
      <c r="C688" s="6"/>
    </row>
    <row r="689" spans="3:3">
      <c r="C689" s="6"/>
    </row>
    <row r="690" spans="3:3">
      <c r="C690" s="6"/>
    </row>
    <row r="691" spans="3:3">
      <c r="C691" s="6"/>
    </row>
    <row r="692" spans="3:3">
      <c r="C692" s="6"/>
    </row>
    <row r="693" spans="3:3">
      <c r="C693" s="6"/>
    </row>
    <row r="694" spans="3:3">
      <c r="C694" s="6"/>
    </row>
    <row r="695" spans="3:3">
      <c r="C695" s="6"/>
    </row>
    <row r="696" spans="3:3">
      <c r="C696" s="6"/>
    </row>
    <row r="697" spans="3:3">
      <c r="C697" s="6"/>
    </row>
    <row r="698" spans="3:3">
      <c r="C698" s="6"/>
    </row>
    <row r="699" spans="3:3">
      <c r="C699" s="6"/>
    </row>
    <row r="700" spans="3:3">
      <c r="C700" s="6"/>
    </row>
    <row r="701" spans="3:3">
      <c r="C701" s="6"/>
    </row>
    <row r="702" spans="3:3">
      <c r="C702" s="6"/>
    </row>
    <row r="703" spans="3:3">
      <c r="C703" s="6"/>
    </row>
    <row r="704" spans="3:3">
      <c r="C704" s="6"/>
    </row>
    <row r="705" spans="3:3">
      <c r="C705" s="6"/>
    </row>
    <row r="706" spans="3:3">
      <c r="C706" s="6"/>
    </row>
    <row r="707" spans="3:3">
      <c r="C707" s="6"/>
    </row>
    <row r="708" spans="3:3">
      <c r="C708" s="6"/>
    </row>
    <row r="709" spans="3:3">
      <c r="C709" s="6"/>
    </row>
    <row r="710" spans="3:3">
      <c r="C710" s="6"/>
    </row>
    <row r="711" spans="3:3">
      <c r="C711" s="6"/>
    </row>
    <row r="712" spans="3:3">
      <c r="C712" s="6"/>
    </row>
    <row r="713" spans="3:3">
      <c r="C713" s="6"/>
    </row>
    <row r="714" spans="3:3">
      <c r="C714" s="6"/>
    </row>
    <row r="715" spans="3:3">
      <c r="C715" s="6"/>
    </row>
    <row r="716" spans="3:3">
      <c r="C716" s="6"/>
    </row>
    <row r="717" spans="3:3">
      <c r="C717" s="6"/>
    </row>
    <row r="718" spans="3:3">
      <c r="C718" s="6"/>
    </row>
    <row r="719" spans="3:3">
      <c r="C719" s="6"/>
    </row>
    <row r="720" spans="3:3">
      <c r="C720" s="6"/>
    </row>
    <row r="721" spans="3:3">
      <c r="C721" s="6"/>
    </row>
    <row r="722" spans="3:3">
      <c r="C722" s="6"/>
    </row>
    <row r="723" spans="3:3">
      <c r="C723" s="6"/>
    </row>
    <row r="724" spans="3:3">
      <c r="C724" s="6"/>
    </row>
    <row r="725" spans="3:3">
      <c r="C725" s="6"/>
    </row>
    <row r="726" spans="3:3">
      <c r="C726" s="6"/>
    </row>
    <row r="727" spans="3:3">
      <c r="C727" s="6"/>
    </row>
    <row r="728" spans="3:3">
      <c r="C728" s="6"/>
    </row>
    <row r="729" spans="3:3">
      <c r="C729" s="6"/>
    </row>
    <row r="730" spans="3:3">
      <c r="C730" s="6"/>
    </row>
    <row r="731" spans="3:3">
      <c r="C731" s="6"/>
    </row>
    <row r="732" spans="3:3">
      <c r="C732" s="6"/>
    </row>
    <row r="733" spans="3:3">
      <c r="C733" s="6"/>
    </row>
    <row r="734" spans="3:3">
      <c r="C734" s="6"/>
    </row>
    <row r="735" spans="3:3">
      <c r="C735" s="6"/>
    </row>
    <row r="736" spans="3:3">
      <c r="C736" s="6"/>
    </row>
    <row r="737" spans="3:3">
      <c r="C737" s="6"/>
    </row>
    <row r="738" spans="3:3">
      <c r="C738" s="6"/>
    </row>
    <row r="739" spans="3:3">
      <c r="C739" s="6"/>
    </row>
    <row r="740" spans="3:3">
      <c r="C740" s="6"/>
    </row>
    <row r="741" spans="3:3">
      <c r="C741" s="6"/>
    </row>
    <row r="742" spans="3:3">
      <c r="C742" s="6"/>
    </row>
    <row r="743" spans="3:3">
      <c r="C743" s="6"/>
    </row>
    <row r="744" spans="3:3">
      <c r="C744" s="6"/>
    </row>
    <row r="745" spans="3:3">
      <c r="C745" s="6"/>
    </row>
    <row r="746" spans="3:3">
      <c r="C746" s="6"/>
    </row>
    <row r="747" spans="3:3">
      <c r="C747" s="6"/>
    </row>
    <row r="748" spans="3:3">
      <c r="C748" s="6"/>
    </row>
    <row r="749" spans="3:3">
      <c r="C749" s="6"/>
    </row>
    <row r="750" spans="3:3">
      <c r="C750" s="6"/>
    </row>
    <row r="751" spans="3:3">
      <c r="C751" s="6"/>
    </row>
    <row r="752" spans="3:3">
      <c r="C752" s="6"/>
    </row>
    <row r="753" spans="3:3">
      <c r="C753" s="6"/>
    </row>
    <row r="754" spans="3:3">
      <c r="C754" s="6"/>
    </row>
    <row r="755" spans="3:3">
      <c r="C755" s="6"/>
    </row>
    <row r="756" spans="3:3">
      <c r="C756" s="6"/>
    </row>
    <row r="757" spans="3:3">
      <c r="C757" s="6"/>
    </row>
    <row r="758" spans="3:3">
      <c r="C758" s="6"/>
    </row>
    <row r="759" spans="3:3">
      <c r="C759" s="6"/>
    </row>
    <row r="760" spans="3:3">
      <c r="C760" s="6"/>
    </row>
    <row r="761" spans="3:3">
      <c r="C761" s="6"/>
    </row>
    <row r="762" spans="3:3">
      <c r="C762" s="6"/>
    </row>
    <row r="763" spans="3:3">
      <c r="C763" s="6"/>
    </row>
    <row r="764" spans="3:3">
      <c r="C764" s="6"/>
    </row>
    <row r="765" spans="3:3">
      <c r="C765" s="6"/>
    </row>
    <row r="766" spans="3:3">
      <c r="C766" s="6"/>
    </row>
    <row r="767" spans="3:3">
      <c r="C767" s="6"/>
    </row>
    <row r="768" spans="3:3">
      <c r="C768" s="6"/>
    </row>
    <row r="769" spans="3:3">
      <c r="C769" s="6"/>
    </row>
    <row r="770" spans="3:3">
      <c r="C770" s="6"/>
    </row>
    <row r="771" spans="3:3">
      <c r="C771" s="6"/>
    </row>
    <row r="772" spans="3:3">
      <c r="C772" s="6"/>
    </row>
    <row r="773" spans="3:3">
      <c r="C773" s="6"/>
    </row>
    <row r="774" spans="3:3">
      <c r="C774" s="6"/>
    </row>
    <row r="775" spans="3:3">
      <c r="C775" s="6"/>
    </row>
    <row r="776" spans="3:3">
      <c r="C776" s="6"/>
    </row>
    <row r="777" spans="3:3">
      <c r="C777" s="6"/>
    </row>
    <row r="778" spans="3:3">
      <c r="C778" s="6"/>
    </row>
    <row r="779" spans="3:3">
      <c r="C779" s="6"/>
    </row>
    <row r="780" spans="3:3">
      <c r="C780" s="6"/>
    </row>
    <row r="781" spans="3:3">
      <c r="C781" s="6"/>
    </row>
    <row r="782" spans="3:3">
      <c r="C782" s="6"/>
    </row>
    <row r="783" spans="3:3">
      <c r="C783" s="6"/>
    </row>
    <row r="784" spans="3:3">
      <c r="C784" s="6"/>
    </row>
    <row r="785" spans="3:3">
      <c r="C785" s="6"/>
    </row>
    <row r="786" spans="3:3">
      <c r="C786" s="6"/>
    </row>
    <row r="787" spans="3:3">
      <c r="C787" s="6"/>
    </row>
    <row r="788" spans="3:3">
      <c r="C788" s="6"/>
    </row>
    <row r="789" spans="3:3">
      <c r="C789" s="6"/>
    </row>
    <row r="790" spans="3:3">
      <c r="C790" s="6"/>
    </row>
    <row r="791" spans="3:3">
      <c r="C791" s="6"/>
    </row>
    <row r="792" spans="3:3">
      <c r="C792" s="6"/>
    </row>
    <row r="793" spans="3:3">
      <c r="C793" s="6"/>
    </row>
    <row r="794" spans="3:3">
      <c r="C794" s="6"/>
    </row>
    <row r="795" spans="3:3">
      <c r="C795" s="6"/>
    </row>
    <row r="796" spans="3:3">
      <c r="C796" s="6"/>
    </row>
    <row r="797" spans="3:3">
      <c r="C797" s="6"/>
    </row>
    <row r="798" spans="3:3">
      <c r="C798" s="6"/>
    </row>
    <row r="799" spans="3:3">
      <c r="C799" s="6"/>
    </row>
    <row r="800" spans="3:3">
      <c r="C800" s="6"/>
    </row>
    <row r="801" spans="3:3">
      <c r="C801" s="6"/>
    </row>
    <row r="802" spans="3:3">
      <c r="C802" s="6"/>
    </row>
    <row r="803" spans="3:3">
      <c r="C803" s="6"/>
    </row>
    <row r="804" spans="3:3">
      <c r="C804" s="6"/>
    </row>
    <row r="805" spans="3:3">
      <c r="C805" s="6"/>
    </row>
    <row r="806" spans="3:3">
      <c r="C806" s="6"/>
    </row>
    <row r="807" spans="3:3">
      <c r="C807" s="6"/>
    </row>
    <row r="808" spans="3:3">
      <c r="C808" s="6"/>
    </row>
    <row r="809" spans="3:3">
      <c r="C809" s="6"/>
    </row>
    <row r="810" spans="3:3">
      <c r="C810" s="6"/>
    </row>
    <row r="811" spans="3:3">
      <c r="C811" s="6"/>
    </row>
    <row r="812" spans="3:3">
      <c r="C812" s="6"/>
    </row>
    <row r="813" spans="3:3">
      <c r="C813" s="6"/>
    </row>
    <row r="814" spans="3:3">
      <c r="C814" s="6"/>
    </row>
    <row r="815" spans="3:3">
      <c r="C815" s="6"/>
    </row>
    <row r="816" spans="3:3">
      <c r="C816" s="6"/>
    </row>
    <row r="817" spans="3:3">
      <c r="C817" s="6"/>
    </row>
    <row r="818" spans="3:3">
      <c r="C818" s="6"/>
    </row>
    <row r="819" spans="3:3">
      <c r="C819" s="6"/>
    </row>
    <row r="820" spans="3:3">
      <c r="C820" s="6"/>
    </row>
    <row r="821" spans="3:3">
      <c r="C821" s="6"/>
    </row>
    <row r="822" spans="3:3">
      <c r="C822" s="6"/>
    </row>
    <row r="823" spans="3:3">
      <c r="C823" s="6"/>
    </row>
    <row r="824" spans="3:3">
      <c r="C824" s="6"/>
    </row>
    <row r="825" spans="3:3">
      <c r="C825" s="6"/>
    </row>
    <row r="826" spans="3:3">
      <c r="C826" s="6"/>
    </row>
    <row r="827" spans="3:3">
      <c r="C827" s="6"/>
    </row>
    <row r="828" spans="3:3">
      <c r="C828" s="6"/>
    </row>
    <row r="829" spans="3:3">
      <c r="C829" s="6"/>
    </row>
    <row r="830" spans="3:3">
      <c r="C830" s="6"/>
    </row>
    <row r="831" spans="3:3">
      <c r="C831" s="6"/>
    </row>
    <row r="832" spans="3:3">
      <c r="C832" s="6"/>
    </row>
    <row r="833" spans="3:3">
      <c r="C833" s="6"/>
    </row>
    <row r="834" spans="3:3">
      <c r="C834" s="6"/>
    </row>
    <row r="835" spans="3:3">
      <c r="C835" s="6"/>
    </row>
    <row r="836" spans="3:3">
      <c r="C836" s="6"/>
    </row>
    <row r="837" spans="3:3">
      <c r="C837" s="6"/>
    </row>
    <row r="838" spans="3:3">
      <c r="C838" s="6"/>
    </row>
    <row r="839" spans="3:3">
      <c r="C839" s="6"/>
    </row>
    <row r="840" spans="3:3">
      <c r="C840" s="6"/>
    </row>
    <row r="841" spans="3:3">
      <c r="C841" s="6"/>
    </row>
    <row r="842" spans="3:3">
      <c r="C842" s="6"/>
    </row>
    <row r="843" spans="3:3">
      <c r="C843" s="6"/>
    </row>
    <row r="844" spans="3:3">
      <c r="C844" s="6"/>
    </row>
    <row r="845" spans="3:3">
      <c r="C845" s="6"/>
    </row>
    <row r="846" spans="3:3">
      <c r="C846" s="6"/>
    </row>
    <row r="847" spans="3:3">
      <c r="C847" s="6"/>
    </row>
    <row r="848" spans="3:3">
      <c r="C848" s="6"/>
    </row>
    <row r="849" spans="3:3">
      <c r="C849" s="6"/>
    </row>
    <row r="850" spans="3:3">
      <c r="C850" s="6"/>
    </row>
    <row r="851" spans="3:3">
      <c r="C851" s="6"/>
    </row>
    <row r="852" spans="3:3">
      <c r="C852" s="6"/>
    </row>
    <row r="853" spans="3:3">
      <c r="C853" s="6"/>
    </row>
    <row r="854" spans="3:3">
      <c r="C854" s="6"/>
    </row>
    <row r="855" spans="3:3">
      <c r="C855" s="6"/>
    </row>
    <row r="856" spans="3:3">
      <c r="C856" s="6"/>
    </row>
    <row r="857" spans="3:3">
      <c r="C857" s="6"/>
    </row>
    <row r="858" spans="3:3">
      <c r="C858" s="6"/>
    </row>
    <row r="859" spans="3:3">
      <c r="C859" s="6"/>
    </row>
    <row r="860" spans="3:3">
      <c r="C860" s="6"/>
    </row>
    <row r="861" spans="3:3">
      <c r="C861" s="6"/>
    </row>
    <row r="862" spans="3:3">
      <c r="C862" s="6"/>
    </row>
    <row r="863" spans="3:3">
      <c r="C863" s="6"/>
    </row>
    <row r="864" spans="3:3">
      <c r="C864" s="6"/>
    </row>
    <row r="865" spans="3:3">
      <c r="C865" s="6"/>
    </row>
    <row r="866" spans="3:3">
      <c r="C866" s="6"/>
    </row>
    <row r="867" spans="3:3">
      <c r="C867" s="6"/>
    </row>
    <row r="868" spans="3:3">
      <c r="C868" s="6"/>
    </row>
    <row r="869" spans="3:3">
      <c r="C869" s="6"/>
    </row>
    <row r="870" spans="3:3">
      <c r="C870" s="6"/>
    </row>
    <row r="871" spans="3:3">
      <c r="C871" s="6"/>
    </row>
    <row r="872" spans="3:3">
      <c r="C872" s="6"/>
    </row>
    <row r="873" spans="3:3">
      <c r="C873" s="6"/>
    </row>
    <row r="874" spans="3:3">
      <c r="C874" s="6"/>
    </row>
    <row r="875" spans="3:3">
      <c r="C875" s="6"/>
    </row>
    <row r="876" spans="3:3">
      <c r="C876" s="6"/>
    </row>
    <row r="877" spans="3:3">
      <c r="C877" s="6"/>
    </row>
    <row r="878" spans="3:3">
      <c r="C878" s="6"/>
    </row>
    <row r="879" spans="3:3">
      <c r="C879" s="6"/>
    </row>
    <row r="880" spans="3:3">
      <c r="C880" s="6"/>
    </row>
    <row r="881" spans="3:3">
      <c r="C881" s="6"/>
    </row>
    <row r="882" spans="3:3">
      <c r="C882" s="6"/>
    </row>
    <row r="883" spans="3:3">
      <c r="C883" s="6"/>
    </row>
    <row r="884" spans="3:3">
      <c r="C884" s="6"/>
    </row>
    <row r="885" spans="3:3">
      <c r="C885" s="6"/>
    </row>
    <row r="886" spans="3:3">
      <c r="C886" s="6"/>
    </row>
    <row r="887" spans="3:3">
      <c r="C887" s="6"/>
    </row>
    <row r="888" spans="3:3">
      <c r="C888" s="6"/>
    </row>
    <row r="889" spans="3:3">
      <c r="C889" s="6"/>
    </row>
    <row r="890" spans="3:3">
      <c r="C890" s="6"/>
    </row>
    <row r="891" spans="3:3">
      <c r="C891" s="6"/>
    </row>
    <row r="892" spans="3:3">
      <c r="C892" s="6"/>
    </row>
    <row r="893" spans="3:3">
      <c r="C893" s="6"/>
    </row>
    <row r="894" spans="3:3">
      <c r="C894" s="6"/>
    </row>
    <row r="895" spans="3:3">
      <c r="C895" s="6"/>
    </row>
    <row r="896" spans="3:3">
      <c r="C896" s="6"/>
    </row>
    <row r="897" spans="3:3">
      <c r="C897" s="6"/>
    </row>
    <row r="898" spans="3:3">
      <c r="C898" s="6"/>
    </row>
    <row r="899" spans="3:3">
      <c r="C899" s="6"/>
    </row>
    <row r="900" spans="3:3">
      <c r="C900" s="6"/>
    </row>
    <row r="901" spans="3:3">
      <c r="C901" s="6"/>
    </row>
    <row r="902" spans="3:3">
      <c r="C902" s="6"/>
    </row>
    <row r="903" spans="3:3">
      <c r="C903" s="6"/>
    </row>
    <row r="904" spans="3:3">
      <c r="C904" s="6"/>
    </row>
    <row r="905" spans="3:3">
      <c r="C905" s="6"/>
    </row>
    <row r="906" spans="3:3">
      <c r="C906" s="6"/>
    </row>
    <row r="907" spans="3:3">
      <c r="C907" s="6"/>
    </row>
    <row r="908" spans="3:3">
      <c r="C908" s="6"/>
    </row>
    <row r="909" spans="3:3">
      <c r="C909" s="6"/>
    </row>
    <row r="910" spans="3:3">
      <c r="C910" s="6"/>
    </row>
    <row r="911" spans="3:3">
      <c r="C911" s="6"/>
    </row>
    <row r="912" spans="3:3">
      <c r="C912" s="6"/>
    </row>
    <row r="913" spans="3:3">
      <c r="C913" s="6"/>
    </row>
    <row r="914" spans="3:3">
      <c r="C914" s="6"/>
    </row>
    <row r="915" spans="3:3">
      <c r="C915" s="6"/>
    </row>
    <row r="916" spans="3:3">
      <c r="C916" s="6"/>
    </row>
    <row r="917" spans="3:3">
      <c r="C917" s="6"/>
    </row>
    <row r="918" spans="3:3">
      <c r="C918" s="6"/>
    </row>
    <row r="919" spans="3:3">
      <c r="C919" s="6"/>
    </row>
    <row r="920" spans="3:3">
      <c r="C920" s="6"/>
    </row>
    <row r="921" spans="3:3">
      <c r="C921" s="6"/>
    </row>
    <row r="922" spans="3:3">
      <c r="C922" s="6"/>
    </row>
    <row r="923" spans="3:3">
      <c r="C923" s="6"/>
    </row>
    <row r="924" spans="3:3">
      <c r="C924" s="6"/>
    </row>
    <row r="925" spans="3:3">
      <c r="C925" s="6"/>
    </row>
    <row r="926" spans="3:3">
      <c r="C926" s="6"/>
    </row>
    <row r="927" spans="3:3">
      <c r="C927" s="6"/>
    </row>
    <row r="928" spans="3:3">
      <c r="C928" s="6"/>
    </row>
    <row r="929" spans="3:3">
      <c r="C929" s="6"/>
    </row>
    <row r="930" spans="3:3">
      <c r="C930" s="6"/>
    </row>
    <row r="931" spans="3:3">
      <c r="C931" s="6"/>
    </row>
    <row r="932" spans="3:3">
      <c r="C932" s="6"/>
    </row>
    <row r="933" spans="3:3">
      <c r="C933" s="6"/>
    </row>
    <row r="934" spans="3:3">
      <c r="C934" s="6"/>
    </row>
    <row r="935" spans="3:3">
      <c r="C935" s="6"/>
    </row>
    <row r="936" spans="3:3">
      <c r="C936" s="6"/>
    </row>
    <row r="937" spans="3:3">
      <c r="C937" s="6"/>
    </row>
    <row r="938" spans="3:3">
      <c r="C938" s="6"/>
    </row>
    <row r="939" spans="3:3">
      <c r="C939" s="6"/>
    </row>
    <row r="940" spans="3:3">
      <c r="C940" s="6"/>
    </row>
    <row r="941" spans="3:3">
      <c r="C941" s="6"/>
    </row>
    <row r="942" spans="3:3">
      <c r="C942" s="6"/>
    </row>
    <row r="943" spans="3:3">
      <c r="C943" s="6"/>
    </row>
    <row r="944" spans="3:3">
      <c r="C944" s="6"/>
    </row>
    <row r="945" spans="3:3">
      <c r="C945" s="6"/>
    </row>
    <row r="946" spans="3:3">
      <c r="C946" s="6"/>
    </row>
    <row r="947" spans="3:3">
      <c r="C947" s="6"/>
    </row>
    <row r="948" spans="3:3">
      <c r="C948" s="6"/>
    </row>
    <row r="949" spans="3:3">
      <c r="C949" s="6"/>
    </row>
    <row r="950" spans="3:3">
      <c r="C950" s="6"/>
    </row>
    <row r="951" spans="3:3">
      <c r="C951" s="6"/>
    </row>
    <row r="952" spans="3:3">
      <c r="C952" s="6"/>
    </row>
    <row r="953" spans="3:3">
      <c r="C953" s="6"/>
    </row>
    <row r="954" spans="3:3">
      <c r="C954" s="6"/>
    </row>
    <row r="955" spans="3:3">
      <c r="C955" s="6"/>
    </row>
    <row r="956" spans="3:3">
      <c r="C956" s="6"/>
    </row>
    <row r="957" spans="3:3">
      <c r="C957" s="6"/>
    </row>
    <row r="958" spans="3:3">
      <c r="C958" s="6"/>
    </row>
    <row r="959" spans="3:3">
      <c r="C959" s="6"/>
    </row>
    <row r="960" spans="3:3">
      <c r="C960" s="6"/>
    </row>
    <row r="961" spans="3:3">
      <c r="C961" s="6"/>
    </row>
    <row r="962" spans="3:3">
      <c r="C962" s="6"/>
    </row>
    <row r="963" spans="3:3">
      <c r="C963" s="6"/>
    </row>
    <row r="964" spans="3:3">
      <c r="C964" s="6"/>
    </row>
    <row r="965" spans="3:3">
      <c r="C965" s="6"/>
    </row>
    <row r="966" spans="3:3">
      <c r="C966" s="6"/>
    </row>
    <row r="967" spans="3:3">
      <c r="C967" s="6"/>
    </row>
    <row r="968" spans="3:3">
      <c r="C968" s="6"/>
    </row>
    <row r="969" spans="3:3">
      <c r="C969" s="6"/>
    </row>
    <row r="970" spans="3:3">
      <c r="C970" s="6"/>
    </row>
    <row r="971" spans="3:3">
      <c r="C971" s="6"/>
    </row>
    <row r="972" spans="3:3">
      <c r="C972" s="6"/>
    </row>
    <row r="973" spans="3:3">
      <c r="C973" s="6"/>
    </row>
    <row r="974" spans="3:3">
      <c r="C974" s="6"/>
    </row>
    <row r="975" spans="3:3">
      <c r="C975" s="6"/>
    </row>
    <row r="976" spans="3:3">
      <c r="C976" s="6"/>
    </row>
    <row r="977" spans="3:3">
      <c r="C977" s="6"/>
    </row>
    <row r="978" spans="3:3">
      <c r="C978" s="6"/>
    </row>
    <row r="979" spans="3:3">
      <c r="C979" s="6"/>
    </row>
    <row r="980" spans="3:3">
      <c r="C980" s="6"/>
    </row>
    <row r="981" spans="3:3">
      <c r="C981" s="6"/>
    </row>
    <row r="982" spans="3:3">
      <c r="C982" s="6"/>
    </row>
    <row r="983" spans="3:3">
      <c r="C983" s="6"/>
    </row>
    <row r="984" spans="3:3">
      <c r="C984" s="6"/>
    </row>
    <row r="985" spans="3:3">
      <c r="C985" s="6"/>
    </row>
    <row r="986" spans="3:3">
      <c r="C986" s="6"/>
    </row>
    <row r="987" spans="3:3">
      <c r="C987" s="6"/>
    </row>
    <row r="988" spans="3:3">
      <c r="C988" s="6"/>
    </row>
    <row r="989" spans="3:3">
      <c r="C989" s="6"/>
    </row>
    <row r="990" spans="3:3">
      <c r="C990" s="6"/>
    </row>
    <row r="991" spans="3:3">
      <c r="C991" s="6"/>
    </row>
    <row r="992" spans="3:3">
      <c r="C992" s="6"/>
    </row>
    <row r="993" spans="3:3">
      <c r="C993" s="6"/>
    </row>
    <row r="994" spans="3:3">
      <c r="C994" s="6"/>
    </row>
    <row r="995" spans="3:3">
      <c r="C995" s="6"/>
    </row>
    <row r="996" spans="3:3">
      <c r="C996" s="6"/>
    </row>
    <row r="997" spans="3:3">
      <c r="C997" s="6"/>
    </row>
    <row r="998" spans="3:3">
      <c r="C998" s="6"/>
    </row>
    <row r="999" spans="3:3">
      <c r="C999" s="6"/>
    </row>
    <row r="1000" spans="3:3">
      <c r="C1000" s="6"/>
    </row>
    <row r="1001" spans="3:3">
      <c r="C1001" s="6"/>
    </row>
    <row r="1002" spans="3:3">
      <c r="C1002" s="6"/>
    </row>
    <row r="1003" spans="3:3">
      <c r="C1003" s="6"/>
    </row>
    <row r="1004" spans="3:3">
      <c r="C1004" s="6"/>
    </row>
    <row r="1005" spans="3:3">
      <c r="C1005" s="6"/>
    </row>
    <row r="1006" spans="3:3">
      <c r="C1006" s="6"/>
    </row>
    <row r="1007" spans="3:3">
      <c r="C1007" s="6"/>
    </row>
    <row r="1008" spans="3:3">
      <c r="C1008" s="6"/>
    </row>
    <row r="1009" spans="3:3">
      <c r="C1009" s="6"/>
    </row>
    <row r="1010" spans="3:3">
      <c r="C1010" s="6"/>
    </row>
    <row r="1011" spans="3:3">
      <c r="C1011" s="6"/>
    </row>
    <row r="1012" spans="3:3">
      <c r="C1012" s="6"/>
    </row>
    <row r="1013" spans="3:3">
      <c r="C1013" s="6"/>
    </row>
    <row r="1014" spans="3:3">
      <c r="C1014" s="6"/>
    </row>
    <row r="1015" spans="3:3">
      <c r="C1015" s="6"/>
    </row>
    <row r="1016" spans="3:3">
      <c r="C1016" s="6"/>
    </row>
    <row r="1017" spans="3:3">
      <c r="C1017" s="6"/>
    </row>
    <row r="1018" spans="3:3">
      <c r="C1018" s="6"/>
    </row>
    <row r="1019" spans="3:3">
      <c r="C1019" s="6"/>
    </row>
    <row r="1020" spans="3:3">
      <c r="C1020" s="6"/>
    </row>
  </sheetData>
  <mergeCells count="1">
    <mergeCell ref="B1:C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800"/>
  <sheetViews>
    <sheetView workbookViewId="0">
      <pane ySplit="1" topLeftCell="A2" activePane="bottomLeft" state="frozen"/>
      <selection pane="bottomLeft" activeCell="B3" sqref="B3"/>
    </sheetView>
  </sheetViews>
  <sheetFormatPr defaultColWidth="14.42578125" defaultRowHeight="15" customHeight="1"/>
  <cols>
    <col min="1" max="1" width="4.28515625" customWidth="1"/>
    <col min="2" max="2" width="6.42578125" customWidth="1"/>
    <col min="3" max="3" width="6.28515625" customWidth="1"/>
    <col min="4" max="4" width="13.28515625" customWidth="1"/>
    <col min="5" max="5" width="4"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2" t="s">
        <v>1</v>
      </c>
      <c r="B1" s="5" t="str">
        <f>HYPERLINK("#rangeid=2086300674","Content Owner")</f>
        <v>Content Owner</v>
      </c>
      <c r="C1" s="9" t="str">
        <f>HYPERLINK("#rangeid=632369931","Video Owner")</f>
        <v>Video Owner</v>
      </c>
      <c r="D1" s="13" t="s">
        <v>6</v>
      </c>
      <c r="E1" s="14" t="s">
        <v>12</v>
      </c>
      <c r="F1" s="16" t="s">
        <v>16</v>
      </c>
      <c r="G1" s="2" t="s">
        <v>18</v>
      </c>
      <c r="H1" s="19" t="s">
        <v>20</v>
      </c>
      <c r="I1" s="21" t="s">
        <v>22</v>
      </c>
      <c r="J1" s="2" t="s">
        <v>24</v>
      </c>
      <c r="K1" s="23" t="s">
        <v>25</v>
      </c>
      <c r="L1" s="2" t="s">
        <v>27</v>
      </c>
      <c r="M1" s="25" t="s">
        <v>28</v>
      </c>
      <c r="N1" s="25"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row>
    <row r="2" spans="1:28">
      <c r="A2" s="38">
        <v>1</v>
      </c>
      <c r="B2" s="39" t="s">
        <v>55</v>
      </c>
      <c r="C2" s="41"/>
      <c r="D2" s="42" t="s">
        <v>56</v>
      </c>
      <c r="E2" s="38" t="s">
        <v>58</v>
      </c>
      <c r="F2" s="43" t="s">
        <v>60</v>
      </c>
      <c r="G2" s="44"/>
      <c r="H2" s="45"/>
      <c r="I2" s="38"/>
      <c r="J2" s="38">
        <f>7*1000</f>
        <v>7000</v>
      </c>
      <c r="K2" s="46">
        <v>9.6296296296296303E-3</v>
      </c>
      <c r="L2" s="47" t="s">
        <v>61</v>
      </c>
      <c r="M2" s="48"/>
      <c r="N2" s="48"/>
      <c r="O2" s="48">
        <f t="shared" ref="O2:O758" si="0">N2-M2</f>
        <v>0</v>
      </c>
      <c r="P2" s="49">
        <v>42989</v>
      </c>
      <c r="Q2" s="14" t="str">
        <f t="shared" ref="Q2:Q758" ca="1" si="1">HYPERLINK(IF(INT(A2)-A2=0,"",REPLACE(INDIRECT("MasterList!e"&amp;INT(A2)+1),25,8,"embed/")&amp;"?start="&amp;HOUR(M2)*3600+MINUTE(M2)*60+SECOND(M2)&amp;"&amp;end="&amp;HOUR(N2)*3600+MINUTE(N2)*60+SECOND(N2)&amp;"&amp;autoplay=1"))</f>
        <v/>
      </c>
      <c r="R2" s="51"/>
      <c r="S2" s="51"/>
      <c r="T2" s="51"/>
      <c r="U2" s="40"/>
      <c r="V2" s="54"/>
      <c r="W2" s="55"/>
      <c r="X2" s="56"/>
      <c r="Y2" s="38"/>
      <c r="Z2" s="38"/>
      <c r="AA2" s="38"/>
      <c r="AB2" s="38"/>
    </row>
    <row r="3" spans="1:28">
      <c r="A3" s="38">
        <v>2</v>
      </c>
      <c r="B3" s="51" t="s">
        <v>55</v>
      </c>
      <c r="C3" s="41"/>
      <c r="D3" s="42" t="s">
        <v>56</v>
      </c>
      <c r="E3" s="38" t="s">
        <v>65</v>
      </c>
      <c r="F3" s="43" t="s">
        <v>66</v>
      </c>
      <c r="G3" s="44"/>
      <c r="H3" s="45"/>
      <c r="I3" s="38"/>
      <c r="J3" s="38">
        <f>4*1000</f>
        <v>4000</v>
      </c>
      <c r="K3" s="46">
        <v>1.0289351851851852E-2</v>
      </c>
      <c r="L3" s="47" t="s">
        <v>61</v>
      </c>
      <c r="M3" s="48"/>
      <c r="N3" s="48"/>
      <c r="O3" s="48">
        <f t="shared" si="0"/>
        <v>0</v>
      </c>
      <c r="P3" s="49">
        <v>42989</v>
      </c>
      <c r="Q3" s="14" t="str">
        <f t="shared" ca="1" si="1"/>
        <v/>
      </c>
      <c r="R3" s="51"/>
      <c r="S3" s="51"/>
      <c r="T3" s="51"/>
      <c r="U3" s="40"/>
      <c r="V3" s="54"/>
      <c r="W3" s="55"/>
      <c r="X3" s="56"/>
      <c r="Y3" s="38"/>
      <c r="Z3" s="38"/>
      <c r="AA3" s="38"/>
      <c r="AB3" s="38"/>
    </row>
    <row r="4" spans="1:28">
      <c r="A4" s="38">
        <v>3</v>
      </c>
      <c r="B4" s="51" t="s">
        <v>55</v>
      </c>
      <c r="C4" s="41"/>
      <c r="D4" s="42" t="s">
        <v>56</v>
      </c>
      <c r="E4" s="38" t="s">
        <v>70</v>
      </c>
      <c r="F4" s="43" t="s">
        <v>71</v>
      </c>
      <c r="G4" s="44"/>
      <c r="H4" s="45"/>
      <c r="I4" s="38"/>
      <c r="J4" s="38">
        <f>826</f>
        <v>826</v>
      </c>
      <c r="K4" s="46">
        <v>2.1643518518518518E-3</v>
      </c>
      <c r="L4" s="47" t="s">
        <v>61</v>
      </c>
      <c r="M4" s="48"/>
      <c r="N4" s="48"/>
      <c r="O4" s="48">
        <f t="shared" si="0"/>
        <v>0</v>
      </c>
      <c r="P4" s="49">
        <v>42990</v>
      </c>
      <c r="Q4" s="14" t="str">
        <f t="shared" ca="1" si="1"/>
        <v/>
      </c>
      <c r="R4" s="51"/>
      <c r="S4" s="51"/>
      <c r="T4" s="51"/>
      <c r="U4" s="40"/>
      <c r="V4" s="54"/>
      <c r="W4" s="55"/>
      <c r="X4" s="56"/>
      <c r="Y4" s="38"/>
      <c r="Z4" s="38"/>
      <c r="AA4" s="38"/>
      <c r="AB4" s="38"/>
    </row>
    <row r="5" spans="1:28">
      <c r="A5" s="38">
        <v>4</v>
      </c>
      <c r="B5" s="51" t="s">
        <v>55</v>
      </c>
      <c r="C5" s="41"/>
      <c r="D5" s="42" t="s">
        <v>56</v>
      </c>
      <c r="E5" s="38" t="s">
        <v>74</v>
      </c>
      <c r="F5" s="43" t="s">
        <v>75</v>
      </c>
      <c r="G5" s="44"/>
      <c r="H5" s="45"/>
      <c r="I5" s="38"/>
      <c r="J5" s="38">
        <f>10*1000</f>
        <v>10000</v>
      </c>
      <c r="K5" s="46">
        <v>9.7222222222222209E-4</v>
      </c>
      <c r="L5" s="47" t="s">
        <v>61</v>
      </c>
      <c r="M5" s="48"/>
      <c r="N5" s="48"/>
      <c r="O5" s="48">
        <f t="shared" si="0"/>
        <v>0</v>
      </c>
      <c r="P5" s="49">
        <v>42990</v>
      </c>
      <c r="Q5" s="14" t="str">
        <f t="shared" ca="1" si="1"/>
        <v/>
      </c>
      <c r="R5" s="51"/>
      <c r="S5" s="51"/>
      <c r="T5" s="51"/>
      <c r="U5" s="40"/>
      <c r="V5" s="54"/>
      <c r="W5" s="55"/>
      <c r="X5" s="56"/>
      <c r="Y5" s="38"/>
      <c r="Z5" s="38"/>
      <c r="AA5" s="38"/>
      <c r="AB5" s="38"/>
    </row>
    <row r="6" spans="1:28">
      <c r="A6" s="38">
        <v>5</v>
      </c>
      <c r="B6" s="51" t="s">
        <v>55</v>
      </c>
      <c r="C6" s="41"/>
      <c r="D6" s="42" t="s">
        <v>56</v>
      </c>
      <c r="E6" s="38" t="s">
        <v>79</v>
      </c>
      <c r="F6" s="43" t="s">
        <v>80</v>
      </c>
      <c r="G6" s="44"/>
      <c r="H6" s="45"/>
      <c r="I6" s="38"/>
      <c r="J6" s="38">
        <f>749</f>
        <v>749</v>
      </c>
      <c r="K6" s="46">
        <v>4.0509259259259258E-4</v>
      </c>
      <c r="L6" s="47" t="s">
        <v>61</v>
      </c>
      <c r="M6" s="48"/>
      <c r="N6" s="48"/>
      <c r="O6" s="48">
        <f t="shared" si="0"/>
        <v>0</v>
      </c>
      <c r="P6" s="49">
        <v>42990</v>
      </c>
      <c r="Q6" s="14" t="str">
        <f t="shared" ca="1" si="1"/>
        <v/>
      </c>
      <c r="R6" s="51"/>
      <c r="S6" s="51"/>
      <c r="T6" s="51"/>
      <c r="U6" s="40"/>
      <c r="V6" s="54"/>
      <c r="W6" s="55"/>
      <c r="X6" s="56"/>
      <c r="Y6" s="38"/>
      <c r="Z6" s="38"/>
      <c r="AA6" s="38"/>
      <c r="AB6" s="38"/>
    </row>
    <row r="7" spans="1:28">
      <c r="A7" s="38">
        <v>6</v>
      </c>
      <c r="B7" s="51" t="s">
        <v>55</v>
      </c>
      <c r="C7" s="41"/>
      <c r="D7" s="42" t="s">
        <v>56</v>
      </c>
      <c r="E7" s="38" t="s">
        <v>84</v>
      </c>
      <c r="F7" s="43" t="s">
        <v>85</v>
      </c>
      <c r="G7" s="61"/>
      <c r="H7" s="45"/>
      <c r="I7" s="38"/>
      <c r="J7" s="38">
        <f>1.7*1000</f>
        <v>1700</v>
      </c>
      <c r="K7" s="46">
        <v>3.9930555555555561E-3</v>
      </c>
      <c r="L7" s="47" t="s">
        <v>61</v>
      </c>
      <c r="M7" s="48"/>
      <c r="N7" s="48"/>
      <c r="O7" s="48">
        <f t="shared" si="0"/>
        <v>0</v>
      </c>
      <c r="P7" s="49">
        <v>42990</v>
      </c>
      <c r="Q7" s="14" t="str">
        <f t="shared" ca="1" si="1"/>
        <v/>
      </c>
      <c r="R7" s="51"/>
      <c r="S7" s="51"/>
      <c r="T7" s="51"/>
      <c r="U7" s="40"/>
      <c r="V7" s="54"/>
      <c r="W7" s="55"/>
      <c r="X7" s="56"/>
      <c r="Y7" s="38"/>
      <c r="Z7" s="38"/>
      <c r="AA7" s="38"/>
      <c r="AB7" s="38"/>
    </row>
    <row r="8" spans="1:28">
      <c r="A8" s="38">
        <v>7</v>
      </c>
      <c r="B8" s="51" t="s">
        <v>55</v>
      </c>
      <c r="C8" s="41"/>
      <c r="D8" s="42" t="s">
        <v>56</v>
      </c>
      <c r="E8" s="38" t="s">
        <v>90</v>
      </c>
      <c r="F8" s="43" t="s">
        <v>91</v>
      </c>
      <c r="G8" s="44"/>
      <c r="H8" s="45"/>
      <c r="I8" s="38"/>
      <c r="J8" s="38">
        <f>5.1*1000</f>
        <v>5100</v>
      </c>
      <c r="K8" s="46">
        <v>3.3680555555555551E-3</v>
      </c>
      <c r="L8" s="47" t="s">
        <v>61</v>
      </c>
      <c r="M8" s="48"/>
      <c r="N8" s="48"/>
      <c r="O8" s="48">
        <f t="shared" si="0"/>
        <v>0</v>
      </c>
      <c r="P8" s="49">
        <v>42990</v>
      </c>
      <c r="Q8" s="14" t="str">
        <f t="shared" ca="1" si="1"/>
        <v/>
      </c>
      <c r="R8" s="51"/>
      <c r="S8" s="51"/>
      <c r="T8" s="51"/>
      <c r="U8" s="40"/>
      <c r="V8" s="54"/>
      <c r="W8" s="55"/>
      <c r="X8" s="56"/>
      <c r="Y8" s="38"/>
      <c r="Z8" s="38"/>
      <c r="AA8" s="38"/>
      <c r="AB8" s="38"/>
    </row>
    <row r="9" spans="1:28">
      <c r="A9" s="38">
        <v>8</v>
      </c>
      <c r="B9" s="51" t="s">
        <v>55</v>
      </c>
      <c r="C9" s="41"/>
      <c r="D9" s="42" t="s">
        <v>56</v>
      </c>
      <c r="E9" s="38" t="s">
        <v>96</v>
      </c>
      <c r="F9" s="43" t="s">
        <v>97</v>
      </c>
      <c r="G9" s="44"/>
      <c r="H9" s="45"/>
      <c r="I9" s="38"/>
      <c r="J9" s="38">
        <f>1.9*1000</f>
        <v>1900</v>
      </c>
      <c r="K9" s="46">
        <v>1.037037037037037E-2</v>
      </c>
      <c r="L9" s="47" t="s">
        <v>61</v>
      </c>
      <c r="M9" s="48"/>
      <c r="N9" s="48"/>
      <c r="O9" s="48">
        <f t="shared" si="0"/>
        <v>0</v>
      </c>
      <c r="P9" s="49">
        <v>42990</v>
      </c>
      <c r="Q9" s="14" t="str">
        <f t="shared" ca="1" si="1"/>
        <v/>
      </c>
      <c r="R9" s="51"/>
      <c r="S9" s="51"/>
      <c r="T9" s="51"/>
      <c r="U9" s="40"/>
      <c r="V9" s="54"/>
      <c r="W9" s="55"/>
      <c r="X9" s="56"/>
      <c r="Y9" s="38"/>
      <c r="Z9" s="38"/>
      <c r="AA9" s="38"/>
      <c r="AB9" s="38"/>
    </row>
    <row r="10" spans="1:28">
      <c r="A10" s="38">
        <v>9</v>
      </c>
      <c r="B10" s="51" t="s">
        <v>55</v>
      </c>
      <c r="C10" s="41"/>
      <c r="D10" s="42" t="s">
        <v>56</v>
      </c>
      <c r="E10" s="38" t="s">
        <v>100</v>
      </c>
      <c r="F10" s="43" t="s">
        <v>101</v>
      </c>
      <c r="G10" s="44"/>
      <c r="H10" s="45"/>
      <c r="I10" s="38"/>
      <c r="J10" s="38">
        <f>1.7*1000</f>
        <v>1700</v>
      </c>
      <c r="K10" s="46">
        <v>3.472222222222222E-3</v>
      </c>
      <c r="L10" s="47" t="s">
        <v>61</v>
      </c>
      <c r="M10" s="48"/>
      <c r="N10" s="48"/>
      <c r="O10" s="48">
        <f t="shared" si="0"/>
        <v>0</v>
      </c>
      <c r="P10" s="49">
        <v>42990</v>
      </c>
      <c r="Q10" s="14" t="str">
        <f t="shared" ca="1" si="1"/>
        <v/>
      </c>
      <c r="R10" s="51"/>
      <c r="S10" s="51"/>
      <c r="T10" s="51"/>
      <c r="U10" s="40"/>
      <c r="V10" s="54"/>
      <c r="W10" s="55"/>
      <c r="X10" s="56"/>
      <c r="Y10" s="38"/>
      <c r="Z10" s="38"/>
      <c r="AA10" s="38"/>
      <c r="AB10" s="38"/>
    </row>
    <row r="11" spans="1:28">
      <c r="A11" s="38">
        <v>10</v>
      </c>
      <c r="B11" s="51" t="s">
        <v>55</v>
      </c>
      <c r="C11" s="41"/>
      <c r="D11" s="42" t="s">
        <v>56</v>
      </c>
      <c r="E11" s="38" t="s">
        <v>105</v>
      </c>
      <c r="F11" s="43" t="s">
        <v>106</v>
      </c>
      <c r="G11" s="44"/>
      <c r="H11" s="45"/>
      <c r="I11" s="38"/>
      <c r="J11" s="38">
        <f>490</f>
        <v>490</v>
      </c>
      <c r="K11" s="46">
        <v>3.0324074074074073E-3</v>
      </c>
      <c r="L11" s="47" t="s">
        <v>61</v>
      </c>
      <c r="M11" s="48"/>
      <c r="N11" s="48"/>
      <c r="O11" s="48">
        <f t="shared" si="0"/>
        <v>0</v>
      </c>
      <c r="P11" s="49">
        <v>42990</v>
      </c>
      <c r="Q11" s="14" t="str">
        <f t="shared" ca="1" si="1"/>
        <v/>
      </c>
      <c r="R11" s="51"/>
      <c r="S11" s="51"/>
      <c r="T11" s="51"/>
      <c r="U11" s="40"/>
      <c r="V11" s="54"/>
      <c r="W11" s="55"/>
      <c r="X11" s="56"/>
      <c r="Y11" s="38"/>
      <c r="Z11" s="38"/>
      <c r="AA11" s="38"/>
      <c r="AB11" s="38"/>
    </row>
    <row r="12" spans="1:28">
      <c r="A12" s="38">
        <v>11</v>
      </c>
      <c r="B12" s="51" t="s">
        <v>55</v>
      </c>
      <c r="C12" s="41"/>
      <c r="D12" s="42" t="s">
        <v>56</v>
      </c>
      <c r="E12" s="38" t="s">
        <v>109</v>
      </c>
      <c r="F12" s="43" t="s">
        <v>110</v>
      </c>
      <c r="G12" s="44"/>
      <c r="H12" s="45"/>
      <c r="I12" s="38"/>
      <c r="J12" s="38">
        <f>551</f>
        <v>551</v>
      </c>
      <c r="K12" s="46">
        <v>2.4189814814814816E-3</v>
      </c>
      <c r="L12" s="47" t="s">
        <v>61</v>
      </c>
      <c r="M12" s="48"/>
      <c r="N12" s="48"/>
      <c r="O12" s="48">
        <f t="shared" si="0"/>
        <v>0</v>
      </c>
      <c r="P12" s="49">
        <v>42991</v>
      </c>
      <c r="Q12" s="14" t="str">
        <f t="shared" ca="1" si="1"/>
        <v/>
      </c>
      <c r="R12" s="51"/>
      <c r="S12" s="51"/>
      <c r="T12" s="51"/>
      <c r="U12" s="40"/>
      <c r="V12" s="54"/>
      <c r="W12" s="55"/>
      <c r="X12" s="56"/>
      <c r="Y12" s="38"/>
      <c r="Z12" s="38"/>
      <c r="AA12" s="38"/>
      <c r="AB12" s="38"/>
    </row>
    <row r="13" spans="1:28">
      <c r="A13" s="38">
        <v>12</v>
      </c>
      <c r="B13" s="51" t="s">
        <v>55</v>
      </c>
      <c r="C13" s="41"/>
      <c r="D13" s="42" t="s">
        <v>56</v>
      </c>
      <c r="E13" s="38" t="s">
        <v>112</v>
      </c>
      <c r="F13" s="43" t="s">
        <v>114</v>
      </c>
      <c r="G13" s="45"/>
      <c r="H13" s="44"/>
      <c r="I13" s="44"/>
      <c r="J13" s="44">
        <v>384</v>
      </c>
      <c r="K13" s="46">
        <v>2.2222222222222222E-3</v>
      </c>
      <c r="L13" s="47" t="s">
        <v>61</v>
      </c>
      <c r="M13" s="48"/>
      <c r="N13" s="48"/>
      <c r="O13" s="48">
        <f t="shared" si="0"/>
        <v>0</v>
      </c>
      <c r="P13" s="49">
        <v>42991</v>
      </c>
      <c r="Q13" s="14" t="str">
        <f t="shared" ca="1" si="1"/>
        <v/>
      </c>
      <c r="R13" s="51"/>
      <c r="S13" s="51"/>
      <c r="T13" s="51"/>
      <c r="U13" s="40"/>
      <c r="V13" s="54"/>
      <c r="W13" s="55"/>
      <c r="X13" s="56"/>
      <c r="Y13" s="38"/>
      <c r="Z13" s="38"/>
      <c r="AA13" s="38"/>
      <c r="AB13" s="38"/>
    </row>
    <row r="14" spans="1:28">
      <c r="A14" s="38">
        <v>13</v>
      </c>
      <c r="B14" s="51" t="s">
        <v>55</v>
      </c>
      <c r="C14" s="41"/>
      <c r="D14" s="42" t="s">
        <v>56</v>
      </c>
      <c r="E14" s="38" t="s">
        <v>116</v>
      </c>
      <c r="F14" s="43" t="s">
        <v>117</v>
      </c>
      <c r="G14" s="38"/>
      <c r="H14" s="45"/>
      <c r="I14" s="38"/>
      <c r="J14" s="38">
        <f>1.5*1000</f>
        <v>1500</v>
      </c>
      <c r="K14" s="46">
        <v>3.530092592592592E-3</v>
      </c>
      <c r="L14" s="47" t="s">
        <v>61</v>
      </c>
      <c r="M14" s="48"/>
      <c r="N14" s="48"/>
      <c r="O14" s="48">
        <f t="shared" si="0"/>
        <v>0</v>
      </c>
      <c r="P14" s="49">
        <v>42991</v>
      </c>
      <c r="Q14" s="14" t="str">
        <f t="shared" ca="1" si="1"/>
        <v/>
      </c>
      <c r="R14" s="51"/>
      <c r="S14" s="51"/>
      <c r="T14" s="51"/>
      <c r="U14" s="40"/>
      <c r="V14" s="54"/>
      <c r="W14" s="55"/>
      <c r="X14" s="56"/>
      <c r="Y14" s="38"/>
      <c r="Z14" s="38"/>
      <c r="AA14" s="38"/>
      <c r="AB14" s="38"/>
    </row>
    <row r="15" spans="1:28">
      <c r="A15" s="38">
        <v>14</v>
      </c>
      <c r="B15" s="51" t="s">
        <v>55</v>
      </c>
      <c r="C15" s="41"/>
      <c r="D15" s="42" t="s">
        <v>56</v>
      </c>
      <c r="E15" s="38" t="s">
        <v>122</v>
      </c>
      <c r="F15" s="43" t="s">
        <v>123</v>
      </c>
      <c r="G15" s="44"/>
      <c r="H15" s="45"/>
      <c r="I15" s="38"/>
      <c r="J15" s="38">
        <f>595</f>
        <v>595</v>
      </c>
      <c r="K15" s="46">
        <v>4.0740740740740746E-3</v>
      </c>
      <c r="L15" s="47" t="s">
        <v>61</v>
      </c>
      <c r="M15" s="48"/>
      <c r="N15" s="48"/>
      <c r="O15" s="48">
        <f t="shared" si="0"/>
        <v>0</v>
      </c>
      <c r="P15" s="49">
        <v>42991</v>
      </c>
      <c r="Q15" s="14" t="str">
        <f t="shared" ca="1" si="1"/>
        <v/>
      </c>
      <c r="R15" s="51"/>
      <c r="S15" s="51"/>
      <c r="T15" s="51"/>
      <c r="U15" s="40"/>
      <c r="V15" s="54"/>
      <c r="W15" s="55"/>
      <c r="X15" s="56"/>
      <c r="Y15" s="38"/>
      <c r="Z15" s="38"/>
      <c r="AA15" s="38"/>
      <c r="AB15" s="38"/>
    </row>
    <row r="16" spans="1:28">
      <c r="A16" s="38">
        <v>15</v>
      </c>
      <c r="B16" s="51" t="s">
        <v>55</v>
      </c>
      <c r="C16" s="41"/>
      <c r="D16" s="42" t="s">
        <v>56</v>
      </c>
      <c r="E16" s="38" t="s">
        <v>126</v>
      </c>
      <c r="F16" s="43" t="s">
        <v>127</v>
      </c>
      <c r="G16" s="44"/>
      <c r="H16" s="45"/>
      <c r="I16" s="38"/>
      <c r="J16" s="38">
        <f>477</f>
        <v>477</v>
      </c>
      <c r="K16" s="46">
        <v>2.673611111111111E-3</v>
      </c>
      <c r="L16" s="47" t="s">
        <v>61</v>
      </c>
      <c r="M16" s="48"/>
      <c r="N16" s="48"/>
      <c r="O16" s="48">
        <f t="shared" si="0"/>
        <v>0</v>
      </c>
      <c r="P16" s="49">
        <v>42991</v>
      </c>
      <c r="Q16" s="14" t="str">
        <f t="shared" ca="1" si="1"/>
        <v/>
      </c>
      <c r="R16" s="51"/>
      <c r="S16" s="51"/>
      <c r="T16" s="51"/>
      <c r="U16" s="40"/>
      <c r="V16" s="54"/>
      <c r="W16" s="55"/>
      <c r="X16" s="56"/>
      <c r="Y16" s="38"/>
      <c r="Z16" s="38"/>
      <c r="AA16" s="38"/>
      <c r="AB16" s="38"/>
    </row>
    <row r="17" spans="1:28">
      <c r="A17" s="38">
        <v>16</v>
      </c>
      <c r="B17" s="51" t="s">
        <v>55</v>
      </c>
      <c r="C17" s="41"/>
      <c r="D17" s="42" t="s">
        <v>56</v>
      </c>
      <c r="E17" s="38" t="s">
        <v>130</v>
      </c>
      <c r="F17" s="43" t="s">
        <v>132</v>
      </c>
      <c r="G17" s="44"/>
      <c r="H17" s="45"/>
      <c r="I17" s="38"/>
      <c r="J17" s="38">
        <f>506</f>
        <v>506</v>
      </c>
      <c r="K17" s="46">
        <v>5.7175925925925927E-3</v>
      </c>
      <c r="L17" s="47" t="s">
        <v>61</v>
      </c>
      <c r="M17" s="48"/>
      <c r="N17" s="48"/>
      <c r="O17" s="48">
        <f t="shared" si="0"/>
        <v>0</v>
      </c>
      <c r="P17" s="49">
        <v>42991</v>
      </c>
      <c r="Q17" s="14" t="str">
        <f t="shared" ca="1" si="1"/>
        <v/>
      </c>
      <c r="R17" s="51"/>
      <c r="S17" s="51"/>
      <c r="T17" s="51"/>
      <c r="U17" s="40"/>
      <c r="V17" s="54"/>
      <c r="W17" s="55"/>
      <c r="X17" s="56"/>
      <c r="Y17" s="38"/>
      <c r="Z17" s="38"/>
      <c r="AA17" s="38"/>
      <c r="AB17" s="38"/>
    </row>
    <row r="18" spans="1:28">
      <c r="A18" s="38">
        <v>17</v>
      </c>
      <c r="B18" s="39" t="s">
        <v>136</v>
      </c>
      <c r="C18" s="41"/>
      <c r="D18" s="42" t="s">
        <v>139</v>
      </c>
      <c r="E18" s="38" t="s">
        <v>140</v>
      </c>
      <c r="F18" s="43" t="s">
        <v>141</v>
      </c>
      <c r="G18" s="44"/>
      <c r="H18" s="45"/>
      <c r="I18" s="38"/>
      <c r="J18" s="38">
        <f>343</f>
        <v>343</v>
      </c>
      <c r="K18" s="46">
        <v>2.7430555555555559E-3</v>
      </c>
      <c r="L18" s="47" t="s">
        <v>61</v>
      </c>
      <c r="M18" s="48"/>
      <c r="N18" s="48"/>
      <c r="O18" s="48">
        <f t="shared" si="0"/>
        <v>0</v>
      </c>
      <c r="P18" s="49"/>
      <c r="Q18" s="14" t="str">
        <f t="shared" ca="1" si="1"/>
        <v/>
      </c>
      <c r="R18" s="51"/>
      <c r="S18" s="51"/>
      <c r="T18" s="51"/>
      <c r="U18" s="40"/>
      <c r="V18" s="54"/>
      <c r="W18" s="55"/>
      <c r="X18" s="56"/>
      <c r="Y18" s="38"/>
      <c r="Z18" s="38"/>
      <c r="AA18" s="38"/>
      <c r="AB18" s="38"/>
    </row>
    <row r="19" spans="1:28">
      <c r="A19" s="38">
        <v>18</v>
      </c>
      <c r="B19" s="51"/>
      <c r="C19" s="41"/>
      <c r="D19" s="42"/>
      <c r="E19" s="38" t="s">
        <v>146</v>
      </c>
      <c r="F19" s="43" t="s">
        <v>147</v>
      </c>
      <c r="G19" s="44"/>
      <c r="H19" s="45"/>
      <c r="I19" s="38"/>
      <c r="J19" s="38">
        <f>1*1000</f>
        <v>1000</v>
      </c>
      <c r="K19" s="46">
        <v>2.4652777777777776E-3</v>
      </c>
      <c r="L19" s="47" t="s">
        <v>61</v>
      </c>
      <c r="M19" s="48"/>
      <c r="N19" s="48"/>
      <c r="O19" s="48">
        <f t="shared" si="0"/>
        <v>0</v>
      </c>
      <c r="P19" s="49"/>
      <c r="Q19" s="14" t="str">
        <f t="shared" ca="1" si="1"/>
        <v/>
      </c>
      <c r="R19" s="51"/>
      <c r="S19" s="51"/>
      <c r="T19" s="51"/>
      <c r="U19" s="40"/>
      <c r="V19" s="54"/>
      <c r="W19" s="55"/>
      <c r="X19" s="56"/>
      <c r="Y19" s="38"/>
      <c r="Z19" s="38"/>
      <c r="AA19" s="38"/>
      <c r="AB19" s="38"/>
    </row>
    <row r="20" spans="1:28">
      <c r="A20" s="38">
        <v>19</v>
      </c>
      <c r="B20" s="39" t="s">
        <v>136</v>
      </c>
      <c r="C20" s="41"/>
      <c r="D20" s="42" t="s">
        <v>139</v>
      </c>
      <c r="E20" s="38" t="s">
        <v>152</v>
      </c>
      <c r="F20" s="43" t="s">
        <v>153</v>
      </c>
      <c r="G20" s="44"/>
      <c r="H20" s="45"/>
      <c r="I20" s="38"/>
      <c r="J20" s="38">
        <f>378</f>
        <v>378</v>
      </c>
      <c r="K20" s="46">
        <v>1.1226851851851851E-3</v>
      </c>
      <c r="L20" s="47" t="s">
        <v>61</v>
      </c>
      <c r="M20" s="48"/>
      <c r="N20" s="48"/>
      <c r="O20" s="48">
        <f t="shared" si="0"/>
        <v>0</v>
      </c>
      <c r="P20" s="49"/>
      <c r="Q20" s="14" t="str">
        <f t="shared" ca="1" si="1"/>
        <v/>
      </c>
      <c r="R20" s="51"/>
      <c r="S20" s="51"/>
      <c r="T20" s="51"/>
      <c r="U20" s="40"/>
      <c r="V20" s="54"/>
      <c r="W20" s="55"/>
      <c r="X20" s="56"/>
      <c r="Y20" s="38"/>
      <c r="Z20" s="38"/>
      <c r="AA20" s="38"/>
      <c r="AB20" s="38"/>
    </row>
    <row r="21" spans="1:28">
      <c r="A21" s="38">
        <v>20</v>
      </c>
      <c r="B21" s="51" t="s">
        <v>155</v>
      </c>
      <c r="C21" s="41"/>
      <c r="D21" s="42" t="s">
        <v>56</v>
      </c>
      <c r="E21" s="38" t="s">
        <v>157</v>
      </c>
      <c r="F21" s="43" t="s">
        <v>158</v>
      </c>
      <c r="G21" s="44"/>
      <c r="H21" s="45"/>
      <c r="I21" s="38"/>
      <c r="J21" s="38">
        <f>8.5*1000</f>
        <v>8500</v>
      </c>
      <c r="K21" s="46">
        <v>7.1874999999999994E-3</v>
      </c>
      <c r="L21" s="47" t="s">
        <v>61</v>
      </c>
      <c r="M21" s="48"/>
      <c r="N21" s="48"/>
      <c r="O21" s="48">
        <f t="shared" si="0"/>
        <v>0</v>
      </c>
      <c r="P21" s="70">
        <v>42990</v>
      </c>
      <c r="Q21" s="14" t="str">
        <f t="shared" ca="1" si="1"/>
        <v/>
      </c>
      <c r="R21" s="67"/>
      <c r="S21" s="67"/>
      <c r="T21" s="67"/>
      <c r="U21" s="40"/>
      <c r="V21" s="54"/>
      <c r="W21" s="55"/>
      <c r="X21" s="56"/>
      <c r="Y21" s="42"/>
      <c r="Z21" s="42"/>
      <c r="AA21" s="42"/>
      <c r="AB21" s="42"/>
    </row>
    <row r="22" spans="1:28">
      <c r="A22" s="38">
        <v>21</v>
      </c>
      <c r="B22" s="51"/>
      <c r="C22" s="40"/>
      <c r="D22" s="38"/>
      <c r="E22" s="38" t="s">
        <v>166</v>
      </c>
      <c r="F22" s="43" t="s">
        <v>167</v>
      </c>
      <c r="G22" s="44"/>
      <c r="H22" s="45"/>
      <c r="I22" s="38"/>
      <c r="J22" s="38">
        <f>3.2*1000</f>
        <v>3200</v>
      </c>
      <c r="K22" s="46">
        <v>1.3078703703703705E-3</v>
      </c>
      <c r="L22" s="47" t="s">
        <v>61</v>
      </c>
      <c r="M22" s="48"/>
      <c r="N22" s="48"/>
      <c r="O22" s="48">
        <f t="shared" si="0"/>
        <v>0</v>
      </c>
      <c r="P22" s="38"/>
      <c r="Q22" s="14" t="str">
        <f t="shared" ca="1" si="1"/>
        <v/>
      </c>
      <c r="R22" s="51"/>
      <c r="S22" s="51"/>
      <c r="T22" s="51"/>
      <c r="U22" s="40"/>
      <c r="V22" s="54"/>
      <c r="W22" s="55"/>
      <c r="X22" s="56"/>
      <c r="Y22" s="38"/>
      <c r="Z22" s="38"/>
      <c r="AA22" s="38"/>
      <c r="AB22" s="38"/>
    </row>
    <row r="23" spans="1:28">
      <c r="A23" s="38">
        <v>22</v>
      </c>
      <c r="B23" s="51" t="s">
        <v>155</v>
      </c>
      <c r="C23" s="41"/>
      <c r="D23" s="42" t="s">
        <v>56</v>
      </c>
      <c r="E23" s="38" t="s">
        <v>170</v>
      </c>
      <c r="F23" s="43" t="s">
        <v>171</v>
      </c>
      <c r="G23" s="44"/>
      <c r="H23" s="45"/>
      <c r="I23" s="38"/>
      <c r="J23" s="38">
        <f>4.9*1000</f>
        <v>4900</v>
      </c>
      <c r="K23" s="46">
        <v>9.2939814814814812E-3</v>
      </c>
      <c r="L23" s="47" t="s">
        <v>61</v>
      </c>
      <c r="M23" s="48"/>
      <c r="N23" s="48"/>
      <c r="O23" s="48">
        <f t="shared" si="0"/>
        <v>0</v>
      </c>
      <c r="P23" s="70">
        <v>42990</v>
      </c>
      <c r="Q23" s="14" t="str">
        <f t="shared" ca="1" si="1"/>
        <v/>
      </c>
      <c r="R23" s="67"/>
      <c r="S23" s="67"/>
      <c r="T23" s="67"/>
      <c r="U23" s="40"/>
      <c r="V23" s="54"/>
      <c r="W23" s="55"/>
      <c r="X23" s="56"/>
      <c r="Y23" s="38"/>
      <c r="Z23" s="38"/>
      <c r="AA23" s="38"/>
      <c r="AB23" s="38"/>
    </row>
    <row r="24" spans="1:28">
      <c r="A24" s="38">
        <v>23</v>
      </c>
      <c r="B24" s="51" t="s">
        <v>155</v>
      </c>
      <c r="C24" s="41"/>
      <c r="D24" s="42" t="s">
        <v>56</v>
      </c>
      <c r="E24" s="38" t="s">
        <v>177</v>
      </c>
      <c r="F24" s="43" t="s">
        <v>179</v>
      </c>
      <c r="G24" s="44"/>
      <c r="H24" s="45"/>
      <c r="I24" s="38"/>
      <c r="J24" s="38">
        <f>3.6*1000</f>
        <v>3600</v>
      </c>
      <c r="K24" s="46">
        <v>7.4768518518518526E-3</v>
      </c>
      <c r="L24" s="47" t="s">
        <v>61</v>
      </c>
      <c r="M24" s="48"/>
      <c r="N24" s="48"/>
      <c r="O24" s="48">
        <f t="shared" si="0"/>
        <v>0</v>
      </c>
      <c r="P24" s="70">
        <v>42991</v>
      </c>
      <c r="Q24" s="14" t="str">
        <f t="shared" ca="1" si="1"/>
        <v/>
      </c>
      <c r="R24" s="67"/>
      <c r="S24" s="67"/>
      <c r="T24" s="67"/>
      <c r="U24" s="40"/>
      <c r="V24" s="54"/>
      <c r="W24" s="55"/>
      <c r="X24" s="56"/>
      <c r="Y24" s="38"/>
      <c r="Z24" s="38"/>
      <c r="AA24" s="38"/>
      <c r="AB24" s="38"/>
    </row>
    <row r="25" spans="1:28">
      <c r="A25" s="38">
        <v>24</v>
      </c>
      <c r="B25" s="39" t="s">
        <v>155</v>
      </c>
      <c r="C25" s="41"/>
      <c r="D25" s="42" t="s">
        <v>56</v>
      </c>
      <c r="E25" s="38" t="s">
        <v>184</v>
      </c>
      <c r="F25" s="43" t="s">
        <v>186</v>
      </c>
      <c r="G25" s="44"/>
      <c r="H25" s="45"/>
      <c r="I25" s="38"/>
      <c r="J25" s="38">
        <f>2.4*1000</f>
        <v>2400</v>
      </c>
      <c r="K25" s="46">
        <v>8.2523148148148148E-3</v>
      </c>
      <c r="L25" s="47" t="s">
        <v>61</v>
      </c>
      <c r="M25" s="48"/>
      <c r="N25" s="48"/>
      <c r="O25" s="48">
        <f t="shared" si="0"/>
        <v>0</v>
      </c>
      <c r="P25" s="70">
        <v>43008</v>
      </c>
      <c r="Q25" s="14" t="str">
        <f t="shared" ca="1" si="1"/>
        <v/>
      </c>
      <c r="R25" s="39"/>
      <c r="S25" s="39"/>
      <c r="T25" s="39"/>
      <c r="U25" s="40"/>
      <c r="V25" s="54"/>
      <c r="W25" s="55"/>
      <c r="X25" s="71"/>
      <c r="Y25" s="38"/>
      <c r="Z25" s="38"/>
      <c r="AA25" s="38"/>
      <c r="AB25" s="38"/>
    </row>
    <row r="26" spans="1:28">
      <c r="A26" s="38">
        <v>25</v>
      </c>
      <c r="B26" s="39" t="s">
        <v>155</v>
      </c>
      <c r="C26" s="41"/>
      <c r="D26" s="42" t="s">
        <v>56</v>
      </c>
      <c r="E26" s="38" t="s">
        <v>193</v>
      </c>
      <c r="F26" s="43" t="s">
        <v>194</v>
      </c>
      <c r="G26" s="44"/>
      <c r="H26" s="45"/>
      <c r="I26" s="38"/>
      <c r="J26" s="38">
        <f>2.1*1000</f>
        <v>2100</v>
      </c>
      <c r="K26" s="46">
        <v>9.618055555555555E-3</v>
      </c>
      <c r="L26" s="47" t="s">
        <v>61</v>
      </c>
      <c r="M26" s="48"/>
      <c r="N26" s="48"/>
      <c r="O26" s="48">
        <f t="shared" si="0"/>
        <v>0</v>
      </c>
      <c r="P26" s="70">
        <v>43008</v>
      </c>
      <c r="Q26" s="14" t="str">
        <f t="shared" ca="1" si="1"/>
        <v/>
      </c>
      <c r="R26" s="39"/>
      <c r="S26" s="39"/>
      <c r="T26" s="39"/>
      <c r="U26" s="40"/>
      <c r="V26" s="54"/>
      <c r="W26" s="55"/>
      <c r="X26" s="71"/>
      <c r="Y26" s="38"/>
      <c r="Z26" s="38"/>
      <c r="AA26" s="38"/>
      <c r="AB26" s="38"/>
    </row>
    <row r="27" spans="1:28">
      <c r="A27" s="38">
        <v>26</v>
      </c>
      <c r="B27" s="51" t="s">
        <v>155</v>
      </c>
      <c r="C27" s="41"/>
      <c r="D27" s="42" t="s">
        <v>56</v>
      </c>
      <c r="E27" s="38" t="s">
        <v>198</v>
      </c>
      <c r="F27" s="43" t="s">
        <v>199</v>
      </c>
      <c r="G27" s="44"/>
      <c r="H27" s="45"/>
      <c r="I27" s="38"/>
      <c r="J27" s="38">
        <f>14*1000</f>
        <v>14000</v>
      </c>
      <c r="K27" s="46">
        <v>7.4884259259259262E-3</v>
      </c>
      <c r="L27" s="47" t="s">
        <v>61</v>
      </c>
      <c r="M27" s="48"/>
      <c r="N27" s="48"/>
      <c r="O27" s="48">
        <f t="shared" si="0"/>
        <v>0</v>
      </c>
      <c r="P27" s="70">
        <v>42991</v>
      </c>
      <c r="Q27" s="14" t="str">
        <f t="shared" ca="1" si="1"/>
        <v/>
      </c>
      <c r="R27" s="67"/>
      <c r="S27" s="67"/>
      <c r="T27" s="67"/>
      <c r="U27" s="40"/>
      <c r="V27" s="54"/>
      <c r="W27" s="55"/>
      <c r="X27" s="56"/>
      <c r="Y27" s="38"/>
      <c r="Z27" s="38"/>
      <c r="AA27" s="38"/>
      <c r="AB27" s="38"/>
    </row>
    <row r="28" spans="1:28">
      <c r="A28" s="38">
        <v>27</v>
      </c>
      <c r="B28" s="51" t="s">
        <v>155</v>
      </c>
      <c r="C28" s="41"/>
      <c r="D28" s="42" t="s">
        <v>56</v>
      </c>
      <c r="E28" s="38" t="s">
        <v>205</v>
      </c>
      <c r="F28" s="43" t="s">
        <v>206</v>
      </c>
      <c r="G28" s="44"/>
      <c r="H28" s="45"/>
      <c r="I28" s="38"/>
      <c r="J28" s="38">
        <f>15*1000</f>
        <v>15000</v>
      </c>
      <c r="K28" s="46">
        <v>3.2407407407407406E-3</v>
      </c>
      <c r="L28" s="47" t="s">
        <v>61</v>
      </c>
      <c r="M28" s="48"/>
      <c r="N28" s="48"/>
      <c r="O28" s="48">
        <f t="shared" si="0"/>
        <v>0</v>
      </c>
      <c r="P28" s="38"/>
      <c r="Q28" s="14" t="str">
        <f t="shared" ca="1" si="1"/>
        <v/>
      </c>
      <c r="R28" s="51"/>
      <c r="S28" s="51"/>
      <c r="T28" s="51"/>
      <c r="U28" s="40"/>
      <c r="V28" s="54"/>
      <c r="W28" s="55"/>
      <c r="X28" s="56"/>
      <c r="Y28" s="61"/>
      <c r="Z28" s="61"/>
      <c r="AA28" s="61"/>
      <c r="AB28" s="61"/>
    </row>
    <row r="29" spans="1:28">
      <c r="A29" s="38">
        <v>28</v>
      </c>
      <c r="B29" s="51" t="s">
        <v>155</v>
      </c>
      <c r="C29" s="41"/>
      <c r="D29" s="42" t="s">
        <v>56</v>
      </c>
      <c r="E29" s="38" t="s">
        <v>210</v>
      </c>
      <c r="F29" s="43" t="s">
        <v>212</v>
      </c>
      <c r="G29" s="44"/>
      <c r="H29" s="45"/>
      <c r="I29" s="38"/>
      <c r="J29" s="38">
        <f>9.3*1000</f>
        <v>9300</v>
      </c>
      <c r="K29" s="46">
        <v>8.0671296296296307E-3</v>
      </c>
      <c r="L29" s="47" t="s">
        <v>61</v>
      </c>
      <c r="M29" s="48"/>
      <c r="N29" s="48"/>
      <c r="O29" s="48">
        <f t="shared" si="0"/>
        <v>0</v>
      </c>
      <c r="P29" s="70">
        <v>42991</v>
      </c>
      <c r="Q29" s="14" t="str">
        <f t="shared" ca="1" si="1"/>
        <v/>
      </c>
      <c r="R29" s="67"/>
      <c r="S29" s="67"/>
      <c r="T29" s="67"/>
      <c r="U29" s="40"/>
      <c r="V29" s="54"/>
      <c r="W29" s="55"/>
      <c r="X29" s="56"/>
      <c r="Y29" s="38"/>
      <c r="Z29" s="38"/>
      <c r="AA29" s="38"/>
      <c r="AB29" s="38"/>
    </row>
    <row r="30" spans="1:28">
      <c r="A30" s="38">
        <v>29</v>
      </c>
      <c r="B30" s="51" t="s">
        <v>155</v>
      </c>
      <c r="C30" s="41"/>
      <c r="D30" s="42" t="s">
        <v>56</v>
      </c>
      <c r="E30" s="38" t="s">
        <v>215</v>
      </c>
      <c r="F30" s="43" t="s">
        <v>216</v>
      </c>
      <c r="G30" s="44"/>
      <c r="H30" s="45"/>
      <c r="I30" s="38"/>
      <c r="J30" s="38">
        <f>35*1000</f>
        <v>35000</v>
      </c>
      <c r="K30" s="46">
        <v>7.6851851851851847E-3</v>
      </c>
      <c r="L30" s="47" t="s">
        <v>61</v>
      </c>
      <c r="M30" s="48"/>
      <c r="N30" s="48"/>
      <c r="O30" s="48">
        <f t="shared" si="0"/>
        <v>0</v>
      </c>
      <c r="P30" s="70">
        <v>42992</v>
      </c>
      <c r="Q30" s="14" t="str">
        <f t="shared" ca="1" si="1"/>
        <v/>
      </c>
      <c r="R30" s="67"/>
      <c r="S30" s="67"/>
      <c r="T30" s="67"/>
      <c r="U30" s="40"/>
      <c r="V30" s="54"/>
      <c r="W30" s="55"/>
      <c r="X30" s="56"/>
      <c r="Y30" s="38"/>
      <c r="Z30" s="38"/>
      <c r="AA30" s="38"/>
      <c r="AB30" s="38"/>
    </row>
    <row r="31" spans="1:28">
      <c r="A31" s="38">
        <v>30</v>
      </c>
      <c r="B31" s="39" t="s">
        <v>136</v>
      </c>
      <c r="C31" s="40"/>
      <c r="D31" s="42" t="s">
        <v>139</v>
      </c>
      <c r="E31" s="38" t="s">
        <v>220</v>
      </c>
      <c r="F31" s="43" t="s">
        <v>221</v>
      </c>
      <c r="G31" s="44"/>
      <c r="H31" s="45"/>
      <c r="I31" s="38"/>
      <c r="J31" s="38">
        <f>6.9*1000</f>
        <v>6900</v>
      </c>
      <c r="K31" s="46">
        <v>5.208333333333333E-3</v>
      </c>
      <c r="L31" s="47" t="s">
        <v>61</v>
      </c>
      <c r="M31" s="48"/>
      <c r="N31" s="48"/>
      <c r="O31" s="48">
        <f t="shared" si="0"/>
        <v>0</v>
      </c>
      <c r="P31" s="38"/>
      <c r="Q31" s="14" t="str">
        <f t="shared" ca="1" si="1"/>
        <v/>
      </c>
      <c r="R31" s="51"/>
      <c r="S31" s="51"/>
      <c r="T31" s="51"/>
      <c r="U31" s="40"/>
      <c r="V31" s="54"/>
      <c r="W31" s="55"/>
      <c r="X31" s="56"/>
      <c r="Y31" s="38"/>
      <c r="Z31" s="38"/>
      <c r="AA31" s="38"/>
      <c r="AB31" s="38"/>
    </row>
    <row r="32" spans="1:28">
      <c r="A32" s="38">
        <v>31</v>
      </c>
      <c r="B32" s="51"/>
      <c r="C32" s="40"/>
      <c r="D32" s="38"/>
      <c r="E32" s="38" t="s">
        <v>225</v>
      </c>
      <c r="F32" s="43" t="s">
        <v>226</v>
      </c>
      <c r="G32" s="44"/>
      <c r="H32" s="45"/>
      <c r="I32" s="38"/>
      <c r="J32" s="38">
        <f>645</f>
        <v>645</v>
      </c>
      <c r="K32" s="46">
        <v>4.8611111111111112E-3</v>
      </c>
      <c r="L32" s="47" t="s">
        <v>61</v>
      </c>
      <c r="M32" s="48"/>
      <c r="N32" s="48"/>
      <c r="O32" s="48">
        <f t="shared" si="0"/>
        <v>0</v>
      </c>
      <c r="P32" s="38"/>
      <c r="Q32" s="14" t="str">
        <f t="shared" ca="1" si="1"/>
        <v/>
      </c>
      <c r="R32" s="51"/>
      <c r="S32" s="51"/>
      <c r="T32" s="51"/>
      <c r="U32" s="40"/>
      <c r="V32" s="54"/>
      <c r="W32" s="55"/>
      <c r="X32" s="56"/>
      <c r="Y32" s="38"/>
      <c r="Z32" s="38"/>
      <c r="AA32" s="38"/>
      <c r="AB32" s="38"/>
    </row>
    <row r="33" spans="1:28">
      <c r="A33" s="38">
        <v>32</v>
      </c>
      <c r="B33" s="39" t="s">
        <v>136</v>
      </c>
      <c r="C33" s="40"/>
      <c r="D33" s="42" t="s">
        <v>139</v>
      </c>
      <c r="E33" s="38" t="s">
        <v>231</v>
      </c>
      <c r="F33" s="43" t="s">
        <v>232</v>
      </c>
      <c r="G33" s="44"/>
      <c r="H33" s="45"/>
      <c r="I33" s="38"/>
      <c r="J33" s="38">
        <f>282</f>
        <v>282</v>
      </c>
      <c r="K33" s="46">
        <v>1.2037037037037038E-3</v>
      </c>
      <c r="L33" s="47" t="s">
        <v>61</v>
      </c>
      <c r="M33" s="48"/>
      <c r="N33" s="48"/>
      <c r="O33" s="48">
        <f t="shared" si="0"/>
        <v>0</v>
      </c>
      <c r="P33" s="38"/>
      <c r="Q33" s="14" t="str">
        <f t="shared" ca="1" si="1"/>
        <v/>
      </c>
      <c r="R33" s="51"/>
      <c r="S33" s="51"/>
      <c r="T33" s="51"/>
      <c r="U33" s="40"/>
      <c r="V33" s="54"/>
      <c r="W33" s="55"/>
      <c r="X33" s="56"/>
      <c r="Y33" s="38"/>
      <c r="Z33" s="38"/>
      <c r="AA33" s="38"/>
      <c r="AB33" s="38"/>
    </row>
    <row r="34" spans="1:28">
      <c r="A34" s="38">
        <v>33</v>
      </c>
      <c r="B34" s="39" t="s">
        <v>155</v>
      </c>
      <c r="C34" s="41"/>
      <c r="D34" s="42" t="s">
        <v>56</v>
      </c>
      <c r="E34" s="38" t="s">
        <v>238</v>
      </c>
      <c r="F34" s="43" t="s">
        <v>239</v>
      </c>
      <c r="G34" s="44"/>
      <c r="H34" s="45"/>
      <c r="I34" s="38"/>
      <c r="J34" s="38">
        <f>732</f>
        <v>732</v>
      </c>
      <c r="K34" s="46">
        <v>7.3379629629629628E-3</v>
      </c>
      <c r="L34" s="47" t="s">
        <v>61</v>
      </c>
      <c r="M34" s="48"/>
      <c r="N34" s="48"/>
      <c r="O34" s="48">
        <f t="shared" si="0"/>
        <v>0</v>
      </c>
      <c r="P34" s="70">
        <v>43012</v>
      </c>
      <c r="Q34" s="14" t="str">
        <f t="shared" ca="1" si="1"/>
        <v/>
      </c>
      <c r="R34" s="51"/>
      <c r="S34" s="51"/>
      <c r="T34" s="51"/>
      <c r="U34" s="40"/>
      <c r="V34" s="54"/>
      <c r="W34" s="55"/>
      <c r="X34" s="56"/>
      <c r="Y34" s="38"/>
      <c r="Z34" s="38"/>
      <c r="AA34" s="38"/>
      <c r="AB34" s="38"/>
    </row>
    <row r="35" spans="1:28">
      <c r="A35" s="38">
        <v>34</v>
      </c>
      <c r="B35" s="39" t="s">
        <v>155</v>
      </c>
      <c r="C35" s="40"/>
      <c r="D35" s="42" t="s">
        <v>56</v>
      </c>
      <c r="E35" s="38" t="s">
        <v>245</v>
      </c>
      <c r="F35" s="43" t="s">
        <v>246</v>
      </c>
      <c r="G35" s="44"/>
      <c r="H35" s="45"/>
      <c r="I35" s="38"/>
      <c r="J35" s="38">
        <f>459</f>
        <v>459</v>
      </c>
      <c r="K35" s="46">
        <v>7.6388888888888886E-3</v>
      </c>
      <c r="L35" s="47" t="s">
        <v>61</v>
      </c>
      <c r="M35" s="48"/>
      <c r="N35" s="48"/>
      <c r="O35" s="48">
        <f t="shared" si="0"/>
        <v>0</v>
      </c>
      <c r="P35" s="70">
        <v>43012</v>
      </c>
      <c r="Q35" s="14" t="str">
        <f t="shared" ca="1" si="1"/>
        <v/>
      </c>
      <c r="R35" s="51"/>
      <c r="S35" s="51"/>
      <c r="T35" s="51"/>
      <c r="U35" s="40"/>
      <c r="V35" s="54"/>
      <c r="W35" s="55"/>
      <c r="X35" s="56"/>
      <c r="Y35" s="38"/>
      <c r="Z35" s="38"/>
      <c r="AA35" s="38"/>
      <c r="AB35" s="38"/>
    </row>
    <row r="36" spans="1:28">
      <c r="A36" s="38">
        <v>35</v>
      </c>
      <c r="B36" s="39" t="s">
        <v>155</v>
      </c>
      <c r="C36" s="40"/>
      <c r="D36" s="42" t="s">
        <v>56</v>
      </c>
      <c r="E36" s="38" t="s">
        <v>252</v>
      </c>
      <c r="F36" s="43" t="s">
        <v>253</v>
      </c>
      <c r="G36" s="44"/>
      <c r="H36" s="45"/>
      <c r="I36" s="38"/>
      <c r="J36" s="38">
        <f>419</f>
        <v>419</v>
      </c>
      <c r="K36" s="46">
        <v>5.9490740740740745E-3</v>
      </c>
      <c r="L36" s="47" t="s">
        <v>61</v>
      </c>
      <c r="M36" s="48"/>
      <c r="N36" s="48"/>
      <c r="O36" s="48">
        <f t="shared" si="0"/>
        <v>0</v>
      </c>
      <c r="P36" s="70">
        <v>43012</v>
      </c>
      <c r="Q36" s="14" t="str">
        <f t="shared" ca="1" si="1"/>
        <v/>
      </c>
      <c r="R36" s="51"/>
      <c r="S36" s="51"/>
      <c r="T36" s="51"/>
      <c r="U36" s="40"/>
      <c r="V36" s="54"/>
      <c r="W36" s="55"/>
      <c r="X36" s="56"/>
      <c r="Y36" s="38"/>
      <c r="Z36" s="38"/>
      <c r="AA36" s="38"/>
      <c r="AB36" s="38"/>
    </row>
    <row r="37" spans="1:28">
      <c r="A37" s="38">
        <v>36</v>
      </c>
      <c r="B37" s="39" t="s">
        <v>155</v>
      </c>
      <c r="C37" s="40"/>
      <c r="D37" s="42" t="s">
        <v>56</v>
      </c>
      <c r="E37" s="38" t="s">
        <v>257</v>
      </c>
      <c r="F37" s="43" t="s">
        <v>258</v>
      </c>
      <c r="G37" s="44"/>
      <c r="H37" s="45"/>
      <c r="I37" s="38"/>
      <c r="J37" s="38">
        <f>755</f>
        <v>755</v>
      </c>
      <c r="K37" s="46">
        <v>8.3449074074074085E-3</v>
      </c>
      <c r="L37" s="47" t="s">
        <v>61</v>
      </c>
      <c r="M37" s="48"/>
      <c r="N37" s="48"/>
      <c r="O37" s="48">
        <f t="shared" si="0"/>
        <v>0</v>
      </c>
      <c r="P37" s="70">
        <v>43013</v>
      </c>
      <c r="Q37" s="14" t="str">
        <f t="shared" ca="1" si="1"/>
        <v/>
      </c>
      <c r="R37" s="51"/>
      <c r="S37" s="51"/>
      <c r="T37" s="51"/>
      <c r="U37" s="40"/>
      <c r="V37" s="54"/>
      <c r="W37" s="55"/>
      <c r="X37" s="56"/>
      <c r="Y37" s="38"/>
      <c r="Z37" s="38"/>
      <c r="AA37" s="38"/>
      <c r="AB37" s="38"/>
    </row>
    <row r="38" spans="1:28">
      <c r="A38" s="38">
        <v>37</v>
      </c>
      <c r="B38" s="39" t="s">
        <v>155</v>
      </c>
      <c r="C38" s="40"/>
      <c r="D38" s="42" t="s">
        <v>56</v>
      </c>
      <c r="E38" s="38" t="s">
        <v>264</v>
      </c>
      <c r="F38" s="43" t="s">
        <v>265</v>
      </c>
      <c r="G38" s="44"/>
      <c r="H38" s="45"/>
      <c r="I38" s="38"/>
      <c r="J38" s="38">
        <f>773</f>
        <v>773</v>
      </c>
      <c r="K38" s="46">
        <v>9.5486111111111101E-3</v>
      </c>
      <c r="L38" s="47" t="s">
        <v>61</v>
      </c>
      <c r="M38" s="48"/>
      <c r="N38" s="48"/>
      <c r="O38" s="48">
        <f t="shared" si="0"/>
        <v>0</v>
      </c>
      <c r="P38" s="70">
        <v>43013</v>
      </c>
      <c r="Q38" s="14" t="str">
        <f t="shared" ca="1" si="1"/>
        <v/>
      </c>
      <c r="R38" s="51"/>
      <c r="S38" s="51"/>
      <c r="T38" s="51"/>
      <c r="U38" s="40"/>
      <c r="V38" s="54"/>
      <c r="W38" s="55"/>
      <c r="X38" s="56"/>
      <c r="Y38" s="38"/>
      <c r="Z38" s="38"/>
      <c r="AA38" s="38"/>
      <c r="AB38" s="38"/>
    </row>
    <row r="39" spans="1:28">
      <c r="A39" s="38">
        <v>38</v>
      </c>
      <c r="B39" s="39" t="s">
        <v>155</v>
      </c>
      <c r="C39" s="40"/>
      <c r="D39" s="42" t="s">
        <v>142</v>
      </c>
      <c r="E39" s="38" t="s">
        <v>270</v>
      </c>
      <c r="F39" s="43" t="s">
        <v>271</v>
      </c>
      <c r="G39" s="44"/>
      <c r="H39" s="45"/>
      <c r="I39" s="38"/>
      <c r="J39" s="38">
        <f>427</f>
        <v>427</v>
      </c>
      <c r="K39" s="46">
        <v>3.3564814814814811E-3</v>
      </c>
      <c r="L39" s="47" t="s">
        <v>61</v>
      </c>
      <c r="M39" s="48"/>
      <c r="N39" s="48"/>
      <c r="O39" s="48">
        <f t="shared" si="0"/>
        <v>0</v>
      </c>
      <c r="P39" s="70">
        <v>43013</v>
      </c>
      <c r="Q39" s="14" t="str">
        <f t="shared" ca="1" si="1"/>
        <v/>
      </c>
      <c r="R39" s="51"/>
      <c r="S39" s="51"/>
      <c r="T39" s="51"/>
      <c r="U39" s="40"/>
      <c r="V39" s="54"/>
      <c r="W39" s="55"/>
      <c r="X39" s="56"/>
      <c r="Y39" s="38"/>
      <c r="Z39" s="38"/>
      <c r="AA39" s="38"/>
      <c r="AB39" s="38"/>
    </row>
    <row r="40" spans="1:28">
      <c r="A40" s="38">
        <v>39</v>
      </c>
      <c r="B40" s="39" t="s">
        <v>54</v>
      </c>
      <c r="C40" s="41"/>
      <c r="D40" s="42" t="s">
        <v>56</v>
      </c>
      <c r="E40" s="38" t="s">
        <v>120</v>
      </c>
      <c r="F40" s="43" t="s">
        <v>121</v>
      </c>
      <c r="G40" s="44"/>
      <c r="H40" s="45"/>
      <c r="I40" s="38"/>
      <c r="J40" s="38">
        <f>5.9*1000</f>
        <v>5900</v>
      </c>
      <c r="K40" s="46">
        <v>6.5740740740740733E-3</v>
      </c>
      <c r="L40" s="47" t="s">
        <v>61</v>
      </c>
      <c r="M40" s="48"/>
      <c r="N40" s="48"/>
      <c r="O40" s="48">
        <f t="shared" si="0"/>
        <v>0</v>
      </c>
      <c r="P40" s="70">
        <v>43015</v>
      </c>
      <c r="Q40" s="14" t="str">
        <f t="shared" ca="1" si="1"/>
        <v/>
      </c>
      <c r="R40" s="51"/>
      <c r="S40" s="51"/>
      <c r="T40" s="51"/>
      <c r="U40" s="40"/>
      <c r="V40" s="54"/>
      <c r="W40" s="69"/>
      <c r="X40" s="56"/>
      <c r="Y40" s="38"/>
      <c r="Z40" s="38"/>
      <c r="AA40" s="38"/>
      <c r="AB40" s="38"/>
    </row>
    <row r="41" spans="1:28">
      <c r="A41" s="38">
        <v>40</v>
      </c>
      <c r="B41" s="39" t="s">
        <v>54</v>
      </c>
      <c r="C41" s="40"/>
      <c r="D41" s="42" t="s">
        <v>56</v>
      </c>
      <c r="E41" s="38" t="s">
        <v>143</v>
      </c>
      <c r="F41" s="43" t="s">
        <v>144</v>
      </c>
      <c r="G41" s="44"/>
      <c r="H41" s="45"/>
      <c r="I41" s="38"/>
      <c r="J41" s="38">
        <f>3*1000</f>
        <v>3000</v>
      </c>
      <c r="K41" s="46">
        <v>3.1944444444444442E-3</v>
      </c>
      <c r="L41" s="47" t="s">
        <v>61</v>
      </c>
      <c r="M41" s="48"/>
      <c r="N41" s="48"/>
      <c r="O41" s="48">
        <f t="shared" si="0"/>
        <v>0</v>
      </c>
      <c r="P41" s="70">
        <v>43015</v>
      </c>
      <c r="Q41" s="14" t="str">
        <f t="shared" ca="1" si="1"/>
        <v/>
      </c>
      <c r="R41" s="51"/>
      <c r="S41" s="51"/>
      <c r="T41" s="51"/>
      <c r="U41" s="40"/>
      <c r="V41" s="54"/>
      <c r="W41" s="55"/>
      <c r="X41" s="56"/>
      <c r="Y41" s="38"/>
      <c r="Z41" s="38"/>
      <c r="AA41" s="38"/>
      <c r="AB41" s="38"/>
    </row>
    <row r="42" spans="1:28">
      <c r="A42" s="38">
        <v>41</v>
      </c>
      <c r="B42" s="39" t="s">
        <v>54</v>
      </c>
      <c r="C42" s="40"/>
      <c r="D42" s="42" t="s">
        <v>56</v>
      </c>
      <c r="E42" s="38" t="s">
        <v>160</v>
      </c>
      <c r="F42" s="43" t="s">
        <v>161</v>
      </c>
      <c r="G42" s="44"/>
      <c r="H42" s="45"/>
      <c r="I42" s="38"/>
      <c r="J42" s="38">
        <f>3.3*1000</f>
        <v>3300</v>
      </c>
      <c r="K42" s="46">
        <v>8.8657407407407417E-3</v>
      </c>
      <c r="L42" s="47" t="s">
        <v>61</v>
      </c>
      <c r="M42" s="48"/>
      <c r="N42" s="48"/>
      <c r="O42" s="48">
        <f t="shared" si="0"/>
        <v>0</v>
      </c>
      <c r="P42" s="70">
        <v>43015</v>
      </c>
      <c r="Q42" s="14" t="str">
        <f t="shared" ca="1" si="1"/>
        <v/>
      </c>
      <c r="R42" s="51"/>
      <c r="S42" s="51"/>
      <c r="T42" s="51"/>
      <c r="U42" s="40"/>
      <c r="V42" s="54"/>
      <c r="W42" s="55"/>
      <c r="X42" s="56"/>
      <c r="Y42" s="38"/>
      <c r="Z42" s="38"/>
      <c r="AA42" s="38"/>
      <c r="AB42" s="38"/>
    </row>
    <row r="43" spans="1:28">
      <c r="A43" s="38">
        <v>42</v>
      </c>
      <c r="B43" s="39" t="s">
        <v>54</v>
      </c>
      <c r="C43" s="40"/>
      <c r="D43" s="42" t="s">
        <v>56</v>
      </c>
      <c r="E43" s="38" t="s">
        <v>191</v>
      </c>
      <c r="F43" s="43" t="s">
        <v>192</v>
      </c>
      <c r="G43" s="44"/>
      <c r="H43" s="45"/>
      <c r="I43" s="38"/>
      <c r="J43" s="38">
        <f>1.7*1000</f>
        <v>1700</v>
      </c>
      <c r="K43" s="46">
        <v>5.1967592592592595E-3</v>
      </c>
      <c r="L43" s="47" t="s">
        <v>61</v>
      </c>
      <c r="M43" s="48"/>
      <c r="N43" s="48"/>
      <c r="O43" s="48">
        <f t="shared" si="0"/>
        <v>0</v>
      </c>
      <c r="P43" s="70">
        <v>43015</v>
      </c>
      <c r="Q43" s="14" t="str">
        <f t="shared" ca="1" si="1"/>
        <v/>
      </c>
      <c r="R43" s="51"/>
      <c r="S43" s="51"/>
      <c r="T43" s="51"/>
      <c r="U43" s="40"/>
      <c r="V43" s="54"/>
      <c r="W43" s="55"/>
      <c r="X43" s="56"/>
      <c r="Y43" s="38"/>
      <c r="Z43" s="38"/>
      <c r="AA43" s="38"/>
      <c r="AB43" s="38"/>
    </row>
    <row r="44" spans="1:28">
      <c r="A44" s="38">
        <v>43</v>
      </c>
      <c r="B44" s="39" t="s">
        <v>54</v>
      </c>
      <c r="C44" s="40"/>
      <c r="D44" s="42" t="s">
        <v>56</v>
      </c>
      <c r="E44" s="38" t="s">
        <v>203</v>
      </c>
      <c r="F44" s="43" t="s">
        <v>204</v>
      </c>
      <c r="G44" s="44"/>
      <c r="H44" s="45"/>
      <c r="I44" s="38"/>
      <c r="J44" s="38">
        <f>1*1000</f>
        <v>1000</v>
      </c>
      <c r="K44" s="46">
        <v>3.4490740740740745E-3</v>
      </c>
      <c r="L44" s="47" t="s">
        <v>61</v>
      </c>
      <c r="M44" s="48"/>
      <c r="N44" s="48"/>
      <c r="O44" s="48">
        <f t="shared" si="0"/>
        <v>0</v>
      </c>
      <c r="P44" s="70">
        <v>43015</v>
      </c>
      <c r="Q44" s="14" t="str">
        <f t="shared" ca="1" si="1"/>
        <v/>
      </c>
      <c r="R44" s="51"/>
      <c r="S44" s="51"/>
      <c r="T44" s="51"/>
      <c r="U44" s="40"/>
      <c r="V44" s="54"/>
      <c r="W44" s="55"/>
      <c r="X44" s="56"/>
      <c r="Y44" s="38"/>
      <c r="Z44" s="38"/>
      <c r="AA44" s="38"/>
      <c r="AB44" s="38"/>
    </row>
    <row r="45" spans="1:28">
      <c r="A45" s="38">
        <v>44</v>
      </c>
      <c r="B45" s="39" t="s">
        <v>54</v>
      </c>
      <c r="C45" s="40"/>
      <c r="D45" s="42" t="s">
        <v>56</v>
      </c>
      <c r="E45" s="38" t="s">
        <v>217</v>
      </c>
      <c r="F45" s="43" t="s">
        <v>219</v>
      </c>
      <c r="G45" s="44"/>
      <c r="H45" s="45"/>
      <c r="I45" s="38"/>
      <c r="J45" s="38">
        <f t="shared" ref="J45:J46" si="2">1.3*1000</f>
        <v>1300</v>
      </c>
      <c r="K45" s="46">
        <v>5.3240740740740748E-3</v>
      </c>
      <c r="L45" s="47" t="s">
        <v>61</v>
      </c>
      <c r="M45" s="48"/>
      <c r="N45" s="48"/>
      <c r="O45" s="48">
        <f t="shared" si="0"/>
        <v>0</v>
      </c>
      <c r="P45" s="70">
        <v>43015</v>
      </c>
      <c r="Q45" s="14" t="str">
        <f t="shared" ca="1" si="1"/>
        <v/>
      </c>
      <c r="R45" s="51"/>
      <c r="S45" s="51"/>
      <c r="T45" s="51"/>
      <c r="U45" s="40"/>
      <c r="V45" s="54"/>
      <c r="W45" s="55"/>
      <c r="X45" s="56"/>
      <c r="Y45" s="38"/>
      <c r="Z45" s="38"/>
      <c r="AA45" s="38"/>
      <c r="AB45" s="38"/>
    </row>
    <row r="46" spans="1:28">
      <c r="A46" s="38">
        <v>45</v>
      </c>
      <c r="B46" s="39" t="s">
        <v>54</v>
      </c>
      <c r="C46" s="40"/>
      <c r="D46" s="42" t="s">
        <v>56</v>
      </c>
      <c r="E46" s="38" t="s">
        <v>229</v>
      </c>
      <c r="F46" s="43" t="s">
        <v>230</v>
      </c>
      <c r="G46" s="44"/>
      <c r="H46" s="45"/>
      <c r="I46" s="38"/>
      <c r="J46" s="38">
        <f t="shared" si="2"/>
        <v>1300</v>
      </c>
      <c r="K46" s="46">
        <v>8.2407407407407412E-3</v>
      </c>
      <c r="L46" s="47" t="s">
        <v>61</v>
      </c>
      <c r="M46" s="48"/>
      <c r="N46" s="48"/>
      <c r="O46" s="48">
        <f t="shared" si="0"/>
        <v>0</v>
      </c>
      <c r="P46" s="70">
        <v>43015</v>
      </c>
      <c r="Q46" s="14" t="str">
        <f t="shared" ca="1" si="1"/>
        <v/>
      </c>
      <c r="R46" s="51"/>
      <c r="S46" s="51"/>
      <c r="T46" s="51"/>
      <c r="U46" s="40"/>
      <c r="V46" s="54"/>
      <c r="W46" s="55"/>
      <c r="X46" s="56"/>
      <c r="Y46" s="38"/>
      <c r="Z46" s="38"/>
      <c r="AA46" s="38"/>
      <c r="AB46" s="38"/>
    </row>
    <row r="47" spans="1:28">
      <c r="A47" s="38">
        <v>46</v>
      </c>
      <c r="B47" s="39" t="s">
        <v>54</v>
      </c>
      <c r="C47" s="40"/>
      <c r="D47" s="42" t="s">
        <v>56</v>
      </c>
      <c r="E47" s="38" t="s">
        <v>243</v>
      </c>
      <c r="F47" s="43" t="s">
        <v>244</v>
      </c>
      <c r="G47" s="44"/>
      <c r="H47" s="45"/>
      <c r="I47" s="38"/>
      <c r="J47" s="38">
        <f>940</f>
        <v>940</v>
      </c>
      <c r="K47" s="46">
        <v>2.5925925925925925E-3</v>
      </c>
      <c r="L47" s="47" t="s">
        <v>61</v>
      </c>
      <c r="M47" s="48"/>
      <c r="N47" s="48"/>
      <c r="O47" s="48">
        <f t="shared" si="0"/>
        <v>0</v>
      </c>
      <c r="P47" s="70">
        <v>43015</v>
      </c>
      <c r="Q47" s="14" t="str">
        <f t="shared" ca="1" si="1"/>
        <v/>
      </c>
      <c r="R47" s="51"/>
      <c r="S47" s="51"/>
      <c r="T47" s="51"/>
      <c r="U47" s="40"/>
      <c r="V47" s="54"/>
      <c r="W47" s="55"/>
      <c r="X47" s="56"/>
      <c r="Y47" s="38"/>
      <c r="Z47" s="38"/>
      <c r="AA47" s="38"/>
      <c r="AB47" s="38"/>
    </row>
    <row r="48" spans="1:28">
      <c r="A48" s="38">
        <v>47</v>
      </c>
      <c r="B48" s="39" t="s">
        <v>54</v>
      </c>
      <c r="C48" s="40"/>
      <c r="D48" s="42" t="s">
        <v>142</v>
      </c>
      <c r="E48" s="38" t="s">
        <v>255</v>
      </c>
      <c r="F48" s="43" t="s">
        <v>256</v>
      </c>
      <c r="G48" s="44"/>
      <c r="H48" s="45"/>
      <c r="I48" s="38"/>
      <c r="J48" s="38">
        <f>864</f>
        <v>864</v>
      </c>
      <c r="K48" s="46">
        <v>4.1898148148148146E-3</v>
      </c>
      <c r="L48" s="47" t="s">
        <v>61</v>
      </c>
      <c r="M48" s="48"/>
      <c r="N48" s="48"/>
      <c r="O48" s="48">
        <f t="shared" si="0"/>
        <v>0</v>
      </c>
      <c r="P48" s="70">
        <v>43015</v>
      </c>
      <c r="Q48" s="14" t="str">
        <f t="shared" ca="1" si="1"/>
        <v/>
      </c>
      <c r="R48" s="51"/>
      <c r="S48" s="51"/>
      <c r="T48" s="51"/>
      <c r="U48" s="40"/>
      <c r="V48" s="54"/>
      <c r="W48" s="55"/>
      <c r="X48" s="56"/>
      <c r="Y48" s="38"/>
      <c r="Z48" s="38"/>
      <c r="AA48" s="38"/>
      <c r="AB48" s="38"/>
    </row>
    <row r="49" spans="1:28">
      <c r="A49" s="38">
        <v>48</v>
      </c>
      <c r="B49" s="39" t="s">
        <v>54</v>
      </c>
      <c r="C49" s="40"/>
      <c r="D49" s="42" t="s">
        <v>56</v>
      </c>
      <c r="E49" s="38" t="s">
        <v>262</v>
      </c>
      <c r="F49" s="43" t="s">
        <v>263</v>
      </c>
      <c r="G49" s="44"/>
      <c r="H49" s="45"/>
      <c r="I49" s="38"/>
      <c r="J49" s="38">
        <f>1.1*1000</f>
        <v>1100</v>
      </c>
      <c r="K49" s="46">
        <v>3.2986111111111111E-3</v>
      </c>
      <c r="L49" s="47" t="s">
        <v>61</v>
      </c>
      <c r="M49" s="48"/>
      <c r="N49" s="48"/>
      <c r="O49" s="48">
        <f t="shared" si="0"/>
        <v>0</v>
      </c>
      <c r="P49" s="70">
        <v>43015</v>
      </c>
      <c r="Q49" s="14" t="str">
        <f t="shared" ca="1" si="1"/>
        <v/>
      </c>
      <c r="R49" s="51"/>
      <c r="S49" s="51"/>
      <c r="T49" s="51"/>
      <c r="U49" s="40"/>
      <c r="V49" s="54"/>
      <c r="W49" s="55"/>
      <c r="X49" s="56"/>
      <c r="Y49" s="38"/>
      <c r="Z49" s="38"/>
      <c r="AA49" s="38"/>
      <c r="AB49" s="38"/>
    </row>
    <row r="50" spans="1:28">
      <c r="A50" s="38">
        <v>49</v>
      </c>
      <c r="B50" s="39" t="s">
        <v>54</v>
      </c>
      <c r="C50" s="40"/>
      <c r="D50" s="42" t="s">
        <v>56</v>
      </c>
      <c r="E50" s="38" t="s">
        <v>273</v>
      </c>
      <c r="F50" s="43" t="s">
        <v>274</v>
      </c>
      <c r="G50" s="44"/>
      <c r="H50" s="45"/>
      <c r="I50" s="38"/>
      <c r="J50" s="38">
        <f>1.5*1000</f>
        <v>1500</v>
      </c>
      <c r="K50" s="46">
        <v>8.9467592592592585E-3</v>
      </c>
      <c r="L50" s="47" t="s">
        <v>61</v>
      </c>
      <c r="M50" s="48"/>
      <c r="N50" s="48"/>
      <c r="O50" s="48">
        <f t="shared" si="0"/>
        <v>0</v>
      </c>
      <c r="P50" s="70">
        <v>43015</v>
      </c>
      <c r="Q50" s="14" t="str">
        <f t="shared" ca="1" si="1"/>
        <v/>
      </c>
      <c r="R50" s="51"/>
      <c r="S50" s="51"/>
      <c r="T50" s="51"/>
      <c r="U50" s="40"/>
      <c r="V50" s="54"/>
      <c r="W50" s="55"/>
      <c r="X50" s="56"/>
      <c r="Y50" s="38"/>
      <c r="Z50" s="38"/>
      <c r="AA50" s="38"/>
      <c r="AB50" s="38"/>
    </row>
    <row r="51" spans="1:28">
      <c r="A51" s="38">
        <v>50</v>
      </c>
      <c r="B51" s="39" t="s">
        <v>155</v>
      </c>
      <c r="C51" s="40"/>
      <c r="D51" s="42" t="s">
        <v>56</v>
      </c>
      <c r="E51" s="38" t="s">
        <v>316</v>
      </c>
      <c r="F51" s="43" t="s">
        <v>317</v>
      </c>
      <c r="G51" s="44"/>
      <c r="H51" s="45"/>
      <c r="I51" s="38"/>
      <c r="J51" s="38">
        <f>1.7*1000</f>
        <v>1700</v>
      </c>
      <c r="K51" s="46">
        <v>1.0266203703703703E-2</v>
      </c>
      <c r="L51" s="47" t="s">
        <v>61</v>
      </c>
      <c r="M51" s="48"/>
      <c r="N51" s="48"/>
      <c r="O51" s="48">
        <f t="shared" si="0"/>
        <v>0</v>
      </c>
      <c r="P51" s="70">
        <v>43015</v>
      </c>
      <c r="Q51" s="14" t="str">
        <f t="shared" ca="1" si="1"/>
        <v/>
      </c>
      <c r="R51" s="51"/>
      <c r="S51" s="51"/>
      <c r="T51" s="51"/>
      <c r="U51" s="40"/>
      <c r="V51" s="54"/>
      <c r="W51" s="55"/>
      <c r="X51" s="56"/>
      <c r="Y51" s="38"/>
      <c r="Z51" s="38"/>
      <c r="AA51" s="38"/>
      <c r="AB51" s="38"/>
    </row>
    <row r="52" spans="1:28">
      <c r="A52" s="38">
        <v>51</v>
      </c>
      <c r="B52" s="39" t="s">
        <v>155</v>
      </c>
      <c r="C52" s="40"/>
      <c r="D52" s="42" t="s">
        <v>56</v>
      </c>
      <c r="E52" s="38" t="s">
        <v>321</v>
      </c>
      <c r="F52" s="43" t="s">
        <v>322</v>
      </c>
      <c r="G52" s="44"/>
      <c r="H52" s="45"/>
      <c r="I52" s="38"/>
      <c r="J52" s="38">
        <f>679</f>
        <v>679</v>
      </c>
      <c r="K52" s="46">
        <v>6.0879629629629643E-3</v>
      </c>
      <c r="L52" s="47" t="s">
        <v>61</v>
      </c>
      <c r="M52" s="48"/>
      <c r="N52" s="48"/>
      <c r="O52" s="48">
        <f t="shared" si="0"/>
        <v>0</v>
      </c>
      <c r="P52" s="70">
        <v>43016</v>
      </c>
      <c r="Q52" s="14" t="str">
        <f t="shared" ca="1" si="1"/>
        <v/>
      </c>
      <c r="R52" s="51"/>
      <c r="S52" s="51"/>
      <c r="T52" s="51"/>
      <c r="U52" s="40"/>
      <c r="V52" s="54"/>
      <c r="W52" s="55"/>
      <c r="X52" s="56"/>
      <c r="Y52" s="38"/>
      <c r="Z52" s="38"/>
      <c r="AA52" s="38"/>
      <c r="AB52" s="38"/>
    </row>
    <row r="53" spans="1:28">
      <c r="A53" s="38">
        <v>52</v>
      </c>
      <c r="B53" s="39" t="s">
        <v>155</v>
      </c>
      <c r="C53" s="40"/>
      <c r="D53" s="42" t="s">
        <v>56</v>
      </c>
      <c r="E53" s="38" t="s">
        <v>327</v>
      </c>
      <c r="F53" s="43" t="s">
        <v>328</v>
      </c>
      <c r="G53" s="44"/>
      <c r="H53" s="45"/>
      <c r="I53" s="38"/>
      <c r="J53" s="38">
        <f>928</f>
        <v>928</v>
      </c>
      <c r="K53" s="46">
        <v>0.01</v>
      </c>
      <c r="L53" s="47" t="s">
        <v>61</v>
      </c>
      <c r="M53" s="48"/>
      <c r="N53" s="48"/>
      <c r="O53" s="48">
        <f t="shared" si="0"/>
        <v>0</v>
      </c>
      <c r="P53" s="70">
        <v>43016</v>
      </c>
      <c r="Q53" s="14" t="str">
        <f t="shared" ca="1" si="1"/>
        <v/>
      </c>
      <c r="R53" s="51"/>
      <c r="S53" s="51"/>
      <c r="T53" s="51"/>
      <c r="U53" s="40"/>
      <c r="V53" s="54"/>
      <c r="W53" s="55"/>
      <c r="X53" s="56"/>
      <c r="Y53" s="38"/>
      <c r="Z53" s="38"/>
      <c r="AA53" s="38"/>
      <c r="AB53" s="38"/>
    </row>
    <row r="54" spans="1:28">
      <c r="A54" s="38">
        <v>53</v>
      </c>
      <c r="B54" s="39" t="s">
        <v>155</v>
      </c>
      <c r="C54" s="40"/>
      <c r="D54" s="42" t="s">
        <v>56</v>
      </c>
      <c r="E54" s="38" t="s">
        <v>332</v>
      </c>
      <c r="F54" s="43" t="s">
        <v>333</v>
      </c>
      <c r="G54" s="44"/>
      <c r="H54" s="45"/>
      <c r="I54" s="38"/>
      <c r="J54" s="38">
        <f>961</f>
        <v>961</v>
      </c>
      <c r="K54" s="46">
        <v>8.9814814814814809E-3</v>
      </c>
      <c r="L54" s="47" t="s">
        <v>61</v>
      </c>
      <c r="M54" s="48"/>
      <c r="N54" s="48"/>
      <c r="O54" s="48">
        <f t="shared" si="0"/>
        <v>0</v>
      </c>
      <c r="P54" s="70">
        <v>43017</v>
      </c>
      <c r="Q54" s="14" t="str">
        <f t="shared" ca="1" si="1"/>
        <v/>
      </c>
      <c r="R54" s="51"/>
      <c r="S54" s="51"/>
      <c r="T54" s="51"/>
      <c r="U54" s="40"/>
      <c r="V54" s="54"/>
      <c r="W54" s="55"/>
      <c r="X54" s="56"/>
      <c r="Y54" s="38"/>
      <c r="Z54" s="38"/>
      <c r="AA54" s="38"/>
      <c r="AB54" s="38"/>
    </row>
    <row r="55" spans="1:28">
      <c r="A55" s="38">
        <v>54</v>
      </c>
      <c r="B55" s="39" t="s">
        <v>136</v>
      </c>
      <c r="C55" s="40"/>
      <c r="D55" s="42" t="s">
        <v>139</v>
      </c>
      <c r="E55" s="38" t="s">
        <v>337</v>
      </c>
      <c r="F55" s="43" t="s">
        <v>338</v>
      </c>
      <c r="G55" s="44"/>
      <c r="H55" s="45"/>
      <c r="I55" s="38"/>
      <c r="J55" s="38">
        <f>1.3*1000</f>
        <v>1300</v>
      </c>
      <c r="K55" s="46">
        <v>9.3171296296296283E-3</v>
      </c>
      <c r="L55" s="47" t="s">
        <v>61</v>
      </c>
      <c r="M55" s="48"/>
      <c r="N55" s="48"/>
      <c r="O55" s="48">
        <f t="shared" si="0"/>
        <v>0</v>
      </c>
      <c r="P55" s="38"/>
      <c r="Q55" s="14" t="str">
        <f t="shared" ca="1" si="1"/>
        <v/>
      </c>
      <c r="R55" s="51"/>
      <c r="S55" s="51"/>
      <c r="T55" s="51"/>
      <c r="U55" s="40"/>
      <c r="V55" s="54"/>
      <c r="W55" s="55"/>
      <c r="X55" s="56"/>
      <c r="Y55" s="38"/>
      <c r="Z55" s="38"/>
      <c r="AA55" s="38"/>
      <c r="AB55" s="38"/>
    </row>
    <row r="56" spans="1:28">
      <c r="A56" s="38">
        <v>55</v>
      </c>
      <c r="B56" s="39" t="s">
        <v>136</v>
      </c>
      <c r="C56" s="40"/>
      <c r="D56" s="42" t="s">
        <v>139</v>
      </c>
      <c r="E56" s="38" t="s">
        <v>342</v>
      </c>
      <c r="F56" s="43" t="s">
        <v>343</v>
      </c>
      <c r="G56" s="44"/>
      <c r="H56" s="45"/>
      <c r="I56" s="38"/>
      <c r="J56" s="38">
        <f>959</f>
        <v>959</v>
      </c>
      <c r="K56" s="46">
        <v>9.0740740740740729E-3</v>
      </c>
      <c r="L56" s="47" t="s">
        <v>61</v>
      </c>
      <c r="M56" s="48"/>
      <c r="N56" s="48"/>
      <c r="O56" s="48">
        <f t="shared" si="0"/>
        <v>0</v>
      </c>
      <c r="P56" s="38"/>
      <c r="Q56" s="14" t="str">
        <f t="shared" ca="1" si="1"/>
        <v/>
      </c>
      <c r="R56" s="51"/>
      <c r="S56" s="51"/>
      <c r="T56" s="51"/>
      <c r="U56" s="40"/>
      <c r="V56" s="54"/>
      <c r="W56" s="55"/>
      <c r="X56" s="56"/>
      <c r="Y56" s="38"/>
      <c r="Z56" s="38"/>
      <c r="AA56" s="38"/>
      <c r="AB56" s="38"/>
    </row>
    <row r="57" spans="1:28">
      <c r="A57" s="38">
        <v>56</v>
      </c>
      <c r="B57" s="39" t="s">
        <v>136</v>
      </c>
      <c r="C57" s="40"/>
      <c r="D57" s="42" t="s">
        <v>139</v>
      </c>
      <c r="E57" s="38" t="s">
        <v>348</v>
      </c>
      <c r="F57" s="43" t="s">
        <v>349</v>
      </c>
      <c r="G57" s="44"/>
      <c r="H57" s="45"/>
      <c r="I57" s="38"/>
      <c r="J57" s="38">
        <f>1.1*1000</f>
        <v>1100</v>
      </c>
      <c r="K57" s="46">
        <v>5.185185185185185E-3</v>
      </c>
      <c r="L57" s="47" t="s">
        <v>61</v>
      </c>
      <c r="M57" s="48"/>
      <c r="N57" s="48"/>
      <c r="O57" s="48">
        <f t="shared" si="0"/>
        <v>0</v>
      </c>
      <c r="P57" s="38"/>
      <c r="Q57" s="14" t="str">
        <f t="shared" ca="1" si="1"/>
        <v/>
      </c>
      <c r="R57" s="51"/>
      <c r="S57" s="51"/>
      <c r="T57" s="51"/>
      <c r="U57" s="40"/>
      <c r="V57" s="54"/>
      <c r="W57" s="55"/>
      <c r="X57" s="56"/>
      <c r="Y57" s="38"/>
      <c r="Z57" s="38"/>
      <c r="AA57" s="38"/>
      <c r="AB57" s="38"/>
    </row>
    <row r="58" spans="1:28">
      <c r="A58" s="38">
        <v>57</v>
      </c>
      <c r="B58" s="39" t="s">
        <v>136</v>
      </c>
      <c r="C58" s="40"/>
      <c r="D58" s="42" t="s">
        <v>139</v>
      </c>
      <c r="E58" s="38" t="s">
        <v>352</v>
      </c>
      <c r="F58" s="43" t="s">
        <v>353</v>
      </c>
      <c r="G58" s="44"/>
      <c r="H58" s="45"/>
      <c r="I58" s="38"/>
      <c r="J58" s="38">
        <f>1*1000</f>
        <v>1000</v>
      </c>
      <c r="K58" s="46">
        <v>8.5995370370370357E-3</v>
      </c>
      <c r="L58" s="47" t="s">
        <v>61</v>
      </c>
      <c r="M58" s="48"/>
      <c r="N58" s="48"/>
      <c r="O58" s="48">
        <f t="shared" si="0"/>
        <v>0</v>
      </c>
      <c r="P58" s="38"/>
      <c r="Q58" s="14" t="str">
        <f t="shared" ca="1" si="1"/>
        <v/>
      </c>
      <c r="R58" s="51"/>
      <c r="S58" s="51"/>
      <c r="T58" s="51"/>
      <c r="U58" s="40"/>
      <c r="V58" s="54"/>
      <c r="W58" s="55"/>
      <c r="X58" s="56"/>
      <c r="Y58" s="38"/>
      <c r="Z58" s="38"/>
      <c r="AA58" s="38"/>
      <c r="AB58" s="38"/>
    </row>
    <row r="59" spans="1:28">
      <c r="A59" s="38">
        <v>58</v>
      </c>
      <c r="B59" s="39" t="s">
        <v>136</v>
      </c>
      <c r="C59" s="40"/>
      <c r="D59" s="42" t="s">
        <v>139</v>
      </c>
      <c r="E59" s="38" t="s">
        <v>356</v>
      </c>
      <c r="F59" s="43" t="s">
        <v>357</v>
      </c>
      <c r="G59" s="44"/>
      <c r="H59" s="45"/>
      <c r="I59" s="38"/>
      <c r="J59" s="38">
        <f>1.5*1000</f>
        <v>1500</v>
      </c>
      <c r="K59" s="46">
        <v>0.01</v>
      </c>
      <c r="L59" s="47" t="s">
        <v>61</v>
      </c>
      <c r="M59" s="48"/>
      <c r="N59" s="48"/>
      <c r="O59" s="48">
        <f t="shared" si="0"/>
        <v>0</v>
      </c>
      <c r="P59" s="38"/>
      <c r="Q59" s="14" t="str">
        <f t="shared" ca="1" si="1"/>
        <v/>
      </c>
      <c r="R59" s="51"/>
      <c r="S59" s="51"/>
      <c r="T59" s="51"/>
      <c r="U59" s="40"/>
      <c r="V59" s="54"/>
      <c r="W59" s="55"/>
      <c r="X59" s="56"/>
      <c r="Y59" s="38"/>
      <c r="Z59" s="38"/>
      <c r="AA59" s="38"/>
      <c r="AB59" s="38"/>
    </row>
    <row r="60" spans="1:28">
      <c r="A60" s="38">
        <v>59</v>
      </c>
      <c r="B60" s="51" t="s">
        <v>55</v>
      </c>
      <c r="C60" s="41"/>
      <c r="D60" s="42" t="s">
        <v>56</v>
      </c>
      <c r="E60" s="38" t="s">
        <v>234</v>
      </c>
      <c r="F60" s="43" t="s">
        <v>235</v>
      </c>
      <c r="G60" s="44"/>
      <c r="H60" s="45"/>
      <c r="I60" s="38"/>
      <c r="J60" s="38">
        <f>3.6*1000</f>
        <v>3600</v>
      </c>
      <c r="K60" s="46">
        <v>3.6516203703703703E-2</v>
      </c>
      <c r="L60" s="47" t="s">
        <v>61</v>
      </c>
      <c r="M60" s="48"/>
      <c r="N60" s="48"/>
      <c r="O60" s="48">
        <f t="shared" si="0"/>
        <v>0</v>
      </c>
      <c r="P60" s="49">
        <v>42989</v>
      </c>
      <c r="Q60" s="14" t="str">
        <f t="shared" ca="1" si="1"/>
        <v/>
      </c>
      <c r="R60" s="90"/>
      <c r="S60" s="51"/>
      <c r="T60" s="51"/>
      <c r="U60" s="40"/>
      <c r="V60" s="54"/>
      <c r="W60" s="55"/>
      <c r="X60" s="56"/>
      <c r="Y60" s="38"/>
      <c r="Z60" s="38"/>
      <c r="AA60" s="38"/>
      <c r="AB60" s="38"/>
    </row>
    <row r="61" spans="1:28">
      <c r="A61" s="38">
        <v>60</v>
      </c>
      <c r="B61" s="39" t="s">
        <v>136</v>
      </c>
      <c r="C61" s="40"/>
      <c r="D61" s="42" t="s">
        <v>139</v>
      </c>
      <c r="E61" s="38" t="s">
        <v>371</v>
      </c>
      <c r="F61" s="43" t="s">
        <v>373</v>
      </c>
      <c r="G61" s="44"/>
      <c r="H61" s="45"/>
      <c r="I61" s="38"/>
      <c r="J61" s="38">
        <f>2.3*1000</f>
        <v>2300</v>
      </c>
      <c r="K61" s="46">
        <v>5.6018518518518518E-3</v>
      </c>
      <c r="L61" s="47" t="s">
        <v>286</v>
      </c>
      <c r="M61" s="48"/>
      <c r="N61" s="48"/>
      <c r="O61" s="48">
        <f t="shared" si="0"/>
        <v>0</v>
      </c>
      <c r="P61" s="38"/>
      <c r="Q61" s="14" t="str">
        <f t="shared" ca="1" si="1"/>
        <v/>
      </c>
      <c r="R61" s="51"/>
      <c r="S61" s="51"/>
      <c r="T61" s="51"/>
      <c r="U61" s="40"/>
      <c r="V61" s="54"/>
      <c r="W61" s="55"/>
      <c r="X61" s="56"/>
      <c r="Y61" s="38"/>
      <c r="Z61" s="38"/>
      <c r="AA61" s="38"/>
      <c r="AB61" s="38"/>
    </row>
    <row r="62" spans="1:28">
      <c r="A62" s="38">
        <v>61</v>
      </c>
      <c r="B62" s="39" t="s">
        <v>136</v>
      </c>
      <c r="C62" s="40"/>
      <c r="D62" s="42" t="s">
        <v>139</v>
      </c>
      <c r="E62" s="38" t="s">
        <v>377</v>
      </c>
      <c r="F62" s="43" t="s">
        <v>378</v>
      </c>
      <c r="G62" s="44"/>
      <c r="H62" s="45"/>
      <c r="I62" s="38"/>
      <c r="J62" s="38">
        <f>709</f>
        <v>709</v>
      </c>
      <c r="K62" s="46">
        <v>2.0138888888888888E-3</v>
      </c>
      <c r="L62" s="47" t="s">
        <v>286</v>
      </c>
      <c r="M62" s="48"/>
      <c r="N62" s="48"/>
      <c r="O62" s="48">
        <f t="shared" si="0"/>
        <v>0</v>
      </c>
      <c r="P62" s="38"/>
      <c r="Q62" s="14" t="str">
        <f t="shared" ca="1" si="1"/>
        <v/>
      </c>
      <c r="R62" s="51"/>
      <c r="S62" s="51"/>
      <c r="T62" s="51"/>
      <c r="U62" s="40"/>
      <c r="V62" s="54"/>
      <c r="W62" s="55"/>
      <c r="X62" s="56"/>
      <c r="Y62" s="38"/>
      <c r="Z62" s="38"/>
      <c r="AA62" s="38"/>
      <c r="AB62" s="38"/>
    </row>
    <row r="63" spans="1:28">
      <c r="A63" s="38">
        <v>62</v>
      </c>
      <c r="B63" s="51" t="s">
        <v>55</v>
      </c>
      <c r="C63" s="41"/>
      <c r="D63" s="42" t="s">
        <v>56</v>
      </c>
      <c r="E63" s="38" t="s">
        <v>299</v>
      </c>
      <c r="F63" s="43" t="s">
        <v>300</v>
      </c>
      <c r="G63" s="44"/>
      <c r="H63" s="45"/>
      <c r="I63" s="38"/>
      <c r="J63" s="38">
        <f>6.1*1000</f>
        <v>6100</v>
      </c>
      <c r="K63" s="46">
        <v>3.6041666666666666E-2</v>
      </c>
      <c r="L63" s="47" t="s">
        <v>286</v>
      </c>
      <c r="M63" s="48"/>
      <c r="N63" s="48"/>
      <c r="O63" s="48">
        <f t="shared" si="0"/>
        <v>0</v>
      </c>
      <c r="P63" s="49">
        <v>42997</v>
      </c>
      <c r="Q63" s="14" t="str">
        <f t="shared" ca="1" si="1"/>
        <v/>
      </c>
      <c r="R63" s="51"/>
      <c r="S63" s="51"/>
      <c r="T63" s="51"/>
      <c r="U63" s="40"/>
      <c r="V63" s="54"/>
      <c r="W63" s="55"/>
      <c r="X63" s="56"/>
      <c r="Y63" s="38"/>
      <c r="Z63" s="38"/>
      <c r="AA63" s="38"/>
      <c r="AB63" s="38"/>
    </row>
    <row r="64" spans="1:28">
      <c r="A64" s="38">
        <v>63</v>
      </c>
      <c r="B64" s="39" t="s">
        <v>382</v>
      </c>
      <c r="C64" s="40"/>
      <c r="D64" s="42" t="s">
        <v>56</v>
      </c>
      <c r="E64" s="38" t="s">
        <v>384</v>
      </c>
      <c r="F64" s="43" t="s">
        <v>385</v>
      </c>
      <c r="G64" s="44"/>
      <c r="H64" s="45"/>
      <c r="I64" s="38"/>
      <c r="J64" s="38">
        <f>1.2*1000</f>
        <v>1200</v>
      </c>
      <c r="K64" s="46">
        <v>1.1446759259259261E-2</v>
      </c>
      <c r="L64" s="47" t="s">
        <v>286</v>
      </c>
      <c r="M64" s="48"/>
      <c r="N64" s="48"/>
      <c r="O64" s="48">
        <f t="shared" si="0"/>
        <v>0</v>
      </c>
      <c r="P64" s="38"/>
      <c r="Q64" s="14" t="str">
        <f t="shared" ca="1" si="1"/>
        <v/>
      </c>
      <c r="R64" s="51"/>
      <c r="S64" s="51"/>
      <c r="T64" s="51"/>
      <c r="U64" s="40"/>
      <c r="V64" s="54"/>
      <c r="W64" s="55"/>
      <c r="X64" s="56"/>
      <c r="Y64" s="38"/>
      <c r="Z64" s="38"/>
      <c r="AA64" s="38"/>
      <c r="AB64" s="38"/>
    </row>
    <row r="65" spans="1:28">
      <c r="A65" s="38">
        <v>64</v>
      </c>
      <c r="B65" s="39" t="s">
        <v>382</v>
      </c>
      <c r="C65" s="40"/>
      <c r="D65" s="42" t="s">
        <v>56</v>
      </c>
      <c r="E65" s="38" t="s">
        <v>388</v>
      </c>
      <c r="F65" s="43" t="s">
        <v>389</v>
      </c>
      <c r="G65" s="44"/>
      <c r="H65" s="45"/>
      <c r="I65" s="38"/>
      <c r="J65" s="38">
        <f>694</f>
        <v>694</v>
      </c>
      <c r="K65" s="46">
        <v>9.1203703703703707E-3</v>
      </c>
      <c r="L65" s="47" t="s">
        <v>286</v>
      </c>
      <c r="M65" s="48"/>
      <c r="N65" s="48"/>
      <c r="O65" s="48">
        <f t="shared" si="0"/>
        <v>0</v>
      </c>
      <c r="P65" s="65">
        <v>43022</v>
      </c>
      <c r="Q65" s="14" t="str">
        <f t="shared" ca="1" si="1"/>
        <v/>
      </c>
      <c r="R65" s="51"/>
      <c r="S65" s="51"/>
      <c r="T65" s="51"/>
      <c r="U65" s="40"/>
      <c r="V65" s="54"/>
      <c r="W65" s="55"/>
      <c r="X65" s="56"/>
      <c r="Y65" s="38"/>
      <c r="Z65" s="38"/>
      <c r="AA65" s="38"/>
      <c r="AB65" s="38"/>
    </row>
    <row r="66" spans="1:28">
      <c r="A66" s="38">
        <v>65</v>
      </c>
      <c r="B66" s="39" t="s">
        <v>382</v>
      </c>
      <c r="C66" s="40"/>
      <c r="D66" s="42" t="s">
        <v>56</v>
      </c>
      <c r="E66" s="38" t="s">
        <v>393</v>
      </c>
      <c r="F66" s="43" t="s">
        <v>394</v>
      </c>
      <c r="G66" s="44"/>
      <c r="H66" s="45"/>
      <c r="I66" s="38"/>
      <c r="J66" s="38">
        <f>588</f>
        <v>588</v>
      </c>
      <c r="K66" s="46">
        <v>7.1990740740740739E-3</v>
      </c>
      <c r="L66" s="47" t="s">
        <v>286</v>
      </c>
      <c r="M66" s="48"/>
      <c r="N66" s="48"/>
      <c r="O66" s="48">
        <f t="shared" si="0"/>
        <v>0</v>
      </c>
      <c r="P66" s="65">
        <v>43023</v>
      </c>
      <c r="Q66" s="14" t="str">
        <f t="shared" ca="1" si="1"/>
        <v/>
      </c>
      <c r="R66" s="51"/>
      <c r="S66" s="51"/>
      <c r="T66" s="51"/>
      <c r="U66" s="40"/>
      <c r="V66" s="54"/>
      <c r="W66" s="55"/>
      <c r="X66" s="56"/>
      <c r="Y66" s="38"/>
      <c r="Z66" s="38"/>
      <c r="AA66" s="38"/>
      <c r="AB66" s="38"/>
    </row>
    <row r="67" spans="1:28">
      <c r="A67" s="38">
        <v>66</v>
      </c>
      <c r="B67" s="39" t="s">
        <v>136</v>
      </c>
      <c r="C67" s="40"/>
      <c r="D67" s="42" t="s">
        <v>139</v>
      </c>
      <c r="E67" s="38" t="s">
        <v>399</v>
      </c>
      <c r="F67" s="43" t="s">
        <v>401</v>
      </c>
      <c r="G67" s="44"/>
      <c r="H67" s="45"/>
      <c r="I67" s="38"/>
      <c r="J67" s="38">
        <f>2.9*1000</f>
        <v>2900</v>
      </c>
      <c r="K67" s="46">
        <v>2.7766203703703706E-2</v>
      </c>
      <c r="L67" s="47" t="s">
        <v>286</v>
      </c>
      <c r="M67" s="48"/>
      <c r="N67" s="48"/>
      <c r="O67" s="48">
        <f t="shared" si="0"/>
        <v>0</v>
      </c>
      <c r="P67" s="38"/>
      <c r="Q67" s="14" t="str">
        <f t="shared" ca="1" si="1"/>
        <v/>
      </c>
      <c r="R67" s="51"/>
      <c r="S67" s="51"/>
      <c r="T67" s="51"/>
      <c r="U67" s="40"/>
      <c r="V67" s="54"/>
      <c r="W67" s="55"/>
      <c r="X67" s="56"/>
      <c r="Y67" s="38"/>
      <c r="Z67" s="38"/>
      <c r="AA67" s="38"/>
      <c r="AB67" s="38"/>
    </row>
    <row r="68" spans="1:28">
      <c r="A68" s="38">
        <v>67</v>
      </c>
      <c r="B68" s="39" t="s">
        <v>136</v>
      </c>
      <c r="C68" s="40"/>
      <c r="D68" s="42" t="s">
        <v>139</v>
      </c>
      <c r="E68" s="38" t="s">
        <v>404</v>
      </c>
      <c r="F68" s="43" t="s">
        <v>407</v>
      </c>
      <c r="G68" s="44"/>
      <c r="H68" s="45"/>
      <c r="I68" s="38"/>
      <c r="J68" s="38">
        <f>575</f>
        <v>575</v>
      </c>
      <c r="K68" s="46">
        <v>5.0347222222222225E-3</v>
      </c>
      <c r="L68" s="47" t="s">
        <v>286</v>
      </c>
      <c r="M68" s="48"/>
      <c r="N68" s="48"/>
      <c r="O68" s="48">
        <f t="shared" si="0"/>
        <v>0</v>
      </c>
      <c r="P68" s="38"/>
      <c r="Q68" s="14" t="str">
        <f t="shared" ca="1" si="1"/>
        <v/>
      </c>
      <c r="R68" s="51"/>
      <c r="S68" s="51"/>
      <c r="T68" s="51"/>
      <c r="U68" s="40"/>
      <c r="V68" s="54"/>
      <c r="W68" s="55"/>
      <c r="X68" s="56"/>
      <c r="Y68" s="38"/>
      <c r="Z68" s="38"/>
      <c r="AA68" s="38"/>
      <c r="AB68" s="38"/>
    </row>
    <row r="69" spans="1:28">
      <c r="A69" s="38">
        <v>68</v>
      </c>
      <c r="B69" s="39" t="s">
        <v>382</v>
      </c>
      <c r="C69" s="40"/>
      <c r="D69" s="42" t="s">
        <v>56</v>
      </c>
      <c r="E69" s="38" t="s">
        <v>412</v>
      </c>
      <c r="F69" s="43" t="s">
        <v>414</v>
      </c>
      <c r="G69" s="44"/>
      <c r="H69" s="45"/>
      <c r="I69" s="38"/>
      <c r="J69" s="38">
        <f t="shared" ref="J69:J70" si="3">2.5*1000</f>
        <v>2500</v>
      </c>
      <c r="K69" s="46">
        <v>2.4166666666666666E-2</v>
      </c>
      <c r="L69" s="47" t="s">
        <v>286</v>
      </c>
      <c r="M69" s="48"/>
      <c r="N69" s="48"/>
      <c r="O69" s="48">
        <f t="shared" si="0"/>
        <v>0</v>
      </c>
      <c r="P69" s="65">
        <v>43029</v>
      </c>
      <c r="Q69" s="14" t="str">
        <f t="shared" ca="1" si="1"/>
        <v/>
      </c>
      <c r="R69" s="51"/>
      <c r="S69" s="51"/>
      <c r="T69" s="51"/>
      <c r="U69" s="40"/>
      <c r="V69" s="54"/>
      <c r="W69" s="55"/>
      <c r="X69" s="56"/>
      <c r="Y69" s="38"/>
      <c r="Z69" s="38"/>
      <c r="AA69" s="38"/>
      <c r="AB69" s="38"/>
    </row>
    <row r="70" spans="1:28">
      <c r="A70" s="38">
        <v>69</v>
      </c>
      <c r="B70" s="39" t="s">
        <v>382</v>
      </c>
      <c r="C70" s="40"/>
      <c r="D70" s="42" t="s">
        <v>56</v>
      </c>
      <c r="E70" s="38" t="s">
        <v>418</v>
      </c>
      <c r="F70" s="43" t="s">
        <v>420</v>
      </c>
      <c r="G70" s="44"/>
      <c r="H70" s="45"/>
      <c r="I70" s="38"/>
      <c r="J70" s="38">
        <f t="shared" si="3"/>
        <v>2500</v>
      </c>
      <c r="K70" s="46">
        <v>3.5428240740740739E-2</v>
      </c>
      <c r="L70" s="47" t="s">
        <v>286</v>
      </c>
      <c r="M70" s="48"/>
      <c r="N70" s="48"/>
      <c r="O70" s="48">
        <f t="shared" si="0"/>
        <v>0</v>
      </c>
      <c r="P70" s="65">
        <v>43030</v>
      </c>
      <c r="Q70" s="14" t="str">
        <f t="shared" ca="1" si="1"/>
        <v/>
      </c>
      <c r="R70" s="51"/>
      <c r="S70" s="51"/>
      <c r="T70" s="51"/>
      <c r="U70" s="40"/>
      <c r="V70" s="54"/>
      <c r="W70" s="55"/>
      <c r="X70" s="56"/>
      <c r="Y70" s="38"/>
      <c r="Z70" s="38"/>
      <c r="AA70" s="38"/>
      <c r="AB70" s="38"/>
    </row>
    <row r="71" spans="1:28">
      <c r="A71" s="38">
        <v>70</v>
      </c>
      <c r="B71" s="39" t="s">
        <v>382</v>
      </c>
      <c r="C71" s="40"/>
      <c r="D71" s="42" t="s">
        <v>56</v>
      </c>
      <c r="E71" s="38" t="s">
        <v>422</v>
      </c>
      <c r="F71" s="43" t="s">
        <v>423</v>
      </c>
      <c r="G71" s="44"/>
      <c r="H71" s="45"/>
      <c r="I71" s="38"/>
      <c r="J71" s="38">
        <f>568</f>
        <v>568</v>
      </c>
      <c r="K71" s="46">
        <v>3.5185185185185185E-3</v>
      </c>
      <c r="L71" s="47" t="s">
        <v>286</v>
      </c>
      <c r="M71" s="48"/>
      <c r="N71" s="48"/>
      <c r="O71" s="48">
        <f t="shared" si="0"/>
        <v>0</v>
      </c>
      <c r="P71" s="65">
        <v>43031</v>
      </c>
      <c r="Q71" s="14" t="str">
        <f t="shared" ca="1" si="1"/>
        <v/>
      </c>
      <c r="R71" s="51"/>
      <c r="S71" s="51"/>
      <c r="T71" s="51"/>
      <c r="U71" s="40"/>
      <c r="V71" s="54"/>
      <c r="W71" s="55"/>
      <c r="X71" s="56"/>
      <c r="Y71" s="38"/>
      <c r="Z71" s="38"/>
      <c r="AA71" s="38"/>
      <c r="AB71" s="38"/>
    </row>
    <row r="72" spans="1:28">
      <c r="A72" s="38">
        <v>71</v>
      </c>
      <c r="B72" s="39" t="s">
        <v>382</v>
      </c>
      <c r="C72" s="40"/>
      <c r="D72" s="42" t="s">
        <v>56</v>
      </c>
      <c r="E72" s="38" t="s">
        <v>429</v>
      </c>
      <c r="F72" s="43" t="s">
        <v>430</v>
      </c>
      <c r="G72" s="44"/>
      <c r="H72" s="45"/>
      <c r="I72" s="38"/>
      <c r="J72" s="38">
        <f>1.1*1000</f>
        <v>1100</v>
      </c>
      <c r="K72" s="46">
        <v>8.5532407407407415E-3</v>
      </c>
      <c r="L72" s="47" t="s">
        <v>286</v>
      </c>
      <c r="M72" s="48"/>
      <c r="N72" s="48"/>
      <c r="O72" s="48">
        <f t="shared" si="0"/>
        <v>0</v>
      </c>
      <c r="P72" s="65">
        <v>43035</v>
      </c>
      <c r="Q72" s="14" t="str">
        <f t="shared" ca="1" si="1"/>
        <v/>
      </c>
      <c r="R72" s="51"/>
      <c r="S72" s="51"/>
      <c r="T72" s="51"/>
      <c r="U72" s="40"/>
      <c r="V72" s="54"/>
      <c r="W72" s="55"/>
      <c r="X72" s="56"/>
      <c r="Y72" s="38"/>
      <c r="Z72" s="38"/>
      <c r="AA72" s="38"/>
      <c r="AB72" s="38"/>
    </row>
    <row r="73" spans="1:28">
      <c r="A73" s="38">
        <v>72</v>
      </c>
      <c r="B73" s="39" t="s">
        <v>382</v>
      </c>
      <c r="C73" s="40"/>
      <c r="D73" s="42" t="s">
        <v>56</v>
      </c>
      <c r="E73" s="38" t="s">
        <v>437</v>
      </c>
      <c r="F73" s="43" t="s">
        <v>438</v>
      </c>
      <c r="G73" s="44"/>
      <c r="H73" s="45"/>
      <c r="I73" s="38"/>
      <c r="J73" s="38">
        <f>868</f>
        <v>868</v>
      </c>
      <c r="K73" s="46">
        <v>1.091435185185185E-2</v>
      </c>
      <c r="L73" s="47" t="s">
        <v>286</v>
      </c>
      <c r="M73" s="48"/>
      <c r="N73" s="48"/>
      <c r="O73" s="48">
        <f t="shared" si="0"/>
        <v>0</v>
      </c>
      <c r="P73" s="65">
        <v>43039</v>
      </c>
      <c r="Q73" s="14" t="str">
        <f t="shared" ca="1" si="1"/>
        <v/>
      </c>
      <c r="R73" s="51"/>
      <c r="S73" s="51"/>
      <c r="T73" s="51"/>
      <c r="U73" s="40"/>
      <c r="V73" s="54"/>
      <c r="W73" s="55"/>
      <c r="X73" s="56"/>
      <c r="Y73" s="38"/>
      <c r="Z73" s="38"/>
      <c r="AA73" s="38"/>
      <c r="AB73" s="38"/>
    </row>
    <row r="74" spans="1:28">
      <c r="A74" s="38">
        <v>73</v>
      </c>
      <c r="B74" s="39" t="s">
        <v>54</v>
      </c>
      <c r="C74" s="40"/>
      <c r="D74" s="42" t="s">
        <v>56</v>
      </c>
      <c r="E74" s="38" t="s">
        <v>283</v>
      </c>
      <c r="F74" s="43" t="s">
        <v>284</v>
      </c>
      <c r="G74" s="44"/>
      <c r="H74" s="45"/>
      <c r="I74" s="38"/>
      <c r="J74" s="38">
        <f>28*1000</f>
        <v>28000</v>
      </c>
      <c r="K74" s="46">
        <v>6.7152777777777783E-2</v>
      </c>
      <c r="L74" s="47" t="s">
        <v>286</v>
      </c>
      <c r="M74" s="48"/>
      <c r="N74" s="48"/>
      <c r="O74" s="48">
        <f t="shared" si="0"/>
        <v>0</v>
      </c>
      <c r="P74" s="65">
        <v>43021</v>
      </c>
      <c r="Q74" s="14" t="str">
        <f t="shared" ca="1" si="1"/>
        <v/>
      </c>
      <c r="R74" s="39" t="s">
        <v>63</v>
      </c>
      <c r="S74" s="39" t="s">
        <v>131</v>
      </c>
      <c r="T74" s="39" t="s">
        <v>63</v>
      </c>
      <c r="U74" s="40"/>
      <c r="V74" s="54"/>
      <c r="W74" s="69" t="s">
        <v>64</v>
      </c>
      <c r="X74" s="56"/>
      <c r="Y74" s="38"/>
      <c r="Z74" s="38"/>
      <c r="AA74" s="38"/>
      <c r="AB74" s="38"/>
    </row>
    <row r="75" spans="1:28">
      <c r="A75" s="38">
        <v>74</v>
      </c>
      <c r="B75" s="51" t="s">
        <v>55</v>
      </c>
      <c r="C75" s="41"/>
      <c r="D75" s="42" t="s">
        <v>56</v>
      </c>
      <c r="E75" s="38" t="s">
        <v>318</v>
      </c>
      <c r="F75" s="43" t="s">
        <v>319</v>
      </c>
      <c r="G75" s="44"/>
      <c r="H75" s="45"/>
      <c r="I75" s="38"/>
      <c r="J75" s="38">
        <f>4.4*1000</f>
        <v>4400</v>
      </c>
      <c r="K75" s="46">
        <v>4.2280092592592598E-2</v>
      </c>
      <c r="L75" s="47" t="s">
        <v>286</v>
      </c>
      <c r="M75" s="48"/>
      <c r="N75" s="48"/>
      <c r="O75" s="48">
        <f t="shared" si="0"/>
        <v>0</v>
      </c>
      <c r="P75" s="49">
        <v>43003</v>
      </c>
      <c r="Q75" s="14" t="str">
        <f t="shared" ca="1" si="1"/>
        <v/>
      </c>
      <c r="R75" s="51"/>
      <c r="S75" s="51"/>
      <c r="T75" s="51"/>
      <c r="U75" s="40"/>
      <c r="V75" s="54"/>
      <c r="W75" s="55"/>
      <c r="X75" s="56"/>
      <c r="Y75" s="38"/>
      <c r="Z75" s="38"/>
      <c r="AA75" s="38"/>
      <c r="AB75" s="38"/>
    </row>
    <row r="76" spans="1:28">
      <c r="A76" s="38">
        <v>75</v>
      </c>
      <c r="B76" s="39" t="s">
        <v>382</v>
      </c>
      <c r="C76" s="40"/>
      <c r="D76" s="42" t="s">
        <v>56</v>
      </c>
      <c r="E76" s="38" t="s">
        <v>450</v>
      </c>
      <c r="F76" s="43" t="s">
        <v>451</v>
      </c>
      <c r="G76" s="44"/>
      <c r="H76" s="45"/>
      <c r="I76" s="38"/>
      <c r="J76" s="38">
        <f>7.3*1000</f>
        <v>7300</v>
      </c>
      <c r="K76" s="46">
        <v>4.8854166666666664E-2</v>
      </c>
      <c r="L76" s="47" t="s">
        <v>286</v>
      </c>
      <c r="M76" s="48"/>
      <c r="N76" s="48"/>
      <c r="O76" s="48">
        <f t="shared" si="0"/>
        <v>0</v>
      </c>
      <c r="P76" s="101">
        <v>43044</v>
      </c>
      <c r="Q76" s="14" t="str">
        <f t="shared" ca="1" si="1"/>
        <v/>
      </c>
      <c r="R76" s="51"/>
      <c r="S76" s="51"/>
      <c r="T76" s="51"/>
      <c r="U76" s="40"/>
      <c r="V76" s="54"/>
      <c r="W76" s="55"/>
      <c r="X76" s="56"/>
      <c r="Y76" s="38"/>
      <c r="Z76" s="38"/>
      <c r="AA76" s="38"/>
      <c r="AB76" s="38"/>
    </row>
    <row r="77" spans="1:28">
      <c r="A77" s="38">
        <v>76</v>
      </c>
      <c r="B77" s="39" t="s">
        <v>54</v>
      </c>
      <c r="C77" s="40"/>
      <c r="D77" s="42" t="s">
        <v>56</v>
      </c>
      <c r="E77" s="38" t="s">
        <v>457</v>
      </c>
      <c r="F77" s="43" t="s">
        <v>458</v>
      </c>
      <c r="G77" s="44"/>
      <c r="H77" s="45"/>
      <c r="I77" s="38"/>
      <c r="J77" s="38">
        <f>7.9*1000</f>
        <v>7900</v>
      </c>
      <c r="K77" s="46">
        <v>2.476851851851852E-2</v>
      </c>
      <c r="L77" s="47" t="s">
        <v>286</v>
      </c>
      <c r="M77" s="48"/>
      <c r="N77" s="48"/>
      <c r="O77" s="48">
        <f t="shared" si="0"/>
        <v>0</v>
      </c>
      <c r="P77" s="65">
        <v>43032</v>
      </c>
      <c r="Q77" s="14" t="str">
        <f t="shared" ca="1" si="1"/>
        <v/>
      </c>
      <c r="R77" s="39" t="s">
        <v>63</v>
      </c>
      <c r="S77" s="39" t="s">
        <v>63</v>
      </c>
      <c r="T77" s="39" t="s">
        <v>63</v>
      </c>
      <c r="U77" s="40"/>
      <c r="V77" s="54"/>
      <c r="W77" s="69" t="s">
        <v>64</v>
      </c>
      <c r="X77" s="56"/>
      <c r="Y77" s="38"/>
      <c r="Z77" s="38"/>
      <c r="AA77" s="38"/>
      <c r="AB77" s="38"/>
    </row>
    <row r="78" spans="1:28">
      <c r="A78" s="38">
        <v>77</v>
      </c>
      <c r="B78" s="51"/>
      <c r="C78" s="40"/>
      <c r="D78" s="38"/>
      <c r="E78" s="38" t="s">
        <v>463</v>
      </c>
      <c r="F78" s="43" t="s">
        <v>464</v>
      </c>
      <c r="G78" s="44"/>
      <c r="H78" s="45"/>
      <c r="I78" s="38"/>
      <c r="J78" s="38">
        <f>11*1000</f>
        <v>11000</v>
      </c>
      <c r="K78" s="46">
        <v>3.75462962962963E-2</v>
      </c>
      <c r="L78" s="47" t="s">
        <v>286</v>
      </c>
      <c r="M78" s="48"/>
      <c r="N78" s="48"/>
      <c r="O78" s="48">
        <f t="shared" si="0"/>
        <v>0</v>
      </c>
      <c r="P78" s="38"/>
      <c r="Q78" s="14" t="str">
        <f t="shared" ca="1" si="1"/>
        <v/>
      </c>
      <c r="R78" s="51"/>
      <c r="S78" s="51"/>
      <c r="T78" s="51"/>
      <c r="U78" s="40"/>
      <c r="V78" s="54"/>
      <c r="W78" s="55"/>
      <c r="X78" s="56"/>
      <c r="Y78" s="38"/>
      <c r="Z78" s="38"/>
      <c r="AA78" s="38"/>
      <c r="AB78" s="38"/>
    </row>
    <row r="79" spans="1:28">
      <c r="A79" s="38">
        <v>78</v>
      </c>
      <c r="B79" s="51"/>
      <c r="C79" s="40"/>
      <c r="D79" s="38"/>
      <c r="E79" s="38" t="s">
        <v>469</v>
      </c>
      <c r="F79" s="43" t="s">
        <v>470</v>
      </c>
      <c r="G79" s="44"/>
      <c r="H79" s="45"/>
      <c r="I79" s="38"/>
      <c r="J79" s="38">
        <f>6.6*1000</f>
        <v>6600</v>
      </c>
      <c r="K79" s="46">
        <v>2.4131944444444445E-2</v>
      </c>
      <c r="L79" s="47" t="s">
        <v>286</v>
      </c>
      <c r="M79" s="48"/>
      <c r="N79" s="48"/>
      <c r="O79" s="48">
        <f t="shared" si="0"/>
        <v>0</v>
      </c>
      <c r="P79" s="38"/>
      <c r="Q79" s="14" t="str">
        <f t="shared" ca="1" si="1"/>
        <v/>
      </c>
      <c r="R79" s="51"/>
      <c r="S79" s="51"/>
      <c r="T79" s="51"/>
      <c r="U79" s="40"/>
      <c r="V79" s="54"/>
      <c r="W79" s="55"/>
      <c r="X79" s="56"/>
      <c r="Y79" s="38"/>
      <c r="Z79" s="38"/>
      <c r="AA79" s="38"/>
      <c r="AB79" s="38"/>
    </row>
    <row r="80" spans="1:28">
      <c r="A80" s="38">
        <v>79</v>
      </c>
      <c r="B80" s="39" t="s">
        <v>55</v>
      </c>
      <c r="C80" s="41"/>
      <c r="D80" s="42" t="s">
        <v>56</v>
      </c>
      <c r="E80" s="38" t="s">
        <v>475</v>
      </c>
      <c r="F80" s="43" t="s">
        <v>476</v>
      </c>
      <c r="G80" s="44"/>
      <c r="H80" s="45"/>
      <c r="I80" s="38"/>
      <c r="J80" s="38">
        <f>5.8*1000</f>
        <v>5800</v>
      </c>
      <c r="K80" s="46">
        <v>3.2534722222222222E-2</v>
      </c>
      <c r="L80" s="47" t="s">
        <v>286</v>
      </c>
      <c r="M80" s="48"/>
      <c r="N80" s="48"/>
      <c r="O80" s="48">
        <f t="shared" si="0"/>
        <v>0</v>
      </c>
      <c r="P80" s="38"/>
      <c r="Q80" s="14" t="str">
        <f t="shared" ca="1" si="1"/>
        <v/>
      </c>
      <c r="R80" s="51"/>
      <c r="S80" s="51"/>
      <c r="T80" s="51"/>
      <c r="U80" s="40"/>
      <c r="V80" s="54"/>
      <c r="W80" s="55"/>
      <c r="X80" s="56"/>
      <c r="Y80" s="38"/>
      <c r="Z80" s="38"/>
      <c r="AA80" s="38"/>
      <c r="AB80" s="38"/>
    </row>
    <row r="81" spans="1:28">
      <c r="A81" s="38">
        <v>80</v>
      </c>
      <c r="B81" s="51"/>
      <c r="C81" s="40"/>
      <c r="D81" s="38"/>
      <c r="E81" s="38" t="s">
        <v>479</v>
      </c>
      <c r="F81" s="43" t="s">
        <v>480</v>
      </c>
      <c r="G81" s="44"/>
      <c r="H81" s="45"/>
      <c r="I81" s="38"/>
      <c r="J81" s="38">
        <f>4.5*1000</f>
        <v>4500</v>
      </c>
      <c r="K81" s="46">
        <v>9.8958333333333329E-3</v>
      </c>
      <c r="L81" s="47" t="s">
        <v>286</v>
      </c>
      <c r="M81" s="48"/>
      <c r="N81" s="48"/>
      <c r="O81" s="48">
        <f t="shared" si="0"/>
        <v>0</v>
      </c>
      <c r="P81" s="38"/>
      <c r="Q81" s="14" t="str">
        <f t="shared" ca="1" si="1"/>
        <v/>
      </c>
      <c r="R81" s="51"/>
      <c r="S81" s="51"/>
      <c r="T81" s="51"/>
      <c r="U81" s="40"/>
      <c r="V81" s="54"/>
      <c r="W81" s="55"/>
      <c r="X81" s="56"/>
      <c r="Y81" s="38"/>
      <c r="Z81" s="38"/>
      <c r="AA81" s="38"/>
      <c r="AB81" s="38"/>
    </row>
    <row r="82" spans="1:28">
      <c r="A82" s="38">
        <v>81</v>
      </c>
      <c r="B82" s="51"/>
      <c r="C82" s="40"/>
      <c r="D82" s="38"/>
      <c r="E82" s="38" t="s">
        <v>484</v>
      </c>
      <c r="F82" s="43" t="s">
        <v>485</v>
      </c>
      <c r="G82" s="44"/>
      <c r="H82" s="45"/>
      <c r="I82" s="38"/>
      <c r="J82" s="38">
        <f>2*1000</f>
        <v>2000</v>
      </c>
      <c r="K82" s="46">
        <v>2.7893518518518519E-3</v>
      </c>
      <c r="L82" s="47" t="s">
        <v>286</v>
      </c>
      <c r="M82" s="48"/>
      <c r="N82" s="48"/>
      <c r="O82" s="48">
        <f t="shared" si="0"/>
        <v>0</v>
      </c>
      <c r="P82" s="38"/>
      <c r="Q82" s="14" t="str">
        <f t="shared" ca="1" si="1"/>
        <v/>
      </c>
      <c r="R82" s="51"/>
      <c r="S82" s="51"/>
      <c r="T82" s="51"/>
      <c r="U82" s="40"/>
      <c r="V82" s="54"/>
      <c r="W82" s="55"/>
      <c r="X82" s="56"/>
      <c r="Y82" s="38"/>
      <c r="Z82" s="38"/>
      <c r="AA82" s="38"/>
      <c r="AB82" s="38"/>
    </row>
    <row r="83" spans="1:28">
      <c r="A83" s="38">
        <v>82</v>
      </c>
      <c r="B83" s="51"/>
      <c r="C83" s="40"/>
      <c r="D83" s="38"/>
      <c r="E83" s="38" t="s">
        <v>490</v>
      </c>
      <c r="F83" s="43" t="s">
        <v>491</v>
      </c>
      <c r="G83" s="44"/>
      <c r="H83" s="45"/>
      <c r="I83" s="38"/>
      <c r="J83" s="38">
        <f>3.7*1000</f>
        <v>3700</v>
      </c>
      <c r="K83" s="46">
        <v>1.1875000000000002E-2</v>
      </c>
      <c r="L83" s="47" t="s">
        <v>286</v>
      </c>
      <c r="M83" s="48"/>
      <c r="N83" s="48"/>
      <c r="O83" s="48">
        <f t="shared" si="0"/>
        <v>0</v>
      </c>
      <c r="P83" s="38"/>
      <c r="Q83" s="14" t="str">
        <f t="shared" ca="1" si="1"/>
        <v/>
      </c>
      <c r="R83" s="51"/>
      <c r="S83" s="51"/>
      <c r="T83" s="51"/>
      <c r="U83" s="40"/>
      <c r="V83" s="54"/>
      <c r="W83" s="55"/>
      <c r="X83" s="56"/>
      <c r="Y83" s="38"/>
      <c r="Z83" s="38"/>
      <c r="AA83" s="38"/>
      <c r="AB83" s="38"/>
    </row>
    <row r="84" spans="1:28">
      <c r="A84" s="38">
        <v>83</v>
      </c>
      <c r="B84" s="51"/>
      <c r="C84" s="40"/>
      <c r="D84" s="38"/>
      <c r="E84" s="38" t="s">
        <v>493</v>
      </c>
      <c r="F84" s="43" t="s">
        <v>494</v>
      </c>
      <c r="G84" s="44"/>
      <c r="H84" s="45"/>
      <c r="I84" s="38"/>
      <c r="J84" s="38">
        <f>965</f>
        <v>965</v>
      </c>
      <c r="K84" s="46">
        <v>1.6087962962962963E-3</v>
      </c>
      <c r="L84" s="47" t="s">
        <v>286</v>
      </c>
      <c r="M84" s="48"/>
      <c r="N84" s="48"/>
      <c r="O84" s="48">
        <f t="shared" si="0"/>
        <v>0</v>
      </c>
      <c r="P84" s="38"/>
      <c r="Q84" s="14" t="str">
        <f t="shared" ca="1" si="1"/>
        <v/>
      </c>
      <c r="R84" s="51"/>
      <c r="S84" s="51"/>
      <c r="T84" s="51"/>
      <c r="U84" s="40"/>
      <c r="V84" s="54"/>
      <c r="W84" s="55"/>
      <c r="X84" s="56"/>
      <c r="Y84" s="38"/>
      <c r="Z84" s="38"/>
      <c r="AA84" s="38"/>
      <c r="AB84" s="38"/>
    </row>
    <row r="85" spans="1:28">
      <c r="A85" s="38">
        <v>84</v>
      </c>
      <c r="B85" s="39" t="s">
        <v>497</v>
      </c>
      <c r="C85" s="40"/>
      <c r="D85" s="42" t="s">
        <v>139</v>
      </c>
      <c r="E85" s="38" t="s">
        <v>498</v>
      </c>
      <c r="F85" s="43" t="s">
        <v>499</v>
      </c>
      <c r="G85" s="44"/>
      <c r="H85" s="45"/>
      <c r="I85" s="38"/>
      <c r="J85" s="38">
        <f>3.9*1000</f>
        <v>3900</v>
      </c>
      <c r="K85" s="46">
        <v>4.2152777777777782E-2</v>
      </c>
      <c r="L85" s="47" t="s">
        <v>286</v>
      </c>
      <c r="M85" s="48"/>
      <c r="N85" s="48"/>
      <c r="O85" s="48">
        <f t="shared" si="0"/>
        <v>0</v>
      </c>
      <c r="P85" s="38"/>
      <c r="Q85" s="14" t="str">
        <f t="shared" ca="1" si="1"/>
        <v/>
      </c>
      <c r="R85" s="51"/>
      <c r="S85" s="51"/>
      <c r="T85" s="51"/>
      <c r="U85" s="40"/>
      <c r="V85" s="54"/>
      <c r="W85" s="55"/>
      <c r="X85" s="56"/>
      <c r="Y85" s="38"/>
      <c r="Z85" s="38"/>
      <c r="AA85" s="38"/>
      <c r="AB85" s="38"/>
    </row>
    <row r="86" spans="1:28">
      <c r="A86" s="38">
        <v>85</v>
      </c>
      <c r="B86" s="51"/>
      <c r="C86" s="40"/>
      <c r="D86" s="38"/>
      <c r="E86" s="38" t="s">
        <v>500</v>
      </c>
      <c r="F86" s="43" t="s">
        <v>501</v>
      </c>
      <c r="G86" s="44"/>
      <c r="H86" s="45"/>
      <c r="I86" s="38"/>
      <c r="J86" s="38">
        <f>3.5*1000</f>
        <v>3500</v>
      </c>
      <c r="K86" s="46">
        <v>7.0949074074074074E-3</v>
      </c>
      <c r="L86" s="47" t="s">
        <v>286</v>
      </c>
      <c r="M86" s="48"/>
      <c r="N86" s="48"/>
      <c r="O86" s="48">
        <f t="shared" si="0"/>
        <v>0</v>
      </c>
      <c r="P86" s="38"/>
      <c r="Q86" s="14" t="str">
        <f t="shared" ca="1" si="1"/>
        <v/>
      </c>
      <c r="R86" s="51"/>
      <c r="S86" s="51"/>
      <c r="T86" s="51"/>
      <c r="U86" s="40"/>
      <c r="V86" s="54"/>
      <c r="W86" s="55"/>
      <c r="X86" s="56"/>
      <c r="Y86" s="38"/>
      <c r="Z86" s="38"/>
      <c r="AA86" s="38"/>
      <c r="AB86" s="38"/>
    </row>
    <row r="87" spans="1:28">
      <c r="A87" s="38">
        <v>86</v>
      </c>
      <c r="B87" s="51"/>
      <c r="C87" s="40"/>
      <c r="D87" s="38"/>
      <c r="E87" s="38" t="s">
        <v>503</v>
      </c>
      <c r="F87" s="43" t="s">
        <v>504</v>
      </c>
      <c r="G87" s="44"/>
      <c r="H87" s="45"/>
      <c r="I87" s="38"/>
      <c r="J87" s="38">
        <f>7.4*1000</f>
        <v>7400</v>
      </c>
      <c r="K87" s="46">
        <v>2.7337962962962963E-2</v>
      </c>
      <c r="L87" s="47" t="s">
        <v>286</v>
      </c>
      <c r="M87" s="48"/>
      <c r="N87" s="48"/>
      <c r="O87" s="48">
        <f t="shared" si="0"/>
        <v>0</v>
      </c>
      <c r="P87" s="38"/>
      <c r="Q87" s="14" t="str">
        <f t="shared" ca="1" si="1"/>
        <v/>
      </c>
      <c r="R87" s="51"/>
      <c r="S87" s="51"/>
      <c r="T87" s="51"/>
      <c r="U87" s="40"/>
      <c r="V87" s="54"/>
      <c r="W87" s="55"/>
      <c r="X87" s="56"/>
      <c r="Y87" s="38"/>
      <c r="Z87" s="38"/>
      <c r="AA87" s="38"/>
      <c r="AB87" s="38"/>
    </row>
    <row r="88" spans="1:28">
      <c r="A88" s="38">
        <v>87</v>
      </c>
      <c r="B88" s="51"/>
      <c r="C88" s="40"/>
      <c r="D88" s="38"/>
      <c r="E88" s="38" t="s">
        <v>508</v>
      </c>
      <c r="F88" s="43" t="s">
        <v>509</v>
      </c>
      <c r="G88" s="44"/>
      <c r="H88" s="45"/>
      <c r="I88" s="38"/>
      <c r="J88" s="38">
        <f>4*1000</f>
        <v>4000</v>
      </c>
      <c r="K88" s="46">
        <v>1.068287037037037E-2</v>
      </c>
      <c r="L88" s="47" t="s">
        <v>286</v>
      </c>
      <c r="M88" s="48"/>
      <c r="N88" s="48"/>
      <c r="O88" s="48">
        <f t="shared" si="0"/>
        <v>0</v>
      </c>
      <c r="P88" s="38"/>
      <c r="Q88" s="14" t="str">
        <f t="shared" ca="1" si="1"/>
        <v/>
      </c>
      <c r="R88" s="51"/>
      <c r="S88" s="51"/>
      <c r="T88" s="51"/>
      <c r="U88" s="40"/>
      <c r="V88" s="54"/>
      <c r="W88" s="55"/>
      <c r="X88" s="56"/>
      <c r="Y88" s="38"/>
      <c r="Z88" s="38"/>
      <c r="AA88" s="38"/>
      <c r="AB88" s="38"/>
    </row>
    <row r="89" spans="1:28">
      <c r="A89" s="38">
        <v>88</v>
      </c>
      <c r="B89" s="51"/>
      <c r="C89" s="40"/>
      <c r="D89" s="38"/>
      <c r="E89" s="38" t="s">
        <v>513</v>
      </c>
      <c r="F89" s="43" t="s">
        <v>514</v>
      </c>
      <c r="G89" s="44"/>
      <c r="H89" s="45"/>
      <c r="I89" s="38"/>
      <c r="J89" s="38">
        <f>4.1*1000</f>
        <v>4100</v>
      </c>
      <c r="K89" s="46">
        <v>1.8055555555555557E-2</v>
      </c>
      <c r="L89" s="47" t="s">
        <v>286</v>
      </c>
      <c r="M89" s="48"/>
      <c r="N89" s="48"/>
      <c r="O89" s="48">
        <f t="shared" si="0"/>
        <v>0</v>
      </c>
      <c r="P89" s="38"/>
      <c r="Q89" s="14" t="str">
        <f t="shared" ca="1" si="1"/>
        <v/>
      </c>
      <c r="R89" s="51"/>
      <c r="S89" s="51"/>
      <c r="T89" s="51"/>
      <c r="U89" s="40"/>
      <c r="V89" s="54"/>
      <c r="W89" s="55"/>
      <c r="X89" s="56"/>
      <c r="Y89" s="38"/>
      <c r="Z89" s="38"/>
      <c r="AA89" s="38"/>
      <c r="AB89" s="38"/>
    </row>
    <row r="90" spans="1:28">
      <c r="A90" s="38">
        <v>89</v>
      </c>
      <c r="B90" s="39" t="s">
        <v>55</v>
      </c>
      <c r="C90" s="40"/>
      <c r="D90" s="42" t="s">
        <v>56</v>
      </c>
      <c r="E90" s="38" t="s">
        <v>518</v>
      </c>
      <c r="F90" s="43" t="s">
        <v>519</v>
      </c>
      <c r="G90" s="44"/>
      <c r="H90" s="45"/>
      <c r="I90" s="38"/>
      <c r="J90" s="38">
        <f>15*1000</f>
        <v>15000</v>
      </c>
      <c r="K90" s="46">
        <v>4.02662037037037E-2</v>
      </c>
      <c r="L90" s="47" t="s">
        <v>286</v>
      </c>
      <c r="M90" s="48"/>
      <c r="N90" s="48"/>
      <c r="O90" s="48">
        <f t="shared" si="0"/>
        <v>0</v>
      </c>
      <c r="P90" s="65">
        <v>43020</v>
      </c>
      <c r="Q90" s="14" t="str">
        <f t="shared" ca="1" si="1"/>
        <v/>
      </c>
      <c r="R90" s="51"/>
      <c r="S90" s="51"/>
      <c r="T90" s="51"/>
      <c r="U90" s="40"/>
      <c r="V90" s="54"/>
      <c r="W90" s="55"/>
      <c r="X90" s="56"/>
      <c r="Y90" s="38"/>
      <c r="Z90" s="38"/>
      <c r="AA90" s="38"/>
      <c r="AB90" s="38"/>
    </row>
    <row r="91" spans="1:28">
      <c r="A91" s="38">
        <v>90</v>
      </c>
      <c r="B91" s="51"/>
      <c r="C91" s="40"/>
      <c r="D91" s="38"/>
      <c r="E91" s="38" t="s">
        <v>522</v>
      </c>
      <c r="F91" s="43" t="s">
        <v>523</v>
      </c>
      <c r="G91" s="44"/>
      <c r="H91" s="45"/>
      <c r="I91" s="38"/>
      <c r="J91" s="38">
        <f>4.4*1000</f>
        <v>4400</v>
      </c>
      <c r="K91" s="46">
        <v>2.1643518518518518E-3</v>
      </c>
      <c r="L91" s="47" t="s">
        <v>286</v>
      </c>
      <c r="M91" s="48"/>
      <c r="N91" s="48"/>
      <c r="O91" s="48">
        <f t="shared" si="0"/>
        <v>0</v>
      </c>
      <c r="P91" s="38"/>
      <c r="Q91" s="14" t="str">
        <f t="shared" ca="1" si="1"/>
        <v/>
      </c>
      <c r="R91" s="51"/>
      <c r="S91" s="51"/>
      <c r="T91" s="51"/>
      <c r="U91" s="40"/>
      <c r="V91" s="54"/>
      <c r="W91" s="55"/>
      <c r="X91" s="56"/>
      <c r="Y91" s="88"/>
      <c r="Z91" s="88"/>
      <c r="AA91" s="88"/>
      <c r="AB91" s="88"/>
    </row>
    <row r="92" spans="1:28">
      <c r="A92" s="38">
        <v>91</v>
      </c>
      <c r="B92" s="39" t="s">
        <v>155</v>
      </c>
      <c r="C92" s="41"/>
      <c r="D92" s="42" t="s">
        <v>56</v>
      </c>
      <c r="E92" s="38" t="s">
        <v>527</v>
      </c>
      <c r="F92" s="43" t="s">
        <v>528</v>
      </c>
      <c r="G92" s="44"/>
      <c r="H92" s="45"/>
      <c r="I92" s="38"/>
      <c r="J92" s="38">
        <f>44*1000</f>
        <v>44000</v>
      </c>
      <c r="K92" s="46">
        <v>2.4074074074074071E-2</v>
      </c>
      <c r="L92" s="47" t="s">
        <v>286</v>
      </c>
      <c r="M92" s="48"/>
      <c r="N92" s="48"/>
      <c r="O92" s="48">
        <f t="shared" si="0"/>
        <v>0</v>
      </c>
      <c r="P92" s="65">
        <v>42998</v>
      </c>
      <c r="Q92" s="14" t="str">
        <f t="shared" ca="1" si="1"/>
        <v/>
      </c>
      <c r="R92" s="39"/>
      <c r="S92" s="39"/>
      <c r="T92" s="39"/>
      <c r="U92" s="40"/>
      <c r="V92" s="54"/>
      <c r="W92" s="55"/>
      <c r="X92" s="56"/>
      <c r="Y92" s="88"/>
      <c r="Z92" s="88"/>
      <c r="AA92" s="88"/>
      <c r="AB92" s="88"/>
    </row>
    <row r="93" spans="1:28">
      <c r="A93" s="38">
        <v>92</v>
      </c>
      <c r="B93" s="39" t="s">
        <v>155</v>
      </c>
      <c r="C93" s="40"/>
      <c r="D93" s="42" t="s">
        <v>56</v>
      </c>
      <c r="E93" s="38" t="s">
        <v>533</v>
      </c>
      <c r="F93" s="43" t="s">
        <v>534</v>
      </c>
      <c r="G93" s="44"/>
      <c r="H93" s="45"/>
      <c r="I93" s="38"/>
      <c r="J93" s="38">
        <f>6.3*1000</f>
        <v>6300</v>
      </c>
      <c r="K93" s="46">
        <v>2.6006944444444447E-2</v>
      </c>
      <c r="L93" s="47" t="s">
        <v>286</v>
      </c>
      <c r="M93" s="48"/>
      <c r="N93" s="48"/>
      <c r="O93" s="48">
        <f t="shared" si="0"/>
        <v>0</v>
      </c>
      <c r="P93" s="70">
        <v>43020</v>
      </c>
      <c r="Q93" s="14" t="str">
        <f t="shared" ca="1" si="1"/>
        <v/>
      </c>
      <c r="R93" s="51"/>
      <c r="S93" s="51"/>
      <c r="T93" s="51"/>
      <c r="U93" s="40"/>
      <c r="V93" s="54"/>
      <c r="W93" s="55"/>
      <c r="X93" s="56"/>
      <c r="Y93" s="88"/>
      <c r="Z93" s="88"/>
      <c r="AA93" s="88"/>
      <c r="AB93" s="88"/>
    </row>
    <row r="94" spans="1:28">
      <c r="A94" s="38">
        <v>93</v>
      </c>
      <c r="B94" s="39" t="s">
        <v>155</v>
      </c>
      <c r="C94" s="40"/>
      <c r="D94" s="42" t="s">
        <v>56</v>
      </c>
      <c r="E94" s="38" t="s">
        <v>538</v>
      </c>
      <c r="F94" s="43" t="s">
        <v>540</v>
      </c>
      <c r="G94" s="44"/>
      <c r="H94" s="45"/>
      <c r="I94" s="38"/>
      <c r="J94" s="38">
        <f>986</f>
        <v>986</v>
      </c>
      <c r="K94" s="46">
        <v>3.5682870370370372E-2</v>
      </c>
      <c r="L94" s="47" t="s">
        <v>286</v>
      </c>
      <c r="M94" s="48"/>
      <c r="N94" s="48"/>
      <c r="O94" s="48">
        <f t="shared" si="0"/>
        <v>0</v>
      </c>
      <c r="P94" s="70">
        <v>43027</v>
      </c>
      <c r="Q94" s="14" t="str">
        <f t="shared" ca="1" si="1"/>
        <v/>
      </c>
      <c r="R94" s="51"/>
      <c r="S94" s="51"/>
      <c r="T94" s="51"/>
      <c r="U94" s="40"/>
      <c r="V94" s="54"/>
      <c r="W94" s="55"/>
      <c r="X94" s="56"/>
      <c r="Y94" s="88"/>
      <c r="Z94" s="88"/>
      <c r="AA94" s="88"/>
      <c r="AB94" s="88"/>
    </row>
    <row r="95" spans="1:28">
      <c r="A95" s="38">
        <v>94</v>
      </c>
      <c r="B95" s="39" t="s">
        <v>55</v>
      </c>
      <c r="C95" s="41"/>
      <c r="D95" s="42" t="s">
        <v>56</v>
      </c>
      <c r="E95" s="38" t="s">
        <v>506</v>
      </c>
      <c r="F95" s="43" t="s">
        <v>507</v>
      </c>
      <c r="G95" s="44"/>
      <c r="H95" s="45"/>
      <c r="I95" s="38"/>
      <c r="J95" s="38">
        <f>2.5*1000</f>
        <v>2500</v>
      </c>
      <c r="K95" s="46">
        <v>6.6493055555555555E-2</v>
      </c>
      <c r="L95" s="47" t="s">
        <v>286</v>
      </c>
      <c r="M95" s="48"/>
      <c r="N95" s="48"/>
      <c r="O95" s="48">
        <f t="shared" si="0"/>
        <v>0</v>
      </c>
      <c r="P95" s="65">
        <v>43010</v>
      </c>
      <c r="Q95" s="14" t="str">
        <f t="shared" ca="1" si="1"/>
        <v/>
      </c>
      <c r="R95" s="51"/>
      <c r="S95" s="51"/>
      <c r="T95" s="51"/>
      <c r="U95" s="40"/>
      <c r="V95" s="54"/>
      <c r="W95" s="55"/>
      <c r="X95" s="56"/>
      <c r="Y95" s="88"/>
      <c r="Z95" s="88"/>
      <c r="AA95" s="88"/>
      <c r="AB95" s="88"/>
    </row>
    <row r="96" spans="1:28">
      <c r="A96" s="38">
        <v>95</v>
      </c>
      <c r="B96" s="51"/>
      <c r="C96" s="40"/>
      <c r="D96" s="38"/>
      <c r="E96" s="38" t="s">
        <v>545</v>
      </c>
      <c r="F96" s="43" t="s">
        <v>546</v>
      </c>
      <c r="G96" s="44"/>
      <c r="H96" s="45"/>
      <c r="I96" s="38"/>
      <c r="J96" s="38">
        <f>1.5*1000</f>
        <v>1500</v>
      </c>
      <c r="K96" s="46">
        <v>5.9027777777777776E-3</v>
      </c>
      <c r="L96" s="47" t="s">
        <v>286</v>
      </c>
      <c r="M96" s="48"/>
      <c r="N96" s="48"/>
      <c r="O96" s="48">
        <f t="shared" si="0"/>
        <v>0</v>
      </c>
      <c r="P96" s="38"/>
      <c r="Q96" s="14" t="str">
        <f t="shared" ca="1" si="1"/>
        <v/>
      </c>
      <c r="R96" s="51"/>
      <c r="S96" s="51"/>
      <c r="T96" s="51"/>
      <c r="U96" s="40"/>
      <c r="V96" s="54"/>
      <c r="W96" s="55"/>
      <c r="X96" s="56"/>
      <c r="Y96" s="88"/>
      <c r="Z96" s="88"/>
      <c r="AA96" s="88"/>
      <c r="AB96" s="88"/>
    </row>
    <row r="97" spans="1:28">
      <c r="A97" s="38">
        <v>96</v>
      </c>
      <c r="B97" s="51"/>
      <c r="C97" s="40"/>
      <c r="D97" s="38"/>
      <c r="E97" s="38" t="s">
        <v>551</v>
      </c>
      <c r="F97" s="43" t="s">
        <v>552</v>
      </c>
      <c r="G97" s="44"/>
      <c r="H97" s="45"/>
      <c r="I97" s="38"/>
      <c r="J97" s="38">
        <f>1.2*1000</f>
        <v>1200</v>
      </c>
      <c r="K97" s="46">
        <v>1.1655092592592594E-2</v>
      </c>
      <c r="L97" s="47" t="s">
        <v>286</v>
      </c>
      <c r="M97" s="48"/>
      <c r="N97" s="48"/>
      <c r="O97" s="48">
        <f t="shared" si="0"/>
        <v>0</v>
      </c>
      <c r="P97" s="38"/>
      <c r="Q97" s="14" t="str">
        <f t="shared" ca="1" si="1"/>
        <v/>
      </c>
      <c r="R97" s="51"/>
      <c r="S97" s="51"/>
      <c r="T97" s="51"/>
      <c r="U97" s="40"/>
      <c r="V97" s="54"/>
      <c r="W97" s="55"/>
      <c r="X97" s="56"/>
      <c r="Y97" s="88"/>
      <c r="Z97" s="88"/>
      <c r="AA97" s="88"/>
      <c r="AB97" s="88"/>
    </row>
    <row r="98" spans="1:28">
      <c r="A98" s="38">
        <v>97</v>
      </c>
      <c r="B98" s="51"/>
      <c r="C98" s="40"/>
      <c r="D98" s="38"/>
      <c r="E98" s="38" t="s">
        <v>554</v>
      </c>
      <c r="F98" s="43" t="s">
        <v>556</v>
      </c>
      <c r="G98" s="44"/>
      <c r="H98" s="45"/>
      <c r="I98" s="38"/>
      <c r="J98" s="38">
        <f>1.9*1000</f>
        <v>1900</v>
      </c>
      <c r="K98" s="46">
        <v>2.1087962962962961E-2</v>
      </c>
      <c r="L98" s="47" t="s">
        <v>286</v>
      </c>
      <c r="M98" s="48"/>
      <c r="N98" s="48"/>
      <c r="O98" s="48">
        <f t="shared" si="0"/>
        <v>0</v>
      </c>
      <c r="P98" s="38"/>
      <c r="Q98" s="14" t="str">
        <f t="shared" ca="1" si="1"/>
        <v/>
      </c>
      <c r="R98" s="51"/>
      <c r="S98" s="51"/>
      <c r="T98" s="51"/>
      <c r="U98" s="40"/>
      <c r="V98" s="54"/>
      <c r="W98" s="55"/>
      <c r="X98" s="56"/>
      <c r="Y98" s="88"/>
      <c r="Z98" s="88"/>
      <c r="AA98" s="88"/>
      <c r="AB98" s="88"/>
    </row>
    <row r="99" spans="1:28">
      <c r="A99" s="38">
        <v>98</v>
      </c>
      <c r="B99" s="51"/>
      <c r="C99" s="40"/>
      <c r="D99" s="38"/>
      <c r="E99" s="38" t="s">
        <v>563</v>
      </c>
      <c r="F99" s="43" t="s">
        <v>564</v>
      </c>
      <c r="G99" s="44"/>
      <c r="H99" s="45"/>
      <c r="I99" s="38"/>
      <c r="J99" s="38">
        <f>2.3*1000</f>
        <v>2300</v>
      </c>
      <c r="K99" s="46">
        <v>3.4467592592592591E-2</v>
      </c>
      <c r="L99" s="47" t="s">
        <v>286</v>
      </c>
      <c r="M99" s="48"/>
      <c r="N99" s="48"/>
      <c r="O99" s="48">
        <f t="shared" si="0"/>
        <v>0</v>
      </c>
      <c r="P99" s="38"/>
      <c r="Q99" s="14" t="str">
        <f t="shared" ca="1" si="1"/>
        <v/>
      </c>
      <c r="R99" s="51"/>
      <c r="S99" s="51"/>
      <c r="T99" s="51"/>
      <c r="U99" s="40"/>
      <c r="V99" s="54"/>
      <c r="W99" s="55"/>
      <c r="X99" s="56"/>
      <c r="Y99" s="88"/>
      <c r="Z99" s="88"/>
      <c r="AA99" s="88"/>
      <c r="AB99" s="88"/>
    </row>
    <row r="100" spans="1:28">
      <c r="A100" s="38">
        <v>99</v>
      </c>
      <c r="B100" s="51"/>
      <c r="C100" s="40"/>
      <c r="D100" s="38"/>
      <c r="E100" s="38" t="s">
        <v>567</v>
      </c>
      <c r="F100" s="43" t="s">
        <v>568</v>
      </c>
      <c r="G100" s="44"/>
      <c r="H100" s="45"/>
      <c r="I100" s="38"/>
      <c r="J100" s="38">
        <f>1.4*1000</f>
        <v>1400</v>
      </c>
      <c r="K100" s="46">
        <v>2.8483796296296295E-2</v>
      </c>
      <c r="L100" s="47" t="s">
        <v>286</v>
      </c>
      <c r="M100" s="48"/>
      <c r="N100" s="48"/>
      <c r="O100" s="48">
        <f t="shared" si="0"/>
        <v>0</v>
      </c>
      <c r="P100" s="38"/>
      <c r="Q100" s="14" t="str">
        <f t="shared" ca="1" si="1"/>
        <v/>
      </c>
      <c r="R100" s="51"/>
      <c r="S100" s="51"/>
      <c r="T100" s="51"/>
      <c r="U100" s="40"/>
      <c r="V100" s="54"/>
      <c r="W100" s="55"/>
      <c r="X100" s="56"/>
      <c r="Y100" s="88"/>
      <c r="Z100" s="88"/>
      <c r="AA100" s="88"/>
      <c r="AB100" s="88"/>
    </row>
    <row r="101" spans="1:28">
      <c r="A101" s="38">
        <v>100</v>
      </c>
      <c r="B101" s="51"/>
      <c r="C101" s="40"/>
      <c r="D101" s="38"/>
      <c r="E101" s="38" t="s">
        <v>572</v>
      </c>
      <c r="F101" s="43" t="s">
        <v>573</v>
      </c>
      <c r="G101" s="44"/>
      <c r="H101" s="45"/>
      <c r="I101" s="38"/>
      <c r="J101" s="38">
        <f>3.7*1000</f>
        <v>3700</v>
      </c>
      <c r="K101" s="46">
        <v>2.4837962962962964E-2</v>
      </c>
      <c r="L101" s="47" t="s">
        <v>286</v>
      </c>
      <c r="M101" s="48"/>
      <c r="N101" s="48"/>
      <c r="O101" s="48">
        <f t="shared" si="0"/>
        <v>0</v>
      </c>
      <c r="P101" s="38"/>
      <c r="Q101" s="14" t="str">
        <f t="shared" ca="1" si="1"/>
        <v/>
      </c>
      <c r="R101" s="51"/>
      <c r="S101" s="51"/>
      <c r="T101" s="51"/>
      <c r="U101" s="40"/>
      <c r="V101" s="54"/>
      <c r="W101" s="55"/>
      <c r="X101" s="56"/>
      <c r="Y101" s="88"/>
      <c r="Z101" s="88"/>
      <c r="AA101" s="88"/>
      <c r="AB101" s="88"/>
    </row>
    <row r="102" spans="1:28">
      <c r="A102" s="38">
        <v>101</v>
      </c>
      <c r="B102" s="39" t="s">
        <v>382</v>
      </c>
      <c r="C102" s="40"/>
      <c r="D102" s="42" t="s">
        <v>56</v>
      </c>
      <c r="E102" s="38" t="s">
        <v>576</v>
      </c>
      <c r="F102" s="43" t="s">
        <v>577</v>
      </c>
      <c r="G102" s="44"/>
      <c r="H102" s="45"/>
      <c r="I102" s="38"/>
      <c r="J102" s="38">
        <f>22*1000</f>
        <v>22000</v>
      </c>
      <c r="K102" s="46">
        <v>4.5879629629629631E-2</v>
      </c>
      <c r="L102" s="47" t="s">
        <v>286</v>
      </c>
      <c r="M102" s="48"/>
      <c r="N102" s="48"/>
      <c r="O102" s="48">
        <f t="shared" si="0"/>
        <v>0</v>
      </c>
      <c r="P102" s="113">
        <v>43051</v>
      </c>
      <c r="Q102" s="14" t="str">
        <f t="shared" ca="1" si="1"/>
        <v/>
      </c>
      <c r="R102" s="51"/>
      <c r="S102" s="51"/>
      <c r="T102" s="51"/>
      <c r="U102" s="40"/>
      <c r="V102" s="54"/>
      <c r="W102" s="55"/>
      <c r="X102" s="56"/>
      <c r="Y102" s="88"/>
      <c r="Z102" s="88"/>
      <c r="AA102" s="88"/>
      <c r="AB102" s="88"/>
    </row>
    <row r="103" spans="1:28">
      <c r="A103" s="38">
        <v>102</v>
      </c>
      <c r="B103" s="51"/>
      <c r="C103" s="40"/>
      <c r="D103" s="38"/>
      <c r="E103" s="38" t="s">
        <v>363</v>
      </c>
      <c r="F103" s="43" t="s">
        <v>364</v>
      </c>
      <c r="G103" s="44"/>
      <c r="H103" s="45"/>
      <c r="I103" s="38"/>
      <c r="J103" s="38">
        <f>1.3*1000</f>
        <v>1300</v>
      </c>
      <c r="K103" s="46">
        <v>1.1990740740740739E-2</v>
      </c>
      <c r="L103" s="47" t="s">
        <v>286</v>
      </c>
      <c r="M103" s="48"/>
      <c r="N103" s="48"/>
      <c r="O103" s="48">
        <f t="shared" si="0"/>
        <v>0</v>
      </c>
      <c r="P103" s="38"/>
      <c r="Q103" s="14" t="str">
        <f t="shared" ca="1" si="1"/>
        <v/>
      </c>
      <c r="R103" s="51"/>
      <c r="S103" s="51"/>
      <c r="T103" s="51"/>
      <c r="U103" s="40"/>
      <c r="V103" s="54"/>
      <c r="W103" s="55"/>
      <c r="X103" s="56"/>
      <c r="Y103" s="88"/>
      <c r="Z103" s="88"/>
      <c r="AA103" s="88"/>
      <c r="AB103" s="88"/>
    </row>
    <row r="104" spans="1:28">
      <c r="A104" s="38">
        <v>103</v>
      </c>
      <c r="B104" s="39" t="s">
        <v>54</v>
      </c>
      <c r="C104" s="40"/>
      <c r="D104" s="42" t="s">
        <v>56</v>
      </c>
      <c r="E104" s="38" t="s">
        <v>369</v>
      </c>
      <c r="F104" s="43" t="s">
        <v>370</v>
      </c>
      <c r="G104" s="44"/>
      <c r="H104" s="45"/>
      <c r="I104" s="38"/>
      <c r="J104" s="38">
        <f>7.9*1000</f>
        <v>7900</v>
      </c>
      <c r="K104" s="46">
        <v>9.7002314814814805E-2</v>
      </c>
      <c r="L104" s="47" t="s">
        <v>286</v>
      </c>
      <c r="M104" s="48"/>
      <c r="N104" s="48"/>
      <c r="O104" s="48">
        <f t="shared" si="0"/>
        <v>0</v>
      </c>
      <c r="P104" s="65">
        <v>43038</v>
      </c>
      <c r="Q104" s="14" t="str">
        <f t="shared" ca="1" si="1"/>
        <v/>
      </c>
      <c r="R104" s="39" t="s">
        <v>63</v>
      </c>
      <c r="S104" s="39" t="s">
        <v>561</v>
      </c>
      <c r="T104" s="39" t="s">
        <v>63</v>
      </c>
      <c r="U104" s="40"/>
      <c r="V104" s="54"/>
      <c r="W104" s="69" t="s">
        <v>64</v>
      </c>
      <c r="X104" s="56"/>
      <c r="Y104" s="88"/>
      <c r="Z104" s="96" t="s">
        <v>587</v>
      </c>
      <c r="AA104" s="88"/>
      <c r="AB104" s="88"/>
    </row>
    <row r="105" spans="1:28">
      <c r="A105" s="38">
        <v>104</v>
      </c>
      <c r="B105" s="39" t="s">
        <v>155</v>
      </c>
      <c r="C105" s="40"/>
      <c r="D105" s="42" t="s">
        <v>56</v>
      </c>
      <c r="E105" s="38" t="s">
        <v>589</v>
      </c>
      <c r="F105" s="43" t="s">
        <v>590</v>
      </c>
      <c r="G105" s="44"/>
      <c r="H105" s="45"/>
      <c r="I105" s="38"/>
      <c r="J105" s="38">
        <f>4*1000</f>
        <v>4000</v>
      </c>
      <c r="K105" s="46">
        <v>2.3530092592592592E-2</v>
      </c>
      <c r="L105" s="47" t="s">
        <v>286</v>
      </c>
      <c r="M105" s="48"/>
      <c r="N105" s="48"/>
      <c r="O105" s="48">
        <f t="shared" si="0"/>
        <v>0</v>
      </c>
      <c r="P105" s="66">
        <v>43028</v>
      </c>
      <c r="Q105" s="14" t="str">
        <f t="shared" ca="1" si="1"/>
        <v/>
      </c>
      <c r="R105" s="51"/>
      <c r="S105" s="51"/>
      <c r="T105" s="51"/>
      <c r="U105" s="40"/>
      <c r="V105" s="54"/>
      <c r="W105" s="55"/>
      <c r="X105" s="56"/>
      <c r="Y105" s="88"/>
      <c r="Z105" s="88"/>
      <c r="AA105" s="88"/>
      <c r="AB105" s="88"/>
    </row>
    <row r="106" spans="1:28">
      <c r="A106" s="38">
        <v>105</v>
      </c>
      <c r="B106" s="39" t="s">
        <v>155</v>
      </c>
      <c r="C106" s="40"/>
      <c r="D106" s="42" t="s">
        <v>56</v>
      </c>
      <c r="E106" s="38" t="s">
        <v>593</v>
      </c>
      <c r="F106" s="43" t="s">
        <v>594</v>
      </c>
      <c r="G106" s="44"/>
      <c r="H106" s="45"/>
      <c r="I106" s="38"/>
      <c r="J106" s="38">
        <f>3.6*1000</f>
        <v>3600</v>
      </c>
      <c r="K106" s="46">
        <v>8.9583333333333334E-2</v>
      </c>
      <c r="L106" s="47" t="s">
        <v>286</v>
      </c>
      <c r="M106" s="48"/>
      <c r="N106" s="48"/>
      <c r="O106" s="48">
        <f t="shared" si="0"/>
        <v>0</v>
      </c>
      <c r="P106" s="66">
        <v>43037</v>
      </c>
      <c r="Q106" s="14" t="str">
        <f t="shared" ca="1" si="1"/>
        <v/>
      </c>
      <c r="R106" s="51"/>
      <c r="S106" s="51"/>
      <c r="T106" s="51"/>
      <c r="U106" s="40"/>
      <c r="V106" s="54"/>
      <c r="W106" s="55"/>
      <c r="X106" s="56"/>
      <c r="Y106" s="88"/>
      <c r="Z106" s="88"/>
      <c r="AA106" s="88"/>
      <c r="AB106" s="88"/>
    </row>
    <row r="107" spans="1:28">
      <c r="A107" s="38">
        <v>106</v>
      </c>
      <c r="B107" s="39" t="s">
        <v>596</v>
      </c>
      <c r="C107" s="40"/>
      <c r="D107" s="38"/>
      <c r="E107" s="38" t="s">
        <v>598</v>
      </c>
      <c r="F107" s="43" t="s">
        <v>599</v>
      </c>
      <c r="G107" s="44"/>
      <c r="H107" s="45"/>
      <c r="I107" s="38"/>
      <c r="J107" s="38">
        <f t="shared" ref="J107:J108" si="4">11*1000</f>
        <v>11000</v>
      </c>
      <c r="K107" s="46">
        <v>5.4884259259259265E-2</v>
      </c>
      <c r="L107" s="47" t="s">
        <v>286</v>
      </c>
      <c r="M107" s="48"/>
      <c r="N107" s="48"/>
      <c r="O107" s="48">
        <f t="shared" si="0"/>
        <v>0</v>
      </c>
      <c r="P107" s="38"/>
      <c r="Q107" s="14" t="str">
        <f t="shared" ca="1" si="1"/>
        <v/>
      </c>
      <c r="R107" s="51"/>
      <c r="S107" s="51"/>
      <c r="T107" s="51"/>
      <c r="U107" s="40"/>
      <c r="V107" s="54"/>
      <c r="W107" s="55"/>
      <c r="X107" s="56"/>
      <c r="Y107" s="88"/>
      <c r="Z107" s="88"/>
      <c r="AA107" s="88"/>
      <c r="AB107" s="88"/>
    </row>
    <row r="108" spans="1:28">
      <c r="A108" s="38">
        <v>107</v>
      </c>
      <c r="B108" s="39" t="s">
        <v>55</v>
      </c>
      <c r="C108" s="41"/>
      <c r="D108" s="42" t="s">
        <v>56</v>
      </c>
      <c r="E108" s="38" t="s">
        <v>446</v>
      </c>
      <c r="F108" s="43" t="s">
        <v>447</v>
      </c>
      <c r="G108" s="44"/>
      <c r="H108" s="45"/>
      <c r="I108" s="38"/>
      <c r="J108" s="38">
        <f t="shared" si="4"/>
        <v>11000</v>
      </c>
      <c r="K108" s="46">
        <v>8.446759259259258E-2</v>
      </c>
      <c r="L108" s="47" t="s">
        <v>286</v>
      </c>
      <c r="M108" s="48"/>
      <c r="N108" s="48"/>
      <c r="O108" s="48">
        <f t="shared" si="0"/>
        <v>0</v>
      </c>
      <c r="P108" s="65">
        <v>43009</v>
      </c>
      <c r="Q108" s="14" t="str">
        <f t="shared" ca="1" si="1"/>
        <v/>
      </c>
      <c r="R108" s="51"/>
      <c r="S108" s="51"/>
      <c r="T108" s="51"/>
      <c r="U108" s="40"/>
      <c r="V108" s="54"/>
      <c r="W108" s="55"/>
      <c r="X108" s="56"/>
      <c r="Y108" s="88"/>
      <c r="Z108" s="88"/>
      <c r="AA108" s="88"/>
      <c r="AB108" s="88"/>
    </row>
    <row r="109" spans="1:28">
      <c r="A109" s="38">
        <v>108</v>
      </c>
      <c r="B109" s="39" t="s">
        <v>596</v>
      </c>
      <c r="C109" s="40"/>
      <c r="D109" s="38"/>
      <c r="E109" s="38" t="s">
        <v>605</v>
      </c>
      <c r="F109" s="43" t="s">
        <v>606</v>
      </c>
      <c r="G109" s="44"/>
      <c r="H109" s="45"/>
      <c r="I109" s="38"/>
      <c r="J109" s="38">
        <f>2.6*1000</f>
        <v>2600</v>
      </c>
      <c r="K109" s="46">
        <v>5.2893518518518513E-2</v>
      </c>
      <c r="L109" s="47" t="s">
        <v>286</v>
      </c>
      <c r="M109" s="48"/>
      <c r="N109" s="48"/>
      <c r="O109" s="48">
        <f t="shared" si="0"/>
        <v>0</v>
      </c>
      <c r="P109" s="38"/>
      <c r="Q109" s="14" t="str">
        <f t="shared" ca="1" si="1"/>
        <v/>
      </c>
      <c r="R109" s="51"/>
      <c r="S109" s="51"/>
      <c r="T109" s="51"/>
      <c r="U109" s="40"/>
      <c r="V109" s="54"/>
      <c r="W109" s="55"/>
      <c r="X109" s="56"/>
      <c r="Y109" s="88"/>
      <c r="Z109" s="88"/>
      <c r="AA109" s="88"/>
      <c r="AB109" s="88"/>
    </row>
    <row r="110" spans="1:28">
      <c r="A110" s="38">
        <v>109</v>
      </c>
      <c r="B110" s="39" t="s">
        <v>155</v>
      </c>
      <c r="C110" s="40"/>
      <c r="D110" s="42" t="s">
        <v>56</v>
      </c>
      <c r="E110" s="38" t="s">
        <v>611</v>
      </c>
      <c r="F110" s="43" t="s">
        <v>612</v>
      </c>
      <c r="G110" s="44"/>
      <c r="H110" s="45"/>
      <c r="I110" s="38"/>
      <c r="J110" s="38">
        <f>1.4*1000</f>
        <v>1400</v>
      </c>
      <c r="K110" s="46">
        <v>3.1817129629629633E-2</v>
      </c>
      <c r="L110" s="47" t="s">
        <v>286</v>
      </c>
      <c r="M110" s="48"/>
      <c r="N110" s="48"/>
      <c r="O110" s="48">
        <f t="shared" si="0"/>
        <v>0</v>
      </c>
      <c r="P110" s="66">
        <v>43044</v>
      </c>
      <c r="Q110" s="14" t="str">
        <f t="shared" ca="1" si="1"/>
        <v/>
      </c>
      <c r="R110" s="51"/>
      <c r="S110" s="51"/>
      <c r="T110" s="51"/>
      <c r="U110" s="40"/>
      <c r="V110" s="54"/>
      <c r="W110" s="55"/>
      <c r="X110" s="56"/>
      <c r="Y110" s="88"/>
      <c r="Z110" s="88"/>
      <c r="AA110" s="88"/>
      <c r="AB110" s="88"/>
    </row>
    <row r="111" spans="1:28">
      <c r="A111" s="38">
        <v>110</v>
      </c>
      <c r="B111" s="39"/>
      <c r="C111" s="40"/>
      <c r="D111" s="42"/>
      <c r="E111" s="38" t="s">
        <v>617</v>
      </c>
      <c r="F111" s="43" t="s">
        <v>618</v>
      </c>
      <c r="G111" s="44"/>
      <c r="H111" s="45"/>
      <c r="I111" s="38"/>
      <c r="J111" s="38">
        <f>15*1000</f>
        <v>15000</v>
      </c>
      <c r="K111" s="46">
        <v>0.10678240740740741</v>
      </c>
      <c r="L111" s="47" t="s">
        <v>286</v>
      </c>
      <c r="M111" s="48"/>
      <c r="N111" s="48"/>
      <c r="O111" s="48">
        <f t="shared" si="0"/>
        <v>0</v>
      </c>
      <c r="P111" s="65"/>
      <c r="Q111" s="14" t="str">
        <f t="shared" ca="1" si="1"/>
        <v/>
      </c>
      <c r="R111" s="51"/>
      <c r="S111" s="51"/>
      <c r="T111" s="51"/>
      <c r="U111" s="40"/>
      <c r="V111" s="54"/>
      <c r="W111" s="55"/>
      <c r="X111" s="56"/>
      <c r="Y111" s="88"/>
      <c r="Z111" s="88"/>
      <c r="AA111" s="88"/>
      <c r="AB111" s="88"/>
    </row>
    <row r="112" spans="1:28">
      <c r="A112" s="38">
        <v>111</v>
      </c>
      <c r="B112" s="51"/>
      <c r="C112" s="40"/>
      <c r="D112" s="38"/>
      <c r="E112" s="38" t="s">
        <v>621</v>
      </c>
      <c r="F112" s="43" t="s">
        <v>622</v>
      </c>
      <c r="G112" s="44"/>
      <c r="H112" s="45"/>
      <c r="I112" s="38"/>
      <c r="J112" s="38">
        <f>888</f>
        <v>888</v>
      </c>
      <c r="K112" s="46">
        <v>4.3055555555555555E-3</v>
      </c>
      <c r="L112" s="47" t="s">
        <v>286</v>
      </c>
      <c r="M112" s="48"/>
      <c r="N112" s="48"/>
      <c r="O112" s="48">
        <f t="shared" si="0"/>
        <v>0</v>
      </c>
      <c r="P112" s="38"/>
      <c r="Q112" s="14" t="str">
        <f t="shared" ca="1" si="1"/>
        <v/>
      </c>
      <c r="R112" s="51"/>
      <c r="S112" s="51"/>
      <c r="T112" s="51"/>
      <c r="U112" s="40"/>
      <c r="V112" s="54"/>
      <c r="W112" s="55"/>
      <c r="X112" s="56"/>
      <c r="Y112" s="88"/>
      <c r="Z112" s="88"/>
      <c r="AA112" s="88"/>
      <c r="AB112" s="88"/>
    </row>
    <row r="113" spans="1:28">
      <c r="A113" s="38">
        <v>112</v>
      </c>
      <c r="B113" s="51"/>
      <c r="C113" s="40"/>
      <c r="D113" s="38"/>
      <c r="E113" s="38" t="s">
        <v>625</v>
      </c>
      <c r="F113" s="43" t="s">
        <v>626</v>
      </c>
      <c r="G113" s="44"/>
      <c r="H113" s="45"/>
      <c r="I113" s="38"/>
      <c r="J113" s="38">
        <f>466</f>
        <v>466</v>
      </c>
      <c r="K113" s="46">
        <v>2.6064814814814815E-2</v>
      </c>
      <c r="L113" s="47" t="s">
        <v>286</v>
      </c>
      <c r="M113" s="48"/>
      <c r="N113" s="48"/>
      <c r="O113" s="48">
        <f t="shared" si="0"/>
        <v>0</v>
      </c>
      <c r="P113" s="38"/>
      <c r="Q113" s="14" t="str">
        <f t="shared" ca="1" si="1"/>
        <v/>
      </c>
      <c r="R113" s="51"/>
      <c r="S113" s="51"/>
      <c r="T113" s="51"/>
      <c r="U113" s="40"/>
      <c r="V113" s="54"/>
      <c r="W113" s="55"/>
      <c r="X113" s="56"/>
      <c r="Y113" s="88"/>
      <c r="Z113" s="88"/>
      <c r="AA113" s="88"/>
      <c r="AB113" s="88"/>
    </row>
    <row r="114" spans="1:28">
      <c r="A114" s="38">
        <v>113</v>
      </c>
      <c r="B114" s="51"/>
      <c r="C114" s="40"/>
      <c r="D114" s="38"/>
      <c r="E114" s="38" t="s">
        <v>628</v>
      </c>
      <c r="F114" s="43" t="s">
        <v>629</v>
      </c>
      <c r="G114" s="44"/>
      <c r="H114" s="45"/>
      <c r="I114" s="38"/>
      <c r="J114" s="38">
        <f>1*1000</f>
        <v>1000</v>
      </c>
      <c r="K114" s="46">
        <v>2.3506944444444445E-2</v>
      </c>
      <c r="L114" s="47" t="s">
        <v>286</v>
      </c>
      <c r="M114" s="48"/>
      <c r="N114" s="48"/>
      <c r="O114" s="48">
        <f t="shared" si="0"/>
        <v>0</v>
      </c>
      <c r="P114" s="38"/>
      <c r="Q114" s="14" t="str">
        <f t="shared" ca="1" si="1"/>
        <v/>
      </c>
      <c r="R114" s="51"/>
      <c r="S114" s="51"/>
      <c r="T114" s="51"/>
      <c r="U114" s="40"/>
      <c r="V114" s="54"/>
      <c r="W114" s="55"/>
      <c r="X114" s="56"/>
      <c r="Y114" s="88"/>
      <c r="Z114" s="88"/>
      <c r="AA114" s="88"/>
      <c r="AB114" s="88"/>
    </row>
    <row r="115" spans="1:28">
      <c r="A115" s="38">
        <v>114</v>
      </c>
      <c r="B115" s="51"/>
      <c r="C115" s="40"/>
      <c r="D115" s="38"/>
      <c r="E115" s="38" t="s">
        <v>632</v>
      </c>
      <c r="F115" s="43" t="s">
        <v>633</v>
      </c>
      <c r="G115" s="44"/>
      <c r="H115" s="45"/>
      <c r="I115" s="38"/>
      <c r="J115" s="38">
        <f>1.4*1000</f>
        <v>1400</v>
      </c>
      <c r="K115" s="46">
        <v>1.1608796296296296E-2</v>
      </c>
      <c r="L115" s="47" t="s">
        <v>286</v>
      </c>
      <c r="M115" s="48"/>
      <c r="N115" s="48"/>
      <c r="O115" s="48">
        <f t="shared" si="0"/>
        <v>0</v>
      </c>
      <c r="P115" s="38"/>
      <c r="Q115" s="14" t="str">
        <f t="shared" ca="1" si="1"/>
        <v/>
      </c>
      <c r="R115" s="51"/>
      <c r="S115" s="51"/>
      <c r="T115" s="51"/>
      <c r="U115" s="40"/>
      <c r="V115" s="54"/>
      <c r="W115" s="55"/>
      <c r="X115" s="56"/>
      <c r="Y115" s="88"/>
      <c r="Z115" s="88"/>
      <c r="AA115" s="88"/>
      <c r="AB115" s="88"/>
    </row>
    <row r="116" spans="1:28">
      <c r="A116" s="38">
        <v>115</v>
      </c>
      <c r="B116" s="51"/>
      <c r="C116" s="40"/>
      <c r="D116" s="38"/>
      <c r="E116" s="38" t="s">
        <v>635</v>
      </c>
      <c r="F116" s="43" t="s">
        <v>636</v>
      </c>
      <c r="G116" s="44"/>
      <c r="H116" s="45"/>
      <c r="I116" s="38"/>
      <c r="J116" s="38">
        <f>602</f>
        <v>602</v>
      </c>
      <c r="K116" s="46">
        <v>2.1805555555555554E-2</v>
      </c>
      <c r="L116" s="47" t="s">
        <v>286</v>
      </c>
      <c r="M116" s="48"/>
      <c r="N116" s="48"/>
      <c r="O116" s="48">
        <f t="shared" si="0"/>
        <v>0</v>
      </c>
      <c r="P116" s="38"/>
      <c r="Q116" s="14" t="str">
        <f t="shared" ca="1" si="1"/>
        <v/>
      </c>
      <c r="R116" s="51"/>
      <c r="S116" s="51"/>
      <c r="T116" s="51"/>
      <c r="U116" s="40"/>
      <c r="V116" s="54"/>
      <c r="W116" s="55"/>
      <c r="X116" s="56"/>
      <c r="Y116" s="88"/>
      <c r="Z116" s="88"/>
      <c r="AA116" s="88"/>
      <c r="AB116" s="88"/>
    </row>
    <row r="117" spans="1:28">
      <c r="A117" s="38">
        <v>116</v>
      </c>
      <c r="B117" s="51"/>
      <c r="C117" s="40"/>
      <c r="D117" s="38"/>
      <c r="E117" s="38" t="s">
        <v>638</v>
      </c>
      <c r="F117" s="43" t="s">
        <v>639</v>
      </c>
      <c r="G117" s="44"/>
      <c r="H117" s="45"/>
      <c r="I117" s="38"/>
      <c r="J117" s="38">
        <f>317</f>
        <v>317</v>
      </c>
      <c r="K117" s="46">
        <v>2.9108796296296296E-2</v>
      </c>
      <c r="L117" s="47" t="s">
        <v>286</v>
      </c>
      <c r="M117" s="48"/>
      <c r="N117" s="48"/>
      <c r="O117" s="48">
        <f t="shared" si="0"/>
        <v>0</v>
      </c>
      <c r="P117" s="38"/>
      <c r="Q117" s="14" t="str">
        <f t="shared" ca="1" si="1"/>
        <v/>
      </c>
      <c r="R117" s="51"/>
      <c r="S117" s="51"/>
      <c r="T117" s="51"/>
      <c r="U117" s="40"/>
      <c r="V117" s="54"/>
      <c r="W117" s="55"/>
      <c r="X117" s="56"/>
      <c r="Y117" s="88"/>
      <c r="Z117" s="88"/>
      <c r="AA117" s="88"/>
      <c r="AB117" s="88"/>
    </row>
    <row r="118" spans="1:28">
      <c r="A118" s="38">
        <v>117</v>
      </c>
      <c r="B118" s="51"/>
      <c r="C118" s="40"/>
      <c r="D118" s="38"/>
      <c r="E118" s="38" t="s">
        <v>641</v>
      </c>
      <c r="F118" s="43" t="s">
        <v>642</v>
      </c>
      <c r="G118" s="44"/>
      <c r="H118" s="45"/>
      <c r="I118" s="38"/>
      <c r="J118" s="38">
        <f>756</f>
        <v>756</v>
      </c>
      <c r="K118" s="46">
        <v>1.3333333333333334E-2</v>
      </c>
      <c r="L118" s="47" t="s">
        <v>286</v>
      </c>
      <c r="M118" s="48"/>
      <c r="N118" s="48"/>
      <c r="O118" s="48">
        <f t="shared" si="0"/>
        <v>0</v>
      </c>
      <c r="P118" s="38"/>
      <c r="Q118" s="14" t="str">
        <f t="shared" ca="1" si="1"/>
        <v/>
      </c>
      <c r="R118" s="51"/>
      <c r="S118" s="51"/>
      <c r="T118" s="51"/>
      <c r="U118" s="40"/>
      <c r="V118" s="54"/>
      <c r="W118" s="55"/>
      <c r="X118" s="56"/>
      <c r="Y118" s="88"/>
      <c r="Z118" s="88"/>
      <c r="AA118" s="88"/>
      <c r="AB118" s="88"/>
    </row>
    <row r="119" spans="1:28">
      <c r="A119" s="38">
        <v>118</v>
      </c>
      <c r="B119" s="51"/>
      <c r="C119" s="40"/>
      <c r="D119" s="38"/>
      <c r="E119" s="38" t="s">
        <v>646</v>
      </c>
      <c r="F119" s="43" t="s">
        <v>647</v>
      </c>
      <c r="G119" s="44"/>
      <c r="H119" s="45"/>
      <c r="I119" s="38"/>
      <c r="J119" s="38">
        <f>493</f>
        <v>493</v>
      </c>
      <c r="K119" s="46">
        <v>1.2581018518518519E-2</v>
      </c>
      <c r="L119" s="47" t="s">
        <v>286</v>
      </c>
      <c r="M119" s="48"/>
      <c r="N119" s="48"/>
      <c r="O119" s="48">
        <f t="shared" si="0"/>
        <v>0</v>
      </c>
      <c r="P119" s="38"/>
      <c r="Q119" s="14" t="str">
        <f t="shared" ca="1" si="1"/>
        <v/>
      </c>
      <c r="R119" s="51"/>
      <c r="S119" s="51"/>
      <c r="T119" s="51"/>
      <c r="U119" s="40"/>
      <c r="V119" s="54"/>
      <c r="W119" s="55"/>
      <c r="X119" s="56"/>
      <c r="Y119" s="88"/>
      <c r="Z119" s="88"/>
      <c r="AA119" s="88"/>
      <c r="AB119" s="88"/>
    </row>
    <row r="120" spans="1:28">
      <c r="A120" s="38">
        <v>119</v>
      </c>
      <c r="B120" s="51"/>
      <c r="C120" s="40"/>
      <c r="D120" s="38"/>
      <c r="E120" s="38" t="s">
        <v>649</v>
      </c>
      <c r="F120" s="43" t="s">
        <v>650</v>
      </c>
      <c r="G120" s="44"/>
      <c r="H120" s="45"/>
      <c r="I120" s="38"/>
      <c r="J120" s="38">
        <f>1*1000</f>
        <v>1000</v>
      </c>
      <c r="K120" s="46">
        <v>3.6481481481481483E-2</v>
      </c>
      <c r="L120" s="47" t="s">
        <v>286</v>
      </c>
      <c r="M120" s="48"/>
      <c r="N120" s="48"/>
      <c r="O120" s="48">
        <f t="shared" si="0"/>
        <v>0</v>
      </c>
      <c r="P120" s="38"/>
      <c r="Q120" s="14" t="str">
        <f t="shared" ca="1" si="1"/>
        <v/>
      </c>
      <c r="R120" s="51"/>
      <c r="S120" s="51"/>
      <c r="T120" s="51"/>
      <c r="U120" s="40"/>
      <c r="V120" s="54"/>
      <c r="W120" s="55"/>
      <c r="X120" s="56"/>
      <c r="Y120" s="88"/>
      <c r="Z120" s="88"/>
      <c r="AA120" s="88"/>
      <c r="AB120" s="88"/>
    </row>
    <row r="121" spans="1:28">
      <c r="A121" s="38">
        <v>120</v>
      </c>
      <c r="B121" s="51"/>
      <c r="C121" s="40"/>
      <c r="D121" s="38"/>
      <c r="E121" s="38" t="s">
        <v>653</v>
      </c>
      <c r="F121" s="43" t="s">
        <v>654</v>
      </c>
      <c r="G121" s="44"/>
      <c r="H121" s="45"/>
      <c r="I121" s="38"/>
      <c r="J121" s="38">
        <f>619</f>
        <v>619</v>
      </c>
      <c r="K121" s="46">
        <v>3.5949074074074071E-2</v>
      </c>
      <c r="L121" s="47" t="s">
        <v>286</v>
      </c>
      <c r="M121" s="48"/>
      <c r="N121" s="48"/>
      <c r="O121" s="48">
        <f t="shared" si="0"/>
        <v>0</v>
      </c>
      <c r="P121" s="38"/>
      <c r="Q121" s="14" t="str">
        <f t="shared" ca="1" si="1"/>
        <v/>
      </c>
      <c r="R121" s="51"/>
      <c r="S121" s="51"/>
      <c r="T121" s="51"/>
      <c r="U121" s="40"/>
      <c r="V121" s="54"/>
      <c r="W121" s="55"/>
      <c r="X121" s="56"/>
      <c r="Y121" s="88"/>
      <c r="Z121" s="88"/>
      <c r="AA121" s="88"/>
      <c r="AB121" s="88"/>
    </row>
    <row r="122" spans="1:28">
      <c r="A122" s="38">
        <v>121</v>
      </c>
      <c r="B122" s="51"/>
      <c r="C122" s="40"/>
      <c r="D122" s="38"/>
      <c r="E122" s="38" t="s">
        <v>656</v>
      </c>
      <c r="F122" s="43" t="s">
        <v>657</v>
      </c>
      <c r="G122" s="44"/>
      <c r="H122" s="45"/>
      <c r="I122" s="38"/>
      <c r="J122" s="38">
        <f>658</f>
        <v>658</v>
      </c>
      <c r="K122" s="46">
        <v>3.7592592592592594E-2</v>
      </c>
      <c r="L122" s="47" t="s">
        <v>286</v>
      </c>
      <c r="M122" s="48"/>
      <c r="N122" s="48"/>
      <c r="O122" s="48">
        <f t="shared" si="0"/>
        <v>0</v>
      </c>
      <c r="P122" s="38"/>
      <c r="Q122" s="14" t="str">
        <f t="shared" ca="1" si="1"/>
        <v/>
      </c>
      <c r="R122" s="51"/>
      <c r="S122" s="51"/>
      <c r="T122" s="51"/>
      <c r="U122" s="40"/>
      <c r="V122" s="54"/>
      <c r="W122" s="55"/>
      <c r="X122" s="56"/>
      <c r="Y122" s="88"/>
      <c r="Z122" s="88"/>
      <c r="AA122" s="88"/>
      <c r="AB122" s="88"/>
    </row>
    <row r="123" spans="1:28">
      <c r="A123" s="38">
        <v>122</v>
      </c>
      <c r="B123" s="51"/>
      <c r="C123" s="40"/>
      <c r="D123" s="38"/>
      <c r="E123" s="38" t="s">
        <v>659</v>
      </c>
      <c r="F123" s="43" t="s">
        <v>661</v>
      </c>
      <c r="G123" s="44"/>
      <c r="H123" s="45"/>
      <c r="I123" s="38"/>
      <c r="J123" s="38">
        <f>1.5*1000</f>
        <v>1500</v>
      </c>
      <c r="K123" s="46">
        <v>4.7395833333333331E-2</v>
      </c>
      <c r="L123" s="47" t="s">
        <v>286</v>
      </c>
      <c r="M123" s="48"/>
      <c r="N123" s="48"/>
      <c r="O123" s="48">
        <f t="shared" si="0"/>
        <v>0</v>
      </c>
      <c r="P123" s="38"/>
      <c r="Q123" s="14" t="str">
        <f t="shared" ca="1" si="1"/>
        <v/>
      </c>
      <c r="R123" s="51"/>
      <c r="S123" s="51"/>
      <c r="T123" s="51"/>
      <c r="U123" s="40"/>
      <c r="V123" s="54"/>
      <c r="W123" s="55"/>
      <c r="X123" s="56"/>
      <c r="Y123" s="88"/>
      <c r="Z123" s="88"/>
      <c r="AA123" s="88"/>
      <c r="AB123" s="88"/>
    </row>
    <row r="124" spans="1:28">
      <c r="A124" s="38">
        <v>123</v>
      </c>
      <c r="B124" s="51"/>
      <c r="C124" s="40"/>
      <c r="D124" s="38"/>
      <c r="E124" s="38" t="s">
        <v>663</v>
      </c>
      <c r="F124" s="43" t="s">
        <v>664</v>
      </c>
      <c r="G124" s="44"/>
      <c r="H124" s="45"/>
      <c r="I124" s="38"/>
      <c r="J124" s="38">
        <f>2.1*1000</f>
        <v>2100</v>
      </c>
      <c r="K124" s="46">
        <v>4.7511574074074074E-2</v>
      </c>
      <c r="L124" s="47" t="s">
        <v>286</v>
      </c>
      <c r="M124" s="48"/>
      <c r="N124" s="48"/>
      <c r="O124" s="48">
        <f t="shared" si="0"/>
        <v>0</v>
      </c>
      <c r="P124" s="38"/>
      <c r="Q124" s="14" t="str">
        <f t="shared" ca="1" si="1"/>
        <v/>
      </c>
      <c r="R124" s="51"/>
      <c r="S124" s="51"/>
      <c r="T124" s="51"/>
      <c r="U124" s="40"/>
      <c r="V124" s="54"/>
      <c r="W124" s="55"/>
      <c r="X124" s="56"/>
      <c r="Y124" s="88"/>
      <c r="Z124" s="88"/>
      <c r="AA124" s="88"/>
      <c r="AB124" s="88"/>
    </row>
    <row r="125" spans="1:28">
      <c r="A125" s="38">
        <v>124</v>
      </c>
      <c r="B125" s="51"/>
      <c r="C125" s="40"/>
      <c r="D125" s="38"/>
      <c r="E125" s="38" t="s">
        <v>666</v>
      </c>
      <c r="F125" s="43" t="s">
        <v>667</v>
      </c>
      <c r="G125" s="44"/>
      <c r="H125" s="45"/>
      <c r="I125" s="38"/>
      <c r="J125" s="38">
        <f>1.1*1000</f>
        <v>1100</v>
      </c>
      <c r="K125" s="46">
        <v>1.5659722222222224E-2</v>
      </c>
      <c r="L125" s="47" t="s">
        <v>286</v>
      </c>
      <c r="M125" s="48"/>
      <c r="N125" s="48"/>
      <c r="O125" s="48">
        <f t="shared" si="0"/>
        <v>0</v>
      </c>
      <c r="P125" s="38"/>
      <c r="Q125" s="14" t="str">
        <f t="shared" ca="1" si="1"/>
        <v/>
      </c>
      <c r="R125" s="51"/>
      <c r="S125" s="51"/>
      <c r="T125" s="51"/>
      <c r="U125" s="40"/>
      <c r="V125" s="54"/>
      <c r="W125" s="55"/>
      <c r="X125" s="56"/>
      <c r="Y125" s="88"/>
      <c r="Z125" s="88"/>
      <c r="AA125" s="88"/>
      <c r="AB125" s="88"/>
    </row>
    <row r="126" spans="1:28">
      <c r="A126" s="38">
        <v>125</v>
      </c>
      <c r="B126" s="51"/>
      <c r="C126" s="40"/>
      <c r="D126" s="38"/>
      <c r="E126" s="38" t="s">
        <v>670</v>
      </c>
      <c r="F126" s="43" t="s">
        <v>671</v>
      </c>
      <c r="G126" s="44"/>
      <c r="H126" s="45"/>
      <c r="I126" s="38"/>
      <c r="J126" s="38">
        <f>2.3*1000</f>
        <v>2300</v>
      </c>
      <c r="K126" s="46">
        <v>5.4293981481481485E-2</v>
      </c>
      <c r="L126" s="47" t="s">
        <v>286</v>
      </c>
      <c r="M126" s="48"/>
      <c r="N126" s="48"/>
      <c r="O126" s="48">
        <f t="shared" si="0"/>
        <v>0</v>
      </c>
      <c r="P126" s="38"/>
      <c r="Q126" s="14" t="str">
        <f t="shared" ca="1" si="1"/>
        <v/>
      </c>
      <c r="R126" s="51"/>
      <c r="S126" s="51"/>
      <c r="T126" s="51"/>
      <c r="U126" s="40"/>
      <c r="V126" s="54"/>
      <c r="W126" s="55"/>
      <c r="X126" s="56"/>
      <c r="Y126" s="88"/>
      <c r="Z126" s="88"/>
      <c r="AA126" s="88"/>
      <c r="AB126" s="88"/>
    </row>
    <row r="127" spans="1:28">
      <c r="A127" s="38">
        <v>126</v>
      </c>
      <c r="B127" s="39" t="s">
        <v>155</v>
      </c>
      <c r="C127" s="40"/>
      <c r="D127" s="42" t="s">
        <v>56</v>
      </c>
      <c r="E127" s="38" t="s">
        <v>672</v>
      </c>
      <c r="F127" s="43" t="s">
        <v>674</v>
      </c>
      <c r="G127" s="44"/>
      <c r="H127" s="45"/>
      <c r="I127" s="38"/>
      <c r="J127" s="38">
        <f>2.1*1000</f>
        <v>2100</v>
      </c>
      <c r="K127" s="46">
        <v>2.6249999999999999E-2</v>
      </c>
      <c r="L127" s="47" t="s">
        <v>286</v>
      </c>
      <c r="M127" s="48"/>
      <c r="N127" s="48"/>
      <c r="O127" s="48">
        <f t="shared" si="0"/>
        <v>0</v>
      </c>
      <c r="P127" s="38"/>
      <c r="Q127" s="14" t="str">
        <f t="shared" ca="1" si="1"/>
        <v/>
      </c>
      <c r="R127" s="51"/>
      <c r="S127" s="51"/>
      <c r="T127" s="51"/>
      <c r="U127" s="40"/>
      <c r="V127" s="54"/>
      <c r="W127" s="55"/>
      <c r="X127" s="56"/>
      <c r="Y127" s="88"/>
      <c r="Z127" s="88"/>
      <c r="AA127" s="88"/>
      <c r="AB127" s="88"/>
    </row>
    <row r="128" spans="1:28">
      <c r="A128" s="38">
        <v>127</v>
      </c>
      <c r="B128" s="39" t="s">
        <v>155</v>
      </c>
      <c r="C128" s="40"/>
      <c r="D128" s="42" t="s">
        <v>56</v>
      </c>
      <c r="E128" s="38" t="s">
        <v>677</v>
      </c>
      <c r="F128" s="43" t="s">
        <v>678</v>
      </c>
      <c r="G128" s="44"/>
      <c r="H128" s="45"/>
      <c r="I128" s="38"/>
      <c r="J128" s="38">
        <f>2.4*1000</f>
        <v>2400</v>
      </c>
      <c r="K128" s="46">
        <v>2.8645833333333332E-2</v>
      </c>
      <c r="L128" s="47" t="s">
        <v>286</v>
      </c>
      <c r="M128" s="48"/>
      <c r="N128" s="48"/>
      <c r="O128" s="48">
        <f t="shared" si="0"/>
        <v>0</v>
      </c>
      <c r="P128" s="38"/>
      <c r="Q128" s="14" t="str">
        <f t="shared" ca="1" si="1"/>
        <v/>
      </c>
      <c r="R128" s="51"/>
      <c r="S128" s="51"/>
      <c r="T128" s="51"/>
      <c r="U128" s="40"/>
      <c r="V128" s="54"/>
      <c r="W128" s="55"/>
      <c r="X128" s="56"/>
      <c r="Y128" s="88"/>
      <c r="Z128" s="88"/>
      <c r="AA128" s="88"/>
      <c r="AB128" s="88"/>
    </row>
    <row r="129" spans="1:28">
      <c r="A129" s="38">
        <v>128</v>
      </c>
      <c r="B129" s="39" t="s">
        <v>155</v>
      </c>
      <c r="C129" s="40"/>
      <c r="D129" s="42" t="s">
        <v>56</v>
      </c>
      <c r="E129" s="38" t="s">
        <v>679</v>
      </c>
      <c r="F129" s="43" t="s">
        <v>680</v>
      </c>
      <c r="G129" s="44"/>
      <c r="H129" s="45"/>
      <c r="I129" s="38"/>
      <c r="J129" s="38">
        <f>1.4*1000</f>
        <v>1400</v>
      </c>
      <c r="K129" s="46">
        <v>3.318287037037037E-2</v>
      </c>
      <c r="L129" s="47" t="s">
        <v>286</v>
      </c>
      <c r="M129" s="48"/>
      <c r="N129" s="48"/>
      <c r="O129" s="48">
        <f t="shared" si="0"/>
        <v>0</v>
      </c>
      <c r="P129" s="70"/>
      <c r="Q129" s="14" t="str">
        <f t="shared" ca="1" si="1"/>
        <v/>
      </c>
      <c r="R129" s="51"/>
      <c r="S129" s="51"/>
      <c r="T129" s="51"/>
      <c r="U129" s="40"/>
      <c r="V129" s="54"/>
      <c r="W129" s="55"/>
      <c r="X129" s="56"/>
      <c r="Y129" s="88"/>
      <c r="Z129" s="88"/>
      <c r="AA129" s="88"/>
      <c r="AB129" s="88"/>
    </row>
    <row r="130" spans="1:28">
      <c r="A130" s="38">
        <v>129</v>
      </c>
      <c r="B130" s="39" t="s">
        <v>155</v>
      </c>
      <c r="C130" s="40"/>
      <c r="D130" s="42" t="s">
        <v>56</v>
      </c>
      <c r="E130" s="38" t="s">
        <v>683</v>
      </c>
      <c r="F130" s="43" t="s">
        <v>684</v>
      </c>
      <c r="G130" s="44"/>
      <c r="H130" s="45"/>
      <c r="I130" s="38"/>
      <c r="J130" s="38">
        <f>19*1000</f>
        <v>19000</v>
      </c>
      <c r="K130" s="46">
        <v>1.1620370370370371E-2</v>
      </c>
      <c r="L130" s="47" t="s">
        <v>286</v>
      </c>
      <c r="M130" s="48"/>
      <c r="N130" s="48"/>
      <c r="O130" s="48">
        <f t="shared" si="0"/>
        <v>0</v>
      </c>
      <c r="P130" s="70">
        <v>43046</v>
      </c>
      <c r="Q130" s="14" t="str">
        <f t="shared" ca="1" si="1"/>
        <v/>
      </c>
      <c r="R130" s="51"/>
      <c r="S130" s="51"/>
      <c r="T130" s="51"/>
      <c r="U130" s="40"/>
      <c r="V130" s="54"/>
      <c r="W130" s="55"/>
      <c r="X130" s="56"/>
      <c r="Y130" s="88"/>
      <c r="Z130" s="88"/>
      <c r="AA130" s="88"/>
      <c r="AB130" s="88"/>
    </row>
    <row r="131" spans="1:28">
      <c r="A131" s="38">
        <v>130</v>
      </c>
      <c r="B131" s="39" t="s">
        <v>155</v>
      </c>
      <c r="C131" s="40"/>
      <c r="D131" s="42" t="s">
        <v>56</v>
      </c>
      <c r="E131" s="38" t="s">
        <v>686</v>
      </c>
      <c r="F131" s="43" t="s">
        <v>687</v>
      </c>
      <c r="G131" s="44"/>
      <c r="H131" s="45"/>
      <c r="I131" s="38"/>
      <c r="J131" s="38">
        <f>651</f>
        <v>651</v>
      </c>
      <c r="K131" s="46">
        <v>3.9814814814814817E-3</v>
      </c>
      <c r="L131" s="47" t="s">
        <v>286</v>
      </c>
      <c r="M131" s="48"/>
      <c r="N131" s="48"/>
      <c r="O131" s="48">
        <f t="shared" si="0"/>
        <v>0</v>
      </c>
      <c r="P131" s="70">
        <v>43050</v>
      </c>
      <c r="Q131" s="14" t="str">
        <f t="shared" ca="1" si="1"/>
        <v/>
      </c>
      <c r="R131" s="51"/>
      <c r="S131" s="51"/>
      <c r="T131" s="51"/>
      <c r="U131" s="40"/>
      <c r="V131" s="54"/>
      <c r="W131" s="55"/>
      <c r="X131" s="56"/>
      <c r="Y131" s="88"/>
      <c r="Z131" s="88"/>
      <c r="AA131" s="88"/>
      <c r="AB131" s="88"/>
    </row>
    <row r="132" spans="1:28">
      <c r="A132" s="38">
        <v>131</v>
      </c>
      <c r="B132" s="39" t="s">
        <v>155</v>
      </c>
      <c r="C132" s="40"/>
      <c r="D132" s="42" t="s">
        <v>56</v>
      </c>
      <c r="E132" s="38" t="s">
        <v>689</v>
      </c>
      <c r="F132" s="43" t="s">
        <v>690</v>
      </c>
      <c r="G132" s="44"/>
      <c r="H132" s="45"/>
      <c r="I132" s="38"/>
      <c r="J132" s="38">
        <f>667</f>
        <v>667</v>
      </c>
      <c r="K132" s="46">
        <v>3.0092592592592588E-3</v>
      </c>
      <c r="L132" s="47" t="s">
        <v>286</v>
      </c>
      <c r="M132" s="48"/>
      <c r="N132" s="48"/>
      <c r="O132" s="48">
        <f t="shared" si="0"/>
        <v>0</v>
      </c>
      <c r="P132" s="38"/>
      <c r="Q132" s="14" t="str">
        <f t="shared" ca="1" si="1"/>
        <v/>
      </c>
      <c r="R132" s="51"/>
      <c r="S132" s="51"/>
      <c r="T132" s="51"/>
      <c r="U132" s="40"/>
      <c r="V132" s="54"/>
      <c r="W132" s="55"/>
      <c r="X132" s="56"/>
      <c r="Y132" s="88"/>
      <c r="Z132" s="88"/>
      <c r="AA132" s="88"/>
      <c r="AB132" s="88"/>
    </row>
    <row r="133" spans="1:28">
      <c r="A133" s="38">
        <v>132</v>
      </c>
      <c r="B133" s="39" t="s">
        <v>155</v>
      </c>
      <c r="C133" s="40"/>
      <c r="D133" s="42" t="s">
        <v>56</v>
      </c>
      <c r="E133" s="38" t="s">
        <v>692</v>
      </c>
      <c r="F133" s="43" t="s">
        <v>694</v>
      </c>
      <c r="G133" s="44"/>
      <c r="H133" s="45"/>
      <c r="I133" s="38"/>
      <c r="J133" s="38">
        <f>446</f>
        <v>446</v>
      </c>
      <c r="K133" s="46">
        <v>1.6087962962962963E-3</v>
      </c>
      <c r="L133" s="47" t="s">
        <v>286</v>
      </c>
      <c r="M133" s="48"/>
      <c r="N133" s="48"/>
      <c r="O133" s="48">
        <f t="shared" si="0"/>
        <v>0</v>
      </c>
      <c r="P133" s="38"/>
      <c r="Q133" s="14" t="str">
        <f t="shared" ca="1" si="1"/>
        <v/>
      </c>
      <c r="R133" s="51"/>
      <c r="S133" s="51"/>
      <c r="T133" s="51"/>
      <c r="U133" s="40"/>
      <c r="V133" s="54"/>
      <c r="W133" s="55"/>
      <c r="X133" s="56"/>
      <c r="Y133" s="88"/>
      <c r="Z133" s="88"/>
      <c r="AA133" s="88"/>
      <c r="AB133" s="88"/>
    </row>
    <row r="134" spans="1:28">
      <c r="A134" s="38">
        <v>133</v>
      </c>
      <c r="B134" s="39" t="s">
        <v>155</v>
      </c>
      <c r="C134" s="40"/>
      <c r="D134" s="42" t="s">
        <v>56</v>
      </c>
      <c r="E134" s="38" t="s">
        <v>696</v>
      </c>
      <c r="F134" s="43" t="s">
        <v>697</v>
      </c>
      <c r="G134" s="44"/>
      <c r="H134" s="45"/>
      <c r="I134" s="38"/>
      <c r="J134" s="38">
        <f>1.5*1000</f>
        <v>1500</v>
      </c>
      <c r="K134" s="46">
        <v>2.0995370370370373E-2</v>
      </c>
      <c r="L134" s="47" t="s">
        <v>286</v>
      </c>
      <c r="M134" s="48"/>
      <c r="N134" s="48"/>
      <c r="O134" s="48">
        <f t="shared" si="0"/>
        <v>0</v>
      </c>
      <c r="P134" s="70">
        <v>43050</v>
      </c>
      <c r="Q134" s="14" t="str">
        <f t="shared" ca="1" si="1"/>
        <v/>
      </c>
      <c r="R134" s="51"/>
      <c r="S134" s="51"/>
      <c r="T134" s="51"/>
      <c r="U134" s="40"/>
      <c r="V134" s="54"/>
      <c r="W134" s="55"/>
      <c r="X134" s="56"/>
      <c r="Y134" s="88"/>
      <c r="Z134" s="88"/>
      <c r="AA134" s="88"/>
      <c r="AB134" s="88"/>
    </row>
    <row r="135" spans="1:28">
      <c r="A135" s="38">
        <v>134</v>
      </c>
      <c r="B135" s="39" t="s">
        <v>155</v>
      </c>
      <c r="C135" s="40"/>
      <c r="D135" s="42" t="s">
        <v>56</v>
      </c>
      <c r="E135" s="38" t="s">
        <v>699</v>
      </c>
      <c r="F135" s="43" t="s">
        <v>700</v>
      </c>
      <c r="G135" s="44"/>
      <c r="H135" s="45"/>
      <c r="I135" s="38"/>
      <c r="J135" s="38">
        <f>919</f>
        <v>919</v>
      </c>
      <c r="K135" s="46">
        <v>3.9479166666666669E-2</v>
      </c>
      <c r="L135" s="47" t="s">
        <v>286</v>
      </c>
      <c r="M135" s="48"/>
      <c r="N135" s="48"/>
      <c r="O135" s="48">
        <f t="shared" si="0"/>
        <v>0</v>
      </c>
      <c r="P135" s="38"/>
      <c r="Q135" s="14" t="str">
        <f t="shared" ca="1" si="1"/>
        <v/>
      </c>
      <c r="R135" s="51"/>
      <c r="S135" s="51"/>
      <c r="T135" s="51"/>
      <c r="U135" s="40"/>
      <c r="V135" s="54"/>
      <c r="W135" s="55"/>
      <c r="X135" s="56"/>
      <c r="Y135" s="88"/>
      <c r="Z135" s="88"/>
      <c r="AA135" s="88"/>
      <c r="AB135" s="88"/>
    </row>
    <row r="136" spans="1:28">
      <c r="A136" s="38">
        <v>135</v>
      </c>
      <c r="B136" s="39" t="s">
        <v>155</v>
      </c>
      <c r="C136" s="40"/>
      <c r="D136" s="42" t="s">
        <v>56</v>
      </c>
      <c r="E136" s="38" t="s">
        <v>703</v>
      </c>
      <c r="F136" s="43" t="s">
        <v>704</v>
      </c>
      <c r="G136" s="44"/>
      <c r="H136" s="45"/>
      <c r="I136" s="38"/>
      <c r="J136" s="38">
        <f>1*1000</f>
        <v>1000</v>
      </c>
      <c r="K136" s="46">
        <v>1.2499999999999999E-2</v>
      </c>
      <c r="L136" s="47" t="s">
        <v>286</v>
      </c>
      <c r="M136" s="48"/>
      <c r="N136" s="48"/>
      <c r="O136" s="48">
        <f t="shared" si="0"/>
        <v>0</v>
      </c>
      <c r="P136" s="38"/>
      <c r="Q136" s="14" t="str">
        <f t="shared" ca="1" si="1"/>
        <v/>
      </c>
      <c r="R136" s="51"/>
      <c r="S136" s="51"/>
      <c r="T136" s="51"/>
      <c r="U136" s="40"/>
      <c r="V136" s="54"/>
      <c r="W136" s="55"/>
      <c r="X136" s="56"/>
      <c r="Y136" s="88"/>
      <c r="Z136" s="88"/>
      <c r="AA136" s="88"/>
      <c r="AB136" s="88"/>
    </row>
    <row r="137" spans="1:28">
      <c r="A137" s="38">
        <v>136</v>
      </c>
      <c r="B137" s="39" t="s">
        <v>155</v>
      </c>
      <c r="C137" s="40"/>
      <c r="D137" s="42" t="s">
        <v>56</v>
      </c>
      <c r="E137" s="38" t="s">
        <v>706</v>
      </c>
      <c r="F137" s="43" t="s">
        <v>707</v>
      </c>
      <c r="G137" s="44"/>
      <c r="H137" s="45"/>
      <c r="I137" s="38"/>
      <c r="J137" s="38">
        <f>246</f>
        <v>246</v>
      </c>
      <c r="K137" s="46">
        <v>1.8055555555555557E-3</v>
      </c>
      <c r="L137" s="47" t="s">
        <v>286</v>
      </c>
      <c r="M137" s="48"/>
      <c r="N137" s="48"/>
      <c r="O137" s="48">
        <f t="shared" si="0"/>
        <v>0</v>
      </c>
      <c r="P137" s="38"/>
      <c r="Q137" s="14" t="str">
        <f t="shared" ca="1" si="1"/>
        <v/>
      </c>
      <c r="R137" s="51"/>
      <c r="S137" s="51"/>
      <c r="T137" s="51"/>
      <c r="U137" s="40"/>
      <c r="V137" s="54"/>
      <c r="W137" s="55"/>
      <c r="X137" s="56"/>
      <c r="Y137" s="88"/>
      <c r="Z137" s="88"/>
      <c r="AA137" s="88"/>
      <c r="AB137" s="88"/>
    </row>
    <row r="138" spans="1:28">
      <c r="A138" s="38">
        <v>137</v>
      </c>
      <c r="B138" s="39" t="s">
        <v>155</v>
      </c>
      <c r="C138" s="40"/>
      <c r="D138" s="42" t="s">
        <v>139</v>
      </c>
      <c r="E138" s="38" t="s">
        <v>710</v>
      </c>
      <c r="F138" s="43" t="s">
        <v>712</v>
      </c>
      <c r="G138" s="44"/>
      <c r="H138" s="45"/>
      <c r="I138" s="38"/>
      <c r="J138" s="38">
        <f>10*1000</f>
        <v>10000</v>
      </c>
      <c r="K138" s="46">
        <v>3.1759259259259258E-2</v>
      </c>
      <c r="L138" s="47" t="s">
        <v>286</v>
      </c>
      <c r="M138" s="48"/>
      <c r="N138" s="48"/>
      <c r="O138" s="48">
        <f t="shared" si="0"/>
        <v>0</v>
      </c>
      <c r="P138" s="38"/>
      <c r="Q138" s="14" t="str">
        <f t="shared" ca="1" si="1"/>
        <v/>
      </c>
      <c r="R138" s="51"/>
      <c r="S138" s="51"/>
      <c r="T138" s="51"/>
      <c r="U138" s="40"/>
      <c r="V138" s="54"/>
      <c r="W138" s="55"/>
      <c r="X138" s="56"/>
      <c r="Y138" s="88"/>
      <c r="Z138" s="88"/>
      <c r="AA138" s="88"/>
      <c r="AB138" s="88"/>
    </row>
    <row r="139" spans="1:28">
      <c r="A139" s="38">
        <v>138</v>
      </c>
      <c r="B139" s="51"/>
      <c r="C139" s="40"/>
      <c r="D139" s="38"/>
      <c r="E139" s="38" t="s">
        <v>714</v>
      </c>
      <c r="F139" s="43" t="s">
        <v>715</v>
      </c>
      <c r="G139" s="44"/>
      <c r="H139" s="45"/>
      <c r="I139" s="38"/>
      <c r="J139" s="38">
        <f>955</f>
        <v>955</v>
      </c>
      <c r="K139" s="46">
        <v>5.5208333333333333E-3</v>
      </c>
      <c r="L139" s="47" t="s">
        <v>286</v>
      </c>
      <c r="M139" s="48"/>
      <c r="N139" s="48"/>
      <c r="O139" s="48">
        <f t="shared" si="0"/>
        <v>0</v>
      </c>
      <c r="P139" s="38"/>
      <c r="Q139" s="14" t="str">
        <f t="shared" ca="1" si="1"/>
        <v/>
      </c>
      <c r="R139" s="51"/>
      <c r="S139" s="51"/>
      <c r="T139" s="51"/>
      <c r="U139" s="40"/>
      <c r="V139" s="54"/>
      <c r="W139" s="55"/>
      <c r="X139" s="56"/>
      <c r="Y139" s="88"/>
      <c r="Z139" s="88"/>
      <c r="AA139" s="88"/>
      <c r="AB139" s="88"/>
    </row>
    <row r="140" spans="1:28">
      <c r="A140" s="38">
        <v>139</v>
      </c>
      <c r="B140" s="39" t="s">
        <v>155</v>
      </c>
      <c r="C140" s="40"/>
      <c r="D140" s="42" t="s">
        <v>139</v>
      </c>
      <c r="E140" s="38" t="s">
        <v>717</v>
      </c>
      <c r="F140" s="43" t="s">
        <v>718</v>
      </c>
      <c r="G140" s="44"/>
      <c r="H140" s="45"/>
      <c r="I140" s="38"/>
      <c r="J140" s="38">
        <f>5.6*1000</f>
        <v>5600</v>
      </c>
      <c r="K140" s="46">
        <v>3.7083333333333336E-2</v>
      </c>
      <c r="L140" s="47" t="s">
        <v>286</v>
      </c>
      <c r="M140" s="48"/>
      <c r="N140" s="48"/>
      <c r="O140" s="48">
        <f t="shared" si="0"/>
        <v>0</v>
      </c>
      <c r="P140" s="38"/>
      <c r="Q140" s="14" t="str">
        <f t="shared" ca="1" si="1"/>
        <v/>
      </c>
      <c r="R140" s="51"/>
      <c r="S140" s="51"/>
      <c r="T140" s="51"/>
      <c r="U140" s="40"/>
      <c r="V140" s="54"/>
      <c r="W140" s="55"/>
      <c r="X140" s="56"/>
      <c r="Y140" s="88"/>
      <c r="Z140" s="88"/>
      <c r="AA140" s="88"/>
      <c r="AB140" s="88"/>
    </row>
    <row r="141" spans="1:28">
      <c r="A141" s="38">
        <v>140</v>
      </c>
      <c r="B141" s="51"/>
      <c r="C141" s="40"/>
      <c r="D141" s="38"/>
      <c r="E141" s="38" t="s">
        <v>720</v>
      </c>
      <c r="F141" s="43" t="s">
        <v>721</v>
      </c>
      <c r="G141" s="44"/>
      <c r="H141" s="45"/>
      <c r="I141" s="38"/>
      <c r="J141" s="38">
        <f>1*1000</f>
        <v>1000</v>
      </c>
      <c r="K141" s="46">
        <v>3.3622685185185179E-2</v>
      </c>
      <c r="L141" s="47" t="s">
        <v>286</v>
      </c>
      <c r="M141" s="48"/>
      <c r="N141" s="48"/>
      <c r="O141" s="48">
        <f t="shared" si="0"/>
        <v>0</v>
      </c>
      <c r="P141" s="38"/>
      <c r="Q141" s="14" t="str">
        <f t="shared" ca="1" si="1"/>
        <v/>
      </c>
      <c r="R141" s="51"/>
      <c r="S141" s="51"/>
      <c r="T141" s="51"/>
      <c r="U141" s="40"/>
      <c r="V141" s="54"/>
      <c r="W141" s="55"/>
      <c r="X141" s="56"/>
      <c r="Y141" s="88"/>
      <c r="Z141" s="88"/>
      <c r="AA141" s="88"/>
      <c r="AB141" s="88"/>
    </row>
    <row r="142" spans="1:28">
      <c r="A142" s="38">
        <v>141</v>
      </c>
      <c r="B142" s="51"/>
      <c r="C142" s="40"/>
      <c r="D142" s="38"/>
      <c r="E142" s="38" t="s">
        <v>725</v>
      </c>
      <c r="F142" s="43" t="s">
        <v>726</v>
      </c>
      <c r="G142" s="44"/>
      <c r="H142" s="45"/>
      <c r="I142" s="38"/>
      <c r="J142" s="38">
        <f>758</f>
        <v>758</v>
      </c>
      <c r="K142" s="46">
        <v>2.9050925925925928E-2</v>
      </c>
      <c r="L142" s="47" t="s">
        <v>286</v>
      </c>
      <c r="M142" s="48"/>
      <c r="N142" s="48"/>
      <c r="O142" s="48">
        <f t="shared" si="0"/>
        <v>0</v>
      </c>
      <c r="P142" s="38"/>
      <c r="Q142" s="14" t="str">
        <f t="shared" ca="1" si="1"/>
        <v/>
      </c>
      <c r="R142" s="51"/>
      <c r="S142" s="51"/>
      <c r="T142" s="51"/>
      <c r="U142" s="40"/>
      <c r="V142" s="54"/>
      <c r="W142" s="55"/>
      <c r="X142" s="56"/>
      <c r="Y142" s="88"/>
      <c r="Z142" s="88"/>
      <c r="AA142" s="88"/>
      <c r="AB142" s="88"/>
    </row>
    <row r="143" spans="1:28">
      <c r="A143" s="38">
        <v>142</v>
      </c>
      <c r="B143" s="51"/>
      <c r="C143" s="40"/>
      <c r="D143" s="38"/>
      <c r="E143" s="38" t="s">
        <v>728</v>
      </c>
      <c r="F143" s="43" t="s">
        <v>730</v>
      </c>
      <c r="G143" s="44"/>
      <c r="H143" s="45"/>
      <c r="I143" s="38"/>
      <c r="J143" s="38">
        <f>483</f>
        <v>483</v>
      </c>
      <c r="K143" s="46">
        <v>2.1400462962962965E-2</v>
      </c>
      <c r="L143" s="47" t="s">
        <v>286</v>
      </c>
      <c r="M143" s="48"/>
      <c r="N143" s="48"/>
      <c r="O143" s="48">
        <f t="shared" si="0"/>
        <v>0</v>
      </c>
      <c r="P143" s="38"/>
      <c r="Q143" s="14" t="str">
        <f t="shared" ca="1" si="1"/>
        <v/>
      </c>
      <c r="R143" s="51"/>
      <c r="S143" s="51"/>
      <c r="T143" s="51"/>
      <c r="U143" s="40"/>
      <c r="V143" s="54"/>
      <c r="W143" s="55"/>
      <c r="X143" s="56"/>
      <c r="Y143" s="88"/>
      <c r="Z143" s="88"/>
      <c r="AA143" s="88"/>
      <c r="AB143" s="88"/>
    </row>
    <row r="144" spans="1:28">
      <c r="A144" s="38">
        <v>143</v>
      </c>
      <c r="B144" s="51"/>
      <c r="C144" s="40"/>
      <c r="D144" s="38"/>
      <c r="E144" s="38" t="s">
        <v>736</v>
      </c>
      <c r="F144" s="43" t="s">
        <v>737</v>
      </c>
      <c r="G144" s="44"/>
      <c r="H144" s="45"/>
      <c r="I144" s="38"/>
      <c r="J144" s="38">
        <f>435</f>
        <v>435</v>
      </c>
      <c r="K144" s="46">
        <v>1.4490740740740742E-2</v>
      </c>
      <c r="L144" s="47" t="s">
        <v>286</v>
      </c>
      <c r="M144" s="48"/>
      <c r="N144" s="48"/>
      <c r="O144" s="48">
        <f t="shared" si="0"/>
        <v>0</v>
      </c>
      <c r="P144" s="38"/>
      <c r="Q144" s="14" t="str">
        <f t="shared" ca="1" si="1"/>
        <v/>
      </c>
      <c r="R144" s="51"/>
      <c r="S144" s="51"/>
      <c r="T144" s="51"/>
      <c r="U144" s="40"/>
      <c r="V144" s="54"/>
      <c r="W144" s="55"/>
      <c r="X144" s="56"/>
      <c r="Y144" s="88"/>
      <c r="Z144" s="88"/>
      <c r="AA144" s="88"/>
      <c r="AB144" s="88"/>
    </row>
    <row r="145" spans="1:28">
      <c r="A145" s="38">
        <v>144</v>
      </c>
      <c r="B145" s="51"/>
      <c r="C145" s="40"/>
      <c r="D145" s="38"/>
      <c r="E145" s="38" t="s">
        <v>739</v>
      </c>
      <c r="F145" s="43" t="s">
        <v>740</v>
      </c>
      <c r="G145" s="44"/>
      <c r="H145" s="45"/>
      <c r="I145" s="38"/>
      <c r="J145" s="38">
        <f>409</f>
        <v>409</v>
      </c>
      <c r="K145" s="46">
        <v>1.105324074074074E-2</v>
      </c>
      <c r="L145" s="47" t="s">
        <v>286</v>
      </c>
      <c r="M145" s="48"/>
      <c r="N145" s="48"/>
      <c r="O145" s="48">
        <f t="shared" si="0"/>
        <v>0</v>
      </c>
      <c r="P145" s="38"/>
      <c r="Q145" s="14" t="str">
        <f t="shared" ca="1" si="1"/>
        <v/>
      </c>
      <c r="R145" s="51"/>
      <c r="S145" s="51"/>
      <c r="T145" s="51"/>
      <c r="U145" s="40"/>
      <c r="V145" s="54"/>
      <c r="W145" s="55"/>
      <c r="X145" s="56"/>
      <c r="Y145" s="88"/>
      <c r="Z145" s="88"/>
      <c r="AA145" s="88"/>
      <c r="AB145" s="88"/>
    </row>
    <row r="146" spans="1:28">
      <c r="A146" s="38">
        <v>145</v>
      </c>
      <c r="B146" s="51"/>
      <c r="C146" s="40"/>
      <c r="D146" s="38"/>
      <c r="E146" s="38" t="s">
        <v>744</v>
      </c>
      <c r="F146" s="43" t="s">
        <v>746</v>
      </c>
      <c r="G146" s="44"/>
      <c r="H146" s="45"/>
      <c r="I146" s="38"/>
      <c r="J146" s="38">
        <f>925</f>
        <v>925</v>
      </c>
      <c r="K146" s="46">
        <v>2.0173611111111111E-2</v>
      </c>
      <c r="L146" s="47" t="s">
        <v>286</v>
      </c>
      <c r="M146" s="48"/>
      <c r="N146" s="48"/>
      <c r="O146" s="48">
        <f t="shared" si="0"/>
        <v>0</v>
      </c>
      <c r="P146" s="38"/>
      <c r="Q146" s="14" t="str">
        <f t="shared" ca="1" si="1"/>
        <v/>
      </c>
      <c r="R146" s="51"/>
      <c r="S146" s="51"/>
      <c r="T146" s="51"/>
      <c r="U146" s="40"/>
      <c r="V146" s="54"/>
      <c r="W146" s="55"/>
      <c r="X146" s="56"/>
      <c r="Y146" s="88"/>
      <c r="Z146" s="88"/>
      <c r="AA146" s="88"/>
      <c r="AB146" s="88"/>
    </row>
    <row r="147" spans="1:28">
      <c r="A147" s="38">
        <v>146</v>
      </c>
      <c r="B147" s="51"/>
      <c r="C147" s="40"/>
      <c r="D147" s="38"/>
      <c r="E147" s="38" t="s">
        <v>749</v>
      </c>
      <c r="F147" s="43" t="s">
        <v>750</v>
      </c>
      <c r="G147" s="44"/>
      <c r="H147" s="45"/>
      <c r="I147" s="38"/>
      <c r="J147" s="38">
        <f>427</f>
        <v>427</v>
      </c>
      <c r="K147" s="46">
        <v>3.1249999999999997E-3</v>
      </c>
      <c r="L147" s="47" t="s">
        <v>286</v>
      </c>
      <c r="M147" s="48"/>
      <c r="N147" s="48"/>
      <c r="O147" s="48">
        <f t="shared" si="0"/>
        <v>0</v>
      </c>
      <c r="P147" s="38"/>
      <c r="Q147" s="14" t="str">
        <f t="shared" ca="1" si="1"/>
        <v/>
      </c>
      <c r="R147" s="51"/>
      <c r="S147" s="51"/>
      <c r="T147" s="51"/>
      <c r="U147" s="40"/>
      <c r="V147" s="54"/>
      <c r="W147" s="55"/>
      <c r="X147" s="56"/>
      <c r="Y147" s="88"/>
      <c r="Z147" s="88"/>
      <c r="AA147" s="88"/>
      <c r="AB147" s="88"/>
    </row>
    <row r="148" spans="1:28">
      <c r="A148" s="38">
        <v>147</v>
      </c>
      <c r="B148" s="51"/>
      <c r="C148" s="40"/>
      <c r="D148" s="38"/>
      <c r="E148" s="38" t="s">
        <v>754</v>
      </c>
      <c r="F148" s="43" t="s">
        <v>755</v>
      </c>
      <c r="G148" s="44"/>
      <c r="H148" s="45"/>
      <c r="I148" s="38"/>
      <c r="J148" s="38">
        <f>3.5*1000</f>
        <v>3500</v>
      </c>
      <c r="K148" s="46">
        <v>2.5208333333333333E-2</v>
      </c>
      <c r="L148" s="47" t="s">
        <v>286</v>
      </c>
      <c r="M148" s="48"/>
      <c r="N148" s="48"/>
      <c r="O148" s="48">
        <f t="shared" si="0"/>
        <v>0</v>
      </c>
      <c r="P148" s="38"/>
      <c r="Q148" s="14" t="str">
        <f t="shared" ca="1" si="1"/>
        <v/>
      </c>
      <c r="R148" s="51"/>
      <c r="S148" s="51"/>
      <c r="T148" s="51"/>
      <c r="U148" s="40"/>
      <c r="V148" s="54"/>
      <c r="W148" s="55"/>
      <c r="X148" s="56"/>
      <c r="Y148" s="88"/>
      <c r="Z148" s="88"/>
      <c r="AA148" s="88"/>
      <c r="AB148" s="88"/>
    </row>
    <row r="149" spans="1:28">
      <c r="A149" s="38">
        <v>148</v>
      </c>
      <c r="B149" s="51"/>
      <c r="C149" s="40"/>
      <c r="D149" s="38"/>
      <c r="E149" s="38" t="s">
        <v>761</v>
      </c>
      <c r="F149" s="43" t="s">
        <v>764</v>
      </c>
      <c r="G149" s="44"/>
      <c r="H149" s="45"/>
      <c r="I149" s="38"/>
      <c r="J149" s="38">
        <f>1.1*1000</f>
        <v>1100</v>
      </c>
      <c r="K149" s="46">
        <v>3.6597222222222225E-2</v>
      </c>
      <c r="L149" s="47" t="s">
        <v>286</v>
      </c>
      <c r="M149" s="48"/>
      <c r="N149" s="48"/>
      <c r="O149" s="48">
        <f t="shared" si="0"/>
        <v>0</v>
      </c>
      <c r="P149" s="38"/>
      <c r="Q149" s="14" t="str">
        <f t="shared" ca="1" si="1"/>
        <v/>
      </c>
      <c r="R149" s="51"/>
      <c r="S149" s="51"/>
      <c r="T149" s="51"/>
      <c r="U149" s="40"/>
      <c r="V149" s="54"/>
      <c r="W149" s="55"/>
      <c r="X149" s="56"/>
      <c r="Y149" s="88"/>
      <c r="Z149" s="88"/>
      <c r="AA149" s="88"/>
      <c r="AB149" s="88"/>
    </row>
    <row r="150" spans="1:28">
      <c r="A150" s="38">
        <v>149</v>
      </c>
      <c r="B150" s="39" t="s">
        <v>54</v>
      </c>
      <c r="C150" s="40"/>
      <c r="D150" s="42" t="s">
        <v>56</v>
      </c>
      <c r="E150" s="38" t="s">
        <v>345</v>
      </c>
      <c r="F150" s="43" t="s">
        <v>346</v>
      </c>
      <c r="G150" s="44"/>
      <c r="H150" s="45"/>
      <c r="I150" s="38"/>
      <c r="J150" s="38">
        <f>1.2*1000</f>
        <v>1200</v>
      </c>
      <c r="K150" s="46">
        <v>4.2303240740740738E-2</v>
      </c>
      <c r="L150" s="47" t="s">
        <v>286</v>
      </c>
      <c r="M150" s="48"/>
      <c r="N150" s="48"/>
      <c r="O150" s="48">
        <f t="shared" si="0"/>
        <v>0</v>
      </c>
      <c r="P150" s="65">
        <v>43025</v>
      </c>
      <c r="Q150" s="14" t="str">
        <f t="shared" ca="1" si="1"/>
        <v/>
      </c>
      <c r="R150" s="39" t="s">
        <v>63</v>
      </c>
      <c r="S150" s="39" t="s">
        <v>63</v>
      </c>
      <c r="T150" s="39" t="s">
        <v>63</v>
      </c>
      <c r="U150" s="40"/>
      <c r="V150" s="54"/>
      <c r="W150" s="69" t="s">
        <v>64</v>
      </c>
      <c r="X150" s="56"/>
      <c r="Y150" s="88"/>
      <c r="Z150" s="88"/>
      <c r="AA150" s="88"/>
      <c r="AB150" s="88"/>
    </row>
    <row r="151" spans="1:28">
      <c r="A151" s="38">
        <v>150</v>
      </c>
      <c r="B151" s="51"/>
      <c r="C151" s="40"/>
      <c r="D151" s="38"/>
      <c r="E151" s="38" t="s">
        <v>772</v>
      </c>
      <c r="F151" s="43" t="s">
        <v>773</v>
      </c>
      <c r="G151" s="44"/>
      <c r="H151" s="45"/>
      <c r="I151" s="38"/>
      <c r="J151" s="38">
        <f>1.3*1000</f>
        <v>1300</v>
      </c>
      <c r="K151" s="46">
        <v>4.2129629629629628E-2</v>
      </c>
      <c r="L151" s="47" t="s">
        <v>286</v>
      </c>
      <c r="M151" s="48"/>
      <c r="N151" s="48"/>
      <c r="O151" s="48">
        <f t="shared" si="0"/>
        <v>0</v>
      </c>
      <c r="P151" s="38"/>
      <c r="Q151" s="14" t="str">
        <f t="shared" ca="1" si="1"/>
        <v/>
      </c>
      <c r="R151" s="51"/>
      <c r="S151" s="51"/>
      <c r="T151" s="51"/>
      <c r="U151" s="40"/>
      <c r="V151" s="54"/>
      <c r="W151" s="55"/>
      <c r="X151" s="56"/>
      <c r="Y151" s="88"/>
      <c r="Z151" s="88"/>
      <c r="AA151" s="88"/>
      <c r="AB151" s="88"/>
    </row>
    <row r="152" spans="1:28">
      <c r="A152" s="38">
        <v>151</v>
      </c>
      <c r="B152" s="51"/>
      <c r="C152" s="40"/>
      <c r="D152" s="38"/>
      <c r="E152" s="38" t="s">
        <v>779</v>
      </c>
      <c r="F152" s="43" t="s">
        <v>780</v>
      </c>
      <c r="G152" s="44"/>
      <c r="H152" s="45"/>
      <c r="I152" s="38"/>
      <c r="J152" s="38">
        <f>1*1000</f>
        <v>1000</v>
      </c>
      <c r="K152" s="46">
        <v>3.3020833333333333E-2</v>
      </c>
      <c r="L152" s="47" t="s">
        <v>286</v>
      </c>
      <c r="M152" s="48"/>
      <c r="N152" s="48"/>
      <c r="O152" s="48">
        <f t="shared" si="0"/>
        <v>0</v>
      </c>
      <c r="P152" s="38"/>
      <c r="Q152" s="14" t="str">
        <f t="shared" ca="1" si="1"/>
        <v/>
      </c>
      <c r="R152" s="51"/>
      <c r="S152" s="51"/>
      <c r="T152" s="51"/>
      <c r="U152" s="40"/>
      <c r="V152" s="54"/>
      <c r="W152" s="55"/>
      <c r="X152" s="56"/>
      <c r="Y152" s="88"/>
      <c r="Z152" s="88"/>
      <c r="AA152" s="88"/>
      <c r="AB152" s="88"/>
    </row>
    <row r="153" spans="1:28">
      <c r="A153" s="38">
        <v>152</v>
      </c>
      <c r="B153" s="51"/>
      <c r="C153" s="40"/>
      <c r="D153" s="38"/>
      <c r="E153" s="38" t="s">
        <v>784</v>
      </c>
      <c r="F153" s="43" t="s">
        <v>785</v>
      </c>
      <c r="G153" s="44"/>
      <c r="H153" s="45"/>
      <c r="I153" s="38"/>
      <c r="J153" s="38">
        <f>503</f>
        <v>503</v>
      </c>
      <c r="K153" s="46">
        <v>7.8287037037037044E-2</v>
      </c>
      <c r="L153" s="47" t="s">
        <v>286</v>
      </c>
      <c r="M153" s="48"/>
      <c r="N153" s="48"/>
      <c r="O153" s="48">
        <f t="shared" si="0"/>
        <v>0</v>
      </c>
      <c r="P153" s="38"/>
      <c r="Q153" s="14" t="str">
        <f t="shared" ca="1" si="1"/>
        <v/>
      </c>
      <c r="R153" s="51"/>
      <c r="S153" s="51"/>
      <c r="T153" s="51"/>
      <c r="U153" s="40"/>
      <c r="V153" s="54"/>
      <c r="W153" s="55"/>
      <c r="X153" s="56"/>
      <c r="Y153" s="88"/>
      <c r="Z153" s="88"/>
      <c r="AA153" s="88"/>
      <c r="AB153" s="88"/>
    </row>
    <row r="154" spans="1:28">
      <c r="A154" s="38">
        <v>153</v>
      </c>
      <c r="B154" s="51"/>
      <c r="C154" s="40"/>
      <c r="D154" s="38"/>
      <c r="E154" s="38" t="s">
        <v>788</v>
      </c>
      <c r="F154" s="43" t="s">
        <v>789</v>
      </c>
      <c r="G154" s="44"/>
      <c r="H154" s="45"/>
      <c r="I154" s="38"/>
      <c r="J154" s="38">
        <f>545</f>
        <v>545</v>
      </c>
      <c r="K154" s="46">
        <v>2.2743055555555555E-2</v>
      </c>
      <c r="L154" s="47" t="s">
        <v>286</v>
      </c>
      <c r="M154" s="48"/>
      <c r="N154" s="48"/>
      <c r="O154" s="48">
        <f t="shared" si="0"/>
        <v>0</v>
      </c>
      <c r="P154" s="38"/>
      <c r="Q154" s="14" t="str">
        <f t="shared" ca="1" si="1"/>
        <v/>
      </c>
      <c r="R154" s="51"/>
      <c r="S154" s="51"/>
      <c r="T154" s="51"/>
      <c r="U154" s="40"/>
      <c r="V154" s="54"/>
      <c r="W154" s="55"/>
      <c r="X154" s="56"/>
      <c r="Y154" s="88"/>
      <c r="Z154" s="88"/>
      <c r="AA154" s="88"/>
      <c r="AB154" s="88"/>
    </row>
    <row r="155" spans="1:28">
      <c r="A155" s="38">
        <v>154</v>
      </c>
      <c r="B155" s="51"/>
      <c r="C155" s="40"/>
      <c r="D155" s="38"/>
      <c r="E155" s="38" t="s">
        <v>794</v>
      </c>
      <c r="F155" s="43" t="s">
        <v>795</v>
      </c>
      <c r="G155" s="44"/>
      <c r="H155" s="45"/>
      <c r="I155" s="38"/>
      <c r="J155" s="38">
        <f>1*1000</f>
        <v>1000</v>
      </c>
      <c r="K155" s="46">
        <v>4.6261574074074073E-2</v>
      </c>
      <c r="L155" s="47" t="s">
        <v>286</v>
      </c>
      <c r="M155" s="48"/>
      <c r="N155" s="48"/>
      <c r="O155" s="48">
        <f t="shared" si="0"/>
        <v>0</v>
      </c>
      <c r="P155" s="38"/>
      <c r="Q155" s="14" t="str">
        <f t="shared" ca="1" si="1"/>
        <v/>
      </c>
      <c r="R155" s="51"/>
      <c r="S155" s="51"/>
      <c r="T155" s="51"/>
      <c r="U155" s="40"/>
      <c r="V155" s="54"/>
      <c r="W155" s="55"/>
      <c r="X155" s="56"/>
      <c r="Y155" s="88"/>
      <c r="Z155" s="88"/>
      <c r="AA155" s="88"/>
      <c r="AB155" s="88"/>
    </row>
    <row r="156" spans="1:28">
      <c r="A156" s="38">
        <v>155</v>
      </c>
      <c r="B156" s="39" t="s">
        <v>54</v>
      </c>
      <c r="C156" s="40"/>
      <c r="D156" s="42" t="s">
        <v>56</v>
      </c>
      <c r="E156" s="38" t="s">
        <v>396</v>
      </c>
      <c r="F156" s="43" t="s">
        <v>398</v>
      </c>
      <c r="G156" s="44"/>
      <c r="H156" s="45"/>
      <c r="I156" s="38"/>
      <c r="J156" s="38">
        <f>453</f>
        <v>453</v>
      </c>
      <c r="K156" s="46">
        <v>4.9189814814814816E-3</v>
      </c>
      <c r="L156" s="47" t="s">
        <v>286</v>
      </c>
      <c r="M156" s="48"/>
      <c r="N156" s="48"/>
      <c r="O156" s="48">
        <f t="shared" si="0"/>
        <v>0</v>
      </c>
      <c r="P156" s="65">
        <v>43030</v>
      </c>
      <c r="Q156" s="14" t="str">
        <f t="shared" ca="1" si="1"/>
        <v/>
      </c>
      <c r="R156" s="39" t="s">
        <v>63</v>
      </c>
      <c r="S156" s="39" t="s">
        <v>63</v>
      </c>
      <c r="T156" s="39" t="s">
        <v>63</v>
      </c>
      <c r="U156" s="40"/>
      <c r="V156" s="54"/>
      <c r="W156" s="69" t="s">
        <v>64</v>
      </c>
      <c r="X156" s="56"/>
      <c r="Y156" s="88"/>
      <c r="Z156" s="88"/>
      <c r="AA156" s="88"/>
      <c r="AB156" s="88"/>
    </row>
    <row r="157" spans="1:28">
      <c r="A157" s="38">
        <v>156</v>
      </c>
      <c r="B157" s="39" t="s">
        <v>54</v>
      </c>
      <c r="C157" s="40"/>
      <c r="D157" s="42" t="s">
        <v>56</v>
      </c>
      <c r="E157" s="38" t="s">
        <v>408</v>
      </c>
      <c r="F157" s="43" t="s">
        <v>409</v>
      </c>
      <c r="G157" s="44"/>
      <c r="H157" s="45"/>
      <c r="I157" s="38"/>
      <c r="J157" s="38">
        <f>446</f>
        <v>446</v>
      </c>
      <c r="K157" s="46">
        <v>2.2916666666666667E-3</v>
      </c>
      <c r="L157" s="47" t="s">
        <v>286</v>
      </c>
      <c r="M157" s="48"/>
      <c r="N157" s="48"/>
      <c r="O157" s="48">
        <f t="shared" si="0"/>
        <v>0</v>
      </c>
      <c r="P157" s="65">
        <v>43030</v>
      </c>
      <c r="Q157" s="14" t="str">
        <f t="shared" ca="1" si="1"/>
        <v/>
      </c>
      <c r="R157" s="39" t="s">
        <v>63</v>
      </c>
      <c r="S157" s="39" t="s">
        <v>63</v>
      </c>
      <c r="T157" s="39" t="s">
        <v>63</v>
      </c>
      <c r="U157" s="40"/>
      <c r="V157" s="54"/>
      <c r="W157" s="69" t="s">
        <v>64</v>
      </c>
      <c r="X157" s="56"/>
      <c r="Y157" s="88"/>
      <c r="Z157" s="88"/>
      <c r="AA157" s="88"/>
      <c r="AB157" s="88"/>
    </row>
    <row r="158" spans="1:28">
      <c r="A158" s="38">
        <v>157</v>
      </c>
      <c r="B158" s="39" t="s">
        <v>54</v>
      </c>
      <c r="C158" s="40"/>
      <c r="D158" s="42" t="s">
        <v>56</v>
      </c>
      <c r="E158" s="38" t="s">
        <v>417</v>
      </c>
      <c r="F158" s="43" t="s">
        <v>419</v>
      </c>
      <c r="G158" s="44"/>
      <c r="H158" s="45"/>
      <c r="I158" s="38"/>
      <c r="J158" s="38">
        <f>576</f>
        <v>576</v>
      </c>
      <c r="K158" s="46">
        <v>1.736111111111111E-3</v>
      </c>
      <c r="L158" s="47" t="s">
        <v>286</v>
      </c>
      <c r="M158" s="48"/>
      <c r="N158" s="48"/>
      <c r="O158" s="48">
        <f t="shared" si="0"/>
        <v>0</v>
      </c>
      <c r="P158" s="65">
        <v>43030</v>
      </c>
      <c r="Q158" s="14" t="str">
        <f t="shared" ca="1" si="1"/>
        <v/>
      </c>
      <c r="R158" s="39" t="s">
        <v>63</v>
      </c>
      <c r="S158" s="39" t="s">
        <v>63</v>
      </c>
      <c r="T158" s="39" t="s">
        <v>63</v>
      </c>
      <c r="U158" s="40"/>
      <c r="V158" s="54"/>
      <c r="W158" s="69" t="s">
        <v>64</v>
      </c>
      <c r="X158" s="56"/>
      <c r="Y158" s="88"/>
      <c r="Z158" s="88"/>
      <c r="AA158" s="88"/>
      <c r="AB158" s="88"/>
    </row>
    <row r="159" spans="1:28">
      <c r="A159" s="38">
        <v>158</v>
      </c>
      <c r="B159" s="39" t="s">
        <v>54</v>
      </c>
      <c r="C159" s="40"/>
      <c r="D159" s="42" t="s">
        <v>56</v>
      </c>
      <c r="E159" s="38" t="s">
        <v>432</v>
      </c>
      <c r="F159" s="43" t="s">
        <v>433</v>
      </c>
      <c r="G159" s="44"/>
      <c r="H159" s="45"/>
      <c r="I159" s="38"/>
      <c r="J159" s="38">
        <f>435</f>
        <v>435</v>
      </c>
      <c r="K159" s="46">
        <v>2.3842592592592591E-3</v>
      </c>
      <c r="L159" s="47" t="s">
        <v>286</v>
      </c>
      <c r="M159" s="48"/>
      <c r="N159" s="48"/>
      <c r="O159" s="48">
        <f t="shared" si="0"/>
        <v>0</v>
      </c>
      <c r="P159" s="65">
        <v>43031</v>
      </c>
      <c r="Q159" s="14" t="str">
        <f t="shared" ca="1" si="1"/>
        <v/>
      </c>
      <c r="R159" s="39" t="s">
        <v>131</v>
      </c>
      <c r="S159" s="39" t="s">
        <v>442</v>
      </c>
      <c r="T159" s="39" t="s">
        <v>63</v>
      </c>
      <c r="U159" s="40"/>
      <c r="V159" s="54"/>
      <c r="W159" s="69" t="s">
        <v>64</v>
      </c>
      <c r="X159" s="56"/>
      <c r="Y159" s="88"/>
      <c r="Z159" s="88"/>
      <c r="AA159" s="88"/>
      <c r="AB159" s="88"/>
    </row>
    <row r="160" spans="1:28">
      <c r="A160" s="38">
        <v>159</v>
      </c>
      <c r="B160" s="39" t="s">
        <v>54</v>
      </c>
      <c r="C160" s="40"/>
      <c r="D160" s="42" t="s">
        <v>56</v>
      </c>
      <c r="E160" s="38" t="s">
        <v>443</v>
      </c>
      <c r="F160" s="43" t="s">
        <v>445</v>
      </c>
      <c r="G160" s="44"/>
      <c r="H160" s="45"/>
      <c r="I160" s="38"/>
      <c r="J160" s="38">
        <f>1.1*1000</f>
        <v>1100</v>
      </c>
      <c r="K160" s="46">
        <v>1.1689814814814816E-3</v>
      </c>
      <c r="L160" s="47" t="s">
        <v>286</v>
      </c>
      <c r="M160" s="48"/>
      <c r="N160" s="48"/>
      <c r="O160" s="48">
        <f t="shared" si="0"/>
        <v>0</v>
      </c>
      <c r="P160" s="65">
        <v>43031</v>
      </c>
      <c r="Q160" s="14" t="str">
        <f t="shared" ca="1" si="1"/>
        <v/>
      </c>
      <c r="R160" s="39" t="s">
        <v>131</v>
      </c>
      <c r="S160" s="39" t="s">
        <v>442</v>
      </c>
      <c r="T160" s="39" t="s">
        <v>63</v>
      </c>
      <c r="U160" s="40"/>
      <c r="V160" s="54"/>
      <c r="W160" s="69" t="s">
        <v>64</v>
      </c>
      <c r="X160" s="56"/>
      <c r="Y160" s="88"/>
      <c r="Z160" s="88"/>
      <c r="AA160" s="88"/>
      <c r="AB160" s="88"/>
    </row>
    <row r="161" spans="1:28">
      <c r="A161" s="38">
        <v>160</v>
      </c>
      <c r="B161" s="39" t="s">
        <v>54</v>
      </c>
      <c r="C161" s="40"/>
      <c r="D161" s="42" t="s">
        <v>56</v>
      </c>
      <c r="E161" s="38" t="s">
        <v>452</v>
      </c>
      <c r="F161" s="43" t="s">
        <v>453</v>
      </c>
      <c r="G161" s="44"/>
      <c r="H161" s="45"/>
      <c r="I161" s="38"/>
      <c r="J161" s="38">
        <f>202</f>
        <v>202</v>
      </c>
      <c r="K161" s="46">
        <v>2.1180555555555553E-3</v>
      </c>
      <c r="L161" s="47" t="s">
        <v>286</v>
      </c>
      <c r="M161" s="48"/>
      <c r="N161" s="48"/>
      <c r="O161" s="48">
        <f t="shared" si="0"/>
        <v>0</v>
      </c>
      <c r="P161" s="65">
        <v>43031</v>
      </c>
      <c r="Q161" s="14" t="str">
        <f t="shared" ca="1" si="1"/>
        <v/>
      </c>
      <c r="R161" s="39" t="s">
        <v>131</v>
      </c>
      <c r="S161" s="39" t="s">
        <v>442</v>
      </c>
      <c r="T161" s="39" t="s">
        <v>63</v>
      </c>
      <c r="U161" s="40"/>
      <c r="V161" s="54"/>
      <c r="W161" s="69" t="s">
        <v>64</v>
      </c>
      <c r="X161" s="56"/>
      <c r="Y161" s="88"/>
      <c r="Z161" s="88"/>
      <c r="AA161" s="88"/>
      <c r="AB161" s="88"/>
    </row>
    <row r="162" spans="1:28">
      <c r="A162" s="38">
        <v>161</v>
      </c>
      <c r="B162" s="39" t="s">
        <v>54</v>
      </c>
      <c r="C162" s="40"/>
      <c r="D162" s="42" t="s">
        <v>56</v>
      </c>
      <c r="E162" s="38" t="s">
        <v>459</v>
      </c>
      <c r="F162" s="43" t="s">
        <v>460</v>
      </c>
      <c r="G162" s="44"/>
      <c r="H162" s="45"/>
      <c r="I162" s="38"/>
      <c r="J162" s="38">
        <f>234</f>
        <v>234</v>
      </c>
      <c r="K162" s="46">
        <v>1.4583333333333334E-3</v>
      </c>
      <c r="L162" s="47" t="s">
        <v>286</v>
      </c>
      <c r="M162" s="48"/>
      <c r="N162" s="48"/>
      <c r="O162" s="48">
        <f t="shared" si="0"/>
        <v>0</v>
      </c>
      <c r="P162" s="65">
        <v>43031</v>
      </c>
      <c r="Q162" s="14" t="str">
        <f t="shared" ca="1" si="1"/>
        <v/>
      </c>
      <c r="R162" s="39" t="s">
        <v>442</v>
      </c>
      <c r="S162" s="51"/>
      <c r="T162" s="51"/>
      <c r="U162" s="40"/>
      <c r="V162" s="54"/>
      <c r="W162" s="69" t="s">
        <v>151</v>
      </c>
      <c r="X162" s="56"/>
      <c r="Y162" s="88"/>
      <c r="Z162" s="96" t="s">
        <v>822</v>
      </c>
      <c r="AA162" s="88"/>
      <c r="AB162" s="88"/>
    </row>
    <row r="163" spans="1:28">
      <c r="A163" s="38">
        <v>162</v>
      </c>
      <c r="B163" s="39" t="s">
        <v>54</v>
      </c>
      <c r="C163" s="40"/>
      <c r="D163" s="42" t="s">
        <v>56</v>
      </c>
      <c r="E163" s="38" t="s">
        <v>466</v>
      </c>
      <c r="F163" s="43" t="s">
        <v>467</v>
      </c>
      <c r="G163" s="44"/>
      <c r="H163" s="45"/>
      <c r="I163" s="38"/>
      <c r="J163" s="38">
        <f>497</f>
        <v>497</v>
      </c>
      <c r="K163" s="46">
        <v>1.4699074074074074E-3</v>
      </c>
      <c r="L163" s="47" t="s">
        <v>286</v>
      </c>
      <c r="M163" s="48"/>
      <c r="N163" s="48"/>
      <c r="O163" s="48">
        <f t="shared" si="0"/>
        <v>0</v>
      </c>
      <c r="P163" s="65">
        <v>43031</v>
      </c>
      <c r="Q163" s="14" t="str">
        <f t="shared" ca="1" si="1"/>
        <v/>
      </c>
      <c r="R163" s="39" t="s">
        <v>442</v>
      </c>
      <c r="S163" s="51"/>
      <c r="T163" s="51"/>
      <c r="U163" s="40"/>
      <c r="V163" s="54"/>
      <c r="W163" s="69" t="s">
        <v>151</v>
      </c>
      <c r="X163" s="56"/>
      <c r="Y163" s="88"/>
      <c r="Z163" s="96" t="s">
        <v>822</v>
      </c>
      <c r="AA163" s="88"/>
      <c r="AB163" s="88"/>
    </row>
    <row r="164" spans="1:28">
      <c r="A164" s="38">
        <v>163</v>
      </c>
      <c r="B164" s="39" t="s">
        <v>54</v>
      </c>
      <c r="C164" s="40"/>
      <c r="D164" s="42" t="s">
        <v>56</v>
      </c>
      <c r="E164" s="38" t="s">
        <v>472</v>
      </c>
      <c r="F164" s="43" t="s">
        <v>473</v>
      </c>
      <c r="G164" s="44"/>
      <c r="H164" s="45"/>
      <c r="I164" s="38"/>
      <c r="J164" s="38">
        <f>315</f>
        <v>315</v>
      </c>
      <c r="K164" s="46">
        <v>5.6944444444444438E-3</v>
      </c>
      <c r="L164" s="47" t="s">
        <v>286</v>
      </c>
      <c r="M164" s="48"/>
      <c r="N164" s="48"/>
      <c r="O164" s="48">
        <f t="shared" si="0"/>
        <v>0</v>
      </c>
      <c r="P164" s="65">
        <v>43031</v>
      </c>
      <c r="Q164" s="14" t="str">
        <f t="shared" ca="1" si="1"/>
        <v/>
      </c>
      <c r="R164" s="39" t="s">
        <v>131</v>
      </c>
      <c r="S164" s="39" t="s">
        <v>442</v>
      </c>
      <c r="T164" s="39" t="s">
        <v>63</v>
      </c>
      <c r="U164" s="40"/>
      <c r="V164" s="54"/>
      <c r="W164" s="69" t="s">
        <v>64</v>
      </c>
      <c r="X164" s="56"/>
      <c r="Y164" s="88"/>
      <c r="Z164" s="88"/>
      <c r="AA164" s="88"/>
      <c r="AB164" s="88"/>
    </row>
    <row r="165" spans="1:28">
      <c r="A165" s="38">
        <v>164</v>
      </c>
      <c r="B165" s="39" t="s">
        <v>54</v>
      </c>
      <c r="C165" s="40"/>
      <c r="D165" s="42" t="s">
        <v>56</v>
      </c>
      <c r="E165" s="38" t="s">
        <v>482</v>
      </c>
      <c r="F165" s="43" t="s">
        <v>483</v>
      </c>
      <c r="G165" s="44"/>
      <c r="H165" s="45"/>
      <c r="I165" s="38"/>
      <c r="J165" s="38">
        <f>535</f>
        <v>535</v>
      </c>
      <c r="K165" s="46">
        <v>2.1527777777777778E-3</v>
      </c>
      <c r="L165" s="47" t="s">
        <v>286</v>
      </c>
      <c r="M165" s="48"/>
      <c r="N165" s="48"/>
      <c r="O165" s="48">
        <f t="shared" si="0"/>
        <v>0</v>
      </c>
      <c r="P165" s="65">
        <v>43031</v>
      </c>
      <c r="Q165" s="14" t="str">
        <f t="shared" ca="1" si="1"/>
        <v/>
      </c>
      <c r="R165" s="39" t="s">
        <v>131</v>
      </c>
      <c r="S165" s="39" t="s">
        <v>442</v>
      </c>
      <c r="T165" s="39" t="s">
        <v>63</v>
      </c>
      <c r="U165" s="40"/>
      <c r="V165" s="54"/>
      <c r="W165" s="69" t="s">
        <v>64</v>
      </c>
      <c r="X165" s="56"/>
      <c r="Y165" s="88"/>
      <c r="Z165" s="88"/>
      <c r="AA165" s="88"/>
      <c r="AB165" s="88"/>
    </row>
    <row r="166" spans="1:28">
      <c r="A166" s="38">
        <v>165</v>
      </c>
      <c r="B166" s="51"/>
      <c r="C166" s="40"/>
      <c r="D166" s="38"/>
      <c r="E166" s="38" t="s">
        <v>830</v>
      </c>
      <c r="F166" s="43" t="s">
        <v>831</v>
      </c>
      <c r="G166" s="44"/>
      <c r="H166" s="45"/>
      <c r="I166" s="38"/>
      <c r="J166" s="38">
        <f>2.7*1000</f>
        <v>2700</v>
      </c>
      <c r="K166" s="46">
        <v>1.0115740740740741E-2</v>
      </c>
      <c r="L166" s="47" t="s">
        <v>286</v>
      </c>
      <c r="M166" s="48"/>
      <c r="N166" s="48"/>
      <c r="O166" s="48">
        <f t="shared" si="0"/>
        <v>0</v>
      </c>
      <c r="P166" s="38"/>
      <c r="Q166" s="14" t="str">
        <f t="shared" ca="1" si="1"/>
        <v/>
      </c>
      <c r="R166" s="51"/>
      <c r="S166" s="51"/>
      <c r="T166" s="51"/>
      <c r="U166" s="40"/>
      <c r="V166" s="54"/>
      <c r="W166" s="55"/>
      <c r="X166" s="56"/>
      <c r="Y166" s="88"/>
      <c r="Z166" s="88"/>
      <c r="AA166" s="88"/>
      <c r="AB166" s="88"/>
    </row>
    <row r="167" spans="1:28">
      <c r="A167" s="38">
        <v>166</v>
      </c>
      <c r="B167" s="51"/>
      <c r="C167" s="40"/>
      <c r="D167" s="38"/>
      <c r="E167" s="38" t="s">
        <v>832</v>
      </c>
      <c r="F167" s="43" t="s">
        <v>833</v>
      </c>
      <c r="G167" s="44"/>
      <c r="H167" s="45"/>
      <c r="I167" s="38"/>
      <c r="J167" s="38">
        <f>4.7*1000</f>
        <v>4700</v>
      </c>
      <c r="K167" s="46">
        <v>7.5601851851851851E-2</v>
      </c>
      <c r="L167" s="47" t="s">
        <v>286</v>
      </c>
      <c r="M167" s="48"/>
      <c r="N167" s="48"/>
      <c r="O167" s="48">
        <f t="shared" si="0"/>
        <v>0</v>
      </c>
      <c r="P167" s="38"/>
      <c r="Q167" s="14" t="str">
        <f t="shared" ca="1" si="1"/>
        <v/>
      </c>
      <c r="R167" s="51"/>
      <c r="S167" s="51"/>
      <c r="T167" s="51"/>
      <c r="U167" s="40"/>
      <c r="V167" s="54"/>
      <c r="W167" s="55"/>
      <c r="X167" s="56"/>
      <c r="Y167" s="88"/>
      <c r="Z167" s="88"/>
      <c r="AA167" s="88"/>
      <c r="AB167" s="88"/>
    </row>
    <row r="168" spans="1:28">
      <c r="A168" s="38">
        <v>167</v>
      </c>
      <c r="B168" s="51"/>
      <c r="C168" s="40"/>
      <c r="D168" s="38"/>
      <c r="E168" s="38" t="s">
        <v>838</v>
      </c>
      <c r="F168" s="43" t="s">
        <v>839</v>
      </c>
      <c r="G168" s="44"/>
      <c r="H168" s="45"/>
      <c r="I168" s="38"/>
      <c r="J168" s="38">
        <f>7.5*1000</f>
        <v>7500</v>
      </c>
      <c r="K168" s="46">
        <v>9.3368055555555551E-2</v>
      </c>
      <c r="L168" s="47" t="s">
        <v>286</v>
      </c>
      <c r="M168" s="48"/>
      <c r="N168" s="48"/>
      <c r="O168" s="48">
        <f t="shared" si="0"/>
        <v>0</v>
      </c>
      <c r="P168" s="38"/>
      <c r="Q168" s="14" t="str">
        <f t="shared" ca="1" si="1"/>
        <v/>
      </c>
      <c r="R168" s="51"/>
      <c r="S168" s="51"/>
      <c r="T168" s="51"/>
      <c r="U168" s="40"/>
      <c r="V168" s="54"/>
      <c r="W168" s="55"/>
      <c r="X168" s="56"/>
      <c r="Y168" s="88"/>
      <c r="Z168" s="88"/>
      <c r="AA168" s="88"/>
      <c r="AB168" s="88"/>
    </row>
    <row r="169" spans="1:28">
      <c r="A169" s="38">
        <v>168</v>
      </c>
      <c r="B169" s="51"/>
      <c r="C169" s="40"/>
      <c r="D169" s="38"/>
      <c r="E169" s="38" t="s">
        <v>843</v>
      </c>
      <c r="F169" s="43" t="s">
        <v>844</v>
      </c>
      <c r="G169" s="44"/>
      <c r="H169" s="45"/>
      <c r="I169" s="38"/>
      <c r="J169" s="38">
        <f>1.8*1000</f>
        <v>1800</v>
      </c>
      <c r="K169" s="46">
        <v>5.2962962962962962E-2</v>
      </c>
      <c r="L169" s="47" t="s">
        <v>286</v>
      </c>
      <c r="M169" s="48"/>
      <c r="N169" s="48"/>
      <c r="O169" s="48">
        <f t="shared" si="0"/>
        <v>0</v>
      </c>
      <c r="P169" s="38"/>
      <c r="Q169" s="14" t="str">
        <f t="shared" ca="1" si="1"/>
        <v/>
      </c>
      <c r="R169" s="51"/>
      <c r="S169" s="51"/>
      <c r="T169" s="51"/>
      <c r="U169" s="40"/>
      <c r="V169" s="54"/>
      <c r="W169" s="55"/>
      <c r="X169" s="56"/>
      <c r="Y169" s="88"/>
      <c r="Z169" s="88"/>
      <c r="AA169" s="88"/>
      <c r="AB169" s="88"/>
    </row>
    <row r="170" spans="1:28">
      <c r="A170" s="38">
        <v>169</v>
      </c>
      <c r="B170" s="51"/>
      <c r="C170" s="40"/>
      <c r="D170" s="38"/>
      <c r="E170" s="38" t="s">
        <v>847</v>
      </c>
      <c r="F170" s="43" t="s">
        <v>848</v>
      </c>
      <c r="G170" s="44"/>
      <c r="H170" s="45"/>
      <c r="I170" s="38"/>
      <c r="J170" s="38">
        <f>343</f>
        <v>343</v>
      </c>
      <c r="K170" s="46">
        <v>2.8240740740740739E-3</v>
      </c>
      <c r="L170" s="47" t="s">
        <v>286</v>
      </c>
      <c r="M170" s="48"/>
      <c r="N170" s="48"/>
      <c r="O170" s="48">
        <f t="shared" si="0"/>
        <v>0</v>
      </c>
      <c r="P170" s="38"/>
      <c r="Q170" s="14" t="str">
        <f t="shared" ca="1" si="1"/>
        <v/>
      </c>
      <c r="R170" s="51"/>
      <c r="S170" s="51"/>
      <c r="T170" s="51"/>
      <c r="U170" s="40"/>
      <c r="V170" s="54"/>
      <c r="W170" s="55"/>
      <c r="X170" s="56"/>
      <c r="Y170" s="88"/>
      <c r="Z170" s="88"/>
      <c r="AA170" s="88"/>
      <c r="AB170" s="88"/>
    </row>
    <row r="171" spans="1:28">
      <c r="A171" s="38">
        <v>170</v>
      </c>
      <c r="B171" s="51"/>
      <c r="C171" s="40"/>
      <c r="D171" s="38"/>
      <c r="E171" s="38" t="s">
        <v>851</v>
      </c>
      <c r="F171" s="43" t="s">
        <v>852</v>
      </c>
      <c r="G171" s="44"/>
      <c r="H171" s="45"/>
      <c r="I171" s="38"/>
      <c r="J171" s="38">
        <f>1.5*1000</f>
        <v>1500</v>
      </c>
      <c r="K171" s="46">
        <v>5.9594907407407409E-2</v>
      </c>
      <c r="L171" s="47" t="s">
        <v>286</v>
      </c>
      <c r="M171" s="48"/>
      <c r="N171" s="48"/>
      <c r="O171" s="48">
        <f t="shared" si="0"/>
        <v>0</v>
      </c>
      <c r="P171" s="38"/>
      <c r="Q171" s="14" t="str">
        <f t="shared" ca="1" si="1"/>
        <v/>
      </c>
      <c r="R171" s="51"/>
      <c r="S171" s="51"/>
      <c r="T171" s="51"/>
      <c r="U171" s="40"/>
      <c r="V171" s="54"/>
      <c r="W171" s="55"/>
      <c r="X171" s="56"/>
      <c r="Y171" s="88"/>
      <c r="Z171" s="88"/>
      <c r="AA171" s="88"/>
      <c r="AB171" s="88"/>
    </row>
    <row r="172" spans="1:28">
      <c r="A172" s="38">
        <v>171</v>
      </c>
      <c r="B172" s="51"/>
      <c r="C172" s="40"/>
      <c r="D172" s="38"/>
      <c r="E172" s="38" t="s">
        <v>853</v>
      </c>
      <c r="F172" s="43" t="s">
        <v>854</v>
      </c>
      <c r="G172" s="44"/>
      <c r="H172" s="45"/>
      <c r="I172" s="38"/>
      <c r="J172" s="38">
        <f>463</f>
        <v>463</v>
      </c>
      <c r="K172" s="46">
        <v>2.4965277777777781E-2</v>
      </c>
      <c r="L172" s="47" t="s">
        <v>286</v>
      </c>
      <c r="M172" s="48"/>
      <c r="N172" s="48"/>
      <c r="O172" s="48">
        <f t="shared" si="0"/>
        <v>0</v>
      </c>
      <c r="P172" s="38"/>
      <c r="Q172" s="14" t="str">
        <f t="shared" ca="1" si="1"/>
        <v/>
      </c>
      <c r="R172" s="51"/>
      <c r="S172" s="51"/>
      <c r="T172" s="51"/>
      <c r="U172" s="40"/>
      <c r="V172" s="54"/>
      <c r="W172" s="55"/>
      <c r="X172" s="56"/>
      <c r="Y172" s="88"/>
      <c r="Z172" s="88"/>
      <c r="AA172" s="88"/>
      <c r="AB172" s="88"/>
    </row>
    <row r="173" spans="1:28">
      <c r="A173" s="38">
        <v>172</v>
      </c>
      <c r="B173" s="51"/>
      <c r="C173" s="40"/>
      <c r="D173" s="38"/>
      <c r="E173" s="38" t="s">
        <v>857</v>
      </c>
      <c r="F173" s="43" t="s">
        <v>858</v>
      </c>
      <c r="G173" s="44"/>
      <c r="H173" s="45"/>
      <c r="I173" s="38"/>
      <c r="J173" s="38">
        <f>5.2*1000</f>
        <v>5200</v>
      </c>
      <c r="K173" s="46">
        <v>5.5775462962962964E-2</v>
      </c>
      <c r="L173" s="47" t="s">
        <v>286</v>
      </c>
      <c r="M173" s="48"/>
      <c r="N173" s="48"/>
      <c r="O173" s="48">
        <f t="shared" si="0"/>
        <v>0</v>
      </c>
      <c r="P173" s="38"/>
      <c r="Q173" s="14" t="str">
        <f t="shared" ca="1" si="1"/>
        <v/>
      </c>
      <c r="R173" s="51"/>
      <c r="S173" s="51"/>
      <c r="T173" s="51"/>
      <c r="U173" s="40"/>
      <c r="V173" s="54"/>
      <c r="W173" s="55"/>
      <c r="X173" s="56"/>
      <c r="Y173" s="88"/>
      <c r="Z173" s="88"/>
      <c r="AA173" s="88"/>
      <c r="AB173" s="88"/>
    </row>
    <row r="174" spans="1:28">
      <c r="A174" s="38">
        <v>173</v>
      </c>
      <c r="B174" s="51"/>
      <c r="C174" s="40"/>
      <c r="D174" s="38"/>
      <c r="E174" s="38" t="s">
        <v>860</v>
      </c>
      <c r="F174" s="43" t="s">
        <v>861</v>
      </c>
      <c r="G174" s="44"/>
      <c r="H174" s="45"/>
      <c r="I174" s="38"/>
      <c r="J174" s="38">
        <f>624</f>
        <v>624</v>
      </c>
      <c r="K174" s="46">
        <v>2.5868055555555557E-2</v>
      </c>
      <c r="L174" s="47" t="s">
        <v>286</v>
      </c>
      <c r="M174" s="48"/>
      <c r="N174" s="48"/>
      <c r="O174" s="48">
        <f t="shared" si="0"/>
        <v>0</v>
      </c>
      <c r="P174" s="38"/>
      <c r="Q174" s="14" t="str">
        <f t="shared" ca="1" si="1"/>
        <v/>
      </c>
      <c r="R174" s="51"/>
      <c r="S174" s="51"/>
      <c r="T174" s="51"/>
      <c r="U174" s="40"/>
      <c r="V174" s="54"/>
      <c r="W174" s="55"/>
      <c r="X174" s="56"/>
      <c r="Y174" s="88"/>
      <c r="Z174" s="88"/>
      <c r="AA174" s="88"/>
      <c r="AB174" s="88"/>
    </row>
    <row r="175" spans="1:28">
      <c r="A175" s="38">
        <v>174</v>
      </c>
      <c r="B175" s="51"/>
      <c r="C175" s="40"/>
      <c r="D175" s="38"/>
      <c r="E175" s="38" t="s">
        <v>865</v>
      </c>
      <c r="F175" s="43" t="s">
        <v>866</v>
      </c>
      <c r="G175" s="44"/>
      <c r="H175" s="45"/>
      <c r="I175" s="38"/>
      <c r="J175" s="38">
        <f>1.4*1000</f>
        <v>1400</v>
      </c>
      <c r="K175" s="46">
        <v>1.7754629629629631E-2</v>
      </c>
      <c r="L175" s="47" t="s">
        <v>286</v>
      </c>
      <c r="M175" s="48"/>
      <c r="N175" s="48"/>
      <c r="O175" s="48">
        <f t="shared" si="0"/>
        <v>0</v>
      </c>
      <c r="P175" s="38"/>
      <c r="Q175" s="14" t="str">
        <f t="shared" ca="1" si="1"/>
        <v/>
      </c>
      <c r="R175" s="51"/>
      <c r="S175" s="51"/>
      <c r="T175" s="51"/>
      <c r="U175" s="40"/>
      <c r="V175" s="54"/>
      <c r="W175" s="55"/>
      <c r="X175" s="56"/>
      <c r="Y175" s="88"/>
      <c r="Z175" s="88"/>
      <c r="AA175" s="88"/>
      <c r="AB175" s="88"/>
    </row>
    <row r="176" spans="1:28">
      <c r="A176" s="38">
        <v>175</v>
      </c>
      <c r="B176" s="51"/>
      <c r="C176" s="40"/>
      <c r="D176" s="38"/>
      <c r="E176" s="38" t="s">
        <v>869</v>
      </c>
      <c r="F176" s="43" t="s">
        <v>870</v>
      </c>
      <c r="G176" s="44"/>
      <c r="H176" s="45"/>
      <c r="I176" s="38"/>
      <c r="J176" s="38">
        <f>3.1*1000</f>
        <v>3100</v>
      </c>
      <c r="K176" s="46">
        <v>8.3472222222222225E-2</v>
      </c>
      <c r="L176" s="47" t="s">
        <v>286</v>
      </c>
      <c r="M176" s="48"/>
      <c r="N176" s="48"/>
      <c r="O176" s="48">
        <f t="shared" si="0"/>
        <v>0</v>
      </c>
      <c r="P176" s="38"/>
      <c r="Q176" s="14" t="str">
        <f t="shared" ca="1" si="1"/>
        <v/>
      </c>
      <c r="R176" s="51"/>
      <c r="S176" s="51"/>
      <c r="T176" s="51"/>
      <c r="U176" s="40"/>
      <c r="V176" s="54"/>
      <c r="W176" s="55"/>
      <c r="X176" s="56"/>
      <c r="Y176" s="88"/>
      <c r="Z176" s="88"/>
      <c r="AA176" s="88"/>
      <c r="AB176" s="88"/>
    </row>
    <row r="177" spans="1:28">
      <c r="A177" s="38">
        <v>176</v>
      </c>
      <c r="B177" s="51"/>
      <c r="C177" s="40"/>
      <c r="D177" s="38"/>
      <c r="E177" s="38" t="s">
        <v>873</v>
      </c>
      <c r="F177" s="43" t="s">
        <v>874</v>
      </c>
      <c r="G177" s="44"/>
      <c r="H177" s="45"/>
      <c r="I177" s="38"/>
      <c r="J177" s="38">
        <f>2*1000</f>
        <v>2000</v>
      </c>
      <c r="K177" s="46">
        <v>6.1168981481481477E-2</v>
      </c>
      <c r="L177" s="47" t="s">
        <v>286</v>
      </c>
      <c r="M177" s="48"/>
      <c r="N177" s="48"/>
      <c r="O177" s="48">
        <f t="shared" si="0"/>
        <v>0</v>
      </c>
      <c r="P177" s="38"/>
      <c r="Q177" s="14" t="str">
        <f t="shared" ca="1" si="1"/>
        <v/>
      </c>
      <c r="R177" s="51"/>
      <c r="S177" s="51"/>
      <c r="T177" s="51"/>
      <c r="U177" s="40"/>
      <c r="V177" s="54"/>
      <c r="W177" s="55"/>
      <c r="X177" s="56"/>
      <c r="Y177" s="88"/>
      <c r="Z177" s="88"/>
      <c r="AA177" s="88"/>
      <c r="AB177" s="88"/>
    </row>
    <row r="178" spans="1:28">
      <c r="A178" s="38">
        <v>177</v>
      </c>
      <c r="B178" s="51"/>
      <c r="C178" s="40"/>
      <c r="D178" s="38"/>
      <c r="E178" s="38" t="s">
        <v>877</v>
      </c>
      <c r="F178" s="43" t="s">
        <v>878</v>
      </c>
      <c r="G178" s="44"/>
      <c r="H178" s="45"/>
      <c r="I178" s="38"/>
      <c r="J178" s="38">
        <f>7.3*1000</f>
        <v>7300</v>
      </c>
      <c r="K178" s="46">
        <v>3.1041666666666665E-2</v>
      </c>
      <c r="L178" s="47" t="s">
        <v>550</v>
      </c>
      <c r="M178" s="48"/>
      <c r="N178" s="48"/>
      <c r="O178" s="48">
        <f t="shared" si="0"/>
        <v>0</v>
      </c>
      <c r="P178" s="38"/>
      <c r="Q178" s="14" t="str">
        <f t="shared" ca="1" si="1"/>
        <v/>
      </c>
      <c r="R178" s="51"/>
      <c r="S178" s="51"/>
      <c r="T178" s="51"/>
      <c r="U178" s="40"/>
      <c r="V178" s="54"/>
      <c r="W178" s="55"/>
      <c r="X178" s="56"/>
      <c r="Y178" s="88"/>
      <c r="Z178" s="88"/>
      <c r="AA178" s="88"/>
      <c r="AB178" s="88"/>
    </row>
    <row r="179" spans="1:28">
      <c r="A179" s="38">
        <v>178</v>
      </c>
      <c r="B179" s="39" t="s">
        <v>55</v>
      </c>
      <c r="C179" s="40"/>
      <c r="D179" s="42" t="s">
        <v>139</v>
      </c>
      <c r="E179" s="38" t="s">
        <v>547</v>
      </c>
      <c r="F179" s="43" t="s">
        <v>548</v>
      </c>
      <c r="G179" s="44"/>
      <c r="H179" s="45"/>
      <c r="I179" s="38"/>
      <c r="J179" s="38">
        <f>2.5*1000</f>
        <v>2500</v>
      </c>
      <c r="K179" s="46">
        <v>4.7199074074074067E-2</v>
      </c>
      <c r="L179" s="47" t="s">
        <v>550</v>
      </c>
      <c r="M179" s="48"/>
      <c r="N179" s="48"/>
      <c r="O179" s="48">
        <f t="shared" si="0"/>
        <v>0</v>
      </c>
      <c r="P179" s="38"/>
      <c r="Q179" s="14" t="str">
        <f t="shared" ca="1" si="1"/>
        <v/>
      </c>
      <c r="R179" s="51"/>
      <c r="S179" s="51"/>
      <c r="T179" s="51"/>
      <c r="U179" s="40"/>
      <c r="V179" s="54"/>
      <c r="W179" s="55"/>
      <c r="X179" s="56"/>
      <c r="Y179" s="88"/>
      <c r="Z179" s="88"/>
      <c r="AA179" s="88"/>
      <c r="AB179" s="88"/>
    </row>
    <row r="180" spans="1:28">
      <c r="A180" s="38">
        <v>179</v>
      </c>
      <c r="B180" s="51"/>
      <c r="C180" s="40"/>
      <c r="D180" s="38"/>
      <c r="E180" s="38" t="s">
        <v>881</v>
      </c>
      <c r="F180" s="43" t="s">
        <v>882</v>
      </c>
      <c r="G180" s="44"/>
      <c r="H180" s="45"/>
      <c r="I180" s="38"/>
      <c r="J180" s="38">
        <f>1.2*1000</f>
        <v>1200</v>
      </c>
      <c r="K180" s="46">
        <v>1.638888888888889E-2</v>
      </c>
      <c r="L180" s="47" t="s">
        <v>550</v>
      </c>
      <c r="M180" s="48"/>
      <c r="N180" s="48"/>
      <c r="O180" s="48">
        <f t="shared" si="0"/>
        <v>0</v>
      </c>
      <c r="P180" s="38"/>
      <c r="Q180" s="14" t="str">
        <f t="shared" ca="1" si="1"/>
        <v/>
      </c>
      <c r="R180" s="51"/>
      <c r="S180" s="51"/>
      <c r="T180" s="51"/>
      <c r="U180" s="40"/>
      <c r="V180" s="54"/>
      <c r="W180" s="55"/>
      <c r="X180" s="56"/>
      <c r="Y180" s="88"/>
      <c r="Z180" s="88"/>
      <c r="AA180" s="88"/>
      <c r="AB180" s="88"/>
    </row>
    <row r="181" spans="1:28">
      <c r="A181" s="38">
        <v>180</v>
      </c>
      <c r="B181" s="51"/>
      <c r="C181" s="40"/>
      <c r="D181" s="38"/>
      <c r="E181" s="38" t="s">
        <v>883</v>
      </c>
      <c r="F181" s="43" t="s">
        <v>884</v>
      </c>
      <c r="G181" s="44"/>
      <c r="H181" s="45"/>
      <c r="I181" s="38"/>
      <c r="J181" s="38">
        <f>8.4*1000</f>
        <v>8400</v>
      </c>
      <c r="K181" s="46">
        <v>3.2407407407407406E-3</v>
      </c>
      <c r="L181" s="47" t="s">
        <v>550</v>
      </c>
      <c r="M181" s="48"/>
      <c r="N181" s="48"/>
      <c r="O181" s="48">
        <f t="shared" si="0"/>
        <v>0</v>
      </c>
      <c r="P181" s="38"/>
      <c r="Q181" s="14" t="str">
        <f t="shared" ca="1" si="1"/>
        <v/>
      </c>
      <c r="R181" s="51"/>
      <c r="S181" s="51"/>
      <c r="T181" s="51"/>
      <c r="U181" s="40"/>
      <c r="V181" s="54"/>
      <c r="W181" s="55"/>
      <c r="X181" s="56"/>
      <c r="Y181" s="88"/>
      <c r="Z181" s="88"/>
      <c r="AA181" s="88"/>
      <c r="AB181" s="88"/>
    </row>
    <row r="182" spans="1:28">
      <c r="A182" s="38">
        <v>181</v>
      </c>
      <c r="B182" s="51"/>
      <c r="C182" s="40"/>
      <c r="D182" s="38"/>
      <c r="E182" s="38" t="s">
        <v>887</v>
      </c>
      <c r="F182" s="43" t="s">
        <v>888</v>
      </c>
      <c r="G182" s="44"/>
      <c r="H182" s="45"/>
      <c r="I182" s="38"/>
      <c r="J182" s="38">
        <f>12*1000</f>
        <v>12000</v>
      </c>
      <c r="K182" s="46">
        <v>4.0833333333333333E-2</v>
      </c>
      <c r="L182" s="47" t="s">
        <v>550</v>
      </c>
      <c r="M182" s="48"/>
      <c r="N182" s="48"/>
      <c r="O182" s="48">
        <f t="shared" si="0"/>
        <v>0</v>
      </c>
      <c r="P182" s="38"/>
      <c r="Q182" s="14" t="str">
        <f t="shared" ca="1" si="1"/>
        <v/>
      </c>
      <c r="R182" s="51"/>
      <c r="S182" s="51"/>
      <c r="T182" s="51"/>
      <c r="U182" s="40"/>
      <c r="V182" s="54"/>
      <c r="W182" s="55"/>
      <c r="X182" s="56"/>
      <c r="Y182" s="88"/>
      <c r="Z182" s="88"/>
      <c r="AA182" s="88"/>
      <c r="AB182" s="88"/>
    </row>
    <row r="183" spans="1:28">
      <c r="A183" s="38">
        <v>182</v>
      </c>
      <c r="B183" s="51"/>
      <c r="C183" s="40"/>
      <c r="D183" s="38"/>
      <c r="E183" s="38" t="s">
        <v>889</v>
      </c>
      <c r="F183" s="43" t="s">
        <v>890</v>
      </c>
      <c r="G183" s="44"/>
      <c r="H183" s="45"/>
      <c r="I183" s="38"/>
      <c r="J183" s="38">
        <f>7.6*1000</f>
        <v>7600</v>
      </c>
      <c r="K183" s="46">
        <v>6.6435185185185182E-3</v>
      </c>
      <c r="L183" s="47" t="s">
        <v>550</v>
      </c>
      <c r="M183" s="48"/>
      <c r="N183" s="48"/>
      <c r="O183" s="48">
        <f t="shared" si="0"/>
        <v>0</v>
      </c>
      <c r="P183" s="38"/>
      <c r="Q183" s="14" t="str">
        <f t="shared" ca="1" si="1"/>
        <v/>
      </c>
      <c r="R183" s="51"/>
      <c r="S183" s="51"/>
      <c r="T183" s="51"/>
      <c r="U183" s="40"/>
      <c r="V183" s="54"/>
      <c r="W183" s="55"/>
      <c r="X183" s="56"/>
      <c r="Y183" s="88"/>
      <c r="Z183" s="88"/>
      <c r="AA183" s="88"/>
      <c r="AB183" s="88"/>
    </row>
    <row r="184" spans="1:28">
      <c r="A184" s="38">
        <v>183</v>
      </c>
      <c r="B184" s="51"/>
      <c r="C184" s="40"/>
      <c r="D184" s="38"/>
      <c r="E184" s="38" t="s">
        <v>892</v>
      </c>
      <c r="F184" s="43" t="s">
        <v>893</v>
      </c>
      <c r="G184" s="44"/>
      <c r="H184" s="45"/>
      <c r="I184" s="38"/>
      <c r="J184" s="38">
        <f>55*1000</f>
        <v>55000</v>
      </c>
      <c r="K184" s="46">
        <v>1.5949074074074074E-2</v>
      </c>
      <c r="L184" s="47" t="s">
        <v>550</v>
      </c>
      <c r="M184" s="48"/>
      <c r="N184" s="48"/>
      <c r="O184" s="48">
        <f t="shared" si="0"/>
        <v>0</v>
      </c>
      <c r="P184" s="38"/>
      <c r="Q184" s="14" t="str">
        <f t="shared" ca="1" si="1"/>
        <v/>
      </c>
      <c r="R184" s="51"/>
      <c r="S184" s="51"/>
      <c r="T184" s="51"/>
      <c r="U184" s="40"/>
      <c r="V184" s="54"/>
      <c r="W184" s="55"/>
      <c r="X184" s="56"/>
      <c r="Y184" s="88"/>
      <c r="Z184" s="88"/>
      <c r="AA184" s="88"/>
      <c r="AB184" s="88"/>
    </row>
    <row r="185" spans="1:28">
      <c r="A185" s="38">
        <v>184</v>
      </c>
      <c r="B185" s="51"/>
      <c r="C185" s="40"/>
      <c r="D185" s="38"/>
      <c r="E185" s="38" t="s">
        <v>896</v>
      </c>
      <c r="F185" s="43" t="s">
        <v>897</v>
      </c>
      <c r="G185" s="44"/>
      <c r="H185" s="45"/>
      <c r="I185" s="38"/>
      <c r="J185" s="38">
        <f>6.8*1000</f>
        <v>6800</v>
      </c>
      <c r="K185" s="46">
        <v>1.2118055555555556E-2</v>
      </c>
      <c r="L185" s="47" t="s">
        <v>550</v>
      </c>
      <c r="M185" s="48"/>
      <c r="N185" s="48"/>
      <c r="O185" s="48">
        <f t="shared" si="0"/>
        <v>0</v>
      </c>
      <c r="P185" s="38"/>
      <c r="Q185" s="14" t="str">
        <f t="shared" ca="1" si="1"/>
        <v/>
      </c>
      <c r="R185" s="51"/>
      <c r="S185" s="51"/>
      <c r="T185" s="51"/>
      <c r="U185" s="40"/>
      <c r="V185" s="54"/>
      <c r="W185" s="55"/>
      <c r="X185" s="56"/>
      <c r="Y185" s="88"/>
      <c r="Z185" s="88"/>
      <c r="AA185" s="88"/>
      <c r="AB185" s="88"/>
    </row>
    <row r="186" spans="1:28">
      <c r="A186" s="38">
        <v>185</v>
      </c>
      <c r="B186" s="51"/>
      <c r="C186" s="40"/>
      <c r="D186" s="38"/>
      <c r="E186" s="38" t="s">
        <v>898</v>
      </c>
      <c r="F186" s="43" t="s">
        <v>899</v>
      </c>
      <c r="G186" s="44"/>
      <c r="H186" s="45"/>
      <c r="I186" s="38"/>
      <c r="J186" s="38">
        <f>4*1000</f>
        <v>4000</v>
      </c>
      <c r="K186" s="46">
        <v>8.4027777777777781E-3</v>
      </c>
      <c r="L186" s="47" t="s">
        <v>550</v>
      </c>
      <c r="M186" s="48"/>
      <c r="N186" s="48"/>
      <c r="O186" s="48">
        <f t="shared" si="0"/>
        <v>0</v>
      </c>
      <c r="P186" s="38"/>
      <c r="Q186" s="14" t="str">
        <f t="shared" ca="1" si="1"/>
        <v/>
      </c>
      <c r="R186" s="51"/>
      <c r="S186" s="51"/>
      <c r="T186" s="51"/>
      <c r="U186" s="40"/>
      <c r="V186" s="54"/>
      <c r="W186" s="55"/>
      <c r="X186" s="56"/>
      <c r="Y186" s="88"/>
      <c r="Z186" s="88"/>
      <c r="AA186" s="88"/>
      <c r="AB186" s="88"/>
    </row>
    <row r="187" spans="1:28">
      <c r="A187" s="38">
        <v>186</v>
      </c>
      <c r="B187" s="51"/>
      <c r="C187" s="40"/>
      <c r="D187" s="38"/>
      <c r="E187" s="38" t="s">
        <v>900</v>
      </c>
      <c r="F187" s="43" t="s">
        <v>901</v>
      </c>
      <c r="G187" s="44"/>
      <c r="H187" s="45"/>
      <c r="I187" s="38"/>
      <c r="J187" s="38">
        <f>3.9*1000</f>
        <v>3900</v>
      </c>
      <c r="K187" s="46">
        <v>5.1736111111111115E-3</v>
      </c>
      <c r="L187" s="47" t="s">
        <v>550</v>
      </c>
      <c r="M187" s="48"/>
      <c r="N187" s="48"/>
      <c r="O187" s="48">
        <f t="shared" si="0"/>
        <v>0</v>
      </c>
      <c r="P187" s="38"/>
      <c r="Q187" s="14" t="str">
        <f t="shared" ca="1" si="1"/>
        <v/>
      </c>
      <c r="R187" s="51"/>
      <c r="S187" s="51"/>
      <c r="T187" s="51"/>
      <c r="U187" s="40"/>
      <c r="V187" s="54"/>
      <c r="W187" s="55"/>
      <c r="X187" s="56"/>
      <c r="Y187" s="88"/>
      <c r="Z187" s="88"/>
      <c r="AA187" s="88"/>
      <c r="AB187" s="88"/>
    </row>
    <row r="188" spans="1:28">
      <c r="A188" s="38">
        <v>187</v>
      </c>
      <c r="B188" s="51"/>
      <c r="C188" s="40"/>
      <c r="D188" s="38"/>
      <c r="E188" s="38" t="s">
        <v>904</v>
      </c>
      <c r="F188" s="43" t="s">
        <v>905</v>
      </c>
      <c r="G188" s="44"/>
      <c r="H188" s="45"/>
      <c r="I188" s="38"/>
      <c r="J188" s="38">
        <f>3.8*1000</f>
        <v>3800</v>
      </c>
      <c r="K188" s="46">
        <v>5.7523148148148143E-3</v>
      </c>
      <c r="L188" s="47" t="s">
        <v>550</v>
      </c>
      <c r="M188" s="48"/>
      <c r="N188" s="48"/>
      <c r="O188" s="48">
        <f t="shared" si="0"/>
        <v>0</v>
      </c>
      <c r="P188" s="38"/>
      <c r="Q188" s="14" t="str">
        <f t="shared" ca="1" si="1"/>
        <v/>
      </c>
      <c r="R188" s="51"/>
      <c r="S188" s="51"/>
      <c r="T188" s="51"/>
      <c r="U188" s="40"/>
      <c r="V188" s="54"/>
      <c r="W188" s="55"/>
      <c r="X188" s="56"/>
      <c r="Y188" s="88"/>
      <c r="Z188" s="88"/>
      <c r="AA188" s="88"/>
      <c r="AB188" s="88"/>
    </row>
    <row r="189" spans="1:28">
      <c r="A189" s="38">
        <v>188</v>
      </c>
      <c r="B189" s="51"/>
      <c r="C189" s="40"/>
      <c r="D189" s="38"/>
      <c r="E189" s="38" t="s">
        <v>908</v>
      </c>
      <c r="F189" s="43" t="s">
        <v>909</v>
      </c>
      <c r="G189" s="44"/>
      <c r="H189" s="45"/>
      <c r="I189" s="38"/>
      <c r="J189" s="38">
        <f>3.2*1000</f>
        <v>3200</v>
      </c>
      <c r="K189" s="46">
        <v>1.5277777777777779E-3</v>
      </c>
      <c r="L189" s="47" t="s">
        <v>550</v>
      </c>
      <c r="M189" s="48"/>
      <c r="N189" s="48"/>
      <c r="O189" s="48">
        <f t="shared" si="0"/>
        <v>0</v>
      </c>
      <c r="P189" s="38"/>
      <c r="Q189" s="14" t="str">
        <f t="shared" ca="1" si="1"/>
        <v/>
      </c>
      <c r="R189" s="51"/>
      <c r="S189" s="51"/>
      <c r="T189" s="51"/>
      <c r="U189" s="40"/>
      <c r="V189" s="54"/>
      <c r="W189" s="55"/>
      <c r="X189" s="56"/>
      <c r="Y189" s="88"/>
      <c r="Z189" s="88"/>
      <c r="AA189" s="88"/>
      <c r="AB189" s="88"/>
    </row>
    <row r="190" spans="1:28">
      <c r="A190" s="38">
        <v>189</v>
      </c>
      <c r="B190" s="51"/>
      <c r="C190" s="40"/>
      <c r="D190" s="38"/>
      <c r="E190" s="38" t="s">
        <v>912</v>
      </c>
      <c r="F190" s="43" t="s">
        <v>913</v>
      </c>
      <c r="G190" s="44"/>
      <c r="H190" s="45"/>
      <c r="I190" s="38"/>
      <c r="J190" s="38">
        <f>4.6*1000</f>
        <v>4600</v>
      </c>
      <c r="K190" s="46">
        <v>1.5011574074074075E-2</v>
      </c>
      <c r="L190" s="47" t="s">
        <v>550</v>
      </c>
      <c r="M190" s="48"/>
      <c r="N190" s="48"/>
      <c r="O190" s="48">
        <f t="shared" si="0"/>
        <v>0</v>
      </c>
      <c r="P190" s="38"/>
      <c r="Q190" s="14" t="str">
        <f t="shared" ca="1" si="1"/>
        <v/>
      </c>
      <c r="R190" s="51"/>
      <c r="S190" s="51"/>
      <c r="T190" s="51"/>
      <c r="U190" s="40"/>
      <c r="V190" s="54"/>
      <c r="W190" s="55"/>
      <c r="X190" s="56"/>
      <c r="Y190" s="88"/>
      <c r="Z190" s="88"/>
      <c r="AA190" s="88"/>
      <c r="AB190" s="88"/>
    </row>
    <row r="191" spans="1:28">
      <c r="A191" s="38">
        <v>190</v>
      </c>
      <c r="B191" s="51"/>
      <c r="C191" s="40"/>
      <c r="D191" s="38"/>
      <c r="E191" s="38" t="s">
        <v>914</v>
      </c>
      <c r="F191" s="43" t="s">
        <v>915</v>
      </c>
      <c r="G191" s="44"/>
      <c r="H191" s="45"/>
      <c r="I191" s="38"/>
      <c r="J191" s="38">
        <f>3.7*1000</f>
        <v>3700</v>
      </c>
      <c r="K191" s="46">
        <v>3.1631944444444442E-2</v>
      </c>
      <c r="L191" s="47" t="s">
        <v>550</v>
      </c>
      <c r="M191" s="48"/>
      <c r="N191" s="48"/>
      <c r="O191" s="48">
        <f t="shared" si="0"/>
        <v>0</v>
      </c>
      <c r="P191" s="38"/>
      <c r="Q191" s="14" t="str">
        <f t="shared" ca="1" si="1"/>
        <v/>
      </c>
      <c r="R191" s="51"/>
      <c r="S191" s="51"/>
      <c r="T191" s="51"/>
      <c r="U191" s="40"/>
      <c r="V191" s="54"/>
      <c r="W191" s="55"/>
      <c r="X191" s="56"/>
      <c r="Y191" s="88"/>
      <c r="Z191" s="88"/>
      <c r="AA191" s="88"/>
      <c r="AB191" s="88"/>
    </row>
    <row r="192" spans="1:28">
      <c r="A192" s="38">
        <v>191</v>
      </c>
      <c r="B192" s="51"/>
      <c r="C192" s="40"/>
      <c r="D192" s="38"/>
      <c r="E192" s="38" t="s">
        <v>918</v>
      </c>
      <c r="F192" s="43" t="s">
        <v>919</v>
      </c>
      <c r="G192" s="44"/>
      <c r="H192" s="45"/>
      <c r="I192" s="38"/>
      <c r="J192" s="38">
        <f>9.4*1000</f>
        <v>9400</v>
      </c>
      <c r="K192" s="46">
        <v>4.0844907407407406E-2</v>
      </c>
      <c r="L192" s="47" t="s">
        <v>550</v>
      </c>
      <c r="M192" s="48"/>
      <c r="N192" s="48"/>
      <c r="O192" s="48">
        <f t="shared" si="0"/>
        <v>0</v>
      </c>
      <c r="P192" s="38"/>
      <c r="Q192" s="14" t="str">
        <f t="shared" ca="1" si="1"/>
        <v/>
      </c>
      <c r="R192" s="51"/>
      <c r="S192" s="51"/>
      <c r="T192" s="51"/>
      <c r="U192" s="40"/>
      <c r="V192" s="54"/>
      <c r="W192" s="55"/>
      <c r="X192" s="56"/>
      <c r="Y192" s="88"/>
      <c r="Z192" s="88"/>
      <c r="AA192" s="88"/>
      <c r="AB192" s="88"/>
    </row>
    <row r="193" spans="1:28">
      <c r="A193" s="38">
        <v>192</v>
      </c>
      <c r="B193" s="51"/>
      <c r="C193" s="40"/>
      <c r="D193" s="38"/>
      <c r="E193" s="38" t="s">
        <v>922</v>
      </c>
      <c r="F193" s="43" t="s">
        <v>923</v>
      </c>
      <c r="G193" s="44"/>
      <c r="H193" s="45"/>
      <c r="I193" s="38"/>
      <c r="J193" s="38">
        <f>938</f>
        <v>938</v>
      </c>
      <c r="K193" s="46">
        <v>1.3541666666666667E-3</v>
      </c>
      <c r="L193" s="47" t="s">
        <v>550</v>
      </c>
      <c r="M193" s="48"/>
      <c r="N193" s="48"/>
      <c r="O193" s="48">
        <f t="shared" si="0"/>
        <v>0</v>
      </c>
      <c r="P193" s="38"/>
      <c r="Q193" s="14" t="str">
        <f t="shared" ca="1" si="1"/>
        <v/>
      </c>
      <c r="R193" s="51"/>
      <c r="S193" s="51"/>
      <c r="T193" s="51"/>
      <c r="U193" s="40"/>
      <c r="V193" s="54"/>
      <c r="W193" s="55"/>
      <c r="X193" s="56"/>
      <c r="Y193" s="88"/>
      <c r="Z193" s="88"/>
      <c r="AA193" s="88"/>
      <c r="AB193" s="88"/>
    </row>
    <row r="194" spans="1:28">
      <c r="A194" s="38">
        <v>193</v>
      </c>
      <c r="B194" s="51"/>
      <c r="C194" s="40"/>
      <c r="D194" s="38"/>
      <c r="E194" s="38" t="s">
        <v>924</v>
      </c>
      <c r="F194" s="43" t="s">
        <v>925</v>
      </c>
      <c r="G194" s="44"/>
      <c r="H194" s="45"/>
      <c r="I194" s="38"/>
      <c r="J194" s="38">
        <f>1.8*1000</f>
        <v>1800</v>
      </c>
      <c r="K194" s="46">
        <v>9.9189814814814817E-3</v>
      </c>
      <c r="L194" s="47" t="s">
        <v>550</v>
      </c>
      <c r="M194" s="48"/>
      <c r="N194" s="48"/>
      <c r="O194" s="48">
        <f t="shared" si="0"/>
        <v>0</v>
      </c>
      <c r="P194" s="38"/>
      <c r="Q194" s="14" t="str">
        <f t="shared" ca="1" si="1"/>
        <v/>
      </c>
      <c r="R194" s="51"/>
      <c r="S194" s="51"/>
      <c r="T194" s="51"/>
      <c r="U194" s="40"/>
      <c r="V194" s="54"/>
      <c r="W194" s="55"/>
      <c r="X194" s="56"/>
      <c r="Y194" s="88"/>
      <c r="Z194" s="88"/>
      <c r="AA194" s="88"/>
      <c r="AB194" s="88"/>
    </row>
    <row r="195" spans="1:28">
      <c r="A195" s="38">
        <v>194</v>
      </c>
      <c r="B195" s="51"/>
      <c r="C195" s="40"/>
      <c r="D195" s="38"/>
      <c r="E195" s="38" t="s">
        <v>928</v>
      </c>
      <c r="F195" s="43" t="s">
        <v>929</v>
      </c>
      <c r="G195" s="44"/>
      <c r="H195" s="45"/>
      <c r="I195" s="38"/>
      <c r="J195" s="38">
        <f>4.4*1000</f>
        <v>4400</v>
      </c>
      <c r="K195" s="46">
        <v>2.5416666666666667E-2</v>
      </c>
      <c r="L195" s="47" t="s">
        <v>550</v>
      </c>
      <c r="M195" s="48"/>
      <c r="N195" s="48"/>
      <c r="O195" s="48">
        <f t="shared" si="0"/>
        <v>0</v>
      </c>
      <c r="P195" s="38"/>
      <c r="Q195" s="14" t="str">
        <f t="shared" ca="1" si="1"/>
        <v/>
      </c>
      <c r="R195" s="51"/>
      <c r="S195" s="51"/>
      <c r="T195" s="51"/>
      <c r="U195" s="40"/>
      <c r="V195" s="54"/>
      <c r="W195" s="55"/>
      <c r="X195" s="56"/>
      <c r="Y195" s="88"/>
      <c r="Z195" s="88"/>
      <c r="AA195" s="88"/>
      <c r="AB195" s="88"/>
    </row>
    <row r="196" spans="1:28">
      <c r="A196" s="38">
        <v>195</v>
      </c>
      <c r="B196" s="51"/>
      <c r="C196" s="40"/>
      <c r="D196" s="38"/>
      <c r="E196" s="38" t="s">
        <v>931</v>
      </c>
      <c r="F196" s="43" t="s">
        <v>932</v>
      </c>
      <c r="G196" s="44"/>
      <c r="H196" s="45"/>
      <c r="I196" s="38"/>
      <c r="J196" s="38">
        <f t="shared" ref="J196:J197" si="5">1*1000</f>
        <v>1000</v>
      </c>
      <c r="K196" s="46">
        <v>4.7453703703703703E-3</v>
      </c>
      <c r="L196" s="47" t="s">
        <v>550</v>
      </c>
      <c r="M196" s="48"/>
      <c r="N196" s="48"/>
      <c r="O196" s="48">
        <f t="shared" si="0"/>
        <v>0</v>
      </c>
      <c r="P196" s="38"/>
      <c r="Q196" s="14" t="str">
        <f t="shared" ca="1" si="1"/>
        <v/>
      </c>
      <c r="R196" s="51"/>
      <c r="S196" s="51"/>
      <c r="T196" s="51"/>
      <c r="U196" s="40"/>
      <c r="V196" s="54"/>
      <c r="W196" s="55"/>
      <c r="X196" s="56"/>
      <c r="Y196" s="88"/>
      <c r="Z196" s="88"/>
      <c r="AA196" s="88"/>
      <c r="AB196" s="88"/>
    </row>
    <row r="197" spans="1:28">
      <c r="A197" s="38">
        <v>196</v>
      </c>
      <c r="B197" s="51"/>
      <c r="C197" s="40"/>
      <c r="D197" s="38"/>
      <c r="E197" s="38" t="s">
        <v>935</v>
      </c>
      <c r="F197" s="43" t="s">
        <v>936</v>
      </c>
      <c r="G197" s="44"/>
      <c r="H197" s="45"/>
      <c r="I197" s="38"/>
      <c r="J197" s="38">
        <f t="shared" si="5"/>
        <v>1000</v>
      </c>
      <c r="K197" s="46">
        <v>3.0671296296296297E-3</v>
      </c>
      <c r="L197" s="47" t="s">
        <v>550</v>
      </c>
      <c r="M197" s="48"/>
      <c r="N197" s="48"/>
      <c r="O197" s="48">
        <f t="shared" si="0"/>
        <v>0</v>
      </c>
      <c r="P197" s="38"/>
      <c r="Q197" s="14" t="str">
        <f t="shared" ca="1" si="1"/>
        <v/>
      </c>
      <c r="R197" s="51"/>
      <c r="S197" s="51"/>
      <c r="T197" s="51"/>
      <c r="U197" s="40"/>
      <c r="V197" s="54"/>
      <c r="W197" s="55"/>
      <c r="X197" s="56"/>
      <c r="Y197" s="88"/>
      <c r="Z197" s="88"/>
      <c r="AA197" s="88"/>
      <c r="AB197" s="88"/>
    </row>
    <row r="198" spans="1:28">
      <c r="A198" s="38">
        <v>197</v>
      </c>
      <c r="B198" s="51"/>
      <c r="C198" s="40"/>
      <c r="D198" s="38"/>
      <c r="E198" s="38" t="s">
        <v>939</v>
      </c>
      <c r="F198" s="43" t="s">
        <v>941</v>
      </c>
      <c r="G198" s="44"/>
      <c r="H198" s="45"/>
      <c r="I198" s="38"/>
      <c r="J198" s="38">
        <f>1.8*1000</f>
        <v>1800</v>
      </c>
      <c r="K198" s="46">
        <v>1.8750000000000001E-3</v>
      </c>
      <c r="L198" s="47" t="s">
        <v>550</v>
      </c>
      <c r="M198" s="48"/>
      <c r="N198" s="48"/>
      <c r="O198" s="48">
        <f t="shared" si="0"/>
        <v>0</v>
      </c>
      <c r="P198" s="38"/>
      <c r="Q198" s="14" t="str">
        <f t="shared" ca="1" si="1"/>
        <v/>
      </c>
      <c r="R198" s="51"/>
      <c r="S198" s="51"/>
      <c r="T198" s="51"/>
      <c r="U198" s="40"/>
      <c r="V198" s="54"/>
      <c r="W198" s="55"/>
      <c r="X198" s="56"/>
      <c r="Y198" s="88"/>
      <c r="Z198" s="88"/>
      <c r="AA198" s="88"/>
      <c r="AB198" s="88"/>
    </row>
    <row r="199" spans="1:28">
      <c r="A199" s="38">
        <v>198</v>
      </c>
      <c r="B199" s="51"/>
      <c r="C199" s="40"/>
      <c r="D199" s="38"/>
      <c r="E199" s="38" t="s">
        <v>944</v>
      </c>
      <c r="F199" s="43" t="s">
        <v>945</v>
      </c>
      <c r="G199" s="44"/>
      <c r="H199" s="45"/>
      <c r="I199" s="38"/>
      <c r="J199" s="38">
        <f>2*1000</f>
        <v>2000</v>
      </c>
      <c r="K199" s="46">
        <v>8.819444444444444E-3</v>
      </c>
      <c r="L199" s="47" t="s">
        <v>550</v>
      </c>
      <c r="M199" s="48"/>
      <c r="N199" s="48"/>
      <c r="O199" s="48">
        <f t="shared" si="0"/>
        <v>0</v>
      </c>
      <c r="P199" s="38"/>
      <c r="Q199" s="14" t="str">
        <f t="shared" ca="1" si="1"/>
        <v/>
      </c>
      <c r="R199" s="51"/>
      <c r="S199" s="51"/>
      <c r="T199" s="51"/>
      <c r="U199" s="40"/>
      <c r="V199" s="54"/>
      <c r="W199" s="55"/>
      <c r="X199" s="56"/>
      <c r="Y199" s="88"/>
      <c r="Z199" s="88"/>
      <c r="AA199" s="88"/>
      <c r="AB199" s="88"/>
    </row>
    <row r="200" spans="1:28">
      <c r="A200" s="38">
        <v>199</v>
      </c>
      <c r="B200" s="51"/>
      <c r="C200" s="40"/>
      <c r="D200" s="38"/>
      <c r="E200" s="38" t="s">
        <v>946</v>
      </c>
      <c r="F200" s="43" t="s">
        <v>947</v>
      </c>
      <c r="G200" s="44"/>
      <c r="H200" s="45"/>
      <c r="I200" s="38"/>
      <c r="J200" s="38">
        <f>3.1*1000</f>
        <v>3100</v>
      </c>
      <c r="K200" s="46">
        <v>8.9930555555555545E-3</v>
      </c>
      <c r="L200" s="47" t="s">
        <v>550</v>
      </c>
      <c r="M200" s="48"/>
      <c r="N200" s="48"/>
      <c r="O200" s="48">
        <f t="shared" si="0"/>
        <v>0</v>
      </c>
      <c r="P200" s="38"/>
      <c r="Q200" s="14" t="str">
        <f t="shared" ca="1" si="1"/>
        <v/>
      </c>
      <c r="R200" s="51"/>
      <c r="S200" s="51"/>
      <c r="T200" s="51"/>
      <c r="U200" s="40"/>
      <c r="V200" s="54"/>
      <c r="W200" s="55"/>
      <c r="X200" s="56"/>
      <c r="Y200" s="88"/>
      <c r="Z200" s="88"/>
      <c r="AA200" s="88"/>
      <c r="AB200" s="88"/>
    </row>
    <row r="201" spans="1:28">
      <c r="A201" s="38">
        <v>200</v>
      </c>
      <c r="B201" s="51"/>
      <c r="C201" s="40"/>
      <c r="D201" s="38"/>
      <c r="E201" s="38" t="s">
        <v>950</v>
      </c>
      <c r="F201" s="43" t="s">
        <v>951</v>
      </c>
      <c r="G201" s="44"/>
      <c r="H201" s="45"/>
      <c r="I201" s="38"/>
      <c r="J201" s="38">
        <f>2.4*1000</f>
        <v>2400</v>
      </c>
      <c r="K201" s="46">
        <v>9.2592592592592605E-3</v>
      </c>
      <c r="L201" s="47" t="s">
        <v>550</v>
      </c>
      <c r="M201" s="48"/>
      <c r="N201" s="48"/>
      <c r="O201" s="48">
        <f t="shared" si="0"/>
        <v>0</v>
      </c>
      <c r="P201" s="38"/>
      <c r="Q201" s="14" t="str">
        <f t="shared" ca="1" si="1"/>
        <v/>
      </c>
      <c r="R201" s="51"/>
      <c r="S201" s="51"/>
      <c r="T201" s="51"/>
      <c r="U201" s="40"/>
      <c r="V201" s="54"/>
      <c r="W201" s="55"/>
      <c r="X201" s="56"/>
      <c r="Y201" s="88"/>
      <c r="Z201" s="88"/>
      <c r="AA201" s="88"/>
      <c r="AB201" s="88"/>
    </row>
    <row r="202" spans="1:28">
      <c r="A202" s="38">
        <v>201</v>
      </c>
      <c r="B202" s="51"/>
      <c r="C202" s="40"/>
      <c r="D202" s="38"/>
      <c r="E202" s="38" t="s">
        <v>952</v>
      </c>
      <c r="F202" s="43" t="s">
        <v>953</v>
      </c>
      <c r="G202" s="44"/>
      <c r="H202" s="45"/>
      <c r="I202" s="38"/>
      <c r="J202" s="38">
        <f>8.1*1000</f>
        <v>8100</v>
      </c>
      <c r="K202" s="46">
        <v>2.6388888888888885E-3</v>
      </c>
      <c r="L202" s="47" t="s">
        <v>956</v>
      </c>
      <c r="M202" s="48"/>
      <c r="N202" s="48"/>
      <c r="O202" s="48">
        <f t="shared" si="0"/>
        <v>0</v>
      </c>
      <c r="P202" s="38"/>
      <c r="Q202" s="14" t="str">
        <f t="shared" ca="1" si="1"/>
        <v/>
      </c>
      <c r="R202" s="51"/>
      <c r="S202" s="51"/>
      <c r="T202" s="51"/>
      <c r="U202" s="40"/>
      <c r="V202" s="54"/>
      <c r="W202" s="55"/>
      <c r="X202" s="56"/>
      <c r="Y202" s="88"/>
      <c r="Z202" s="88"/>
      <c r="AA202" s="88"/>
      <c r="AB202" s="88"/>
    </row>
    <row r="203" spans="1:28">
      <c r="A203" s="38">
        <v>202</v>
      </c>
      <c r="B203" s="51"/>
      <c r="C203" s="40"/>
      <c r="D203" s="38"/>
      <c r="E203" s="38" t="s">
        <v>958</v>
      </c>
      <c r="F203" s="43" t="s">
        <v>959</v>
      </c>
      <c r="G203" s="44"/>
      <c r="H203" s="45"/>
      <c r="I203" s="38"/>
      <c r="J203" s="38">
        <f>2.7*1000</f>
        <v>2700</v>
      </c>
      <c r="K203" s="46">
        <v>2.7199074074074074E-3</v>
      </c>
      <c r="L203" s="47" t="s">
        <v>956</v>
      </c>
      <c r="M203" s="48"/>
      <c r="N203" s="48"/>
      <c r="O203" s="48">
        <f t="shared" si="0"/>
        <v>0</v>
      </c>
      <c r="P203" s="38"/>
      <c r="Q203" s="14" t="str">
        <f t="shared" ca="1" si="1"/>
        <v/>
      </c>
      <c r="R203" s="51"/>
      <c r="S203" s="51"/>
      <c r="T203" s="51"/>
      <c r="U203" s="40"/>
      <c r="V203" s="54"/>
      <c r="W203" s="55"/>
      <c r="X203" s="56"/>
      <c r="Y203" s="88"/>
      <c r="Z203" s="88"/>
      <c r="AA203" s="88"/>
      <c r="AB203" s="88"/>
    </row>
    <row r="204" spans="1:28">
      <c r="A204" s="38">
        <v>203</v>
      </c>
      <c r="B204" s="51"/>
      <c r="C204" s="40"/>
      <c r="D204" s="38"/>
      <c r="E204" s="38" t="s">
        <v>963</v>
      </c>
      <c r="F204" s="43" t="s">
        <v>964</v>
      </c>
      <c r="G204" s="44"/>
      <c r="H204" s="45"/>
      <c r="I204" s="38"/>
      <c r="J204" s="38">
        <f>2.9*1000</f>
        <v>2900</v>
      </c>
      <c r="K204" s="46">
        <v>2.2800925925925927E-3</v>
      </c>
      <c r="L204" s="47" t="s">
        <v>956</v>
      </c>
      <c r="M204" s="48"/>
      <c r="N204" s="48"/>
      <c r="O204" s="48">
        <f t="shared" si="0"/>
        <v>0</v>
      </c>
      <c r="P204" s="38"/>
      <c r="Q204" s="14" t="str">
        <f t="shared" ca="1" si="1"/>
        <v/>
      </c>
      <c r="R204" s="51"/>
      <c r="S204" s="51"/>
      <c r="T204" s="51"/>
      <c r="U204" s="40"/>
      <c r="V204" s="54"/>
      <c r="W204" s="55"/>
      <c r="X204" s="56"/>
      <c r="Y204" s="88"/>
      <c r="Z204" s="88"/>
      <c r="AA204" s="88"/>
      <c r="AB204" s="88"/>
    </row>
    <row r="205" spans="1:28">
      <c r="A205" s="38">
        <v>204</v>
      </c>
      <c r="B205" s="51"/>
      <c r="C205" s="40"/>
      <c r="D205" s="38"/>
      <c r="E205" s="38" t="s">
        <v>966</v>
      </c>
      <c r="F205" s="43" t="s">
        <v>967</v>
      </c>
      <c r="G205" s="44"/>
      <c r="H205" s="45"/>
      <c r="I205" s="38"/>
      <c r="J205" s="38">
        <f t="shared" ref="J205:J206" si="6">3.9*1000</f>
        <v>3900</v>
      </c>
      <c r="K205" s="46">
        <v>4.3518518518518515E-3</v>
      </c>
      <c r="L205" s="47" t="s">
        <v>956</v>
      </c>
      <c r="M205" s="48"/>
      <c r="N205" s="48"/>
      <c r="O205" s="48">
        <f t="shared" si="0"/>
        <v>0</v>
      </c>
      <c r="P205" s="38"/>
      <c r="Q205" s="14" t="str">
        <f t="shared" ca="1" si="1"/>
        <v/>
      </c>
      <c r="R205" s="51"/>
      <c r="S205" s="51"/>
      <c r="T205" s="51"/>
      <c r="U205" s="40"/>
      <c r="V205" s="54"/>
      <c r="W205" s="55"/>
      <c r="X205" s="56"/>
      <c r="Y205" s="88"/>
      <c r="Z205" s="88"/>
      <c r="AA205" s="88"/>
      <c r="AB205" s="88"/>
    </row>
    <row r="206" spans="1:28">
      <c r="A206" s="38">
        <v>205</v>
      </c>
      <c r="B206" s="51"/>
      <c r="C206" s="40"/>
      <c r="D206" s="38"/>
      <c r="E206" s="38" t="s">
        <v>969</v>
      </c>
      <c r="F206" s="43" t="s">
        <v>971</v>
      </c>
      <c r="G206" s="44"/>
      <c r="H206" s="45"/>
      <c r="I206" s="38"/>
      <c r="J206" s="38">
        <f t="shared" si="6"/>
        <v>3900</v>
      </c>
      <c r="K206" s="46">
        <v>6.4930555555555549E-3</v>
      </c>
      <c r="L206" s="47" t="s">
        <v>956</v>
      </c>
      <c r="M206" s="48"/>
      <c r="N206" s="48"/>
      <c r="O206" s="48">
        <f t="shared" si="0"/>
        <v>0</v>
      </c>
      <c r="P206" s="38"/>
      <c r="Q206" s="14" t="str">
        <f t="shared" ca="1" si="1"/>
        <v/>
      </c>
      <c r="R206" s="51"/>
      <c r="S206" s="51"/>
      <c r="T206" s="51"/>
      <c r="U206" s="40"/>
      <c r="V206" s="54"/>
      <c r="W206" s="55"/>
      <c r="X206" s="56"/>
      <c r="Y206" s="88"/>
      <c r="Z206" s="88"/>
      <c r="AA206" s="88"/>
      <c r="AB206" s="88"/>
    </row>
    <row r="207" spans="1:28">
      <c r="A207" s="38">
        <v>206</v>
      </c>
      <c r="B207" s="39"/>
      <c r="C207" s="40"/>
      <c r="D207" s="38"/>
      <c r="E207" s="38" t="s">
        <v>972</v>
      </c>
      <c r="F207" s="43" t="s">
        <v>973</v>
      </c>
      <c r="G207" s="44"/>
      <c r="H207" s="45"/>
      <c r="I207" s="38"/>
      <c r="J207" s="38">
        <f>4.4*1000</f>
        <v>4400</v>
      </c>
      <c r="K207" s="46">
        <v>9.2129629629629627E-3</v>
      </c>
      <c r="L207" s="47" t="s">
        <v>956</v>
      </c>
      <c r="M207" s="48"/>
      <c r="N207" s="48"/>
      <c r="O207" s="48">
        <f t="shared" si="0"/>
        <v>0</v>
      </c>
      <c r="P207" s="38"/>
      <c r="Q207" s="14" t="str">
        <f t="shared" ca="1" si="1"/>
        <v/>
      </c>
      <c r="R207" s="51"/>
      <c r="S207" s="51"/>
      <c r="T207" s="51"/>
      <c r="U207" s="40"/>
      <c r="V207" s="54"/>
      <c r="W207" s="55"/>
      <c r="X207" s="56"/>
      <c r="Y207" s="88"/>
      <c r="Z207" s="88"/>
      <c r="AA207" s="88"/>
      <c r="AB207" s="88"/>
    </row>
    <row r="208" spans="1:28">
      <c r="A208" s="38">
        <v>207</v>
      </c>
      <c r="B208" s="51"/>
      <c r="C208" s="40"/>
      <c r="D208" s="38"/>
      <c r="E208" s="38" t="s">
        <v>979</v>
      </c>
      <c r="F208" s="43" t="s">
        <v>980</v>
      </c>
      <c r="G208" s="44"/>
      <c r="H208" s="45"/>
      <c r="I208" s="38"/>
      <c r="J208" s="38">
        <f>4.2*1000</f>
        <v>4200</v>
      </c>
      <c r="K208" s="46">
        <v>7.2337962962962963E-3</v>
      </c>
      <c r="L208" s="47" t="s">
        <v>956</v>
      </c>
      <c r="M208" s="48"/>
      <c r="N208" s="48"/>
      <c r="O208" s="48">
        <f t="shared" si="0"/>
        <v>0</v>
      </c>
      <c r="P208" s="38"/>
      <c r="Q208" s="14" t="str">
        <f t="shared" ca="1" si="1"/>
        <v/>
      </c>
      <c r="R208" s="51"/>
      <c r="S208" s="51"/>
      <c r="T208" s="51"/>
      <c r="U208" s="40"/>
      <c r="V208" s="54"/>
      <c r="W208" s="55"/>
      <c r="X208" s="56"/>
      <c r="Y208" s="88"/>
      <c r="Z208" s="88"/>
      <c r="AA208" s="88"/>
      <c r="AB208" s="88"/>
    </row>
    <row r="209" spans="1:28">
      <c r="A209" s="38">
        <v>208</v>
      </c>
      <c r="B209" s="51"/>
      <c r="C209" s="40"/>
      <c r="D209" s="38"/>
      <c r="E209" s="38" t="s">
        <v>983</v>
      </c>
      <c r="F209" s="43" t="s">
        <v>984</v>
      </c>
      <c r="G209" s="44"/>
      <c r="H209" s="45"/>
      <c r="I209" s="38"/>
      <c r="J209" s="38">
        <f>1.9*1000</f>
        <v>1900</v>
      </c>
      <c r="K209" s="46">
        <v>4.3981481481481484E-3</v>
      </c>
      <c r="L209" s="47" t="s">
        <v>956</v>
      </c>
      <c r="M209" s="48"/>
      <c r="N209" s="48"/>
      <c r="O209" s="48">
        <f t="shared" si="0"/>
        <v>0</v>
      </c>
      <c r="P209" s="38"/>
      <c r="Q209" s="14" t="str">
        <f t="shared" ca="1" si="1"/>
        <v/>
      </c>
      <c r="R209" s="51"/>
      <c r="S209" s="51"/>
      <c r="T209" s="51"/>
      <c r="U209" s="40"/>
      <c r="V209" s="54"/>
      <c r="W209" s="55"/>
      <c r="X209" s="56"/>
      <c r="Y209" s="88"/>
      <c r="Z209" s="88"/>
      <c r="AA209" s="88"/>
      <c r="AB209" s="88"/>
    </row>
    <row r="210" spans="1:28">
      <c r="A210" s="38">
        <v>209</v>
      </c>
      <c r="B210" s="51"/>
      <c r="C210" s="40"/>
      <c r="D210" s="38"/>
      <c r="E210" s="38" t="s">
        <v>985</v>
      </c>
      <c r="F210" s="43" t="s">
        <v>986</v>
      </c>
      <c r="G210" s="44"/>
      <c r="H210" s="45"/>
      <c r="I210" s="38"/>
      <c r="J210" s="38">
        <f>2.8*1000</f>
        <v>2800</v>
      </c>
      <c r="K210" s="46">
        <v>6.5393518518518517E-3</v>
      </c>
      <c r="L210" s="47" t="s">
        <v>956</v>
      </c>
      <c r="M210" s="48"/>
      <c r="N210" s="48"/>
      <c r="O210" s="48">
        <f t="shared" si="0"/>
        <v>0</v>
      </c>
      <c r="P210" s="38"/>
      <c r="Q210" s="14" t="str">
        <f t="shared" ca="1" si="1"/>
        <v/>
      </c>
      <c r="R210" s="51"/>
      <c r="S210" s="51"/>
      <c r="T210" s="51"/>
      <c r="U210" s="40"/>
      <c r="V210" s="54"/>
      <c r="W210" s="55"/>
      <c r="X210" s="56"/>
      <c r="Y210" s="88"/>
      <c r="Z210" s="88"/>
      <c r="AA210" s="88"/>
      <c r="AB210" s="88"/>
    </row>
    <row r="211" spans="1:28">
      <c r="A211" s="38">
        <v>210</v>
      </c>
      <c r="B211" s="51"/>
      <c r="C211" s="40"/>
      <c r="D211" s="38"/>
      <c r="E211" s="38" t="s">
        <v>989</v>
      </c>
      <c r="F211" s="43" t="s">
        <v>990</v>
      </c>
      <c r="G211" s="44"/>
      <c r="H211" s="45"/>
      <c r="I211" s="38"/>
      <c r="J211" s="38">
        <f>1.3*1000</f>
        <v>1300</v>
      </c>
      <c r="K211" s="46">
        <v>3.2175925925925926E-3</v>
      </c>
      <c r="L211" s="47" t="s">
        <v>956</v>
      </c>
      <c r="M211" s="48"/>
      <c r="N211" s="48"/>
      <c r="O211" s="48">
        <f t="shared" si="0"/>
        <v>0</v>
      </c>
      <c r="P211" s="38"/>
      <c r="Q211" s="14" t="str">
        <f t="shared" ca="1" si="1"/>
        <v/>
      </c>
      <c r="R211" s="51"/>
      <c r="S211" s="51"/>
      <c r="T211" s="51"/>
      <c r="U211" s="40"/>
      <c r="V211" s="54"/>
      <c r="W211" s="55"/>
      <c r="X211" s="56"/>
      <c r="Y211" s="88"/>
      <c r="Z211" s="88"/>
      <c r="AA211" s="88"/>
      <c r="AB211" s="88"/>
    </row>
    <row r="212" spans="1:28">
      <c r="A212" s="38">
        <v>211</v>
      </c>
      <c r="B212" s="51"/>
      <c r="C212" s="40"/>
      <c r="D212" s="38"/>
      <c r="E212" s="38" t="s">
        <v>992</v>
      </c>
      <c r="F212" s="43" t="s">
        <v>993</v>
      </c>
      <c r="G212" s="44"/>
      <c r="H212" s="45"/>
      <c r="I212" s="38"/>
      <c r="J212" s="38">
        <f>8.7*1000</f>
        <v>8700</v>
      </c>
      <c r="K212" s="46">
        <v>1.3078703703703703E-2</v>
      </c>
      <c r="L212" s="47" t="s">
        <v>956</v>
      </c>
      <c r="M212" s="48"/>
      <c r="N212" s="48"/>
      <c r="O212" s="48">
        <f t="shared" si="0"/>
        <v>0</v>
      </c>
      <c r="P212" s="38"/>
      <c r="Q212" s="14" t="str">
        <f t="shared" ca="1" si="1"/>
        <v/>
      </c>
      <c r="R212" s="51"/>
      <c r="S212" s="51"/>
      <c r="T212" s="51"/>
      <c r="U212" s="40"/>
      <c r="V212" s="54"/>
      <c r="W212" s="55"/>
      <c r="X212" s="56"/>
      <c r="Y212" s="88"/>
      <c r="Z212" s="88"/>
      <c r="AA212" s="88"/>
      <c r="AB212" s="88"/>
    </row>
    <row r="213" spans="1:28">
      <c r="A213" s="38">
        <v>212</v>
      </c>
      <c r="B213" s="51"/>
      <c r="C213" s="40"/>
      <c r="D213" s="38"/>
      <c r="E213" s="38" t="s">
        <v>994</v>
      </c>
      <c r="F213" s="43" t="s">
        <v>995</v>
      </c>
      <c r="G213" s="44"/>
      <c r="H213" s="45"/>
      <c r="I213" s="38"/>
      <c r="J213" s="38">
        <f>2.4*1000</f>
        <v>2400</v>
      </c>
      <c r="K213" s="46">
        <v>8.0092592592592594E-3</v>
      </c>
      <c r="L213" s="47" t="s">
        <v>956</v>
      </c>
      <c r="M213" s="48"/>
      <c r="N213" s="48"/>
      <c r="O213" s="48">
        <f t="shared" si="0"/>
        <v>0</v>
      </c>
      <c r="P213" s="38"/>
      <c r="Q213" s="14" t="str">
        <f t="shared" ca="1" si="1"/>
        <v/>
      </c>
      <c r="R213" s="51"/>
      <c r="S213" s="51"/>
      <c r="T213" s="51"/>
      <c r="U213" s="40"/>
      <c r="V213" s="54"/>
      <c r="W213" s="55"/>
      <c r="X213" s="56"/>
      <c r="Y213" s="88"/>
      <c r="Z213" s="88"/>
      <c r="AA213" s="88"/>
      <c r="AB213" s="88"/>
    </row>
    <row r="214" spans="1:28">
      <c r="A214" s="38">
        <v>213</v>
      </c>
      <c r="B214" s="51"/>
      <c r="C214" s="40"/>
      <c r="D214" s="38"/>
      <c r="E214" s="38" t="s">
        <v>996</v>
      </c>
      <c r="F214" s="43" t="s">
        <v>997</v>
      </c>
      <c r="G214" s="44"/>
      <c r="H214" s="45"/>
      <c r="I214" s="38"/>
      <c r="J214" s="38">
        <f>2.8*1000</f>
        <v>2800</v>
      </c>
      <c r="K214" s="46">
        <v>2.5462962962962961E-3</v>
      </c>
      <c r="L214" s="47" t="s">
        <v>956</v>
      </c>
      <c r="M214" s="48"/>
      <c r="N214" s="48"/>
      <c r="O214" s="48">
        <f t="shared" si="0"/>
        <v>0</v>
      </c>
      <c r="P214" s="38"/>
      <c r="Q214" s="14" t="str">
        <f t="shared" ca="1" si="1"/>
        <v/>
      </c>
      <c r="R214" s="51"/>
      <c r="S214" s="51"/>
      <c r="T214" s="51"/>
      <c r="U214" s="40"/>
      <c r="V214" s="54"/>
      <c r="W214" s="55"/>
      <c r="X214" s="56"/>
      <c r="Y214" s="88"/>
      <c r="Z214" s="88"/>
      <c r="AA214" s="88"/>
      <c r="AB214" s="88"/>
    </row>
    <row r="215" spans="1:28">
      <c r="A215" s="38">
        <v>214</v>
      </c>
      <c r="B215" s="51"/>
      <c r="C215" s="40"/>
      <c r="D215" s="38"/>
      <c r="E215" s="38" t="s">
        <v>1000</v>
      </c>
      <c r="F215" s="43" t="s">
        <v>1001</v>
      </c>
      <c r="G215" s="44"/>
      <c r="H215" s="45"/>
      <c r="I215" s="38"/>
      <c r="J215" s="38">
        <f>8.1*1000</f>
        <v>8100</v>
      </c>
      <c r="K215" s="46">
        <v>2.9814814814814811E-2</v>
      </c>
      <c r="L215" s="47" t="s">
        <v>956</v>
      </c>
      <c r="M215" s="48"/>
      <c r="N215" s="48"/>
      <c r="O215" s="48">
        <f t="shared" si="0"/>
        <v>0</v>
      </c>
      <c r="P215" s="38"/>
      <c r="Q215" s="14" t="str">
        <f t="shared" ca="1" si="1"/>
        <v/>
      </c>
      <c r="R215" s="51"/>
      <c r="S215" s="51"/>
      <c r="T215" s="51"/>
      <c r="U215" s="40"/>
      <c r="V215" s="54"/>
      <c r="W215" s="55"/>
      <c r="X215" s="56"/>
      <c r="Y215" s="88"/>
      <c r="Z215" s="88"/>
      <c r="AA215" s="88"/>
      <c r="AB215" s="88"/>
    </row>
    <row r="216" spans="1:28">
      <c r="A216" s="38">
        <v>215</v>
      </c>
      <c r="B216" s="51"/>
      <c r="C216" s="40"/>
      <c r="D216" s="38"/>
      <c r="E216" s="38" t="s">
        <v>1004</v>
      </c>
      <c r="F216" s="43" t="s">
        <v>1005</v>
      </c>
      <c r="G216" s="44"/>
      <c r="H216" s="45"/>
      <c r="I216" s="38"/>
      <c r="J216" s="38">
        <f>1.7*1000</f>
        <v>1700</v>
      </c>
      <c r="K216" s="46">
        <v>6.7939814814814816E-3</v>
      </c>
      <c r="L216" s="47" t="s">
        <v>956</v>
      </c>
      <c r="M216" s="48"/>
      <c r="N216" s="48"/>
      <c r="O216" s="48">
        <f t="shared" si="0"/>
        <v>0</v>
      </c>
      <c r="P216" s="38"/>
      <c r="Q216" s="14" t="str">
        <f t="shared" ca="1" si="1"/>
        <v/>
      </c>
      <c r="R216" s="51"/>
      <c r="S216" s="51"/>
      <c r="T216" s="51"/>
      <c r="U216" s="40"/>
      <c r="V216" s="54"/>
      <c r="W216" s="55"/>
      <c r="X216" s="56"/>
      <c r="Y216" s="88"/>
      <c r="Z216" s="88"/>
      <c r="AA216" s="88"/>
      <c r="AB216" s="88"/>
    </row>
    <row r="217" spans="1:28">
      <c r="A217" s="38">
        <v>216</v>
      </c>
      <c r="B217" s="51"/>
      <c r="C217" s="40"/>
      <c r="D217" s="38"/>
      <c r="E217" s="38" t="s">
        <v>1007</v>
      </c>
      <c r="F217" s="43" t="s">
        <v>1008</v>
      </c>
      <c r="G217" s="44"/>
      <c r="H217" s="45"/>
      <c r="I217" s="38"/>
      <c r="J217" s="38">
        <f>3.9*1000</f>
        <v>3900</v>
      </c>
      <c r="K217" s="46">
        <v>3.0902777777777782E-3</v>
      </c>
      <c r="L217" s="47" t="s">
        <v>956</v>
      </c>
      <c r="M217" s="48"/>
      <c r="N217" s="48"/>
      <c r="O217" s="48">
        <f t="shared" si="0"/>
        <v>0</v>
      </c>
      <c r="P217" s="38"/>
      <c r="Q217" s="14" t="str">
        <f t="shared" ca="1" si="1"/>
        <v/>
      </c>
      <c r="R217" s="51"/>
      <c r="S217" s="51"/>
      <c r="T217" s="51"/>
      <c r="U217" s="40"/>
      <c r="V217" s="54"/>
      <c r="W217" s="55"/>
      <c r="X217" s="56"/>
      <c r="Y217" s="88"/>
      <c r="Z217" s="88"/>
      <c r="AA217" s="88"/>
      <c r="AB217" s="88"/>
    </row>
    <row r="218" spans="1:28">
      <c r="A218" s="38">
        <v>217</v>
      </c>
      <c r="B218" s="51"/>
      <c r="C218" s="40"/>
      <c r="D218" s="38"/>
      <c r="E218" s="38" t="s">
        <v>1011</v>
      </c>
      <c r="F218" s="43" t="s">
        <v>1012</v>
      </c>
      <c r="G218" s="44"/>
      <c r="H218" s="45"/>
      <c r="I218" s="38"/>
      <c r="J218" s="38">
        <f>254</f>
        <v>254</v>
      </c>
      <c r="K218" s="46">
        <v>2.7314814814814819E-3</v>
      </c>
      <c r="L218" s="47" t="s">
        <v>956</v>
      </c>
      <c r="M218" s="48"/>
      <c r="N218" s="48"/>
      <c r="O218" s="48">
        <f t="shared" si="0"/>
        <v>0</v>
      </c>
      <c r="P218" s="38"/>
      <c r="Q218" s="14" t="str">
        <f t="shared" ca="1" si="1"/>
        <v/>
      </c>
      <c r="R218" s="51"/>
      <c r="S218" s="51"/>
      <c r="T218" s="51"/>
      <c r="U218" s="40"/>
      <c r="V218" s="54"/>
      <c r="W218" s="55"/>
      <c r="X218" s="56"/>
      <c r="Y218" s="88"/>
      <c r="Z218" s="88"/>
      <c r="AA218" s="88"/>
      <c r="AB218" s="88"/>
    </row>
    <row r="219" spans="1:28">
      <c r="A219" s="38">
        <v>218</v>
      </c>
      <c r="B219" s="51"/>
      <c r="C219" s="40"/>
      <c r="D219" s="38"/>
      <c r="E219" s="38" t="s">
        <v>1016</v>
      </c>
      <c r="F219" s="43" t="s">
        <v>1017</v>
      </c>
      <c r="G219" s="44"/>
      <c r="H219" s="45"/>
      <c r="I219" s="38"/>
      <c r="J219" s="38">
        <f>10*1000</f>
        <v>10000</v>
      </c>
      <c r="K219" s="46">
        <v>1.8865740740740742E-2</v>
      </c>
      <c r="L219" s="47" t="s">
        <v>956</v>
      </c>
      <c r="M219" s="48"/>
      <c r="N219" s="48"/>
      <c r="O219" s="48">
        <f t="shared" si="0"/>
        <v>0</v>
      </c>
      <c r="P219" s="38"/>
      <c r="Q219" s="14" t="str">
        <f t="shared" ca="1" si="1"/>
        <v/>
      </c>
      <c r="R219" s="51"/>
      <c r="S219" s="51"/>
      <c r="T219" s="51"/>
      <c r="U219" s="40"/>
      <c r="V219" s="54"/>
      <c r="W219" s="55"/>
      <c r="X219" s="56"/>
      <c r="Y219" s="88"/>
      <c r="Z219" s="88"/>
      <c r="AA219" s="88"/>
      <c r="AB219" s="88"/>
    </row>
    <row r="220" spans="1:28">
      <c r="A220" s="38">
        <v>219</v>
      </c>
      <c r="B220" s="51"/>
      <c r="C220" s="40"/>
      <c r="D220" s="38"/>
      <c r="E220" s="38" t="s">
        <v>1019</v>
      </c>
      <c r="F220" s="43" t="s">
        <v>1020</v>
      </c>
      <c r="G220" s="44"/>
      <c r="H220" s="45"/>
      <c r="I220" s="38"/>
      <c r="J220" s="38">
        <f>7.8*1000</f>
        <v>7800</v>
      </c>
      <c r="K220" s="46">
        <v>2.5567129629629634E-2</v>
      </c>
      <c r="L220" s="47" t="s">
        <v>956</v>
      </c>
      <c r="M220" s="48"/>
      <c r="N220" s="48"/>
      <c r="O220" s="48">
        <f t="shared" si="0"/>
        <v>0</v>
      </c>
      <c r="P220" s="38"/>
      <c r="Q220" s="14" t="str">
        <f t="shared" ca="1" si="1"/>
        <v/>
      </c>
      <c r="R220" s="51"/>
      <c r="S220" s="51"/>
      <c r="T220" s="51"/>
      <c r="U220" s="40"/>
      <c r="V220" s="54"/>
      <c r="W220" s="55"/>
      <c r="X220" s="56"/>
      <c r="Y220" s="88"/>
      <c r="Z220" s="88"/>
      <c r="AA220" s="88"/>
      <c r="AB220" s="88"/>
    </row>
    <row r="221" spans="1:28">
      <c r="A221" s="38">
        <v>220</v>
      </c>
      <c r="B221" s="51"/>
      <c r="C221" s="40"/>
      <c r="D221" s="38"/>
      <c r="E221" s="38" t="s">
        <v>1023</v>
      </c>
      <c r="F221" s="43" t="s">
        <v>1024</v>
      </c>
      <c r="G221" s="44"/>
      <c r="H221" s="45"/>
      <c r="I221" s="38"/>
      <c r="J221" s="38">
        <f>499</f>
        <v>499</v>
      </c>
      <c r="K221" s="46">
        <v>1.2291666666666666E-2</v>
      </c>
      <c r="L221" s="47" t="s">
        <v>956</v>
      </c>
      <c r="M221" s="48"/>
      <c r="N221" s="48"/>
      <c r="O221" s="48">
        <f t="shared" si="0"/>
        <v>0</v>
      </c>
      <c r="P221" s="38"/>
      <c r="Q221" s="14" t="str">
        <f t="shared" ca="1" si="1"/>
        <v/>
      </c>
      <c r="R221" s="51"/>
      <c r="S221" s="51"/>
      <c r="T221" s="51"/>
      <c r="U221" s="40"/>
      <c r="V221" s="54"/>
      <c r="W221" s="55"/>
      <c r="X221" s="56"/>
      <c r="Y221" s="88"/>
      <c r="Z221" s="88"/>
      <c r="AA221" s="88"/>
      <c r="AB221" s="88"/>
    </row>
    <row r="222" spans="1:28">
      <c r="A222" s="38">
        <v>221</v>
      </c>
      <c r="B222" s="51"/>
      <c r="C222" s="40"/>
      <c r="D222" s="38"/>
      <c r="E222" s="38" t="s">
        <v>1025</v>
      </c>
      <c r="F222" s="43" t="s">
        <v>1026</v>
      </c>
      <c r="G222" s="44"/>
      <c r="H222" s="45"/>
      <c r="I222" s="38"/>
      <c r="J222" s="38">
        <f>2.6*1000</f>
        <v>2600</v>
      </c>
      <c r="K222" s="46">
        <v>2.2916666666666667E-3</v>
      </c>
      <c r="L222" s="47" t="s">
        <v>956</v>
      </c>
      <c r="M222" s="48"/>
      <c r="N222" s="48"/>
      <c r="O222" s="48">
        <f t="shared" si="0"/>
        <v>0</v>
      </c>
      <c r="P222" s="38"/>
      <c r="Q222" s="14" t="str">
        <f t="shared" ca="1" si="1"/>
        <v/>
      </c>
      <c r="R222" s="51"/>
      <c r="S222" s="51"/>
      <c r="T222" s="51"/>
      <c r="U222" s="40"/>
      <c r="V222" s="54"/>
      <c r="W222" s="55"/>
      <c r="X222" s="56"/>
      <c r="Y222" s="88"/>
      <c r="Z222" s="88"/>
      <c r="AA222" s="88"/>
      <c r="AB222" s="88"/>
    </row>
    <row r="223" spans="1:28">
      <c r="A223" s="38">
        <v>222</v>
      </c>
      <c r="B223" s="51"/>
      <c r="C223" s="40"/>
      <c r="D223" s="38"/>
      <c r="E223" s="38" t="s">
        <v>1030</v>
      </c>
      <c r="F223" s="43" t="s">
        <v>1032</v>
      </c>
      <c r="G223" s="44"/>
      <c r="H223" s="45"/>
      <c r="I223" s="38"/>
      <c r="J223" s="38">
        <f>1.1*1000</f>
        <v>1100</v>
      </c>
      <c r="K223" s="46">
        <v>4.155092592592593E-3</v>
      </c>
      <c r="L223" s="47" t="s">
        <v>956</v>
      </c>
      <c r="M223" s="48"/>
      <c r="N223" s="48"/>
      <c r="O223" s="48">
        <f t="shared" si="0"/>
        <v>0</v>
      </c>
      <c r="P223" s="38"/>
      <c r="Q223" s="14" t="str">
        <f t="shared" ca="1" si="1"/>
        <v/>
      </c>
      <c r="R223" s="51"/>
      <c r="S223" s="51"/>
      <c r="T223" s="51"/>
      <c r="U223" s="40"/>
      <c r="V223" s="54"/>
      <c r="W223" s="55"/>
      <c r="X223" s="56"/>
      <c r="Y223" s="88"/>
      <c r="Z223" s="88"/>
      <c r="AA223" s="88"/>
      <c r="AB223" s="88"/>
    </row>
    <row r="224" spans="1:28">
      <c r="A224" s="38">
        <v>223</v>
      </c>
      <c r="B224" s="51"/>
      <c r="C224" s="40"/>
      <c r="D224" s="38"/>
      <c r="E224" s="38" t="s">
        <v>1035</v>
      </c>
      <c r="F224" s="43" t="s">
        <v>1036</v>
      </c>
      <c r="G224" s="44"/>
      <c r="H224" s="45"/>
      <c r="I224" s="38"/>
      <c r="J224" s="38">
        <f t="shared" ref="J224:J225" si="7">1.4*1000</f>
        <v>1400</v>
      </c>
      <c r="K224" s="46">
        <v>1.4814814814814814E-3</v>
      </c>
      <c r="L224" s="47" t="s">
        <v>956</v>
      </c>
      <c r="M224" s="48"/>
      <c r="N224" s="48"/>
      <c r="O224" s="48">
        <f t="shared" si="0"/>
        <v>0</v>
      </c>
      <c r="P224" s="38"/>
      <c r="Q224" s="14" t="str">
        <f t="shared" ca="1" si="1"/>
        <v/>
      </c>
      <c r="R224" s="51"/>
      <c r="S224" s="51"/>
      <c r="T224" s="51"/>
      <c r="U224" s="40"/>
      <c r="V224" s="54"/>
      <c r="W224" s="55"/>
      <c r="X224" s="56"/>
      <c r="Y224" s="88"/>
      <c r="Z224" s="88"/>
      <c r="AA224" s="88"/>
      <c r="AB224" s="88"/>
    </row>
    <row r="225" spans="1:28">
      <c r="A225" s="38">
        <v>224</v>
      </c>
      <c r="B225" s="51"/>
      <c r="C225" s="40"/>
      <c r="D225" s="38"/>
      <c r="E225" s="38" t="s">
        <v>1039</v>
      </c>
      <c r="F225" s="43" t="s">
        <v>1040</v>
      </c>
      <c r="G225" s="44"/>
      <c r="H225" s="45"/>
      <c r="I225" s="38"/>
      <c r="J225" s="38">
        <f t="shared" si="7"/>
        <v>1400</v>
      </c>
      <c r="K225" s="46">
        <v>1.5740740740740741E-3</v>
      </c>
      <c r="L225" s="47" t="s">
        <v>956</v>
      </c>
      <c r="M225" s="48"/>
      <c r="N225" s="48"/>
      <c r="O225" s="48">
        <f t="shared" si="0"/>
        <v>0</v>
      </c>
      <c r="P225" s="38"/>
      <c r="Q225" s="14" t="str">
        <f t="shared" ca="1" si="1"/>
        <v/>
      </c>
      <c r="R225" s="51"/>
      <c r="S225" s="51"/>
      <c r="T225" s="51"/>
      <c r="U225" s="40"/>
      <c r="V225" s="54"/>
      <c r="W225" s="55"/>
      <c r="X225" s="56"/>
      <c r="Y225" s="88"/>
      <c r="Z225" s="88"/>
      <c r="AA225" s="88"/>
      <c r="AB225" s="88"/>
    </row>
    <row r="226" spans="1:28">
      <c r="A226" s="38">
        <v>225</v>
      </c>
      <c r="B226" s="51"/>
      <c r="C226" s="40"/>
      <c r="D226" s="38"/>
      <c r="E226" s="38" t="s">
        <v>1042</v>
      </c>
      <c r="F226" s="43" t="s">
        <v>1044</v>
      </c>
      <c r="G226" s="44"/>
      <c r="H226" s="45"/>
      <c r="I226" s="38"/>
      <c r="J226" s="38">
        <f>3.6*1000</f>
        <v>3600</v>
      </c>
      <c r="K226" s="46">
        <v>7.3495370370370372E-3</v>
      </c>
      <c r="L226" s="47" t="s">
        <v>956</v>
      </c>
      <c r="M226" s="48"/>
      <c r="N226" s="48"/>
      <c r="O226" s="48">
        <f t="shared" si="0"/>
        <v>0</v>
      </c>
      <c r="P226" s="38"/>
      <c r="Q226" s="14" t="str">
        <f t="shared" ca="1" si="1"/>
        <v/>
      </c>
      <c r="R226" s="51"/>
      <c r="S226" s="51"/>
      <c r="T226" s="51"/>
      <c r="U226" s="40"/>
      <c r="V226" s="54"/>
      <c r="W226" s="55"/>
      <c r="X226" s="56"/>
      <c r="Y226" s="88"/>
      <c r="Z226" s="88"/>
      <c r="AA226" s="88"/>
      <c r="AB226" s="88"/>
    </row>
    <row r="227" spans="1:28">
      <c r="A227" s="38">
        <v>226</v>
      </c>
      <c r="B227" s="51"/>
      <c r="C227" s="40"/>
      <c r="D227" s="38"/>
      <c r="E227" s="38" t="s">
        <v>1047</v>
      </c>
      <c r="F227" s="43" t="s">
        <v>1048</v>
      </c>
      <c r="G227" s="44"/>
      <c r="H227" s="45"/>
      <c r="I227" s="38"/>
      <c r="J227" s="38">
        <f>7.8*1000</f>
        <v>7800</v>
      </c>
      <c r="K227" s="46">
        <v>2.5925925925925925E-3</v>
      </c>
      <c r="L227" s="47" t="s">
        <v>956</v>
      </c>
      <c r="M227" s="48"/>
      <c r="N227" s="48"/>
      <c r="O227" s="48">
        <f t="shared" si="0"/>
        <v>0</v>
      </c>
      <c r="P227" s="38"/>
      <c r="Q227" s="14" t="str">
        <f t="shared" ca="1" si="1"/>
        <v/>
      </c>
      <c r="R227" s="51"/>
      <c r="S227" s="51"/>
      <c r="T227" s="51"/>
      <c r="U227" s="40"/>
      <c r="V227" s="54"/>
      <c r="W227" s="55"/>
      <c r="X227" s="56"/>
      <c r="Y227" s="88"/>
      <c r="Z227" s="88"/>
      <c r="AA227" s="88"/>
      <c r="AB227" s="88"/>
    </row>
    <row r="228" spans="1:28">
      <c r="A228" s="38">
        <v>227</v>
      </c>
      <c r="B228" s="51"/>
      <c r="C228" s="40"/>
      <c r="D228" s="38"/>
      <c r="E228" s="38" t="s">
        <v>1050</v>
      </c>
      <c r="F228" s="43" t="s">
        <v>1051</v>
      </c>
      <c r="G228" s="44"/>
      <c r="H228" s="45"/>
      <c r="I228" s="38"/>
      <c r="J228" s="38">
        <f>489</f>
        <v>489</v>
      </c>
      <c r="K228" s="46">
        <v>4.4328703703703709E-3</v>
      </c>
      <c r="L228" s="47" t="s">
        <v>956</v>
      </c>
      <c r="M228" s="48"/>
      <c r="N228" s="48"/>
      <c r="O228" s="48">
        <f t="shared" si="0"/>
        <v>0</v>
      </c>
      <c r="P228" s="38"/>
      <c r="Q228" s="14" t="str">
        <f t="shared" ca="1" si="1"/>
        <v/>
      </c>
      <c r="R228" s="51"/>
      <c r="S228" s="51"/>
      <c r="T228" s="51"/>
      <c r="U228" s="40"/>
      <c r="V228" s="54"/>
      <c r="W228" s="55"/>
      <c r="X228" s="56"/>
      <c r="Y228" s="88"/>
      <c r="Z228" s="88"/>
      <c r="AA228" s="88"/>
      <c r="AB228" s="88"/>
    </row>
    <row r="229" spans="1:28">
      <c r="A229" s="38">
        <v>228</v>
      </c>
      <c r="B229" s="51"/>
      <c r="C229" s="40"/>
      <c r="D229" s="38"/>
      <c r="E229" s="38" t="s">
        <v>1054</v>
      </c>
      <c r="F229" s="43" t="s">
        <v>1055</v>
      </c>
      <c r="G229" s="44"/>
      <c r="H229" s="45"/>
      <c r="I229" s="38"/>
      <c r="J229" s="38">
        <f>413</f>
        <v>413</v>
      </c>
      <c r="K229" s="46">
        <v>2.6388888888888885E-3</v>
      </c>
      <c r="L229" s="47" t="s">
        <v>956</v>
      </c>
      <c r="M229" s="48"/>
      <c r="N229" s="48"/>
      <c r="O229" s="48">
        <f t="shared" si="0"/>
        <v>0</v>
      </c>
      <c r="P229" s="38"/>
      <c r="Q229" s="14" t="str">
        <f t="shared" ca="1" si="1"/>
        <v/>
      </c>
      <c r="R229" s="51"/>
      <c r="S229" s="51"/>
      <c r="T229" s="51"/>
      <c r="U229" s="40"/>
      <c r="V229" s="54"/>
      <c r="W229" s="55"/>
      <c r="X229" s="56"/>
      <c r="Y229" s="88"/>
      <c r="Z229" s="88"/>
      <c r="AA229" s="88"/>
      <c r="AB229" s="88"/>
    </row>
    <row r="230" spans="1:28">
      <c r="A230" s="38">
        <v>229</v>
      </c>
      <c r="B230" s="51"/>
      <c r="C230" s="40"/>
      <c r="D230" s="38"/>
      <c r="E230" s="38" t="s">
        <v>1056</v>
      </c>
      <c r="F230" s="43" t="s">
        <v>1057</v>
      </c>
      <c r="G230" s="44"/>
      <c r="H230" s="45"/>
      <c r="I230" s="38"/>
      <c r="J230" s="38">
        <f>11*1000</f>
        <v>11000</v>
      </c>
      <c r="K230" s="46">
        <v>3.4409722222222223E-2</v>
      </c>
      <c r="L230" s="47" t="s">
        <v>956</v>
      </c>
      <c r="M230" s="48"/>
      <c r="N230" s="48"/>
      <c r="O230" s="48">
        <f t="shared" si="0"/>
        <v>0</v>
      </c>
      <c r="P230" s="38"/>
      <c r="Q230" s="14" t="str">
        <f t="shared" ca="1" si="1"/>
        <v/>
      </c>
      <c r="R230" s="51"/>
      <c r="S230" s="51"/>
      <c r="T230" s="51"/>
      <c r="U230" s="40"/>
      <c r="V230" s="54"/>
      <c r="W230" s="55"/>
      <c r="X230" s="56"/>
      <c r="Y230" s="88"/>
      <c r="Z230" s="88"/>
      <c r="AA230" s="88"/>
      <c r="AB230" s="88"/>
    </row>
    <row r="231" spans="1:28">
      <c r="A231" s="38">
        <v>230</v>
      </c>
      <c r="B231" s="51"/>
      <c r="C231" s="40"/>
      <c r="D231" s="38"/>
      <c r="E231" s="38" t="s">
        <v>1059</v>
      </c>
      <c r="F231" s="43" t="s">
        <v>1060</v>
      </c>
      <c r="G231" s="44"/>
      <c r="H231" s="45"/>
      <c r="I231" s="38"/>
      <c r="J231" s="38">
        <f>3.9*1000</f>
        <v>3900</v>
      </c>
      <c r="K231" s="46">
        <v>1.0289351851851852E-2</v>
      </c>
      <c r="L231" s="47" t="s">
        <v>956</v>
      </c>
      <c r="M231" s="48"/>
      <c r="N231" s="48"/>
      <c r="O231" s="48">
        <f t="shared" si="0"/>
        <v>0</v>
      </c>
      <c r="P231" s="38"/>
      <c r="Q231" s="14" t="str">
        <f t="shared" ca="1" si="1"/>
        <v/>
      </c>
      <c r="R231" s="51"/>
      <c r="S231" s="51"/>
      <c r="T231" s="51"/>
      <c r="U231" s="40"/>
      <c r="V231" s="54"/>
      <c r="W231" s="55"/>
      <c r="X231" s="56"/>
      <c r="Y231" s="88"/>
      <c r="Z231" s="88"/>
      <c r="AA231" s="88"/>
      <c r="AB231" s="88"/>
    </row>
    <row r="232" spans="1:28">
      <c r="A232" s="38">
        <v>231</v>
      </c>
      <c r="B232" s="51"/>
      <c r="C232" s="40"/>
      <c r="D232" s="38"/>
      <c r="E232" s="38" t="s">
        <v>1062</v>
      </c>
      <c r="F232" s="43" t="s">
        <v>1063</v>
      </c>
      <c r="G232" s="44"/>
      <c r="H232" s="45"/>
      <c r="I232" s="38"/>
      <c r="J232" s="38">
        <f>2*1000</f>
        <v>2000</v>
      </c>
      <c r="K232" s="46">
        <v>1.136574074074074E-2</v>
      </c>
      <c r="L232" s="47" t="s">
        <v>956</v>
      </c>
      <c r="M232" s="48"/>
      <c r="N232" s="48"/>
      <c r="O232" s="48">
        <f t="shared" si="0"/>
        <v>0</v>
      </c>
      <c r="P232" s="38"/>
      <c r="Q232" s="14" t="str">
        <f t="shared" ca="1" si="1"/>
        <v/>
      </c>
      <c r="R232" s="51"/>
      <c r="S232" s="51"/>
      <c r="T232" s="51"/>
      <c r="U232" s="40"/>
      <c r="V232" s="54"/>
      <c r="W232" s="55"/>
      <c r="X232" s="56"/>
      <c r="Y232" s="88"/>
      <c r="Z232" s="88"/>
      <c r="AA232" s="88"/>
      <c r="AB232" s="88"/>
    </row>
    <row r="233" spans="1:28">
      <c r="A233" s="38">
        <v>232</v>
      </c>
      <c r="B233" s="51"/>
      <c r="C233" s="40"/>
      <c r="D233" s="38"/>
      <c r="E233" s="38" t="s">
        <v>1065</v>
      </c>
      <c r="F233" s="43" t="s">
        <v>1066</v>
      </c>
      <c r="G233" s="44"/>
      <c r="H233" s="45"/>
      <c r="I233" s="38"/>
      <c r="J233" s="38">
        <f>769</f>
        <v>769</v>
      </c>
      <c r="K233" s="46">
        <v>8.3912037037037045E-3</v>
      </c>
      <c r="L233" s="47" t="s">
        <v>956</v>
      </c>
      <c r="M233" s="48"/>
      <c r="N233" s="48"/>
      <c r="O233" s="48">
        <f t="shared" si="0"/>
        <v>0</v>
      </c>
      <c r="P233" s="38"/>
      <c r="Q233" s="14" t="str">
        <f t="shared" ca="1" si="1"/>
        <v/>
      </c>
      <c r="R233" s="51"/>
      <c r="S233" s="51"/>
      <c r="T233" s="51"/>
      <c r="U233" s="40"/>
      <c r="V233" s="54"/>
      <c r="W233" s="55"/>
      <c r="X233" s="56"/>
      <c r="Y233" s="88"/>
      <c r="Z233" s="88"/>
      <c r="AA233" s="88"/>
      <c r="AB233" s="88"/>
    </row>
    <row r="234" spans="1:28">
      <c r="A234" s="38">
        <v>233</v>
      </c>
      <c r="B234" s="51"/>
      <c r="C234" s="40"/>
      <c r="D234" s="38"/>
      <c r="E234" s="38" t="s">
        <v>1070</v>
      </c>
      <c r="F234" s="43" t="s">
        <v>1071</v>
      </c>
      <c r="G234" s="44"/>
      <c r="H234" s="45"/>
      <c r="I234" s="38"/>
      <c r="J234" s="38">
        <f>651</f>
        <v>651</v>
      </c>
      <c r="K234" s="46">
        <v>4.2361111111111106E-3</v>
      </c>
      <c r="L234" s="47" t="s">
        <v>956</v>
      </c>
      <c r="M234" s="48"/>
      <c r="N234" s="48"/>
      <c r="O234" s="48">
        <f t="shared" si="0"/>
        <v>0</v>
      </c>
      <c r="P234" s="38"/>
      <c r="Q234" s="14" t="str">
        <f t="shared" ca="1" si="1"/>
        <v/>
      </c>
      <c r="R234" s="51"/>
      <c r="S234" s="51"/>
      <c r="T234" s="51"/>
      <c r="U234" s="40"/>
      <c r="V234" s="54"/>
      <c r="W234" s="55"/>
      <c r="X234" s="56"/>
      <c r="Y234" s="88"/>
      <c r="Z234" s="88"/>
      <c r="AA234" s="88"/>
      <c r="AB234" s="88"/>
    </row>
    <row r="235" spans="1:28">
      <c r="A235" s="38">
        <v>234</v>
      </c>
      <c r="B235" s="51"/>
      <c r="C235" s="40"/>
      <c r="D235" s="38"/>
      <c r="E235" s="38" t="s">
        <v>1075</v>
      </c>
      <c r="F235" s="43" t="s">
        <v>1076</v>
      </c>
      <c r="G235" s="44"/>
      <c r="H235" s="45"/>
      <c r="I235" s="38"/>
      <c r="J235" s="38">
        <f>957</f>
        <v>957</v>
      </c>
      <c r="K235" s="46">
        <v>2.6504629629629625E-3</v>
      </c>
      <c r="L235" s="47" t="s">
        <v>956</v>
      </c>
      <c r="M235" s="48"/>
      <c r="N235" s="48"/>
      <c r="O235" s="48">
        <f t="shared" si="0"/>
        <v>0</v>
      </c>
      <c r="P235" s="38"/>
      <c r="Q235" s="14" t="str">
        <f t="shared" ca="1" si="1"/>
        <v/>
      </c>
      <c r="R235" s="51"/>
      <c r="S235" s="51"/>
      <c r="T235" s="51"/>
      <c r="U235" s="40"/>
      <c r="V235" s="54"/>
      <c r="W235" s="55"/>
      <c r="X235" s="56"/>
      <c r="Y235" s="88"/>
      <c r="Z235" s="88"/>
      <c r="AA235" s="88"/>
      <c r="AB235" s="88"/>
    </row>
    <row r="236" spans="1:28">
      <c r="A236" s="38">
        <v>235</v>
      </c>
      <c r="B236" s="51"/>
      <c r="C236" s="40"/>
      <c r="D236" s="38"/>
      <c r="E236" s="38" t="s">
        <v>1079</v>
      </c>
      <c r="F236" s="43" t="s">
        <v>1080</v>
      </c>
      <c r="G236" s="44"/>
      <c r="H236" s="45"/>
      <c r="I236" s="38"/>
      <c r="J236" s="38">
        <f>1.2*1000</f>
        <v>1200</v>
      </c>
      <c r="K236" s="46">
        <v>2.2685185185185182E-3</v>
      </c>
      <c r="L236" s="47" t="s">
        <v>956</v>
      </c>
      <c r="M236" s="48"/>
      <c r="N236" s="48"/>
      <c r="O236" s="48">
        <f t="shared" si="0"/>
        <v>0</v>
      </c>
      <c r="P236" s="38"/>
      <c r="Q236" s="14" t="str">
        <f t="shared" ca="1" si="1"/>
        <v/>
      </c>
      <c r="R236" s="51"/>
      <c r="S236" s="51"/>
      <c r="T236" s="51"/>
      <c r="U236" s="40"/>
      <c r="V236" s="54"/>
      <c r="W236" s="55"/>
      <c r="X236" s="56"/>
      <c r="Y236" s="88"/>
      <c r="Z236" s="88"/>
      <c r="AA236" s="88"/>
      <c r="AB236" s="88"/>
    </row>
    <row r="237" spans="1:28">
      <c r="A237" s="38">
        <v>236</v>
      </c>
      <c r="B237" s="51"/>
      <c r="C237" s="40"/>
      <c r="D237" s="38"/>
      <c r="E237" s="38" t="s">
        <v>1081</v>
      </c>
      <c r="F237" s="43" t="s">
        <v>1082</v>
      </c>
      <c r="G237" s="44"/>
      <c r="H237" s="45"/>
      <c r="I237" s="38"/>
      <c r="J237" s="38">
        <f>895</f>
        <v>895</v>
      </c>
      <c r="K237" s="46">
        <v>3.5532407407407405E-3</v>
      </c>
      <c r="L237" s="47" t="s">
        <v>956</v>
      </c>
      <c r="M237" s="48"/>
      <c r="N237" s="48"/>
      <c r="O237" s="48">
        <f t="shared" si="0"/>
        <v>0</v>
      </c>
      <c r="P237" s="38"/>
      <c r="Q237" s="14" t="str">
        <f t="shared" ca="1" si="1"/>
        <v/>
      </c>
      <c r="R237" s="51"/>
      <c r="S237" s="51"/>
      <c r="T237" s="51"/>
      <c r="U237" s="40"/>
      <c r="V237" s="54"/>
      <c r="W237" s="55"/>
      <c r="X237" s="56"/>
      <c r="Y237" s="88"/>
      <c r="Z237" s="88"/>
      <c r="AA237" s="88"/>
      <c r="AB237" s="88"/>
    </row>
    <row r="238" spans="1:28">
      <c r="A238" s="38">
        <v>237</v>
      </c>
      <c r="B238" s="51"/>
      <c r="C238" s="40"/>
      <c r="D238" s="38"/>
      <c r="E238" s="38" t="s">
        <v>1083</v>
      </c>
      <c r="F238" s="43" t="s">
        <v>1084</v>
      </c>
      <c r="G238" s="44"/>
      <c r="H238" s="45"/>
      <c r="I238" s="38"/>
      <c r="J238" s="38">
        <f>4.5*1000</f>
        <v>4500</v>
      </c>
      <c r="K238" s="46">
        <v>3.1932870370370368E-2</v>
      </c>
      <c r="L238" s="47" t="s">
        <v>956</v>
      </c>
      <c r="M238" s="48"/>
      <c r="N238" s="48"/>
      <c r="O238" s="48">
        <f t="shared" si="0"/>
        <v>0</v>
      </c>
      <c r="P238" s="38"/>
      <c r="Q238" s="14" t="str">
        <f t="shared" ca="1" si="1"/>
        <v/>
      </c>
      <c r="R238" s="51"/>
      <c r="S238" s="51"/>
      <c r="T238" s="51"/>
      <c r="U238" s="40"/>
      <c r="V238" s="54"/>
      <c r="W238" s="55"/>
      <c r="X238" s="56"/>
      <c r="Y238" s="88"/>
      <c r="Z238" s="88"/>
      <c r="AA238" s="88"/>
      <c r="AB238" s="88"/>
    </row>
    <row r="239" spans="1:28">
      <c r="A239" s="38">
        <v>238</v>
      </c>
      <c r="B239" s="51"/>
      <c r="C239" s="40"/>
      <c r="D239" s="38"/>
      <c r="E239" s="38" t="s">
        <v>1087</v>
      </c>
      <c r="F239" s="43" t="s">
        <v>1088</v>
      </c>
      <c r="G239" s="44"/>
      <c r="H239" s="45"/>
      <c r="I239" s="38"/>
      <c r="J239" s="38">
        <f>1.6*1000</f>
        <v>1600</v>
      </c>
      <c r="K239" s="46">
        <v>2.627314814814815E-3</v>
      </c>
      <c r="L239" s="47" t="s">
        <v>956</v>
      </c>
      <c r="M239" s="48"/>
      <c r="N239" s="48"/>
      <c r="O239" s="48">
        <f t="shared" si="0"/>
        <v>0</v>
      </c>
      <c r="P239" s="38"/>
      <c r="Q239" s="14" t="str">
        <f t="shared" ca="1" si="1"/>
        <v/>
      </c>
      <c r="R239" s="51"/>
      <c r="S239" s="51"/>
      <c r="T239" s="51"/>
      <c r="U239" s="40"/>
      <c r="V239" s="54"/>
      <c r="W239" s="55"/>
      <c r="X239" s="56"/>
      <c r="Y239" s="88"/>
      <c r="Z239" s="88"/>
      <c r="AA239" s="88"/>
      <c r="AB239" s="88"/>
    </row>
    <row r="240" spans="1:28">
      <c r="A240" s="38">
        <v>239</v>
      </c>
      <c r="B240" s="51"/>
      <c r="C240" s="40"/>
      <c r="D240" s="38"/>
      <c r="E240" s="38" t="s">
        <v>1092</v>
      </c>
      <c r="F240" s="43" t="s">
        <v>1093</v>
      </c>
      <c r="G240" s="44"/>
      <c r="H240" s="45"/>
      <c r="I240" s="38"/>
      <c r="J240" s="38">
        <f>825</f>
        <v>825</v>
      </c>
      <c r="K240" s="46">
        <v>2.2222222222222222E-3</v>
      </c>
      <c r="L240" s="47" t="s">
        <v>956</v>
      </c>
      <c r="M240" s="48"/>
      <c r="N240" s="48"/>
      <c r="O240" s="48">
        <f t="shared" si="0"/>
        <v>0</v>
      </c>
      <c r="P240" s="38"/>
      <c r="Q240" s="14" t="str">
        <f t="shared" ca="1" si="1"/>
        <v/>
      </c>
      <c r="R240" s="51"/>
      <c r="S240" s="51"/>
      <c r="T240" s="51"/>
      <c r="U240" s="40"/>
      <c r="V240" s="54"/>
      <c r="W240" s="55"/>
      <c r="X240" s="56"/>
      <c r="Y240" s="88"/>
      <c r="Z240" s="88"/>
      <c r="AA240" s="88"/>
      <c r="AB240" s="88"/>
    </row>
    <row r="241" spans="1:28">
      <c r="A241" s="38">
        <v>240</v>
      </c>
      <c r="B241" s="51"/>
      <c r="C241" s="40"/>
      <c r="D241" s="38"/>
      <c r="E241" s="38" t="s">
        <v>1097</v>
      </c>
      <c r="F241" s="43" t="s">
        <v>1098</v>
      </c>
      <c r="G241" s="44"/>
      <c r="H241" s="45"/>
      <c r="I241" s="38"/>
      <c r="J241" s="38">
        <f>9.9*1000</f>
        <v>9900</v>
      </c>
      <c r="K241" s="46">
        <v>2.1689814814814815E-2</v>
      </c>
      <c r="L241" s="47" t="s">
        <v>956</v>
      </c>
      <c r="M241" s="48"/>
      <c r="N241" s="48"/>
      <c r="O241" s="48">
        <f t="shared" si="0"/>
        <v>0</v>
      </c>
      <c r="P241" s="38"/>
      <c r="Q241" s="14" t="str">
        <f t="shared" ca="1" si="1"/>
        <v/>
      </c>
      <c r="R241" s="51"/>
      <c r="S241" s="51"/>
      <c r="T241" s="51"/>
      <c r="U241" s="40"/>
      <c r="V241" s="54"/>
      <c r="W241" s="55"/>
      <c r="X241" s="56"/>
      <c r="Y241" s="88"/>
      <c r="Z241" s="88"/>
      <c r="AA241" s="88"/>
      <c r="AB241" s="88"/>
    </row>
    <row r="242" spans="1:28">
      <c r="A242" s="38">
        <v>241</v>
      </c>
      <c r="B242" s="51"/>
      <c r="C242" s="40"/>
      <c r="D242" s="38"/>
      <c r="E242" s="38" t="s">
        <v>1101</v>
      </c>
      <c r="F242" s="43" t="s">
        <v>1102</v>
      </c>
      <c r="G242" s="44"/>
      <c r="H242" s="45"/>
      <c r="I242" s="38"/>
      <c r="J242" s="38">
        <f>906</f>
        <v>906</v>
      </c>
      <c r="K242" s="46">
        <v>1.3310185185185185E-3</v>
      </c>
      <c r="L242" s="47" t="s">
        <v>956</v>
      </c>
      <c r="M242" s="48"/>
      <c r="N242" s="48"/>
      <c r="O242" s="48">
        <f t="shared" si="0"/>
        <v>0</v>
      </c>
      <c r="P242" s="38"/>
      <c r="Q242" s="14" t="str">
        <f t="shared" ca="1" si="1"/>
        <v/>
      </c>
      <c r="R242" s="51"/>
      <c r="S242" s="51"/>
      <c r="T242" s="51"/>
      <c r="U242" s="40"/>
      <c r="V242" s="54"/>
      <c r="W242" s="55"/>
      <c r="X242" s="56"/>
      <c r="Y242" s="88"/>
      <c r="Z242" s="88"/>
      <c r="AA242" s="88"/>
      <c r="AB242" s="88"/>
    </row>
    <row r="243" spans="1:28">
      <c r="A243" s="38">
        <v>242</v>
      </c>
      <c r="B243" s="51"/>
      <c r="C243" s="40"/>
      <c r="D243" s="38"/>
      <c r="E243" s="38" t="s">
        <v>1104</v>
      </c>
      <c r="F243" s="43" t="s">
        <v>1105</v>
      </c>
      <c r="G243" s="44"/>
      <c r="H243" s="45"/>
      <c r="I243" s="38"/>
      <c r="J243" s="38">
        <f>861</f>
        <v>861</v>
      </c>
      <c r="K243" s="46">
        <v>1.4699074074074074E-3</v>
      </c>
      <c r="L243" s="47" t="s">
        <v>956</v>
      </c>
      <c r="M243" s="48"/>
      <c r="N243" s="48"/>
      <c r="O243" s="48">
        <f t="shared" si="0"/>
        <v>0</v>
      </c>
      <c r="P243" s="38"/>
      <c r="Q243" s="14" t="str">
        <f t="shared" ca="1" si="1"/>
        <v/>
      </c>
      <c r="R243" s="51"/>
      <c r="S243" s="51"/>
      <c r="T243" s="51"/>
      <c r="U243" s="40"/>
      <c r="V243" s="54"/>
      <c r="W243" s="55"/>
      <c r="X243" s="56"/>
      <c r="Y243" s="88"/>
      <c r="Z243" s="88"/>
      <c r="AA243" s="88"/>
      <c r="AB243" s="88"/>
    </row>
    <row r="244" spans="1:28">
      <c r="A244" s="38">
        <v>243</v>
      </c>
      <c r="B244" s="51"/>
      <c r="C244" s="40"/>
      <c r="D244" s="38"/>
      <c r="E244" s="38" t="s">
        <v>1108</v>
      </c>
      <c r="F244" s="43" t="s">
        <v>1109</v>
      </c>
      <c r="G244" s="44"/>
      <c r="H244" s="45"/>
      <c r="I244" s="38"/>
      <c r="J244" s="38">
        <f>1.2*1000</f>
        <v>1200</v>
      </c>
      <c r="K244" s="46">
        <v>2.8009259259259259E-3</v>
      </c>
      <c r="L244" s="47" t="s">
        <v>956</v>
      </c>
      <c r="M244" s="48"/>
      <c r="N244" s="48"/>
      <c r="O244" s="48">
        <f t="shared" si="0"/>
        <v>0</v>
      </c>
      <c r="P244" s="38"/>
      <c r="Q244" s="14" t="str">
        <f t="shared" ca="1" si="1"/>
        <v/>
      </c>
      <c r="R244" s="51"/>
      <c r="S244" s="51"/>
      <c r="T244" s="51"/>
      <c r="U244" s="40"/>
      <c r="V244" s="54"/>
      <c r="W244" s="55"/>
      <c r="X244" s="56"/>
      <c r="Y244" s="88"/>
      <c r="Z244" s="88"/>
      <c r="AA244" s="88"/>
      <c r="AB244" s="88"/>
    </row>
    <row r="245" spans="1:28">
      <c r="A245" s="38">
        <v>244</v>
      </c>
      <c r="B245" s="51"/>
      <c r="C245" s="40"/>
      <c r="D245" s="38"/>
      <c r="E245" s="38" t="s">
        <v>1111</v>
      </c>
      <c r="F245" s="43" t="s">
        <v>1113</v>
      </c>
      <c r="G245" s="44"/>
      <c r="H245" s="45"/>
      <c r="I245" s="38"/>
      <c r="J245" s="38">
        <f>4*1000</f>
        <v>4000</v>
      </c>
      <c r="K245" s="46">
        <v>7.1874999999999994E-3</v>
      </c>
      <c r="L245" s="47" t="s">
        <v>956</v>
      </c>
      <c r="M245" s="48"/>
      <c r="N245" s="48"/>
      <c r="O245" s="48">
        <f t="shared" si="0"/>
        <v>0</v>
      </c>
      <c r="P245" s="38"/>
      <c r="Q245" s="14" t="str">
        <f t="shared" ca="1" si="1"/>
        <v/>
      </c>
      <c r="R245" s="51"/>
      <c r="S245" s="51"/>
      <c r="T245" s="51"/>
      <c r="U245" s="40"/>
      <c r="V245" s="54"/>
      <c r="W245" s="55"/>
      <c r="X245" s="56"/>
      <c r="Y245" s="88"/>
      <c r="Z245" s="88"/>
      <c r="AA245" s="88"/>
      <c r="AB245" s="88"/>
    </row>
    <row r="246" spans="1:28">
      <c r="A246" s="38">
        <v>245</v>
      </c>
      <c r="B246" s="39" t="s">
        <v>596</v>
      </c>
      <c r="C246" s="40"/>
      <c r="D246" s="42" t="s">
        <v>139</v>
      </c>
      <c r="E246" s="38" t="s">
        <v>1117</v>
      </c>
      <c r="F246" s="43" t="s">
        <v>1118</v>
      </c>
      <c r="G246" s="44"/>
      <c r="H246" s="45"/>
      <c r="I246" s="38"/>
      <c r="J246" s="38">
        <f>11*1000</f>
        <v>11000</v>
      </c>
      <c r="K246" s="46">
        <v>3.3321759259259259E-2</v>
      </c>
      <c r="L246" s="47" t="s">
        <v>956</v>
      </c>
      <c r="M246" s="48"/>
      <c r="N246" s="48"/>
      <c r="O246" s="48">
        <f t="shared" si="0"/>
        <v>0</v>
      </c>
      <c r="P246" s="38"/>
      <c r="Q246" s="14" t="str">
        <f t="shared" ca="1" si="1"/>
        <v/>
      </c>
      <c r="R246" s="51"/>
      <c r="S246" s="51"/>
      <c r="T246" s="51"/>
      <c r="U246" s="40"/>
      <c r="V246" s="54"/>
      <c r="W246" s="55"/>
      <c r="X246" s="56"/>
      <c r="Y246" s="88"/>
      <c r="Z246" s="88"/>
      <c r="AA246" s="88"/>
      <c r="AB246" s="88"/>
    </row>
    <row r="247" spans="1:28">
      <c r="A247" s="38">
        <v>246</v>
      </c>
      <c r="B247" s="51"/>
      <c r="C247" s="40"/>
      <c r="D247" s="38"/>
      <c r="E247" s="38" t="s">
        <v>1119</v>
      </c>
      <c r="F247" s="43" t="s">
        <v>1120</v>
      </c>
      <c r="G247" s="44"/>
      <c r="H247" s="45"/>
      <c r="I247" s="38"/>
      <c r="J247" s="38">
        <f>2.4*1000</f>
        <v>2400</v>
      </c>
      <c r="K247" s="46">
        <v>3.6226851851851854E-3</v>
      </c>
      <c r="L247" s="47" t="s">
        <v>956</v>
      </c>
      <c r="M247" s="48"/>
      <c r="N247" s="48"/>
      <c r="O247" s="48">
        <f t="shared" si="0"/>
        <v>0</v>
      </c>
      <c r="P247" s="38"/>
      <c r="Q247" s="14" t="str">
        <f t="shared" ca="1" si="1"/>
        <v/>
      </c>
      <c r="R247" s="51"/>
      <c r="S247" s="51"/>
      <c r="T247" s="51"/>
      <c r="U247" s="40"/>
      <c r="V247" s="54"/>
      <c r="W247" s="55"/>
      <c r="X247" s="56"/>
      <c r="Y247" s="88"/>
      <c r="Z247" s="88"/>
      <c r="AA247" s="88"/>
      <c r="AB247" s="88"/>
    </row>
    <row r="248" spans="1:28">
      <c r="A248" s="38">
        <v>247</v>
      </c>
      <c r="B248" s="51"/>
      <c r="C248" s="40"/>
      <c r="D248" s="38"/>
      <c r="E248" s="38" t="s">
        <v>1122</v>
      </c>
      <c r="F248" s="43" t="s">
        <v>1124</v>
      </c>
      <c r="G248" s="44"/>
      <c r="H248" s="45"/>
      <c r="I248" s="38"/>
      <c r="J248" s="38">
        <f>329</f>
        <v>329</v>
      </c>
      <c r="K248" s="46">
        <v>1.7592592592592592E-3</v>
      </c>
      <c r="L248" s="47" t="s">
        <v>956</v>
      </c>
      <c r="M248" s="48"/>
      <c r="N248" s="48"/>
      <c r="O248" s="48">
        <f t="shared" si="0"/>
        <v>0</v>
      </c>
      <c r="P248" s="38"/>
      <c r="Q248" s="14" t="str">
        <f t="shared" ca="1" si="1"/>
        <v/>
      </c>
      <c r="R248" s="51"/>
      <c r="S248" s="51"/>
      <c r="T248" s="51"/>
      <c r="U248" s="40"/>
      <c r="V248" s="54"/>
      <c r="W248" s="55"/>
      <c r="X248" s="56"/>
      <c r="Y248" s="88"/>
      <c r="Z248" s="88"/>
      <c r="AA248" s="88"/>
      <c r="AB248" s="88"/>
    </row>
    <row r="249" spans="1:28">
      <c r="A249" s="38">
        <v>248</v>
      </c>
      <c r="B249" s="51"/>
      <c r="C249" s="40"/>
      <c r="D249" s="38"/>
      <c r="E249" s="38" t="s">
        <v>1126</v>
      </c>
      <c r="F249" s="43" t="s">
        <v>1127</v>
      </c>
      <c r="G249" s="44"/>
      <c r="H249" s="45"/>
      <c r="I249" s="38"/>
      <c r="J249" s="38">
        <f>6.2*1000</f>
        <v>6200</v>
      </c>
      <c r="K249" s="46">
        <v>2.4016203703703706E-2</v>
      </c>
      <c r="L249" s="47" t="s">
        <v>956</v>
      </c>
      <c r="M249" s="48"/>
      <c r="N249" s="48"/>
      <c r="O249" s="48">
        <f t="shared" si="0"/>
        <v>0</v>
      </c>
      <c r="P249" s="38"/>
      <c r="Q249" s="14" t="str">
        <f t="shared" ca="1" si="1"/>
        <v/>
      </c>
      <c r="R249" s="51"/>
      <c r="S249" s="51"/>
      <c r="T249" s="51"/>
      <c r="U249" s="40"/>
      <c r="V249" s="54"/>
      <c r="W249" s="55"/>
      <c r="X249" s="56"/>
      <c r="Y249" s="88"/>
      <c r="Z249" s="88"/>
      <c r="AA249" s="88"/>
      <c r="AB249" s="88"/>
    </row>
    <row r="250" spans="1:28">
      <c r="A250" s="38">
        <v>249</v>
      </c>
      <c r="B250" s="51"/>
      <c r="C250" s="40"/>
      <c r="D250" s="38"/>
      <c r="E250" s="38" t="s">
        <v>1130</v>
      </c>
      <c r="F250" s="43" t="s">
        <v>1131</v>
      </c>
      <c r="G250" s="44"/>
      <c r="H250" s="45"/>
      <c r="I250" s="38"/>
      <c r="J250" s="38">
        <f>8.7*1000</f>
        <v>8700</v>
      </c>
      <c r="K250" s="46">
        <v>2.3807870370370368E-2</v>
      </c>
      <c r="L250" s="47" t="s">
        <v>956</v>
      </c>
      <c r="M250" s="48"/>
      <c r="N250" s="48"/>
      <c r="O250" s="48">
        <f t="shared" si="0"/>
        <v>0</v>
      </c>
      <c r="P250" s="38"/>
      <c r="Q250" s="14" t="str">
        <f t="shared" ca="1" si="1"/>
        <v/>
      </c>
      <c r="R250" s="51"/>
      <c r="S250" s="51"/>
      <c r="T250" s="51"/>
      <c r="U250" s="40"/>
      <c r="V250" s="54"/>
      <c r="W250" s="55"/>
      <c r="X250" s="56"/>
      <c r="Y250" s="88"/>
      <c r="Z250" s="88"/>
      <c r="AA250" s="88"/>
      <c r="AB250" s="88"/>
    </row>
    <row r="251" spans="1:28">
      <c r="A251" s="38">
        <v>250</v>
      </c>
      <c r="B251" s="51"/>
      <c r="C251" s="40"/>
      <c r="D251" s="38"/>
      <c r="E251" s="38" t="s">
        <v>1135</v>
      </c>
      <c r="F251" s="43" t="s">
        <v>1136</v>
      </c>
      <c r="G251" s="44"/>
      <c r="H251" s="45"/>
      <c r="I251" s="38"/>
      <c r="J251" s="38">
        <f>31*1000</f>
        <v>31000</v>
      </c>
      <c r="K251" s="46">
        <v>3.9756944444444449E-2</v>
      </c>
      <c r="L251" s="47" t="s">
        <v>1139</v>
      </c>
      <c r="M251" s="48"/>
      <c r="N251" s="48"/>
      <c r="O251" s="48">
        <f t="shared" si="0"/>
        <v>0</v>
      </c>
      <c r="P251" s="38"/>
      <c r="Q251" s="14" t="str">
        <f t="shared" ca="1" si="1"/>
        <v/>
      </c>
      <c r="R251" s="51"/>
      <c r="S251" s="51"/>
      <c r="T251" s="51"/>
      <c r="U251" s="40"/>
      <c r="V251" s="54"/>
      <c r="W251" s="55"/>
      <c r="X251" s="56"/>
      <c r="Y251" s="88"/>
      <c r="Z251" s="88"/>
      <c r="AA251" s="88"/>
      <c r="AB251" s="88"/>
    </row>
    <row r="252" spans="1:28">
      <c r="A252" s="38">
        <v>251</v>
      </c>
      <c r="B252" s="51"/>
      <c r="C252" s="40"/>
      <c r="D252" s="38"/>
      <c r="E252" s="38" t="s">
        <v>1140</v>
      </c>
      <c r="F252" s="43" t="s">
        <v>1141</v>
      </c>
      <c r="G252" s="44"/>
      <c r="H252" s="45"/>
      <c r="I252" s="38"/>
      <c r="J252" s="38">
        <f>20*1000</f>
        <v>20000</v>
      </c>
      <c r="K252" s="46">
        <v>7.3252314814814812E-2</v>
      </c>
      <c r="L252" s="47" t="s">
        <v>1139</v>
      </c>
      <c r="M252" s="48"/>
      <c r="N252" s="48"/>
      <c r="O252" s="48">
        <f t="shared" si="0"/>
        <v>0</v>
      </c>
      <c r="P252" s="38"/>
      <c r="Q252" s="14" t="str">
        <f t="shared" ca="1" si="1"/>
        <v/>
      </c>
      <c r="R252" s="51"/>
      <c r="S252" s="51"/>
      <c r="T252" s="51"/>
      <c r="U252" s="40"/>
      <c r="V252" s="54"/>
      <c r="W252" s="55"/>
      <c r="X252" s="56"/>
      <c r="Y252" s="88"/>
      <c r="Z252" s="88"/>
      <c r="AA252" s="88"/>
      <c r="AB252" s="88"/>
    </row>
    <row r="253" spans="1:28">
      <c r="A253" s="38">
        <v>252</v>
      </c>
      <c r="B253" s="51"/>
      <c r="C253" s="40"/>
      <c r="D253" s="38"/>
      <c r="E253" s="38" t="s">
        <v>1144</v>
      </c>
      <c r="F253" s="43" t="s">
        <v>1145</v>
      </c>
      <c r="G253" s="44"/>
      <c r="H253" s="45"/>
      <c r="I253" s="38"/>
      <c r="J253" s="38">
        <f>7.9*1000</f>
        <v>7900</v>
      </c>
      <c r="K253" s="46">
        <v>2.2789351851851852E-2</v>
      </c>
      <c r="L253" s="47" t="s">
        <v>1139</v>
      </c>
      <c r="M253" s="48"/>
      <c r="N253" s="48"/>
      <c r="O253" s="48">
        <f t="shared" si="0"/>
        <v>0</v>
      </c>
      <c r="P253" s="38"/>
      <c r="Q253" s="14" t="str">
        <f t="shared" ca="1" si="1"/>
        <v/>
      </c>
      <c r="R253" s="51"/>
      <c r="S253" s="51"/>
      <c r="T253" s="51"/>
      <c r="U253" s="40"/>
      <c r="V253" s="54"/>
      <c r="W253" s="55"/>
      <c r="X253" s="56"/>
      <c r="Y253" s="88"/>
      <c r="Z253" s="88"/>
      <c r="AA253" s="88"/>
      <c r="AB253" s="88"/>
    </row>
    <row r="254" spans="1:28">
      <c r="A254" s="38">
        <v>253</v>
      </c>
      <c r="B254" s="51"/>
      <c r="C254" s="40"/>
      <c r="D254" s="38"/>
      <c r="E254" s="38" t="s">
        <v>1148</v>
      </c>
      <c r="F254" s="43" t="s">
        <v>1149</v>
      </c>
      <c r="G254" s="44"/>
      <c r="H254" s="45"/>
      <c r="I254" s="38"/>
      <c r="J254" s="38">
        <f>2*1000</f>
        <v>2000</v>
      </c>
      <c r="K254" s="46">
        <v>7.0717592592592594E-3</v>
      </c>
      <c r="L254" s="47" t="s">
        <v>1139</v>
      </c>
      <c r="M254" s="48"/>
      <c r="N254" s="48"/>
      <c r="O254" s="48">
        <f t="shared" si="0"/>
        <v>0</v>
      </c>
      <c r="P254" s="38"/>
      <c r="Q254" s="14" t="str">
        <f t="shared" ca="1" si="1"/>
        <v/>
      </c>
      <c r="R254" s="51"/>
      <c r="S254" s="51"/>
      <c r="T254" s="51"/>
      <c r="U254" s="40"/>
      <c r="V254" s="54"/>
      <c r="W254" s="55"/>
      <c r="X254" s="56"/>
      <c r="Y254" s="88"/>
      <c r="Z254" s="88"/>
      <c r="AA254" s="88"/>
      <c r="AB254" s="88"/>
    </row>
    <row r="255" spans="1:28">
      <c r="A255" s="38">
        <v>254</v>
      </c>
      <c r="B255" s="51"/>
      <c r="C255" s="40"/>
      <c r="D255" s="38"/>
      <c r="E255" s="38" t="s">
        <v>1152</v>
      </c>
      <c r="F255" s="43" t="s">
        <v>1153</v>
      </c>
      <c r="G255" s="44"/>
      <c r="H255" s="45"/>
      <c r="I255" s="38"/>
      <c r="J255" s="38">
        <f>1.5*1000</f>
        <v>1500</v>
      </c>
      <c r="K255" s="46">
        <v>5.0578703703703706E-3</v>
      </c>
      <c r="L255" s="47" t="s">
        <v>1139</v>
      </c>
      <c r="M255" s="48"/>
      <c r="N255" s="48"/>
      <c r="O255" s="48">
        <f t="shared" si="0"/>
        <v>0</v>
      </c>
      <c r="P255" s="38"/>
      <c r="Q255" s="14" t="str">
        <f t="shared" ca="1" si="1"/>
        <v/>
      </c>
      <c r="R255" s="51"/>
      <c r="S255" s="51"/>
      <c r="T255" s="51"/>
      <c r="U255" s="40"/>
      <c r="V255" s="54"/>
      <c r="W255" s="55"/>
      <c r="X255" s="56"/>
      <c r="Y255" s="88"/>
      <c r="Z255" s="88"/>
      <c r="AA255" s="88"/>
      <c r="AB255" s="88"/>
    </row>
    <row r="256" spans="1:28">
      <c r="A256" s="38">
        <v>255</v>
      </c>
      <c r="B256" s="51"/>
      <c r="C256" s="40"/>
      <c r="D256" s="38"/>
      <c r="E256" s="38" t="s">
        <v>1156</v>
      </c>
      <c r="F256" s="43" t="s">
        <v>1157</v>
      </c>
      <c r="G256" s="44"/>
      <c r="H256" s="45"/>
      <c r="I256" s="38"/>
      <c r="J256" s="38">
        <f>2.3*1000</f>
        <v>2300</v>
      </c>
      <c r="K256" s="46">
        <v>0.02</v>
      </c>
      <c r="L256" s="47" t="s">
        <v>1139</v>
      </c>
      <c r="M256" s="48"/>
      <c r="N256" s="48"/>
      <c r="O256" s="48">
        <f t="shared" si="0"/>
        <v>0</v>
      </c>
      <c r="P256" s="38"/>
      <c r="Q256" s="14" t="str">
        <f t="shared" ca="1" si="1"/>
        <v/>
      </c>
      <c r="R256" s="51"/>
      <c r="S256" s="51"/>
      <c r="T256" s="51"/>
      <c r="U256" s="40"/>
      <c r="V256" s="54"/>
      <c r="W256" s="55"/>
      <c r="X256" s="56"/>
      <c r="Y256" s="88"/>
      <c r="Z256" s="88"/>
      <c r="AA256" s="88"/>
      <c r="AB256" s="88"/>
    </row>
    <row r="257" spans="1:28">
      <c r="A257" s="38">
        <v>256</v>
      </c>
      <c r="B257" s="51"/>
      <c r="C257" s="40"/>
      <c r="D257" s="38"/>
      <c r="E257" s="38" t="s">
        <v>1160</v>
      </c>
      <c r="F257" s="43" t="s">
        <v>1161</v>
      </c>
      <c r="G257" s="44"/>
      <c r="H257" s="45"/>
      <c r="I257" s="38"/>
      <c r="J257" s="38">
        <f>3.8*1000</f>
        <v>3800</v>
      </c>
      <c r="K257" s="46">
        <v>2.2337962962962967E-3</v>
      </c>
      <c r="L257" s="47" t="s">
        <v>1139</v>
      </c>
      <c r="M257" s="48"/>
      <c r="N257" s="48"/>
      <c r="O257" s="48">
        <f t="shared" si="0"/>
        <v>0</v>
      </c>
      <c r="P257" s="38"/>
      <c r="Q257" s="14" t="str">
        <f t="shared" ca="1" si="1"/>
        <v/>
      </c>
      <c r="R257" s="51"/>
      <c r="S257" s="51"/>
      <c r="T257" s="51"/>
      <c r="U257" s="40"/>
      <c r="V257" s="54"/>
      <c r="W257" s="55"/>
      <c r="X257" s="56"/>
      <c r="Y257" s="88"/>
      <c r="Z257" s="88"/>
      <c r="AA257" s="88"/>
      <c r="AB257" s="88"/>
    </row>
    <row r="258" spans="1:28">
      <c r="A258" s="38">
        <v>257</v>
      </c>
      <c r="B258" s="51"/>
      <c r="C258" s="40"/>
      <c r="D258" s="38"/>
      <c r="E258" s="38" t="s">
        <v>1164</v>
      </c>
      <c r="F258" s="43" t="s">
        <v>1165</v>
      </c>
      <c r="G258" s="44"/>
      <c r="H258" s="45"/>
      <c r="I258" s="38"/>
      <c r="J258" s="38">
        <f>1.4*1000</f>
        <v>1400</v>
      </c>
      <c r="K258" s="46">
        <v>1.9456018518518518E-2</v>
      </c>
      <c r="L258" s="47" t="s">
        <v>1139</v>
      </c>
      <c r="M258" s="48"/>
      <c r="N258" s="48"/>
      <c r="O258" s="48">
        <f t="shared" si="0"/>
        <v>0</v>
      </c>
      <c r="P258" s="38"/>
      <c r="Q258" s="14" t="str">
        <f t="shared" ca="1" si="1"/>
        <v/>
      </c>
      <c r="R258" s="51"/>
      <c r="S258" s="51"/>
      <c r="T258" s="51"/>
      <c r="U258" s="40"/>
      <c r="V258" s="54"/>
      <c r="W258" s="55"/>
      <c r="X258" s="56"/>
      <c r="Y258" s="88"/>
      <c r="Z258" s="88"/>
      <c r="AA258" s="88"/>
      <c r="AB258" s="88"/>
    </row>
    <row r="259" spans="1:28">
      <c r="A259" s="38">
        <v>258</v>
      </c>
      <c r="B259" s="39"/>
      <c r="C259" s="40"/>
      <c r="D259" s="38"/>
      <c r="E259" s="38" t="s">
        <v>1168</v>
      </c>
      <c r="F259" s="43" t="s">
        <v>1169</v>
      </c>
      <c r="G259" s="44"/>
      <c r="H259" s="45"/>
      <c r="I259" s="38"/>
      <c r="J259" s="38">
        <f>6.9*1000</f>
        <v>6900</v>
      </c>
      <c r="K259" s="46">
        <v>9.2592592592592605E-3</v>
      </c>
      <c r="L259" s="47" t="s">
        <v>1139</v>
      </c>
      <c r="M259" s="48"/>
      <c r="N259" s="48"/>
      <c r="O259" s="48">
        <f t="shared" si="0"/>
        <v>0</v>
      </c>
      <c r="P259" s="38"/>
      <c r="Q259" s="14" t="str">
        <f t="shared" ca="1" si="1"/>
        <v/>
      </c>
      <c r="R259" s="51"/>
      <c r="S259" s="51"/>
      <c r="T259" s="51"/>
      <c r="U259" s="40"/>
      <c r="V259" s="54"/>
      <c r="W259" s="55"/>
      <c r="X259" s="56"/>
      <c r="Y259" s="88"/>
      <c r="Z259" s="88"/>
      <c r="AA259" s="88"/>
      <c r="AB259" s="88"/>
    </row>
    <row r="260" spans="1:28">
      <c r="A260" s="38">
        <v>259</v>
      </c>
      <c r="B260" s="51"/>
      <c r="C260" s="40"/>
      <c r="D260" s="38"/>
      <c r="E260" s="38" t="s">
        <v>1172</v>
      </c>
      <c r="F260" s="43" t="s">
        <v>1173</v>
      </c>
      <c r="G260" s="44"/>
      <c r="H260" s="45"/>
      <c r="I260" s="38"/>
      <c r="J260" s="38">
        <f>29*1000</f>
        <v>29000</v>
      </c>
      <c r="K260" s="46">
        <v>8.8541666666666664E-3</v>
      </c>
      <c r="L260" s="47" t="s">
        <v>1139</v>
      </c>
      <c r="M260" s="48"/>
      <c r="N260" s="48"/>
      <c r="O260" s="48">
        <f t="shared" si="0"/>
        <v>0</v>
      </c>
      <c r="P260" s="38"/>
      <c r="Q260" s="14" t="str">
        <f t="shared" ca="1" si="1"/>
        <v/>
      </c>
      <c r="R260" s="51"/>
      <c r="S260" s="51"/>
      <c r="T260" s="51"/>
      <c r="U260" s="40"/>
      <c r="V260" s="54"/>
      <c r="W260" s="55"/>
      <c r="X260" s="56"/>
      <c r="Y260" s="88"/>
      <c r="Z260" s="88"/>
      <c r="AA260" s="88"/>
      <c r="AB260" s="88"/>
    </row>
    <row r="261" spans="1:28">
      <c r="A261" s="38">
        <v>260</v>
      </c>
      <c r="B261" s="51"/>
      <c r="C261" s="40"/>
      <c r="D261" s="38"/>
      <c r="E261" s="38" t="s">
        <v>1174</v>
      </c>
      <c r="F261" s="43" t="s">
        <v>1175</v>
      </c>
      <c r="G261" s="44"/>
      <c r="H261" s="45"/>
      <c r="I261" s="38"/>
      <c r="J261" s="38">
        <f>2.6*1000</f>
        <v>2600</v>
      </c>
      <c r="K261" s="46">
        <v>3.9236111111111112E-3</v>
      </c>
      <c r="L261" s="47" t="s">
        <v>1139</v>
      </c>
      <c r="M261" s="48"/>
      <c r="N261" s="48"/>
      <c r="O261" s="48">
        <f t="shared" si="0"/>
        <v>0</v>
      </c>
      <c r="P261" s="38"/>
      <c r="Q261" s="14" t="str">
        <f t="shared" ca="1" si="1"/>
        <v/>
      </c>
      <c r="R261" s="51"/>
      <c r="S261" s="51"/>
      <c r="T261" s="51"/>
      <c r="U261" s="40"/>
      <c r="V261" s="54"/>
      <c r="W261" s="55"/>
      <c r="X261" s="56"/>
      <c r="Y261" s="88"/>
      <c r="Z261" s="88"/>
      <c r="AA261" s="88"/>
      <c r="AB261" s="88"/>
    </row>
    <row r="262" spans="1:28">
      <c r="A262" s="38">
        <v>261</v>
      </c>
      <c r="B262" s="51"/>
      <c r="C262" s="40"/>
      <c r="D262" s="38"/>
      <c r="E262" s="38" t="s">
        <v>1178</v>
      </c>
      <c r="F262" s="43" t="s">
        <v>1179</v>
      </c>
      <c r="G262" s="44"/>
      <c r="H262" s="45"/>
      <c r="I262" s="38"/>
      <c r="J262" s="38">
        <f>1*1000</f>
        <v>1000</v>
      </c>
      <c r="K262" s="46">
        <v>3.1249999999999997E-3</v>
      </c>
      <c r="L262" s="47" t="s">
        <v>1139</v>
      </c>
      <c r="M262" s="48"/>
      <c r="N262" s="48"/>
      <c r="O262" s="48">
        <f t="shared" si="0"/>
        <v>0</v>
      </c>
      <c r="P262" s="38"/>
      <c r="Q262" s="14" t="str">
        <f t="shared" ca="1" si="1"/>
        <v/>
      </c>
      <c r="R262" s="51"/>
      <c r="S262" s="51"/>
      <c r="T262" s="51"/>
      <c r="U262" s="40"/>
      <c r="V262" s="54"/>
      <c r="W262" s="55"/>
      <c r="X262" s="56"/>
      <c r="Y262" s="88"/>
      <c r="Z262" s="88"/>
      <c r="AA262" s="88"/>
      <c r="AB262" s="88"/>
    </row>
    <row r="263" spans="1:28">
      <c r="A263" s="38">
        <v>262</v>
      </c>
      <c r="B263" s="51"/>
      <c r="C263" s="40"/>
      <c r="D263" s="38"/>
      <c r="E263" s="38" t="s">
        <v>1182</v>
      </c>
      <c r="F263" s="43" t="s">
        <v>1183</v>
      </c>
      <c r="G263" s="44"/>
      <c r="H263" s="45"/>
      <c r="I263" s="38"/>
      <c r="J263" s="38">
        <f>5*1000</f>
        <v>5000</v>
      </c>
      <c r="K263" s="46">
        <v>1.7476851851851851E-2</v>
      </c>
      <c r="L263" s="47" t="s">
        <v>1139</v>
      </c>
      <c r="M263" s="48"/>
      <c r="N263" s="48"/>
      <c r="O263" s="48">
        <f t="shared" si="0"/>
        <v>0</v>
      </c>
      <c r="P263" s="38"/>
      <c r="Q263" s="14" t="str">
        <f t="shared" ca="1" si="1"/>
        <v/>
      </c>
      <c r="R263" s="51"/>
      <c r="S263" s="51"/>
      <c r="T263" s="51"/>
      <c r="U263" s="40"/>
      <c r="V263" s="54"/>
      <c r="W263" s="55"/>
      <c r="X263" s="56"/>
      <c r="Y263" s="88"/>
      <c r="Z263" s="88"/>
      <c r="AA263" s="88"/>
      <c r="AB263" s="88"/>
    </row>
    <row r="264" spans="1:28">
      <c r="A264" s="38">
        <v>263</v>
      </c>
      <c r="B264" s="51"/>
      <c r="C264" s="40"/>
      <c r="D264" s="38"/>
      <c r="E264" s="38" t="s">
        <v>1186</v>
      </c>
      <c r="F264" s="43" t="s">
        <v>1187</v>
      </c>
      <c r="G264" s="44"/>
      <c r="H264" s="45"/>
      <c r="I264" s="38"/>
      <c r="J264" s="38">
        <f>4.5*1000</f>
        <v>4500</v>
      </c>
      <c r="K264" s="46">
        <v>1.9560185185185184E-3</v>
      </c>
      <c r="L264" s="47" t="s">
        <v>1139</v>
      </c>
      <c r="M264" s="48"/>
      <c r="N264" s="48"/>
      <c r="O264" s="48">
        <f t="shared" si="0"/>
        <v>0</v>
      </c>
      <c r="P264" s="38"/>
      <c r="Q264" s="14" t="str">
        <f t="shared" ca="1" si="1"/>
        <v/>
      </c>
      <c r="R264" s="51"/>
      <c r="S264" s="51"/>
      <c r="T264" s="51"/>
      <c r="U264" s="40"/>
      <c r="V264" s="54"/>
      <c r="W264" s="55"/>
      <c r="X264" s="56"/>
      <c r="Y264" s="88"/>
      <c r="Z264" s="88"/>
      <c r="AA264" s="88"/>
      <c r="AB264" s="88"/>
    </row>
    <row r="265" spans="1:28">
      <c r="A265" s="38">
        <v>264</v>
      </c>
      <c r="B265" s="51"/>
      <c r="C265" s="40"/>
      <c r="D265" s="38"/>
      <c r="E265" s="38" t="s">
        <v>1190</v>
      </c>
      <c r="F265" s="43" t="s">
        <v>1191</v>
      </c>
      <c r="G265" s="44"/>
      <c r="H265" s="45"/>
      <c r="I265" s="38"/>
      <c r="J265" s="38">
        <f>1.4*1000</f>
        <v>1400</v>
      </c>
      <c r="K265" s="46">
        <v>4.1319444444444442E-3</v>
      </c>
      <c r="L265" s="47" t="s">
        <v>1139</v>
      </c>
      <c r="M265" s="48"/>
      <c r="N265" s="48"/>
      <c r="O265" s="48">
        <f t="shared" si="0"/>
        <v>0</v>
      </c>
      <c r="P265" s="38"/>
      <c r="Q265" s="14" t="str">
        <f t="shared" ca="1" si="1"/>
        <v/>
      </c>
      <c r="R265" s="51"/>
      <c r="S265" s="51"/>
      <c r="T265" s="51"/>
      <c r="U265" s="40"/>
      <c r="V265" s="54"/>
      <c r="W265" s="55"/>
      <c r="X265" s="56"/>
      <c r="Y265" s="88"/>
      <c r="Z265" s="88"/>
      <c r="AA265" s="88"/>
      <c r="AB265" s="88"/>
    </row>
    <row r="266" spans="1:28">
      <c r="A266" s="38">
        <v>265</v>
      </c>
      <c r="B266" s="51"/>
      <c r="C266" s="40"/>
      <c r="D266" s="38"/>
      <c r="E266" s="38" t="s">
        <v>1192</v>
      </c>
      <c r="F266" s="43" t="s">
        <v>1193</v>
      </c>
      <c r="G266" s="44"/>
      <c r="H266" s="45"/>
      <c r="I266" s="38"/>
      <c r="J266" s="38">
        <f>6.8*1000</f>
        <v>6800</v>
      </c>
      <c r="K266" s="46">
        <v>3.6122685185185181E-2</v>
      </c>
      <c r="L266" s="47" t="s">
        <v>1139</v>
      </c>
      <c r="M266" s="48"/>
      <c r="N266" s="48"/>
      <c r="O266" s="48">
        <f t="shared" si="0"/>
        <v>0</v>
      </c>
      <c r="P266" s="38"/>
      <c r="Q266" s="14" t="str">
        <f t="shared" ca="1" si="1"/>
        <v/>
      </c>
      <c r="R266" s="51"/>
      <c r="S266" s="51"/>
      <c r="T266" s="51"/>
      <c r="U266" s="40"/>
      <c r="V266" s="54"/>
      <c r="W266" s="55"/>
      <c r="X266" s="56"/>
      <c r="Y266" s="88"/>
      <c r="Z266" s="88"/>
      <c r="AA266" s="88"/>
      <c r="AB266" s="88"/>
    </row>
    <row r="267" spans="1:28">
      <c r="A267" s="38">
        <v>266</v>
      </c>
      <c r="B267" s="51"/>
      <c r="C267" s="40"/>
      <c r="D267" s="38"/>
      <c r="E267" s="38" t="s">
        <v>1196</v>
      </c>
      <c r="F267" s="43" t="s">
        <v>1198</v>
      </c>
      <c r="G267" s="44"/>
      <c r="H267" s="45"/>
      <c r="I267" s="38"/>
      <c r="J267" s="38">
        <f>3.2*1000</f>
        <v>3200</v>
      </c>
      <c r="K267" s="46">
        <v>2.8125000000000001E-2</v>
      </c>
      <c r="L267" s="47" t="s">
        <v>1139</v>
      </c>
      <c r="M267" s="48"/>
      <c r="N267" s="48"/>
      <c r="O267" s="48">
        <f t="shared" si="0"/>
        <v>0</v>
      </c>
      <c r="P267" s="38"/>
      <c r="Q267" s="14" t="str">
        <f t="shared" ca="1" si="1"/>
        <v/>
      </c>
      <c r="R267" s="51"/>
      <c r="S267" s="51"/>
      <c r="T267" s="51"/>
      <c r="U267" s="40"/>
      <c r="V267" s="54"/>
      <c r="W267" s="55"/>
      <c r="X267" s="56"/>
      <c r="Y267" s="88"/>
      <c r="Z267" s="88"/>
      <c r="AA267" s="88"/>
      <c r="AB267" s="88"/>
    </row>
    <row r="268" spans="1:28">
      <c r="A268" s="38">
        <v>267</v>
      </c>
      <c r="B268" s="51"/>
      <c r="C268" s="40"/>
      <c r="D268" s="38"/>
      <c r="E268" s="38" t="s">
        <v>1200</v>
      </c>
      <c r="F268" s="43" t="s">
        <v>1201</v>
      </c>
      <c r="G268" s="44"/>
      <c r="H268" s="45"/>
      <c r="I268" s="38"/>
      <c r="J268" s="38">
        <f>4.4*1000</f>
        <v>4400</v>
      </c>
      <c r="K268" s="46">
        <v>3.3101851851851848E-2</v>
      </c>
      <c r="L268" s="47" t="s">
        <v>1139</v>
      </c>
      <c r="M268" s="48"/>
      <c r="N268" s="48"/>
      <c r="O268" s="48">
        <f t="shared" si="0"/>
        <v>0</v>
      </c>
      <c r="P268" s="38"/>
      <c r="Q268" s="14" t="str">
        <f t="shared" ca="1" si="1"/>
        <v/>
      </c>
      <c r="R268" s="51"/>
      <c r="S268" s="51"/>
      <c r="T268" s="51"/>
      <c r="U268" s="40"/>
      <c r="V268" s="54"/>
      <c r="W268" s="55"/>
      <c r="X268" s="56"/>
      <c r="Y268" s="88"/>
      <c r="Z268" s="88"/>
      <c r="AA268" s="88"/>
      <c r="AB268" s="88"/>
    </row>
    <row r="269" spans="1:28">
      <c r="A269" s="38">
        <v>268</v>
      </c>
      <c r="B269" s="51"/>
      <c r="C269" s="40"/>
      <c r="D269" s="38"/>
      <c r="E269" s="38" t="s">
        <v>1204</v>
      </c>
      <c r="F269" s="43" t="s">
        <v>1205</v>
      </c>
      <c r="G269" s="44"/>
      <c r="H269" s="45"/>
      <c r="I269" s="38"/>
      <c r="J269" s="38">
        <f>64*1000</f>
        <v>64000</v>
      </c>
      <c r="K269" s="46">
        <v>5.9305555555555556E-2</v>
      </c>
      <c r="L269" s="47" t="s">
        <v>1139</v>
      </c>
      <c r="M269" s="48"/>
      <c r="N269" s="48"/>
      <c r="O269" s="48">
        <f t="shared" si="0"/>
        <v>0</v>
      </c>
      <c r="P269" s="38"/>
      <c r="Q269" s="14" t="str">
        <f t="shared" ca="1" si="1"/>
        <v/>
      </c>
      <c r="R269" s="51"/>
      <c r="S269" s="51"/>
      <c r="T269" s="51"/>
      <c r="U269" s="40"/>
      <c r="V269" s="54"/>
      <c r="W269" s="55"/>
      <c r="X269" s="56"/>
      <c r="Y269" s="88"/>
      <c r="Z269" s="88"/>
      <c r="AA269" s="88"/>
      <c r="AB269" s="88"/>
    </row>
    <row r="270" spans="1:28">
      <c r="A270" s="38">
        <v>269</v>
      </c>
      <c r="B270" s="39" t="s">
        <v>497</v>
      </c>
      <c r="C270" s="40"/>
      <c r="D270" s="42" t="s">
        <v>139</v>
      </c>
      <c r="E270" s="38" t="s">
        <v>1206</v>
      </c>
      <c r="F270" s="43" t="s">
        <v>1207</v>
      </c>
      <c r="G270" s="44"/>
      <c r="H270" s="45"/>
      <c r="I270" s="38"/>
      <c r="J270" s="38">
        <f>6*1000</f>
        <v>6000</v>
      </c>
      <c r="K270" s="46">
        <v>6.1493055555555558E-2</v>
      </c>
      <c r="L270" s="47" t="s">
        <v>1139</v>
      </c>
      <c r="M270" s="48"/>
      <c r="N270" s="48"/>
      <c r="O270" s="48">
        <f t="shared" si="0"/>
        <v>0</v>
      </c>
      <c r="P270" s="38"/>
      <c r="Q270" s="14" t="str">
        <f t="shared" ca="1" si="1"/>
        <v/>
      </c>
      <c r="R270" s="51"/>
      <c r="S270" s="51"/>
      <c r="T270" s="51"/>
      <c r="U270" s="40"/>
      <c r="V270" s="54"/>
      <c r="W270" s="55"/>
      <c r="X270" s="56"/>
      <c r="Y270" s="88"/>
      <c r="Z270" s="88"/>
      <c r="AA270" s="88"/>
      <c r="AB270" s="88"/>
    </row>
    <row r="271" spans="1:28">
      <c r="A271" s="38">
        <v>270</v>
      </c>
      <c r="B271" s="39"/>
      <c r="C271" s="40"/>
      <c r="D271" s="38"/>
      <c r="E271" s="38" t="s">
        <v>1211</v>
      </c>
      <c r="F271" s="43" t="s">
        <v>1212</v>
      </c>
      <c r="G271" s="44"/>
      <c r="H271" s="45"/>
      <c r="I271" s="38"/>
      <c r="J271" s="38">
        <f>8.8*1000</f>
        <v>8800</v>
      </c>
      <c r="K271" s="46">
        <v>1.8888888888888889E-2</v>
      </c>
      <c r="L271" s="47" t="s">
        <v>1139</v>
      </c>
      <c r="M271" s="48"/>
      <c r="N271" s="48"/>
      <c r="O271" s="48">
        <f t="shared" si="0"/>
        <v>0</v>
      </c>
      <c r="P271" s="38"/>
      <c r="Q271" s="14" t="str">
        <f t="shared" ca="1" si="1"/>
        <v/>
      </c>
      <c r="R271" s="51"/>
      <c r="S271" s="51"/>
      <c r="T271" s="51"/>
      <c r="U271" s="40"/>
      <c r="V271" s="54"/>
      <c r="W271" s="55"/>
      <c r="X271" s="56"/>
      <c r="Y271" s="88"/>
      <c r="Z271" s="88"/>
      <c r="AA271" s="88"/>
      <c r="AB271" s="88"/>
    </row>
    <row r="272" spans="1:28">
      <c r="A272" s="38">
        <v>271</v>
      </c>
      <c r="B272" s="39" t="s">
        <v>136</v>
      </c>
      <c r="C272" s="40"/>
      <c r="D272" s="42" t="s">
        <v>56</v>
      </c>
      <c r="E272" s="38" t="s">
        <v>1217</v>
      </c>
      <c r="F272" s="43" t="s">
        <v>1218</v>
      </c>
      <c r="G272" s="44"/>
      <c r="H272" s="45"/>
      <c r="I272" s="38"/>
      <c r="J272" s="38">
        <f>46*1000</f>
        <v>46000</v>
      </c>
      <c r="K272" s="46">
        <v>3.3611111111111112E-2</v>
      </c>
      <c r="L272" s="47" t="s">
        <v>1139</v>
      </c>
      <c r="M272" s="48"/>
      <c r="N272" s="48"/>
      <c r="O272" s="48">
        <f t="shared" si="0"/>
        <v>0</v>
      </c>
      <c r="P272" s="38"/>
      <c r="Q272" s="14" t="str">
        <f t="shared" ca="1" si="1"/>
        <v/>
      </c>
      <c r="R272" s="51"/>
      <c r="S272" s="51"/>
      <c r="T272" s="51"/>
      <c r="U272" s="40"/>
      <c r="V272" s="54"/>
      <c r="W272" s="55"/>
      <c r="X272" s="56"/>
      <c r="Y272" s="88"/>
      <c r="Z272" s="88"/>
      <c r="AA272" s="88"/>
      <c r="AB272" s="88"/>
    </row>
    <row r="273" spans="1:28">
      <c r="A273" s="38">
        <v>272</v>
      </c>
      <c r="B273" s="51"/>
      <c r="C273" s="40"/>
      <c r="D273" s="38"/>
      <c r="E273" s="38" t="s">
        <v>1221</v>
      </c>
      <c r="F273" s="43" t="s">
        <v>1222</v>
      </c>
      <c r="G273" s="44"/>
      <c r="H273" s="45"/>
      <c r="I273" s="38"/>
      <c r="J273" s="38">
        <f>7.6*1000</f>
        <v>7600</v>
      </c>
      <c r="K273" s="46">
        <v>3.3298611111111112E-2</v>
      </c>
      <c r="L273" s="47" t="s">
        <v>1139</v>
      </c>
      <c r="M273" s="48"/>
      <c r="N273" s="48"/>
      <c r="O273" s="48">
        <f t="shared" si="0"/>
        <v>0</v>
      </c>
      <c r="P273" s="38"/>
      <c r="Q273" s="14" t="str">
        <f t="shared" ca="1" si="1"/>
        <v/>
      </c>
      <c r="R273" s="51"/>
      <c r="S273" s="51"/>
      <c r="T273" s="51"/>
      <c r="U273" s="40"/>
      <c r="V273" s="54"/>
      <c r="W273" s="55"/>
      <c r="X273" s="56"/>
      <c r="Y273" s="88"/>
      <c r="Z273" s="88"/>
      <c r="AA273" s="88"/>
      <c r="AB273" s="88"/>
    </row>
    <row r="274" spans="1:28">
      <c r="A274" s="38">
        <v>273</v>
      </c>
      <c r="B274" s="39" t="s">
        <v>136</v>
      </c>
      <c r="C274" s="40"/>
      <c r="D274" s="42" t="s">
        <v>56</v>
      </c>
      <c r="E274" s="38" t="s">
        <v>1225</v>
      </c>
      <c r="F274" s="43" t="s">
        <v>1226</v>
      </c>
      <c r="G274" s="44"/>
      <c r="H274" s="45"/>
      <c r="I274" s="38"/>
      <c r="J274" s="38">
        <f>12*1000</f>
        <v>12000</v>
      </c>
      <c r="K274" s="46">
        <v>3.005787037037037E-2</v>
      </c>
      <c r="L274" s="47" t="s">
        <v>1139</v>
      </c>
      <c r="M274" s="48"/>
      <c r="N274" s="48"/>
      <c r="O274" s="48">
        <f t="shared" si="0"/>
        <v>0</v>
      </c>
      <c r="P274" s="38"/>
      <c r="Q274" s="14" t="str">
        <f t="shared" ca="1" si="1"/>
        <v/>
      </c>
      <c r="R274" s="51"/>
      <c r="S274" s="51"/>
      <c r="T274" s="51"/>
      <c r="U274" s="40"/>
      <c r="V274" s="54"/>
      <c r="W274" s="55"/>
      <c r="X274" s="56"/>
      <c r="Y274" s="88"/>
      <c r="Z274" s="88"/>
      <c r="AA274" s="88"/>
      <c r="AB274" s="88"/>
    </row>
    <row r="275" spans="1:28">
      <c r="A275" s="38">
        <v>274</v>
      </c>
      <c r="B275" s="39" t="s">
        <v>136</v>
      </c>
      <c r="C275" s="40"/>
      <c r="D275" s="42" t="s">
        <v>56</v>
      </c>
      <c r="E275" s="38" t="s">
        <v>1229</v>
      </c>
      <c r="F275" s="43" t="s">
        <v>1230</v>
      </c>
      <c r="G275" s="44"/>
      <c r="H275" s="45"/>
      <c r="I275" s="38"/>
      <c r="J275" s="38">
        <f>4.4*1000</f>
        <v>4400</v>
      </c>
      <c r="K275" s="46">
        <v>2.0902777777777781E-2</v>
      </c>
      <c r="L275" s="47" t="s">
        <v>1139</v>
      </c>
      <c r="M275" s="48"/>
      <c r="N275" s="48"/>
      <c r="O275" s="48">
        <f t="shared" si="0"/>
        <v>0</v>
      </c>
      <c r="P275" s="38"/>
      <c r="Q275" s="14" t="str">
        <f t="shared" ca="1" si="1"/>
        <v/>
      </c>
      <c r="R275" s="51"/>
      <c r="S275" s="51"/>
      <c r="T275" s="51"/>
      <c r="U275" s="40"/>
      <c r="V275" s="54"/>
      <c r="W275" s="55"/>
      <c r="X275" s="56"/>
      <c r="Y275" s="88"/>
      <c r="Z275" s="88"/>
      <c r="AA275" s="88"/>
      <c r="AB275" s="88"/>
    </row>
    <row r="276" spans="1:28">
      <c r="A276" s="38">
        <v>275</v>
      </c>
      <c r="B276" s="39" t="s">
        <v>136</v>
      </c>
      <c r="C276" s="40"/>
      <c r="D276" s="42" t="s">
        <v>139</v>
      </c>
      <c r="E276" s="38" t="s">
        <v>1234</v>
      </c>
      <c r="F276" s="43" t="s">
        <v>1235</v>
      </c>
      <c r="G276" s="44"/>
      <c r="H276" s="45"/>
      <c r="I276" s="38"/>
      <c r="J276" s="38">
        <f>4.5*1000</f>
        <v>4500</v>
      </c>
      <c r="K276" s="46">
        <v>2.2083333333333333E-2</v>
      </c>
      <c r="L276" s="47" t="s">
        <v>1139</v>
      </c>
      <c r="M276" s="48"/>
      <c r="N276" s="48"/>
      <c r="O276" s="48">
        <f t="shared" si="0"/>
        <v>0</v>
      </c>
      <c r="P276" s="38"/>
      <c r="Q276" s="14" t="str">
        <f t="shared" ca="1" si="1"/>
        <v/>
      </c>
      <c r="R276" s="51"/>
      <c r="S276" s="51"/>
      <c r="T276" s="51"/>
      <c r="U276" s="40"/>
      <c r="V276" s="54"/>
      <c r="W276" s="55"/>
      <c r="X276" s="56"/>
      <c r="Y276" s="88"/>
      <c r="Z276" s="88"/>
      <c r="AA276" s="88"/>
      <c r="AB276" s="88"/>
    </row>
    <row r="277" spans="1:28">
      <c r="A277" s="38">
        <v>276</v>
      </c>
      <c r="B277" s="39" t="s">
        <v>136</v>
      </c>
      <c r="C277" s="40"/>
      <c r="D277" s="42" t="s">
        <v>56</v>
      </c>
      <c r="E277" s="38" t="s">
        <v>1238</v>
      </c>
      <c r="F277" s="43" t="s">
        <v>1239</v>
      </c>
      <c r="G277" s="44"/>
      <c r="H277" s="45"/>
      <c r="I277" s="38"/>
      <c r="J277" s="38">
        <f>4.3*1000</f>
        <v>4300</v>
      </c>
      <c r="K277" s="46">
        <v>5.2430555555555555E-3</v>
      </c>
      <c r="L277" s="47" t="s">
        <v>1139</v>
      </c>
      <c r="M277" s="48"/>
      <c r="N277" s="48"/>
      <c r="O277" s="48">
        <f t="shared" si="0"/>
        <v>0</v>
      </c>
      <c r="P277" s="38"/>
      <c r="Q277" s="14" t="str">
        <f t="shared" ca="1" si="1"/>
        <v/>
      </c>
      <c r="R277" s="51"/>
      <c r="S277" s="51"/>
      <c r="T277" s="51"/>
      <c r="U277" s="40"/>
      <c r="V277" s="54"/>
      <c r="W277" s="55"/>
      <c r="X277" s="56"/>
      <c r="Y277" s="88"/>
      <c r="Z277" s="88"/>
      <c r="AA277" s="88"/>
      <c r="AB277" s="88"/>
    </row>
    <row r="278" spans="1:28">
      <c r="A278" s="38">
        <v>277</v>
      </c>
      <c r="B278" s="51"/>
      <c r="C278" s="40"/>
      <c r="D278" s="38"/>
      <c r="E278" s="38" t="s">
        <v>1244</v>
      </c>
      <c r="F278" s="43" t="s">
        <v>1245</v>
      </c>
      <c r="G278" s="44"/>
      <c r="H278" s="45"/>
      <c r="I278" s="38"/>
      <c r="J278" s="38">
        <f>34*1000</f>
        <v>34000</v>
      </c>
      <c r="K278" s="46">
        <v>2.388888888888889E-2</v>
      </c>
      <c r="L278" s="47" t="s">
        <v>1139</v>
      </c>
      <c r="M278" s="48"/>
      <c r="N278" s="48"/>
      <c r="O278" s="48">
        <f t="shared" si="0"/>
        <v>0</v>
      </c>
      <c r="P278" s="38"/>
      <c r="Q278" s="14" t="str">
        <f t="shared" ca="1" si="1"/>
        <v/>
      </c>
      <c r="R278" s="51"/>
      <c r="S278" s="51"/>
      <c r="T278" s="51"/>
      <c r="U278" s="40"/>
      <c r="V278" s="54"/>
      <c r="W278" s="55"/>
      <c r="X278" s="56"/>
      <c r="Y278" s="88"/>
      <c r="Z278" s="88"/>
      <c r="AA278" s="88"/>
      <c r="AB278" s="88"/>
    </row>
    <row r="279" spans="1:28">
      <c r="A279" s="38">
        <v>278</v>
      </c>
      <c r="B279" s="39" t="s">
        <v>497</v>
      </c>
      <c r="C279" s="40"/>
      <c r="D279" s="42" t="s">
        <v>139</v>
      </c>
      <c r="E279" s="38" t="s">
        <v>1246</v>
      </c>
      <c r="F279" s="43" t="s">
        <v>1247</v>
      </c>
      <c r="G279" s="44"/>
      <c r="H279" s="45"/>
      <c r="I279" s="38"/>
      <c r="J279" s="38">
        <f>27*1000</f>
        <v>27000</v>
      </c>
      <c r="K279" s="46">
        <v>5.3981481481481484E-2</v>
      </c>
      <c r="L279" s="47" t="s">
        <v>1139</v>
      </c>
      <c r="M279" s="48"/>
      <c r="N279" s="48"/>
      <c r="O279" s="48">
        <f t="shared" si="0"/>
        <v>0</v>
      </c>
      <c r="P279" s="38"/>
      <c r="Q279" s="14" t="str">
        <f t="shared" ca="1" si="1"/>
        <v/>
      </c>
      <c r="R279" s="51"/>
      <c r="S279" s="51"/>
      <c r="T279" s="51"/>
      <c r="U279" s="40"/>
      <c r="V279" s="54"/>
      <c r="W279" s="55"/>
      <c r="X279" s="56"/>
      <c r="Y279" s="88"/>
      <c r="Z279" s="88"/>
      <c r="AA279" s="88"/>
      <c r="AB279" s="88"/>
    </row>
    <row r="280" spans="1:28">
      <c r="A280" s="38">
        <v>279</v>
      </c>
      <c r="B280" s="39" t="s">
        <v>497</v>
      </c>
      <c r="C280" s="40"/>
      <c r="D280" s="42" t="s">
        <v>139</v>
      </c>
      <c r="E280" s="38" t="s">
        <v>1253</v>
      </c>
      <c r="F280" s="43" t="s">
        <v>1254</v>
      </c>
      <c r="G280" s="44"/>
      <c r="H280" s="45"/>
      <c r="I280" s="38"/>
      <c r="J280" s="38">
        <f>6.6*1000</f>
        <v>6600</v>
      </c>
      <c r="K280" s="46">
        <v>3.349537037037037E-2</v>
      </c>
      <c r="L280" s="47" t="s">
        <v>1139</v>
      </c>
      <c r="M280" s="48"/>
      <c r="N280" s="48"/>
      <c r="O280" s="48">
        <f t="shared" si="0"/>
        <v>0</v>
      </c>
      <c r="P280" s="38"/>
      <c r="Q280" s="14" t="str">
        <f t="shared" ca="1" si="1"/>
        <v/>
      </c>
      <c r="R280" s="51"/>
      <c r="S280" s="51"/>
      <c r="T280" s="51"/>
      <c r="U280" s="40"/>
      <c r="V280" s="54"/>
      <c r="W280" s="55"/>
      <c r="X280" s="56"/>
      <c r="Y280" s="88"/>
      <c r="Z280" s="88"/>
      <c r="AA280" s="88"/>
      <c r="AB280" s="88"/>
    </row>
    <row r="281" spans="1:28">
      <c r="A281" s="38">
        <v>280</v>
      </c>
      <c r="B281" s="51"/>
      <c r="C281" s="40"/>
      <c r="D281" s="38"/>
      <c r="E281" s="38" t="s">
        <v>1255</v>
      </c>
      <c r="F281" s="43" t="s">
        <v>1256</v>
      </c>
      <c r="G281" s="44"/>
      <c r="H281" s="45"/>
      <c r="I281" s="38"/>
      <c r="J281" s="38">
        <f>7.2*1000</f>
        <v>7200</v>
      </c>
      <c r="K281" s="46">
        <v>7.1504629629629626E-2</v>
      </c>
      <c r="L281" s="47" t="s">
        <v>1139</v>
      </c>
      <c r="M281" s="48"/>
      <c r="N281" s="48"/>
      <c r="O281" s="48">
        <f t="shared" si="0"/>
        <v>0</v>
      </c>
      <c r="P281" s="38"/>
      <c r="Q281" s="14" t="str">
        <f t="shared" ca="1" si="1"/>
        <v/>
      </c>
      <c r="R281" s="51"/>
      <c r="S281" s="51"/>
      <c r="T281" s="51"/>
      <c r="U281" s="40"/>
      <c r="V281" s="54"/>
      <c r="W281" s="55"/>
      <c r="X281" s="56"/>
      <c r="Y281" s="88"/>
      <c r="Z281" s="88"/>
      <c r="AA281" s="88"/>
      <c r="AB281" s="88"/>
    </row>
    <row r="282" spans="1:28">
      <c r="A282" s="38">
        <v>281</v>
      </c>
      <c r="B282" s="51"/>
      <c r="C282" s="40"/>
      <c r="D282" s="38"/>
      <c r="E282" s="38" t="s">
        <v>1259</v>
      </c>
      <c r="F282" s="43" t="s">
        <v>1260</v>
      </c>
      <c r="G282" s="44"/>
      <c r="H282" s="45"/>
      <c r="I282" s="38"/>
      <c r="J282" s="38">
        <f>20*1000</f>
        <v>20000</v>
      </c>
      <c r="K282" s="46">
        <v>9.6643518518518531E-2</v>
      </c>
      <c r="L282" s="47" t="s">
        <v>1139</v>
      </c>
      <c r="M282" s="48"/>
      <c r="N282" s="48"/>
      <c r="O282" s="48">
        <f t="shared" si="0"/>
        <v>0</v>
      </c>
      <c r="P282" s="38"/>
      <c r="Q282" s="14" t="str">
        <f t="shared" ca="1" si="1"/>
        <v/>
      </c>
      <c r="R282" s="51"/>
      <c r="S282" s="51"/>
      <c r="T282" s="51"/>
      <c r="U282" s="40"/>
      <c r="V282" s="54"/>
      <c r="W282" s="55"/>
      <c r="X282" s="56"/>
      <c r="Y282" s="88"/>
      <c r="Z282" s="88"/>
      <c r="AA282" s="88"/>
      <c r="AB282" s="88"/>
    </row>
    <row r="283" spans="1:28">
      <c r="A283" s="38">
        <v>282</v>
      </c>
      <c r="B283" s="51"/>
      <c r="C283" s="40"/>
      <c r="D283" s="38"/>
      <c r="E283" s="38" t="s">
        <v>1262</v>
      </c>
      <c r="F283" s="43" t="s">
        <v>1263</v>
      </c>
      <c r="G283" s="44"/>
      <c r="H283" s="45"/>
      <c r="I283" s="38"/>
      <c r="J283" s="38">
        <f>11*1000</f>
        <v>11000</v>
      </c>
      <c r="K283" s="46">
        <v>7.0729166666666662E-2</v>
      </c>
      <c r="L283" s="47" t="s">
        <v>1139</v>
      </c>
      <c r="M283" s="48"/>
      <c r="N283" s="48"/>
      <c r="O283" s="48">
        <f t="shared" si="0"/>
        <v>0</v>
      </c>
      <c r="P283" s="38"/>
      <c r="Q283" s="14" t="str">
        <f t="shared" ca="1" si="1"/>
        <v/>
      </c>
      <c r="R283" s="51"/>
      <c r="S283" s="51"/>
      <c r="T283" s="51"/>
      <c r="U283" s="40"/>
      <c r="V283" s="54"/>
      <c r="W283" s="55"/>
      <c r="X283" s="56"/>
      <c r="Y283" s="88"/>
      <c r="Z283" s="88"/>
      <c r="AA283" s="88"/>
      <c r="AB283" s="88"/>
    </row>
    <row r="284" spans="1:28">
      <c r="A284" s="38">
        <v>283</v>
      </c>
      <c r="B284" s="51"/>
      <c r="C284" s="40"/>
      <c r="D284" s="38"/>
      <c r="E284" s="38" t="s">
        <v>1266</v>
      </c>
      <c r="F284" s="43" t="s">
        <v>1267</v>
      </c>
      <c r="G284" s="44"/>
      <c r="H284" s="45"/>
      <c r="I284" s="38"/>
      <c r="J284" s="38">
        <f>10*1000</f>
        <v>10000</v>
      </c>
      <c r="K284" s="46">
        <v>8.3668981481481483E-2</v>
      </c>
      <c r="L284" s="47" t="s">
        <v>1139</v>
      </c>
      <c r="M284" s="48"/>
      <c r="N284" s="48"/>
      <c r="O284" s="48">
        <f t="shared" si="0"/>
        <v>0</v>
      </c>
      <c r="P284" s="38"/>
      <c r="Q284" s="14" t="str">
        <f t="shared" ca="1" si="1"/>
        <v/>
      </c>
      <c r="R284" s="51"/>
      <c r="S284" s="51"/>
      <c r="T284" s="51"/>
      <c r="U284" s="40"/>
      <c r="V284" s="54"/>
      <c r="W284" s="55"/>
      <c r="X284" s="56"/>
      <c r="Y284" s="88"/>
      <c r="Z284" s="88"/>
      <c r="AA284" s="88"/>
      <c r="AB284" s="88"/>
    </row>
    <row r="285" spans="1:28">
      <c r="A285" s="38">
        <v>284</v>
      </c>
      <c r="B285" s="51"/>
      <c r="C285" s="40"/>
      <c r="D285" s="38"/>
      <c r="E285" s="38" t="s">
        <v>1271</v>
      </c>
      <c r="F285" s="43" t="s">
        <v>1272</v>
      </c>
      <c r="G285" s="44"/>
      <c r="H285" s="45"/>
      <c r="I285" s="38"/>
      <c r="J285" s="38">
        <f>4.7*1000</f>
        <v>4700</v>
      </c>
      <c r="K285" s="46">
        <v>7.5624999999999998E-2</v>
      </c>
      <c r="L285" s="47" t="s">
        <v>1139</v>
      </c>
      <c r="M285" s="48"/>
      <c r="N285" s="48"/>
      <c r="O285" s="48">
        <f t="shared" si="0"/>
        <v>0</v>
      </c>
      <c r="P285" s="38"/>
      <c r="Q285" s="14" t="str">
        <f t="shared" ca="1" si="1"/>
        <v/>
      </c>
      <c r="R285" s="51"/>
      <c r="S285" s="51"/>
      <c r="T285" s="51"/>
      <c r="U285" s="40"/>
      <c r="V285" s="54"/>
      <c r="W285" s="55"/>
      <c r="X285" s="56"/>
      <c r="Y285" s="88"/>
      <c r="Z285" s="88"/>
      <c r="AA285" s="88"/>
      <c r="AB285" s="88"/>
    </row>
    <row r="286" spans="1:28">
      <c r="A286" s="38">
        <v>285</v>
      </c>
      <c r="B286" s="51"/>
      <c r="C286" s="40"/>
      <c r="D286" s="38"/>
      <c r="E286" s="38" t="s">
        <v>1275</v>
      </c>
      <c r="F286" s="43" t="s">
        <v>1276</v>
      </c>
      <c r="G286" s="44"/>
      <c r="H286" s="45"/>
      <c r="I286" s="38"/>
      <c r="J286" s="38">
        <f>6.7*1000</f>
        <v>6700</v>
      </c>
      <c r="K286" s="46">
        <v>1.8472222222222223E-2</v>
      </c>
      <c r="L286" s="47" t="s">
        <v>1139</v>
      </c>
      <c r="M286" s="48"/>
      <c r="N286" s="48"/>
      <c r="O286" s="48">
        <f t="shared" si="0"/>
        <v>0</v>
      </c>
      <c r="P286" s="38"/>
      <c r="Q286" s="14" t="str">
        <f t="shared" ca="1" si="1"/>
        <v/>
      </c>
      <c r="R286" s="51"/>
      <c r="S286" s="51"/>
      <c r="T286" s="51"/>
      <c r="U286" s="40"/>
      <c r="V286" s="54"/>
      <c r="W286" s="55"/>
      <c r="X286" s="56"/>
      <c r="Y286" s="88"/>
      <c r="Z286" s="88"/>
      <c r="AA286" s="88"/>
      <c r="AB286" s="88"/>
    </row>
    <row r="287" spans="1:28">
      <c r="A287" s="38">
        <v>286</v>
      </c>
      <c r="B287" s="51"/>
      <c r="C287" s="40"/>
      <c r="D287" s="38"/>
      <c r="E287" s="38" t="s">
        <v>1281</v>
      </c>
      <c r="F287" s="43" t="s">
        <v>1282</v>
      </c>
      <c r="G287" s="44"/>
      <c r="H287" s="45"/>
      <c r="I287" s="38"/>
      <c r="J287" s="38">
        <f>11*1000</f>
        <v>11000</v>
      </c>
      <c r="K287" s="46">
        <v>9.5694444444444457E-2</v>
      </c>
      <c r="L287" s="47" t="s">
        <v>1283</v>
      </c>
      <c r="M287" s="48"/>
      <c r="N287" s="48"/>
      <c r="O287" s="48">
        <f t="shared" si="0"/>
        <v>0</v>
      </c>
      <c r="P287" s="38"/>
      <c r="Q287" s="14" t="str">
        <f t="shared" ca="1" si="1"/>
        <v/>
      </c>
      <c r="R287" s="51"/>
      <c r="S287" s="51"/>
      <c r="T287" s="51"/>
      <c r="U287" s="40"/>
      <c r="V287" s="54"/>
      <c r="W287" s="55"/>
      <c r="X287" s="56"/>
      <c r="Y287" s="88"/>
      <c r="Z287" s="88"/>
      <c r="AA287" s="88"/>
      <c r="AB287" s="88"/>
    </row>
    <row r="288" spans="1:28">
      <c r="A288" s="38">
        <v>287</v>
      </c>
      <c r="B288" s="51"/>
      <c r="C288" s="40"/>
      <c r="D288" s="38"/>
      <c r="E288" s="38" t="s">
        <v>1286</v>
      </c>
      <c r="F288" s="43" t="s">
        <v>1287</v>
      </c>
      <c r="G288" s="44"/>
      <c r="H288" s="45"/>
      <c r="I288" s="38"/>
      <c r="J288" s="38">
        <f>14*1000</f>
        <v>14000</v>
      </c>
      <c r="K288" s="46">
        <v>8.5358796296296294E-2</v>
      </c>
      <c r="L288" s="47" t="s">
        <v>1283</v>
      </c>
      <c r="M288" s="48"/>
      <c r="N288" s="48"/>
      <c r="O288" s="48">
        <f t="shared" si="0"/>
        <v>0</v>
      </c>
      <c r="P288" s="38"/>
      <c r="Q288" s="14" t="str">
        <f t="shared" ca="1" si="1"/>
        <v/>
      </c>
      <c r="R288" s="51"/>
      <c r="S288" s="51"/>
      <c r="T288" s="51"/>
      <c r="U288" s="40"/>
      <c r="V288" s="54"/>
      <c r="W288" s="55"/>
      <c r="X288" s="56"/>
      <c r="Y288" s="88"/>
      <c r="Z288" s="88"/>
      <c r="AA288" s="88"/>
      <c r="AB288" s="88"/>
    </row>
    <row r="289" spans="1:28">
      <c r="A289" s="38">
        <v>288</v>
      </c>
      <c r="B289" s="51"/>
      <c r="C289" s="40"/>
      <c r="D289" s="38"/>
      <c r="E289" s="38" t="s">
        <v>1290</v>
      </c>
      <c r="F289" s="43" t="s">
        <v>1291</v>
      </c>
      <c r="G289" s="44"/>
      <c r="H289" s="45"/>
      <c r="I289" s="38"/>
      <c r="J289" s="38">
        <f>6.9*1000</f>
        <v>6900</v>
      </c>
      <c r="K289" s="46">
        <v>5.6840277777777781E-2</v>
      </c>
      <c r="L289" s="47" t="s">
        <v>1283</v>
      </c>
      <c r="M289" s="48"/>
      <c r="N289" s="48"/>
      <c r="O289" s="48">
        <f t="shared" si="0"/>
        <v>0</v>
      </c>
      <c r="P289" s="38"/>
      <c r="Q289" s="14" t="str">
        <f t="shared" ca="1" si="1"/>
        <v/>
      </c>
      <c r="R289" s="51"/>
      <c r="S289" s="51"/>
      <c r="T289" s="51"/>
      <c r="U289" s="40"/>
      <c r="V289" s="54"/>
      <c r="W289" s="55"/>
      <c r="X289" s="56"/>
      <c r="Y289" s="88"/>
      <c r="Z289" s="88"/>
      <c r="AA289" s="88"/>
      <c r="AB289" s="88"/>
    </row>
    <row r="290" spans="1:28">
      <c r="A290" s="38">
        <v>289</v>
      </c>
      <c r="B290" s="51"/>
      <c r="C290" s="40"/>
      <c r="D290" s="38"/>
      <c r="E290" s="38" t="s">
        <v>1292</v>
      </c>
      <c r="F290" s="43" t="s">
        <v>1293</v>
      </c>
      <c r="G290" s="44"/>
      <c r="H290" s="45"/>
      <c r="I290" s="38"/>
      <c r="J290" s="38">
        <f>22*1000</f>
        <v>22000</v>
      </c>
      <c r="K290" s="46">
        <v>7.4872685185185181E-2</v>
      </c>
      <c r="L290" s="47" t="s">
        <v>1283</v>
      </c>
      <c r="M290" s="48"/>
      <c r="N290" s="48"/>
      <c r="O290" s="48">
        <f t="shared" si="0"/>
        <v>0</v>
      </c>
      <c r="P290" s="38"/>
      <c r="Q290" s="14" t="str">
        <f t="shared" ca="1" si="1"/>
        <v/>
      </c>
      <c r="R290" s="51"/>
      <c r="S290" s="51"/>
      <c r="T290" s="51"/>
      <c r="U290" s="40"/>
      <c r="V290" s="54"/>
      <c r="W290" s="55"/>
      <c r="X290" s="56"/>
      <c r="Y290" s="88"/>
      <c r="Z290" s="88"/>
      <c r="AA290" s="88"/>
      <c r="AB290" s="88"/>
    </row>
    <row r="291" spans="1:28">
      <c r="A291" s="38">
        <v>290</v>
      </c>
      <c r="B291" s="39" t="s">
        <v>497</v>
      </c>
      <c r="C291" s="40"/>
      <c r="D291" s="42" t="s">
        <v>139</v>
      </c>
      <c r="E291" s="38" t="s">
        <v>1296</v>
      </c>
      <c r="F291" s="43" t="s">
        <v>1297</v>
      </c>
      <c r="G291" s="44"/>
      <c r="H291" s="45"/>
      <c r="I291" s="38"/>
      <c r="J291" s="38">
        <f>13*1000</f>
        <v>13000</v>
      </c>
      <c r="K291" s="46">
        <v>8.1319444444444444E-2</v>
      </c>
      <c r="L291" s="47" t="s">
        <v>1283</v>
      </c>
      <c r="M291" s="48"/>
      <c r="N291" s="48"/>
      <c r="O291" s="48">
        <f t="shared" si="0"/>
        <v>0</v>
      </c>
      <c r="P291" s="38"/>
      <c r="Q291" s="14" t="str">
        <f t="shared" ca="1" si="1"/>
        <v/>
      </c>
      <c r="R291" s="51"/>
      <c r="S291" s="51"/>
      <c r="T291" s="51"/>
      <c r="U291" s="40"/>
      <c r="V291" s="54"/>
      <c r="W291" s="55"/>
      <c r="X291" s="56"/>
      <c r="Y291" s="88"/>
      <c r="Z291" s="88"/>
      <c r="AA291" s="88"/>
      <c r="AB291" s="88"/>
    </row>
    <row r="292" spans="1:28">
      <c r="A292" s="38">
        <v>291</v>
      </c>
      <c r="B292" s="51"/>
      <c r="C292" s="40"/>
      <c r="D292" s="38"/>
      <c r="E292" s="38" t="s">
        <v>1300</v>
      </c>
      <c r="F292" s="43" t="s">
        <v>1301</v>
      </c>
      <c r="G292" s="44"/>
      <c r="H292" s="45"/>
      <c r="I292" s="38"/>
      <c r="J292" s="38">
        <f>51*1000</f>
        <v>51000</v>
      </c>
      <c r="K292" s="46">
        <v>6.4849537037037039E-2</v>
      </c>
      <c r="L292" s="47" t="s">
        <v>1283</v>
      </c>
      <c r="M292" s="48"/>
      <c r="N292" s="48"/>
      <c r="O292" s="48">
        <f t="shared" si="0"/>
        <v>0</v>
      </c>
      <c r="P292" s="38"/>
      <c r="Q292" s="14" t="str">
        <f t="shared" ca="1" si="1"/>
        <v/>
      </c>
      <c r="R292" s="51"/>
      <c r="S292" s="51"/>
      <c r="T292" s="51"/>
      <c r="U292" s="40"/>
      <c r="V292" s="54"/>
      <c r="W292" s="55"/>
      <c r="X292" s="56"/>
      <c r="Y292" s="88"/>
      <c r="Z292" s="88"/>
      <c r="AA292" s="88"/>
      <c r="AB292" s="88"/>
    </row>
    <row r="293" spans="1:28">
      <c r="A293" s="38">
        <v>292</v>
      </c>
      <c r="B293" s="51"/>
      <c r="C293" s="40"/>
      <c r="D293" s="38"/>
      <c r="E293" s="38" t="s">
        <v>1302</v>
      </c>
      <c r="F293" s="43" t="s">
        <v>1303</v>
      </c>
      <c r="G293" s="44"/>
      <c r="H293" s="45"/>
      <c r="I293" s="38"/>
      <c r="J293" s="38">
        <f>11*1000</f>
        <v>11000</v>
      </c>
      <c r="K293" s="46">
        <v>4.9687499999999996E-2</v>
      </c>
      <c r="L293" s="47" t="s">
        <v>1283</v>
      </c>
      <c r="M293" s="48"/>
      <c r="N293" s="48"/>
      <c r="O293" s="48">
        <f t="shared" si="0"/>
        <v>0</v>
      </c>
      <c r="P293" s="38"/>
      <c r="Q293" s="14" t="str">
        <f t="shared" ca="1" si="1"/>
        <v/>
      </c>
      <c r="R293" s="51"/>
      <c r="S293" s="51"/>
      <c r="T293" s="51"/>
      <c r="U293" s="40"/>
      <c r="V293" s="54"/>
      <c r="W293" s="55"/>
      <c r="X293" s="56"/>
      <c r="Y293" s="88"/>
      <c r="Z293" s="88"/>
      <c r="AA293" s="88"/>
      <c r="AB293" s="88"/>
    </row>
    <row r="294" spans="1:28">
      <c r="A294" s="38">
        <v>293</v>
      </c>
      <c r="B294" s="51"/>
      <c r="C294" s="40"/>
      <c r="D294" s="38"/>
      <c r="E294" s="38" t="s">
        <v>1306</v>
      </c>
      <c r="F294" s="43" t="s">
        <v>1307</v>
      </c>
      <c r="G294" s="44"/>
      <c r="H294" s="45"/>
      <c r="I294" s="38"/>
      <c r="J294" s="38">
        <f t="shared" ref="J294:J295" si="8">19*1000</f>
        <v>19000</v>
      </c>
      <c r="K294" s="46">
        <v>6.6412037037037033E-2</v>
      </c>
      <c r="L294" s="47" t="s">
        <v>1283</v>
      </c>
      <c r="M294" s="48"/>
      <c r="N294" s="48"/>
      <c r="O294" s="48">
        <f t="shared" si="0"/>
        <v>0</v>
      </c>
      <c r="P294" s="38"/>
      <c r="Q294" s="14" t="str">
        <f t="shared" ca="1" si="1"/>
        <v/>
      </c>
      <c r="R294" s="51"/>
      <c r="S294" s="51"/>
      <c r="T294" s="51"/>
      <c r="U294" s="40"/>
      <c r="V294" s="54"/>
      <c r="W294" s="55"/>
      <c r="X294" s="56"/>
      <c r="Y294" s="88"/>
      <c r="Z294" s="88"/>
      <c r="AA294" s="88"/>
      <c r="AB294" s="88"/>
    </row>
    <row r="295" spans="1:28">
      <c r="A295" s="38">
        <v>294</v>
      </c>
      <c r="B295" s="51"/>
      <c r="C295" s="40"/>
      <c r="D295" s="38"/>
      <c r="E295" s="38" t="s">
        <v>1308</v>
      </c>
      <c r="F295" s="43" t="s">
        <v>1309</v>
      </c>
      <c r="G295" s="44"/>
      <c r="H295" s="45"/>
      <c r="I295" s="38"/>
      <c r="J295" s="38">
        <f t="shared" si="8"/>
        <v>19000</v>
      </c>
      <c r="K295" s="46">
        <v>1.2002314814814815E-2</v>
      </c>
      <c r="L295" s="47" t="s">
        <v>1283</v>
      </c>
      <c r="M295" s="48"/>
      <c r="N295" s="48"/>
      <c r="O295" s="48">
        <f t="shared" si="0"/>
        <v>0</v>
      </c>
      <c r="P295" s="38"/>
      <c r="Q295" s="14" t="str">
        <f t="shared" ca="1" si="1"/>
        <v/>
      </c>
      <c r="R295" s="51"/>
      <c r="S295" s="51"/>
      <c r="T295" s="51"/>
      <c r="U295" s="40"/>
      <c r="V295" s="54"/>
      <c r="W295" s="55"/>
      <c r="X295" s="56"/>
      <c r="Y295" s="88"/>
      <c r="Z295" s="88"/>
      <c r="AA295" s="88"/>
      <c r="AB295" s="88"/>
    </row>
    <row r="296" spans="1:28">
      <c r="A296" s="38">
        <v>295</v>
      </c>
      <c r="B296" s="51"/>
      <c r="C296" s="40"/>
      <c r="D296" s="38"/>
      <c r="E296" s="38" t="s">
        <v>1314</v>
      </c>
      <c r="F296" s="43" t="s">
        <v>1315</v>
      </c>
      <c r="G296" s="44"/>
      <c r="H296" s="45"/>
      <c r="I296" s="38"/>
      <c r="J296" s="38">
        <f>3.5*1000</f>
        <v>3500</v>
      </c>
      <c r="K296" s="46">
        <v>7.5347222222222213E-3</v>
      </c>
      <c r="L296" s="47" t="s">
        <v>1283</v>
      </c>
      <c r="M296" s="48"/>
      <c r="N296" s="48"/>
      <c r="O296" s="48">
        <f t="shared" si="0"/>
        <v>0</v>
      </c>
      <c r="P296" s="38"/>
      <c r="Q296" s="14" t="str">
        <f t="shared" ca="1" si="1"/>
        <v/>
      </c>
      <c r="R296" s="51"/>
      <c r="S296" s="51"/>
      <c r="T296" s="51"/>
      <c r="U296" s="40"/>
      <c r="V296" s="54"/>
      <c r="W296" s="55"/>
      <c r="X296" s="56"/>
      <c r="Y296" s="88"/>
      <c r="Z296" s="88"/>
      <c r="AA296" s="88"/>
      <c r="AB296" s="88"/>
    </row>
    <row r="297" spans="1:28">
      <c r="A297" s="38">
        <v>296</v>
      </c>
      <c r="B297" s="39" t="s">
        <v>497</v>
      </c>
      <c r="C297" s="40"/>
      <c r="D297" s="42" t="s">
        <v>139</v>
      </c>
      <c r="E297" s="38" t="s">
        <v>1320</v>
      </c>
      <c r="F297" s="43" t="s">
        <v>1321</v>
      </c>
      <c r="G297" s="44"/>
      <c r="H297" s="45"/>
      <c r="I297" s="38"/>
      <c r="J297" s="38">
        <f t="shared" ref="J297:J298" si="9">10*1000</f>
        <v>10000</v>
      </c>
      <c r="K297" s="46">
        <v>7.3854166666666665E-2</v>
      </c>
      <c r="L297" s="47" t="s">
        <v>1283</v>
      </c>
      <c r="M297" s="48"/>
      <c r="N297" s="48"/>
      <c r="O297" s="48">
        <f t="shared" si="0"/>
        <v>0</v>
      </c>
      <c r="P297" s="38"/>
      <c r="Q297" s="14" t="str">
        <f t="shared" ca="1" si="1"/>
        <v/>
      </c>
      <c r="R297" s="51"/>
      <c r="S297" s="51"/>
      <c r="T297" s="51"/>
      <c r="U297" s="40"/>
      <c r="V297" s="54"/>
      <c r="W297" s="55"/>
      <c r="X297" s="56"/>
      <c r="Y297" s="88"/>
      <c r="Z297" s="88"/>
      <c r="AA297" s="88"/>
      <c r="AB297" s="88"/>
    </row>
    <row r="298" spans="1:28">
      <c r="A298" s="38">
        <v>297</v>
      </c>
      <c r="B298" s="51"/>
      <c r="C298" s="40"/>
      <c r="D298" s="38"/>
      <c r="E298" s="38" t="s">
        <v>1324</v>
      </c>
      <c r="F298" s="43" t="s">
        <v>1325</v>
      </c>
      <c r="G298" s="44"/>
      <c r="H298" s="45"/>
      <c r="I298" s="38"/>
      <c r="J298" s="38">
        <f t="shared" si="9"/>
        <v>10000</v>
      </c>
      <c r="K298" s="46">
        <v>6.8749999999999992E-2</v>
      </c>
      <c r="L298" s="47" t="s">
        <v>1283</v>
      </c>
      <c r="M298" s="48"/>
      <c r="N298" s="48"/>
      <c r="O298" s="48">
        <f t="shared" si="0"/>
        <v>0</v>
      </c>
      <c r="P298" s="38"/>
      <c r="Q298" s="14" t="str">
        <f t="shared" ca="1" si="1"/>
        <v/>
      </c>
      <c r="R298" s="51"/>
      <c r="S298" s="51"/>
      <c r="T298" s="51"/>
      <c r="U298" s="40"/>
      <c r="V298" s="54"/>
      <c r="W298" s="55"/>
      <c r="X298" s="56"/>
      <c r="Y298" s="88"/>
      <c r="Z298" s="88"/>
      <c r="AA298" s="88"/>
      <c r="AB298" s="88"/>
    </row>
    <row r="299" spans="1:28">
      <c r="A299" s="38">
        <v>298</v>
      </c>
      <c r="B299" s="39" t="s">
        <v>497</v>
      </c>
      <c r="C299" s="40"/>
      <c r="D299" s="42" t="s">
        <v>139</v>
      </c>
      <c r="E299" s="38" t="s">
        <v>1328</v>
      </c>
      <c r="F299" s="43" t="s">
        <v>1329</v>
      </c>
      <c r="G299" s="44"/>
      <c r="H299" s="45"/>
      <c r="I299" s="38"/>
      <c r="J299" s="38">
        <f>15*1000</f>
        <v>15000</v>
      </c>
      <c r="K299" s="46">
        <v>2.1585648148148145E-2</v>
      </c>
      <c r="L299" s="47" t="s">
        <v>1283</v>
      </c>
      <c r="M299" s="48"/>
      <c r="N299" s="48"/>
      <c r="O299" s="48">
        <f t="shared" si="0"/>
        <v>0</v>
      </c>
      <c r="P299" s="38"/>
      <c r="Q299" s="14" t="str">
        <f t="shared" ca="1" si="1"/>
        <v/>
      </c>
      <c r="R299" s="51"/>
      <c r="S299" s="51"/>
      <c r="T299" s="51"/>
      <c r="U299" s="40"/>
      <c r="V299" s="54"/>
      <c r="W299" s="55"/>
      <c r="X299" s="56"/>
      <c r="Y299" s="88"/>
      <c r="Z299" s="88"/>
      <c r="AA299" s="88"/>
      <c r="AB299" s="88"/>
    </row>
    <row r="300" spans="1:28">
      <c r="A300" s="38">
        <v>299</v>
      </c>
      <c r="B300" s="39" t="s">
        <v>497</v>
      </c>
      <c r="C300" s="40"/>
      <c r="D300" s="42" t="s">
        <v>139</v>
      </c>
      <c r="E300" s="38" t="s">
        <v>1330</v>
      </c>
      <c r="F300" s="43" t="s">
        <v>1331</v>
      </c>
      <c r="G300" s="44"/>
      <c r="H300" s="45"/>
      <c r="I300" s="38"/>
      <c r="J300" s="38">
        <f>3.1*1000</f>
        <v>3100</v>
      </c>
      <c r="K300" s="46">
        <v>6.7662037037037034E-2</v>
      </c>
      <c r="L300" s="47" t="s">
        <v>1283</v>
      </c>
      <c r="M300" s="48"/>
      <c r="N300" s="48"/>
      <c r="O300" s="48">
        <f t="shared" si="0"/>
        <v>0</v>
      </c>
      <c r="P300" s="38"/>
      <c r="Q300" s="14" t="str">
        <f t="shared" ca="1" si="1"/>
        <v/>
      </c>
      <c r="R300" s="51"/>
      <c r="S300" s="51"/>
      <c r="T300" s="51"/>
      <c r="U300" s="40"/>
      <c r="V300" s="54"/>
      <c r="W300" s="55"/>
      <c r="X300" s="56"/>
      <c r="Y300" s="88"/>
      <c r="Z300" s="88"/>
      <c r="AA300" s="88"/>
      <c r="AB300" s="88"/>
    </row>
    <row r="301" spans="1:28">
      <c r="A301" s="38">
        <v>300</v>
      </c>
      <c r="B301" s="39" t="s">
        <v>497</v>
      </c>
      <c r="C301" s="40"/>
      <c r="D301" s="42" t="s">
        <v>139</v>
      </c>
      <c r="E301" s="38" t="s">
        <v>1332</v>
      </c>
      <c r="F301" s="43" t="s">
        <v>1333</v>
      </c>
      <c r="G301" s="44"/>
      <c r="H301" s="45"/>
      <c r="I301" s="38"/>
      <c r="J301" s="38">
        <f>27*1000</f>
        <v>27000</v>
      </c>
      <c r="K301" s="46">
        <v>0.11447916666666667</v>
      </c>
      <c r="L301" s="47" t="s">
        <v>1283</v>
      </c>
      <c r="M301" s="48"/>
      <c r="N301" s="48"/>
      <c r="O301" s="48">
        <f t="shared" si="0"/>
        <v>0</v>
      </c>
      <c r="P301" s="38"/>
      <c r="Q301" s="14" t="str">
        <f t="shared" ca="1" si="1"/>
        <v/>
      </c>
      <c r="R301" s="51"/>
      <c r="S301" s="51"/>
      <c r="T301" s="51"/>
      <c r="U301" s="40"/>
      <c r="V301" s="54"/>
      <c r="W301" s="55"/>
      <c r="X301" s="56"/>
      <c r="Y301" s="88"/>
      <c r="Z301" s="88"/>
      <c r="AA301" s="88"/>
      <c r="AB301" s="88"/>
    </row>
    <row r="302" spans="1:28">
      <c r="A302" s="38">
        <v>301</v>
      </c>
      <c r="B302" s="39" t="s">
        <v>497</v>
      </c>
      <c r="C302" s="40"/>
      <c r="D302" s="42" t="s">
        <v>139</v>
      </c>
      <c r="E302" s="38" t="s">
        <v>1334</v>
      </c>
      <c r="F302" s="43" t="s">
        <v>1335</v>
      </c>
      <c r="G302" s="44"/>
      <c r="H302" s="45"/>
      <c r="I302" s="38"/>
      <c r="J302" s="38">
        <f>4.6*1000</f>
        <v>4600</v>
      </c>
      <c r="K302" s="46">
        <v>9.5578703703703694E-2</v>
      </c>
      <c r="L302" s="47" t="s">
        <v>1283</v>
      </c>
      <c r="M302" s="48"/>
      <c r="N302" s="48"/>
      <c r="O302" s="48">
        <f t="shared" si="0"/>
        <v>0</v>
      </c>
      <c r="P302" s="38"/>
      <c r="Q302" s="14" t="str">
        <f t="shared" ca="1" si="1"/>
        <v/>
      </c>
      <c r="R302" s="51"/>
      <c r="S302" s="51"/>
      <c r="T302" s="51"/>
      <c r="U302" s="40"/>
      <c r="V302" s="54"/>
      <c r="W302" s="55"/>
      <c r="X302" s="56"/>
      <c r="Y302" s="88"/>
      <c r="Z302" s="88"/>
      <c r="AA302" s="88"/>
      <c r="AB302" s="88"/>
    </row>
    <row r="303" spans="1:28">
      <c r="A303" s="38">
        <v>302</v>
      </c>
      <c r="B303" s="51"/>
      <c r="C303" s="40"/>
      <c r="D303" s="38"/>
      <c r="E303" s="38" t="s">
        <v>1336</v>
      </c>
      <c r="F303" s="43" t="s">
        <v>1337</v>
      </c>
      <c r="G303" s="44"/>
      <c r="H303" s="45"/>
      <c r="I303" s="38"/>
      <c r="J303" s="38">
        <f>27*1000</f>
        <v>27000</v>
      </c>
      <c r="K303" s="46">
        <v>4.0474537037037038E-2</v>
      </c>
      <c r="L303" s="47" t="s">
        <v>1283</v>
      </c>
      <c r="M303" s="48"/>
      <c r="N303" s="48"/>
      <c r="O303" s="48">
        <f t="shared" si="0"/>
        <v>0</v>
      </c>
      <c r="P303" s="38"/>
      <c r="Q303" s="14" t="str">
        <f t="shared" ca="1" si="1"/>
        <v/>
      </c>
      <c r="R303" s="51"/>
      <c r="S303" s="51"/>
      <c r="T303" s="51"/>
      <c r="U303" s="40"/>
      <c r="V303" s="54"/>
      <c r="W303" s="55"/>
      <c r="X303" s="56"/>
      <c r="Y303" s="88"/>
      <c r="Z303" s="88"/>
      <c r="AA303" s="88"/>
      <c r="AB303" s="88"/>
    </row>
    <row r="304" spans="1:28">
      <c r="A304" s="38">
        <v>303</v>
      </c>
      <c r="B304" s="51"/>
      <c r="C304" s="40"/>
      <c r="D304" s="38"/>
      <c r="E304" s="38" t="s">
        <v>1338</v>
      </c>
      <c r="F304" s="43" t="s">
        <v>1339</v>
      </c>
      <c r="G304" s="44"/>
      <c r="H304" s="45"/>
      <c r="I304" s="38"/>
      <c r="J304" s="38">
        <f>7.5*1000</f>
        <v>7500</v>
      </c>
      <c r="K304" s="46">
        <v>9.9988425925925925E-2</v>
      </c>
      <c r="L304" s="47" t="s">
        <v>1283</v>
      </c>
      <c r="M304" s="48"/>
      <c r="N304" s="48"/>
      <c r="O304" s="48">
        <f t="shared" si="0"/>
        <v>0</v>
      </c>
      <c r="P304" s="38"/>
      <c r="Q304" s="14" t="str">
        <f t="shared" ca="1" si="1"/>
        <v/>
      </c>
      <c r="R304" s="51"/>
      <c r="S304" s="51"/>
      <c r="T304" s="51"/>
      <c r="U304" s="40"/>
      <c r="V304" s="54"/>
      <c r="W304" s="55"/>
      <c r="X304" s="56"/>
      <c r="Y304" s="88"/>
      <c r="Z304" s="88"/>
      <c r="AA304" s="88"/>
      <c r="AB304" s="88"/>
    </row>
    <row r="305" spans="1:28">
      <c r="A305" s="38">
        <v>304</v>
      </c>
      <c r="B305" s="51"/>
      <c r="C305" s="40"/>
      <c r="D305" s="38"/>
      <c r="E305" s="38" t="s">
        <v>1340</v>
      </c>
      <c r="F305" s="43" t="s">
        <v>1341</v>
      </c>
      <c r="G305" s="44"/>
      <c r="H305" s="45"/>
      <c r="I305" s="38"/>
      <c r="J305" s="38">
        <f>5.7*1000</f>
        <v>5700</v>
      </c>
      <c r="K305" s="46">
        <v>8.6851851851851847E-2</v>
      </c>
      <c r="L305" s="47" t="s">
        <v>1283</v>
      </c>
      <c r="M305" s="48"/>
      <c r="N305" s="48"/>
      <c r="O305" s="48">
        <f t="shared" si="0"/>
        <v>0</v>
      </c>
      <c r="P305" s="38"/>
      <c r="Q305" s="14" t="str">
        <f t="shared" ca="1" si="1"/>
        <v/>
      </c>
      <c r="R305" s="51"/>
      <c r="S305" s="51"/>
      <c r="T305" s="51"/>
      <c r="U305" s="40"/>
      <c r="V305" s="54"/>
      <c r="W305" s="55"/>
      <c r="X305" s="56"/>
      <c r="Y305" s="88"/>
      <c r="Z305" s="88"/>
      <c r="AA305" s="88"/>
      <c r="AB305" s="88"/>
    </row>
    <row r="306" spans="1:28">
      <c r="A306" s="38">
        <v>305</v>
      </c>
      <c r="B306" s="51"/>
      <c r="C306" s="40"/>
      <c r="D306" s="38"/>
      <c r="E306" s="38" t="s">
        <v>1342</v>
      </c>
      <c r="F306" s="43" t="s">
        <v>1343</v>
      </c>
      <c r="G306" s="44"/>
      <c r="H306" s="45"/>
      <c r="I306" s="38"/>
      <c r="J306" s="38">
        <f>20*1000</f>
        <v>20000</v>
      </c>
      <c r="K306" s="46">
        <v>0.1057523148148148</v>
      </c>
      <c r="L306" s="47" t="s">
        <v>1283</v>
      </c>
      <c r="M306" s="48"/>
      <c r="N306" s="48"/>
      <c r="O306" s="48">
        <f t="shared" si="0"/>
        <v>0</v>
      </c>
      <c r="P306" s="38"/>
      <c r="Q306" s="14" t="str">
        <f t="shared" ca="1" si="1"/>
        <v/>
      </c>
      <c r="R306" s="51"/>
      <c r="S306" s="51"/>
      <c r="T306" s="51"/>
      <c r="U306" s="40"/>
      <c r="V306" s="54"/>
      <c r="W306" s="55"/>
      <c r="X306" s="56"/>
      <c r="Y306" s="88"/>
      <c r="Z306" s="88"/>
      <c r="AA306" s="88"/>
      <c r="AB306" s="88"/>
    </row>
    <row r="307" spans="1:28">
      <c r="A307" s="38">
        <v>306</v>
      </c>
      <c r="B307" s="39" t="s">
        <v>596</v>
      </c>
      <c r="C307" s="40"/>
      <c r="D307" s="38"/>
      <c r="E307" s="38" t="s">
        <v>1344</v>
      </c>
      <c r="F307" s="43" t="s">
        <v>1345</v>
      </c>
      <c r="G307" s="44"/>
      <c r="H307" s="45"/>
      <c r="I307" s="38"/>
      <c r="J307" s="38">
        <f>6.3*1000</f>
        <v>6300</v>
      </c>
      <c r="K307" s="46">
        <v>5.4166666666666669E-2</v>
      </c>
      <c r="L307" s="47" t="s">
        <v>1283</v>
      </c>
      <c r="M307" s="48"/>
      <c r="N307" s="48"/>
      <c r="O307" s="48">
        <f t="shared" si="0"/>
        <v>0</v>
      </c>
      <c r="P307" s="38"/>
      <c r="Q307" s="14" t="str">
        <f t="shared" ca="1" si="1"/>
        <v/>
      </c>
      <c r="R307" s="51"/>
      <c r="S307" s="51"/>
      <c r="T307" s="51"/>
      <c r="U307" s="40"/>
      <c r="V307" s="54"/>
      <c r="W307" s="55"/>
      <c r="X307" s="56"/>
      <c r="Y307" s="88"/>
      <c r="Z307" s="88"/>
      <c r="AA307" s="88"/>
      <c r="AB307" s="88"/>
    </row>
    <row r="308" spans="1:28">
      <c r="A308" s="38">
        <v>307</v>
      </c>
      <c r="B308" s="51"/>
      <c r="C308" s="40"/>
      <c r="D308" s="38"/>
      <c r="E308" s="38" t="s">
        <v>1346</v>
      </c>
      <c r="F308" s="43" t="s">
        <v>1347</v>
      </c>
      <c r="G308" s="44"/>
      <c r="H308" s="45"/>
      <c r="I308" s="38"/>
      <c r="J308" s="38">
        <f>6.8*1000</f>
        <v>6800</v>
      </c>
      <c r="K308" s="46">
        <v>7.5856481481481483E-2</v>
      </c>
      <c r="L308" s="47" t="s">
        <v>1283</v>
      </c>
      <c r="M308" s="48"/>
      <c r="N308" s="48"/>
      <c r="O308" s="48">
        <f t="shared" si="0"/>
        <v>0</v>
      </c>
      <c r="P308" s="38"/>
      <c r="Q308" s="14" t="str">
        <f t="shared" ca="1" si="1"/>
        <v/>
      </c>
      <c r="R308" s="51"/>
      <c r="S308" s="51"/>
      <c r="T308" s="51"/>
      <c r="U308" s="40"/>
      <c r="V308" s="54"/>
      <c r="W308" s="55"/>
      <c r="X308" s="56"/>
      <c r="Y308" s="88"/>
      <c r="Z308" s="88"/>
      <c r="AA308" s="88"/>
      <c r="AB308" s="88"/>
    </row>
    <row r="309" spans="1:28">
      <c r="A309" s="38">
        <v>308</v>
      </c>
      <c r="B309" s="51"/>
      <c r="C309" s="40"/>
      <c r="D309" s="38"/>
      <c r="E309" s="38" t="s">
        <v>1348</v>
      </c>
      <c r="F309" s="43" t="s">
        <v>1349</v>
      </c>
      <c r="G309" s="44"/>
      <c r="H309" s="45"/>
      <c r="I309" s="38"/>
      <c r="J309" s="38">
        <f>9.9*1000</f>
        <v>9900</v>
      </c>
      <c r="K309" s="46">
        <v>6.2291666666666669E-2</v>
      </c>
      <c r="L309" s="47" t="s">
        <v>1283</v>
      </c>
      <c r="M309" s="48"/>
      <c r="N309" s="48"/>
      <c r="O309" s="48">
        <f t="shared" si="0"/>
        <v>0</v>
      </c>
      <c r="P309" s="38"/>
      <c r="Q309" s="14" t="str">
        <f t="shared" ca="1" si="1"/>
        <v/>
      </c>
      <c r="R309" s="51"/>
      <c r="S309" s="51"/>
      <c r="T309" s="51"/>
      <c r="U309" s="40"/>
      <c r="V309" s="54"/>
      <c r="W309" s="55"/>
      <c r="X309" s="56"/>
      <c r="Y309" s="88"/>
      <c r="Z309" s="88"/>
      <c r="AA309" s="88"/>
      <c r="AB309" s="88"/>
    </row>
    <row r="310" spans="1:28">
      <c r="A310" s="38">
        <v>309</v>
      </c>
      <c r="B310" s="51"/>
      <c r="C310" s="40"/>
      <c r="D310" s="38"/>
      <c r="E310" s="38" t="s">
        <v>1350</v>
      </c>
      <c r="F310" s="43" t="s">
        <v>1351</v>
      </c>
      <c r="G310" s="44"/>
      <c r="H310" s="45"/>
      <c r="I310" s="38"/>
      <c r="J310" s="38">
        <f>849</f>
        <v>849</v>
      </c>
      <c r="K310" s="46">
        <v>3.9004629629629632E-3</v>
      </c>
      <c r="L310" s="47" t="s">
        <v>1283</v>
      </c>
      <c r="M310" s="48"/>
      <c r="N310" s="48"/>
      <c r="O310" s="48">
        <f t="shared" si="0"/>
        <v>0</v>
      </c>
      <c r="P310" s="38"/>
      <c r="Q310" s="14" t="str">
        <f t="shared" ca="1" si="1"/>
        <v/>
      </c>
      <c r="R310" s="51"/>
      <c r="S310" s="51"/>
      <c r="T310" s="51"/>
      <c r="U310" s="40"/>
      <c r="V310" s="54"/>
      <c r="W310" s="55"/>
      <c r="X310" s="56"/>
      <c r="Y310" s="88"/>
      <c r="Z310" s="88"/>
      <c r="AA310" s="88"/>
      <c r="AB310" s="88"/>
    </row>
    <row r="311" spans="1:28">
      <c r="A311" s="38">
        <v>310</v>
      </c>
      <c r="B311" s="51"/>
      <c r="C311" s="40"/>
      <c r="D311" s="38"/>
      <c r="E311" s="38" t="s">
        <v>1352</v>
      </c>
      <c r="F311" s="43" t="s">
        <v>1353</v>
      </c>
      <c r="G311" s="44"/>
      <c r="H311" s="45"/>
      <c r="I311" s="38"/>
      <c r="J311" s="38">
        <f>799</f>
        <v>799</v>
      </c>
      <c r="K311" s="46">
        <v>3.8541666666666668E-3</v>
      </c>
      <c r="L311" s="47" t="s">
        <v>1283</v>
      </c>
      <c r="M311" s="48"/>
      <c r="N311" s="48"/>
      <c r="O311" s="48">
        <f t="shared" si="0"/>
        <v>0</v>
      </c>
      <c r="P311" s="38"/>
      <c r="Q311" s="14" t="str">
        <f t="shared" ca="1" si="1"/>
        <v/>
      </c>
      <c r="R311" s="51"/>
      <c r="S311" s="51"/>
      <c r="T311" s="51"/>
      <c r="U311" s="40"/>
      <c r="V311" s="54"/>
      <c r="W311" s="55"/>
      <c r="X311" s="56"/>
      <c r="Y311" s="88"/>
      <c r="Z311" s="88"/>
      <c r="AA311" s="88"/>
      <c r="AB311" s="88"/>
    </row>
    <row r="312" spans="1:28">
      <c r="A312" s="38">
        <v>311</v>
      </c>
      <c r="B312" s="51"/>
      <c r="C312" s="40"/>
      <c r="D312" s="38"/>
      <c r="E312" s="38" t="s">
        <v>1354</v>
      </c>
      <c r="F312" s="43" t="s">
        <v>1355</v>
      </c>
      <c r="G312" s="44"/>
      <c r="H312" s="45"/>
      <c r="I312" s="38"/>
      <c r="J312" s="38">
        <f t="shared" ref="J312:J313" si="10">1.4*1000</f>
        <v>1400</v>
      </c>
      <c r="K312" s="46">
        <v>4.8726851851851856E-3</v>
      </c>
      <c r="L312" s="47" t="s">
        <v>1283</v>
      </c>
      <c r="M312" s="48"/>
      <c r="N312" s="48"/>
      <c r="O312" s="48">
        <f t="shared" si="0"/>
        <v>0</v>
      </c>
      <c r="P312" s="38"/>
      <c r="Q312" s="14" t="str">
        <f t="shared" ca="1" si="1"/>
        <v/>
      </c>
      <c r="R312" s="51"/>
      <c r="S312" s="51"/>
      <c r="T312" s="51"/>
      <c r="U312" s="40"/>
      <c r="V312" s="54"/>
      <c r="W312" s="55"/>
      <c r="X312" s="56"/>
      <c r="Y312" s="88"/>
      <c r="Z312" s="88"/>
      <c r="AA312" s="88"/>
      <c r="AB312" s="88"/>
    </row>
    <row r="313" spans="1:28">
      <c r="A313" s="38">
        <v>312</v>
      </c>
      <c r="B313" s="51"/>
      <c r="C313" s="40"/>
      <c r="D313" s="38"/>
      <c r="E313" s="38" t="s">
        <v>1356</v>
      </c>
      <c r="F313" s="43" t="s">
        <v>1357</v>
      </c>
      <c r="G313" s="44"/>
      <c r="H313" s="45"/>
      <c r="I313" s="38"/>
      <c r="J313" s="38">
        <f t="shared" si="10"/>
        <v>1400</v>
      </c>
      <c r="K313" s="46">
        <v>8.7499999999999991E-3</v>
      </c>
      <c r="L313" s="47" t="s">
        <v>1283</v>
      </c>
      <c r="M313" s="48"/>
      <c r="N313" s="48"/>
      <c r="O313" s="48">
        <f t="shared" si="0"/>
        <v>0</v>
      </c>
      <c r="P313" s="38"/>
      <c r="Q313" s="14" t="str">
        <f t="shared" ca="1" si="1"/>
        <v/>
      </c>
      <c r="R313" s="51"/>
      <c r="S313" s="51"/>
      <c r="T313" s="51"/>
      <c r="U313" s="40"/>
      <c r="V313" s="54"/>
      <c r="W313" s="55"/>
      <c r="X313" s="56"/>
      <c r="Y313" s="88"/>
      <c r="Z313" s="88"/>
      <c r="AA313" s="88"/>
      <c r="AB313" s="88"/>
    </row>
    <row r="314" spans="1:28">
      <c r="A314" s="38">
        <v>313</v>
      </c>
      <c r="B314" s="51"/>
      <c r="C314" s="40"/>
      <c r="D314" s="38"/>
      <c r="E314" s="38" t="s">
        <v>1358</v>
      </c>
      <c r="F314" s="43" t="s">
        <v>1359</v>
      </c>
      <c r="G314" s="44"/>
      <c r="H314" s="45"/>
      <c r="I314" s="38"/>
      <c r="J314" s="38">
        <f>3.5*1000</f>
        <v>3500</v>
      </c>
      <c r="K314" s="46">
        <v>1.1180555555555556E-2</v>
      </c>
      <c r="L314" s="47" t="s">
        <v>1283</v>
      </c>
      <c r="M314" s="48"/>
      <c r="N314" s="48"/>
      <c r="O314" s="48">
        <f t="shared" si="0"/>
        <v>0</v>
      </c>
      <c r="P314" s="38"/>
      <c r="Q314" s="14" t="str">
        <f t="shared" ca="1" si="1"/>
        <v/>
      </c>
      <c r="R314" s="51"/>
      <c r="S314" s="51"/>
      <c r="T314" s="51"/>
      <c r="U314" s="40"/>
      <c r="V314" s="54"/>
      <c r="W314" s="55"/>
      <c r="X314" s="56"/>
      <c r="Y314" s="88"/>
      <c r="Z314" s="88"/>
      <c r="AA314" s="88"/>
      <c r="AB314" s="88"/>
    </row>
    <row r="315" spans="1:28">
      <c r="A315" s="38">
        <v>314</v>
      </c>
      <c r="B315" s="51"/>
      <c r="C315" s="40"/>
      <c r="D315" s="38"/>
      <c r="E315" s="38" t="s">
        <v>1360</v>
      </c>
      <c r="F315" s="43" t="s">
        <v>1361</v>
      </c>
      <c r="G315" s="44"/>
      <c r="H315" s="45"/>
      <c r="I315" s="38"/>
      <c r="J315" s="38">
        <f>2.6*1000</f>
        <v>2600</v>
      </c>
      <c r="K315" s="46">
        <v>2.4664351851851851E-2</v>
      </c>
      <c r="L315" s="47" t="s">
        <v>1283</v>
      </c>
      <c r="M315" s="48"/>
      <c r="N315" s="48"/>
      <c r="O315" s="48">
        <f t="shared" si="0"/>
        <v>0</v>
      </c>
      <c r="P315" s="38"/>
      <c r="Q315" s="14" t="str">
        <f t="shared" ca="1" si="1"/>
        <v/>
      </c>
      <c r="R315" s="51"/>
      <c r="S315" s="51"/>
      <c r="T315" s="51"/>
      <c r="U315" s="40"/>
      <c r="V315" s="54"/>
      <c r="W315" s="55"/>
      <c r="X315" s="56"/>
      <c r="Y315" s="88"/>
      <c r="Z315" s="88"/>
      <c r="AA315" s="88"/>
      <c r="AB315" s="88"/>
    </row>
    <row r="316" spans="1:28">
      <c r="A316" s="38">
        <v>315</v>
      </c>
      <c r="B316" s="51"/>
      <c r="C316" s="40"/>
      <c r="D316" s="38"/>
      <c r="E316" s="38" t="s">
        <v>1362</v>
      </c>
      <c r="F316" s="43" t="s">
        <v>1363</v>
      </c>
      <c r="G316" s="44"/>
      <c r="H316" s="45"/>
      <c r="I316" s="38"/>
      <c r="J316" s="38">
        <f>2.9*1000</f>
        <v>2900</v>
      </c>
      <c r="K316" s="46">
        <v>2.2835648148148147E-2</v>
      </c>
      <c r="L316" s="47" t="s">
        <v>1283</v>
      </c>
      <c r="M316" s="48"/>
      <c r="N316" s="48"/>
      <c r="O316" s="48">
        <f t="shared" si="0"/>
        <v>0</v>
      </c>
      <c r="P316" s="38"/>
      <c r="Q316" s="14" t="str">
        <f t="shared" ca="1" si="1"/>
        <v/>
      </c>
      <c r="R316" s="51"/>
      <c r="S316" s="51"/>
      <c r="T316" s="51"/>
      <c r="U316" s="40"/>
      <c r="V316" s="54"/>
      <c r="W316" s="55"/>
      <c r="X316" s="56"/>
      <c r="Y316" s="88"/>
      <c r="Z316" s="88"/>
      <c r="AA316" s="88"/>
      <c r="AB316" s="88"/>
    </row>
    <row r="317" spans="1:28">
      <c r="A317" s="38">
        <v>316</v>
      </c>
      <c r="B317" s="51"/>
      <c r="C317" s="40"/>
      <c r="D317" s="38"/>
      <c r="E317" s="38" t="s">
        <v>1364</v>
      </c>
      <c r="F317" s="43" t="s">
        <v>1365</v>
      </c>
      <c r="G317" s="44"/>
      <c r="H317" s="45"/>
      <c r="I317" s="38"/>
      <c r="J317" s="38">
        <f>6*1000</f>
        <v>6000</v>
      </c>
      <c r="K317" s="46">
        <v>2.0949074074074075E-2</v>
      </c>
      <c r="L317" s="47" t="s">
        <v>1283</v>
      </c>
      <c r="M317" s="48"/>
      <c r="N317" s="48"/>
      <c r="O317" s="48">
        <f t="shared" si="0"/>
        <v>0</v>
      </c>
      <c r="P317" s="38"/>
      <c r="Q317" s="14" t="str">
        <f t="shared" ca="1" si="1"/>
        <v/>
      </c>
      <c r="R317" s="51"/>
      <c r="S317" s="51"/>
      <c r="T317" s="51"/>
      <c r="U317" s="40"/>
      <c r="V317" s="54"/>
      <c r="W317" s="55"/>
      <c r="X317" s="56"/>
      <c r="Y317" s="88"/>
      <c r="Z317" s="88"/>
      <c r="AA317" s="88"/>
      <c r="AB317" s="88"/>
    </row>
    <row r="318" spans="1:28">
      <c r="A318" s="38">
        <v>317</v>
      </c>
      <c r="B318" s="51"/>
      <c r="C318" s="40"/>
      <c r="D318" s="38"/>
      <c r="E318" s="38" t="s">
        <v>1366</v>
      </c>
      <c r="F318" s="43" t="s">
        <v>1367</v>
      </c>
      <c r="G318" s="44"/>
      <c r="H318" s="45"/>
      <c r="I318" s="38"/>
      <c r="J318" s="38">
        <f>3*1000</f>
        <v>3000</v>
      </c>
      <c r="K318" s="46">
        <v>1.1597222222222222E-2</v>
      </c>
      <c r="L318" s="47" t="s">
        <v>1283</v>
      </c>
      <c r="M318" s="48"/>
      <c r="N318" s="48"/>
      <c r="O318" s="48">
        <f t="shared" si="0"/>
        <v>0</v>
      </c>
      <c r="P318" s="38"/>
      <c r="Q318" s="14" t="str">
        <f t="shared" ca="1" si="1"/>
        <v/>
      </c>
      <c r="R318" s="51"/>
      <c r="S318" s="51"/>
      <c r="T318" s="51"/>
      <c r="U318" s="40"/>
      <c r="V318" s="54"/>
      <c r="W318" s="55"/>
      <c r="X318" s="56"/>
      <c r="Y318" s="88"/>
      <c r="Z318" s="88"/>
      <c r="AA318" s="88"/>
      <c r="AB318" s="88"/>
    </row>
    <row r="319" spans="1:28">
      <c r="A319" s="38">
        <v>318</v>
      </c>
      <c r="B319" s="39" t="s">
        <v>497</v>
      </c>
      <c r="C319" s="40"/>
      <c r="D319" s="42" t="s">
        <v>139</v>
      </c>
      <c r="E319" s="38" t="s">
        <v>1368</v>
      </c>
      <c r="F319" s="43" t="s">
        <v>1369</v>
      </c>
      <c r="G319" s="44"/>
      <c r="H319" s="45"/>
      <c r="I319" s="38"/>
      <c r="J319" s="38">
        <f>70*1000</f>
        <v>70000</v>
      </c>
      <c r="K319" s="46">
        <v>6.6006944444444438E-2</v>
      </c>
      <c r="L319" s="47" t="s">
        <v>1283</v>
      </c>
      <c r="M319" s="48"/>
      <c r="N319" s="48"/>
      <c r="O319" s="48">
        <f t="shared" si="0"/>
        <v>0</v>
      </c>
      <c r="P319" s="38"/>
      <c r="Q319" s="14" t="str">
        <f t="shared" ca="1" si="1"/>
        <v/>
      </c>
      <c r="R319" s="51"/>
      <c r="S319" s="51"/>
      <c r="T319" s="51"/>
      <c r="U319" s="40"/>
      <c r="V319" s="54"/>
      <c r="W319" s="55"/>
      <c r="X319" s="56"/>
      <c r="Y319" s="88"/>
      <c r="Z319" s="88"/>
      <c r="AA319" s="88"/>
      <c r="AB319" s="88"/>
    </row>
    <row r="320" spans="1:28">
      <c r="A320" s="38">
        <v>319</v>
      </c>
      <c r="B320" s="39" t="s">
        <v>497</v>
      </c>
      <c r="C320" s="40"/>
      <c r="D320" s="42" t="s">
        <v>139</v>
      </c>
      <c r="E320" s="38" t="s">
        <v>1370</v>
      </c>
      <c r="F320" s="43" t="s">
        <v>1371</v>
      </c>
      <c r="G320" s="44"/>
      <c r="H320" s="45"/>
      <c r="I320" s="38"/>
      <c r="J320" s="38">
        <f>28*1000</f>
        <v>28000</v>
      </c>
      <c r="K320" s="46">
        <v>9.2581018518518521E-2</v>
      </c>
      <c r="L320" s="47" t="s">
        <v>1283</v>
      </c>
      <c r="M320" s="48"/>
      <c r="N320" s="48"/>
      <c r="O320" s="48">
        <f t="shared" si="0"/>
        <v>0</v>
      </c>
      <c r="P320" s="38"/>
      <c r="Q320" s="14" t="str">
        <f t="shared" ca="1" si="1"/>
        <v/>
      </c>
      <c r="R320" s="51"/>
      <c r="S320" s="51"/>
      <c r="T320" s="51"/>
      <c r="U320" s="40"/>
      <c r="V320" s="54"/>
      <c r="W320" s="55"/>
      <c r="X320" s="56"/>
      <c r="Y320" s="88"/>
      <c r="Z320" s="88"/>
      <c r="AA320" s="88"/>
      <c r="AB320" s="88"/>
    </row>
    <row r="321" spans="1:28">
      <c r="A321" s="38">
        <v>320</v>
      </c>
      <c r="B321" s="51"/>
      <c r="C321" s="40"/>
      <c r="D321" s="38"/>
      <c r="E321" s="38" t="s">
        <v>1372</v>
      </c>
      <c r="F321" s="43" t="s">
        <v>1373</v>
      </c>
      <c r="G321" s="44"/>
      <c r="H321" s="45"/>
      <c r="I321" s="38"/>
      <c r="J321" s="38">
        <f>1.9*1000</f>
        <v>1900</v>
      </c>
      <c r="K321" s="46">
        <v>2.4652777777777776E-3</v>
      </c>
      <c r="L321" s="47" t="s">
        <v>1283</v>
      </c>
      <c r="M321" s="48"/>
      <c r="N321" s="48"/>
      <c r="O321" s="48">
        <f t="shared" si="0"/>
        <v>0</v>
      </c>
      <c r="P321" s="38"/>
      <c r="Q321" s="14" t="str">
        <f t="shared" ca="1" si="1"/>
        <v/>
      </c>
      <c r="R321" s="51"/>
      <c r="S321" s="51"/>
      <c r="T321" s="51"/>
      <c r="U321" s="40"/>
      <c r="V321" s="54"/>
      <c r="W321" s="55"/>
      <c r="X321" s="56"/>
      <c r="Y321" s="88"/>
      <c r="Z321" s="88"/>
      <c r="AA321" s="88"/>
      <c r="AB321" s="88"/>
    </row>
    <row r="322" spans="1:28">
      <c r="A322" s="38">
        <v>321</v>
      </c>
      <c r="B322" s="51"/>
      <c r="C322" s="40"/>
      <c r="D322" s="38"/>
      <c r="E322" s="38" t="s">
        <v>1374</v>
      </c>
      <c r="F322" s="43" t="s">
        <v>1375</v>
      </c>
      <c r="G322" s="44"/>
      <c r="H322" s="45"/>
      <c r="I322" s="38"/>
      <c r="J322" s="38">
        <f>2.1*1000</f>
        <v>2100</v>
      </c>
      <c r="K322" s="46">
        <v>1.712962962962963E-3</v>
      </c>
      <c r="L322" s="47" t="s">
        <v>1283</v>
      </c>
      <c r="M322" s="48"/>
      <c r="N322" s="48"/>
      <c r="O322" s="48">
        <f t="shared" si="0"/>
        <v>0</v>
      </c>
      <c r="P322" s="38"/>
      <c r="Q322" s="14" t="str">
        <f t="shared" ca="1" si="1"/>
        <v/>
      </c>
      <c r="R322" s="51"/>
      <c r="S322" s="51"/>
      <c r="T322" s="51"/>
      <c r="U322" s="40"/>
      <c r="V322" s="54"/>
      <c r="W322" s="55"/>
      <c r="X322" s="56"/>
      <c r="Y322" s="88"/>
      <c r="Z322" s="88"/>
      <c r="AA322" s="88"/>
      <c r="AB322" s="88"/>
    </row>
    <row r="323" spans="1:28">
      <c r="A323" s="38">
        <v>322</v>
      </c>
      <c r="B323" s="51"/>
      <c r="C323" s="40"/>
      <c r="D323" s="38"/>
      <c r="E323" s="38" t="s">
        <v>1376</v>
      </c>
      <c r="F323" s="43" t="s">
        <v>1377</v>
      </c>
      <c r="G323" s="44"/>
      <c r="H323" s="45"/>
      <c r="I323" s="38"/>
      <c r="J323" s="38">
        <f>7.6*1000</f>
        <v>7600</v>
      </c>
      <c r="K323" s="46">
        <v>3.4490740740740745E-3</v>
      </c>
      <c r="L323" s="47" t="s">
        <v>1283</v>
      </c>
      <c r="M323" s="48"/>
      <c r="N323" s="48"/>
      <c r="O323" s="48">
        <f t="shared" si="0"/>
        <v>0</v>
      </c>
      <c r="P323" s="38"/>
      <c r="Q323" s="14" t="str">
        <f t="shared" ca="1" si="1"/>
        <v/>
      </c>
      <c r="R323" s="51"/>
      <c r="S323" s="51"/>
      <c r="T323" s="51"/>
      <c r="U323" s="40"/>
      <c r="V323" s="54"/>
      <c r="W323" s="55"/>
      <c r="X323" s="56"/>
      <c r="Y323" s="88"/>
      <c r="Z323" s="88"/>
      <c r="AA323" s="88"/>
      <c r="AB323" s="88"/>
    </row>
    <row r="324" spans="1:28">
      <c r="A324" s="38">
        <v>323</v>
      </c>
      <c r="B324" s="51"/>
      <c r="C324" s="40"/>
      <c r="D324" s="38"/>
      <c r="E324" s="38" t="s">
        <v>1378</v>
      </c>
      <c r="F324" s="43" t="s">
        <v>1379</v>
      </c>
      <c r="G324" s="44"/>
      <c r="H324" s="45"/>
      <c r="I324" s="38"/>
      <c r="J324" s="38">
        <f>944</f>
        <v>944</v>
      </c>
      <c r="K324" s="46">
        <v>9.479166666666667E-3</v>
      </c>
      <c r="L324" s="47" t="s">
        <v>1283</v>
      </c>
      <c r="M324" s="48"/>
      <c r="N324" s="48"/>
      <c r="O324" s="48">
        <f t="shared" si="0"/>
        <v>0</v>
      </c>
      <c r="P324" s="38"/>
      <c r="Q324" s="14" t="str">
        <f t="shared" ca="1" si="1"/>
        <v/>
      </c>
      <c r="R324" s="51"/>
      <c r="S324" s="51"/>
      <c r="T324" s="51"/>
      <c r="U324" s="40"/>
      <c r="V324" s="54"/>
      <c r="W324" s="55"/>
      <c r="X324" s="56"/>
      <c r="Y324" s="88"/>
      <c r="Z324" s="88"/>
      <c r="AA324" s="88"/>
      <c r="AB324" s="88"/>
    </row>
    <row r="325" spans="1:28">
      <c r="A325" s="38">
        <v>324</v>
      </c>
      <c r="B325" s="51"/>
      <c r="C325" s="40"/>
      <c r="D325" s="38"/>
      <c r="E325" s="38" t="s">
        <v>1380</v>
      </c>
      <c r="F325" s="43" t="s">
        <v>1381</v>
      </c>
      <c r="G325" s="44"/>
      <c r="H325" s="45"/>
      <c r="I325" s="38"/>
      <c r="J325" s="38">
        <f>545</f>
        <v>545</v>
      </c>
      <c r="K325" s="46">
        <v>1.5972222222222221E-3</v>
      </c>
      <c r="L325" s="47" t="s">
        <v>1283</v>
      </c>
      <c r="M325" s="48"/>
      <c r="N325" s="48"/>
      <c r="O325" s="48">
        <f t="shared" si="0"/>
        <v>0</v>
      </c>
      <c r="P325" s="38"/>
      <c r="Q325" s="14" t="str">
        <f t="shared" ca="1" si="1"/>
        <v/>
      </c>
      <c r="R325" s="51"/>
      <c r="S325" s="51"/>
      <c r="T325" s="51"/>
      <c r="U325" s="40"/>
      <c r="V325" s="54"/>
      <c r="W325" s="55"/>
      <c r="X325" s="56"/>
      <c r="Y325" s="88"/>
      <c r="Z325" s="88"/>
      <c r="AA325" s="88"/>
      <c r="AB325" s="88"/>
    </row>
    <row r="326" spans="1:28">
      <c r="A326" s="38">
        <v>325</v>
      </c>
      <c r="B326" s="51"/>
      <c r="C326" s="40"/>
      <c r="D326" s="38"/>
      <c r="E326" s="38" t="s">
        <v>1382</v>
      </c>
      <c r="F326" s="43" t="s">
        <v>1383</v>
      </c>
      <c r="G326" s="44"/>
      <c r="H326" s="45"/>
      <c r="I326" s="38"/>
      <c r="J326" s="38">
        <f>626</f>
        <v>626</v>
      </c>
      <c r="K326" s="46">
        <v>1.5740740740740741E-3</v>
      </c>
      <c r="L326" s="47" t="s">
        <v>1283</v>
      </c>
      <c r="M326" s="48"/>
      <c r="N326" s="48"/>
      <c r="O326" s="48">
        <f t="shared" si="0"/>
        <v>0</v>
      </c>
      <c r="P326" s="38"/>
      <c r="Q326" s="14" t="str">
        <f t="shared" ca="1" si="1"/>
        <v/>
      </c>
      <c r="R326" s="51"/>
      <c r="S326" s="51"/>
      <c r="T326" s="51"/>
      <c r="U326" s="40"/>
      <c r="V326" s="54"/>
      <c r="W326" s="55"/>
      <c r="X326" s="56"/>
      <c r="Y326" s="88"/>
      <c r="Z326" s="88"/>
      <c r="AA326" s="88"/>
      <c r="AB326" s="88"/>
    </row>
    <row r="327" spans="1:28">
      <c r="A327" s="38">
        <v>326</v>
      </c>
      <c r="B327" s="51"/>
      <c r="C327" s="40"/>
      <c r="D327" s="38"/>
      <c r="E327" s="38" t="s">
        <v>1384</v>
      </c>
      <c r="F327" s="43" t="s">
        <v>1385</v>
      </c>
      <c r="G327" s="44"/>
      <c r="H327" s="45"/>
      <c r="I327" s="38"/>
      <c r="J327" s="38">
        <f>1.5*1000</f>
        <v>1500</v>
      </c>
      <c r="K327" s="46">
        <v>5.4861111111111117E-3</v>
      </c>
      <c r="L327" s="47" t="s">
        <v>1283</v>
      </c>
      <c r="M327" s="48"/>
      <c r="N327" s="48"/>
      <c r="O327" s="48">
        <f t="shared" si="0"/>
        <v>0</v>
      </c>
      <c r="P327" s="38"/>
      <c r="Q327" s="14" t="str">
        <f t="shared" ca="1" si="1"/>
        <v/>
      </c>
      <c r="R327" s="51"/>
      <c r="S327" s="51"/>
      <c r="T327" s="51"/>
      <c r="U327" s="40"/>
      <c r="V327" s="54"/>
      <c r="W327" s="55"/>
      <c r="X327" s="56"/>
      <c r="Y327" s="88"/>
      <c r="Z327" s="88"/>
      <c r="AA327" s="88"/>
      <c r="AB327" s="88"/>
    </row>
    <row r="328" spans="1:28">
      <c r="A328" s="38">
        <v>327</v>
      </c>
      <c r="B328" s="51"/>
      <c r="C328" s="40"/>
      <c r="D328" s="38"/>
      <c r="E328" s="38" t="s">
        <v>1386</v>
      </c>
      <c r="F328" s="43" t="s">
        <v>1387</v>
      </c>
      <c r="G328" s="44"/>
      <c r="H328" s="45"/>
      <c r="I328" s="38"/>
      <c r="J328" s="38">
        <f>1.6*1000</f>
        <v>1600</v>
      </c>
      <c r="K328" s="46">
        <v>5.0694444444444441E-3</v>
      </c>
      <c r="L328" s="47" t="s">
        <v>1283</v>
      </c>
      <c r="M328" s="48"/>
      <c r="N328" s="48"/>
      <c r="O328" s="48">
        <f t="shared" si="0"/>
        <v>0</v>
      </c>
      <c r="P328" s="38"/>
      <c r="Q328" s="14" t="str">
        <f t="shared" ca="1" si="1"/>
        <v/>
      </c>
      <c r="R328" s="51"/>
      <c r="S328" s="51"/>
      <c r="T328" s="51"/>
      <c r="U328" s="40"/>
      <c r="V328" s="54"/>
      <c r="W328" s="55"/>
      <c r="X328" s="56"/>
      <c r="Y328" s="88"/>
      <c r="Z328" s="88"/>
      <c r="AA328" s="88"/>
      <c r="AB328" s="88"/>
    </row>
    <row r="329" spans="1:28">
      <c r="A329" s="38">
        <v>328</v>
      </c>
      <c r="B329" s="39" t="s">
        <v>596</v>
      </c>
      <c r="C329" s="40"/>
      <c r="D329" s="42" t="s">
        <v>139</v>
      </c>
      <c r="E329" s="38" t="s">
        <v>1388</v>
      </c>
      <c r="F329" s="43" t="s">
        <v>1389</v>
      </c>
      <c r="G329" s="44"/>
      <c r="H329" s="45"/>
      <c r="I329" s="38"/>
      <c r="J329" s="38">
        <f>16*1000</f>
        <v>16000</v>
      </c>
      <c r="K329" s="46">
        <v>6.0740740740740741E-2</v>
      </c>
      <c r="L329" s="47" t="s">
        <v>1283</v>
      </c>
      <c r="M329" s="48"/>
      <c r="N329" s="48"/>
      <c r="O329" s="48">
        <f t="shared" si="0"/>
        <v>0</v>
      </c>
      <c r="P329" s="38"/>
      <c r="Q329" s="14" t="str">
        <f t="shared" ca="1" si="1"/>
        <v/>
      </c>
      <c r="R329" s="51"/>
      <c r="S329" s="51"/>
      <c r="T329" s="51"/>
      <c r="U329" s="40"/>
      <c r="V329" s="54"/>
      <c r="W329" s="55"/>
      <c r="X329" s="56"/>
      <c r="Y329" s="88"/>
      <c r="Z329" s="88"/>
      <c r="AA329" s="88"/>
      <c r="AB329" s="88"/>
    </row>
    <row r="330" spans="1:28">
      <c r="A330" s="38">
        <v>329</v>
      </c>
      <c r="B330" s="51"/>
      <c r="C330" s="40"/>
      <c r="D330" s="38"/>
      <c r="E330" s="38" t="s">
        <v>1390</v>
      </c>
      <c r="F330" s="43" t="s">
        <v>1391</v>
      </c>
      <c r="G330" s="44"/>
      <c r="H330" s="45"/>
      <c r="I330" s="38"/>
      <c r="J330" s="38">
        <f>1.5*1000</f>
        <v>1500</v>
      </c>
      <c r="K330" s="46">
        <v>2.0023148148148148E-3</v>
      </c>
      <c r="L330" s="47" t="s">
        <v>1283</v>
      </c>
      <c r="M330" s="48"/>
      <c r="N330" s="48"/>
      <c r="O330" s="48">
        <f t="shared" si="0"/>
        <v>0</v>
      </c>
      <c r="P330" s="38"/>
      <c r="Q330" s="14" t="str">
        <f t="shared" ca="1" si="1"/>
        <v/>
      </c>
      <c r="R330" s="51"/>
      <c r="S330" s="51"/>
      <c r="T330" s="51"/>
      <c r="U330" s="40"/>
      <c r="V330" s="54"/>
      <c r="W330" s="55"/>
      <c r="X330" s="56"/>
      <c r="Y330" s="88"/>
      <c r="Z330" s="88"/>
      <c r="AA330" s="88"/>
      <c r="AB330" s="88"/>
    </row>
    <row r="331" spans="1:28">
      <c r="A331" s="38">
        <v>330</v>
      </c>
      <c r="B331" s="51"/>
      <c r="C331" s="40"/>
      <c r="D331" s="38"/>
      <c r="E331" s="38" t="s">
        <v>1392</v>
      </c>
      <c r="F331" s="43" t="s">
        <v>1393</v>
      </c>
      <c r="G331" s="44"/>
      <c r="H331" s="45"/>
      <c r="I331" s="38"/>
      <c r="J331" s="38">
        <f>1.2*1000</f>
        <v>1200</v>
      </c>
      <c r="K331" s="46">
        <v>7.8703703703703705E-4</v>
      </c>
      <c r="L331" s="47" t="s">
        <v>1283</v>
      </c>
      <c r="M331" s="48"/>
      <c r="N331" s="48"/>
      <c r="O331" s="48">
        <f t="shared" si="0"/>
        <v>0</v>
      </c>
      <c r="P331" s="38"/>
      <c r="Q331" s="14" t="str">
        <f t="shared" ca="1" si="1"/>
        <v/>
      </c>
      <c r="R331" s="51"/>
      <c r="S331" s="51"/>
      <c r="T331" s="51"/>
      <c r="U331" s="40"/>
      <c r="V331" s="54"/>
      <c r="W331" s="55"/>
      <c r="X331" s="56"/>
      <c r="Y331" s="88"/>
      <c r="Z331" s="88"/>
      <c r="AA331" s="88"/>
      <c r="AB331" s="88"/>
    </row>
    <row r="332" spans="1:28">
      <c r="A332" s="38">
        <v>331</v>
      </c>
      <c r="B332" s="51"/>
      <c r="C332" s="40"/>
      <c r="D332" s="38"/>
      <c r="E332" s="38" t="s">
        <v>1394</v>
      </c>
      <c r="F332" s="43" t="s">
        <v>1395</v>
      </c>
      <c r="G332" s="44"/>
      <c r="H332" s="45"/>
      <c r="I332" s="38"/>
      <c r="J332" s="38">
        <f>9.3*1000</f>
        <v>9300</v>
      </c>
      <c r="K332" s="46">
        <v>6.2499999999999995E-3</v>
      </c>
      <c r="L332" s="47" t="s">
        <v>1283</v>
      </c>
      <c r="M332" s="48"/>
      <c r="N332" s="48"/>
      <c r="O332" s="48">
        <f t="shared" si="0"/>
        <v>0</v>
      </c>
      <c r="P332" s="38"/>
      <c r="Q332" s="14" t="str">
        <f t="shared" ca="1" si="1"/>
        <v/>
      </c>
      <c r="R332" s="51"/>
      <c r="S332" s="51"/>
      <c r="T332" s="51"/>
      <c r="U332" s="40"/>
      <c r="V332" s="54"/>
      <c r="W332" s="55"/>
      <c r="X332" s="56"/>
      <c r="Y332" s="88"/>
      <c r="Z332" s="88"/>
      <c r="AA332" s="88"/>
      <c r="AB332" s="88"/>
    </row>
    <row r="333" spans="1:28">
      <c r="A333" s="38">
        <v>332</v>
      </c>
      <c r="B333" s="51"/>
      <c r="C333" s="40"/>
      <c r="D333" s="38"/>
      <c r="E333" s="38" t="s">
        <v>1396</v>
      </c>
      <c r="F333" s="43" t="s">
        <v>1397</v>
      </c>
      <c r="G333" s="44"/>
      <c r="H333" s="45"/>
      <c r="I333" s="38"/>
      <c r="J333" s="38">
        <f>265</f>
        <v>265</v>
      </c>
      <c r="K333" s="46">
        <v>2.7199074074074074E-3</v>
      </c>
      <c r="L333" s="47" t="s">
        <v>1283</v>
      </c>
      <c r="M333" s="48"/>
      <c r="N333" s="48"/>
      <c r="O333" s="48">
        <f t="shared" si="0"/>
        <v>0</v>
      </c>
      <c r="P333" s="38"/>
      <c r="Q333" s="14" t="str">
        <f t="shared" ca="1" si="1"/>
        <v/>
      </c>
      <c r="R333" s="51"/>
      <c r="S333" s="51"/>
      <c r="T333" s="51"/>
      <c r="U333" s="40"/>
      <c r="V333" s="54"/>
      <c r="W333" s="55"/>
      <c r="X333" s="56"/>
      <c r="Y333" s="88"/>
      <c r="Z333" s="88"/>
      <c r="AA333" s="88"/>
      <c r="AB333" s="88"/>
    </row>
    <row r="334" spans="1:28">
      <c r="A334" s="38">
        <v>333</v>
      </c>
      <c r="B334" s="51"/>
      <c r="C334" s="40"/>
      <c r="D334" s="38"/>
      <c r="E334" s="38" t="s">
        <v>1398</v>
      </c>
      <c r="F334" s="43" t="s">
        <v>1399</v>
      </c>
      <c r="G334" s="44"/>
      <c r="H334" s="45"/>
      <c r="I334" s="38"/>
      <c r="J334" s="38">
        <f>238</f>
        <v>238</v>
      </c>
      <c r="K334" s="46">
        <v>2.6041666666666665E-3</v>
      </c>
      <c r="L334" s="47" t="s">
        <v>1283</v>
      </c>
      <c r="M334" s="48"/>
      <c r="N334" s="48"/>
      <c r="O334" s="48">
        <f t="shared" si="0"/>
        <v>0</v>
      </c>
      <c r="P334" s="38"/>
      <c r="Q334" s="14" t="str">
        <f t="shared" ca="1" si="1"/>
        <v/>
      </c>
      <c r="R334" s="51"/>
      <c r="S334" s="51"/>
      <c r="T334" s="51"/>
      <c r="U334" s="40"/>
      <c r="V334" s="54"/>
      <c r="W334" s="55"/>
      <c r="X334" s="56"/>
      <c r="Y334" s="88"/>
      <c r="Z334" s="88"/>
      <c r="AA334" s="88"/>
      <c r="AB334" s="88"/>
    </row>
    <row r="335" spans="1:28">
      <c r="A335" s="38">
        <v>334</v>
      </c>
      <c r="B335" s="51"/>
      <c r="C335" s="40"/>
      <c r="D335" s="38"/>
      <c r="E335" s="38" t="s">
        <v>1400</v>
      </c>
      <c r="F335" s="43" t="s">
        <v>1401</v>
      </c>
      <c r="G335" s="44"/>
      <c r="H335" s="45"/>
      <c r="I335" s="38"/>
      <c r="J335" s="38">
        <f>585</f>
        <v>585</v>
      </c>
      <c r="K335" s="46">
        <v>7.8125E-3</v>
      </c>
      <c r="L335" s="47" t="s">
        <v>1283</v>
      </c>
      <c r="M335" s="48"/>
      <c r="N335" s="48"/>
      <c r="O335" s="48">
        <f t="shared" si="0"/>
        <v>0</v>
      </c>
      <c r="P335" s="38"/>
      <c r="Q335" s="14" t="str">
        <f t="shared" ca="1" si="1"/>
        <v/>
      </c>
      <c r="R335" s="51"/>
      <c r="S335" s="51"/>
      <c r="T335" s="51"/>
      <c r="U335" s="40"/>
      <c r="V335" s="54"/>
      <c r="W335" s="55"/>
      <c r="X335" s="56"/>
      <c r="Y335" s="88"/>
      <c r="Z335" s="88"/>
      <c r="AA335" s="88"/>
      <c r="AB335" s="88"/>
    </row>
    <row r="336" spans="1:28">
      <c r="A336" s="38">
        <v>335</v>
      </c>
      <c r="B336" s="39" t="s">
        <v>596</v>
      </c>
      <c r="C336" s="40"/>
      <c r="D336" s="42" t="s">
        <v>139</v>
      </c>
      <c r="E336" s="38" t="s">
        <v>1402</v>
      </c>
      <c r="F336" s="43" t="s">
        <v>1403</v>
      </c>
      <c r="G336" s="44"/>
      <c r="H336" s="45"/>
      <c r="I336" s="38"/>
      <c r="J336" s="38">
        <f>8.8*1000</f>
        <v>8800</v>
      </c>
      <c r="K336" s="46">
        <v>3.9328703703703706E-2</v>
      </c>
      <c r="L336" s="47" t="s">
        <v>1283</v>
      </c>
      <c r="M336" s="48"/>
      <c r="N336" s="48"/>
      <c r="O336" s="48">
        <f t="shared" si="0"/>
        <v>0</v>
      </c>
      <c r="P336" s="38"/>
      <c r="Q336" s="14" t="str">
        <f t="shared" ca="1" si="1"/>
        <v/>
      </c>
      <c r="R336" s="51"/>
      <c r="S336" s="51"/>
      <c r="T336" s="51"/>
      <c r="U336" s="40"/>
      <c r="V336" s="54"/>
      <c r="W336" s="55"/>
      <c r="X336" s="56"/>
      <c r="Y336" s="88"/>
      <c r="Z336" s="88"/>
      <c r="AA336" s="88"/>
      <c r="AB336" s="88"/>
    </row>
    <row r="337" spans="1:28">
      <c r="A337" s="38">
        <v>336</v>
      </c>
      <c r="B337" s="51"/>
      <c r="C337" s="40"/>
      <c r="D337" s="38"/>
      <c r="E337" s="38" t="s">
        <v>1404</v>
      </c>
      <c r="F337" s="43" t="s">
        <v>1405</v>
      </c>
      <c r="G337" s="44"/>
      <c r="H337" s="45"/>
      <c r="I337" s="38"/>
      <c r="J337" s="38">
        <f>2.2*1000</f>
        <v>2200</v>
      </c>
      <c r="K337" s="46">
        <v>2.6388888888888885E-3</v>
      </c>
      <c r="L337" s="47" t="s">
        <v>1283</v>
      </c>
      <c r="M337" s="48"/>
      <c r="N337" s="48"/>
      <c r="O337" s="48">
        <f t="shared" si="0"/>
        <v>0</v>
      </c>
      <c r="P337" s="38"/>
      <c r="Q337" s="14" t="str">
        <f t="shared" ca="1" si="1"/>
        <v/>
      </c>
      <c r="R337" s="51"/>
      <c r="S337" s="51"/>
      <c r="T337" s="51"/>
      <c r="U337" s="40"/>
      <c r="V337" s="54"/>
      <c r="W337" s="55"/>
      <c r="X337" s="56"/>
      <c r="Y337" s="88"/>
      <c r="Z337" s="88"/>
      <c r="AA337" s="88"/>
      <c r="AB337" s="88"/>
    </row>
    <row r="338" spans="1:28">
      <c r="A338" s="38">
        <v>337</v>
      </c>
      <c r="B338" s="51"/>
      <c r="C338" s="40"/>
      <c r="D338" s="38"/>
      <c r="E338" s="38" t="s">
        <v>1406</v>
      </c>
      <c r="F338" s="43" t="s">
        <v>1407</v>
      </c>
      <c r="G338" s="44"/>
      <c r="H338" s="45"/>
      <c r="I338" s="38"/>
      <c r="J338" s="38">
        <f>3.3*1000</f>
        <v>3300</v>
      </c>
      <c r="K338" s="46">
        <v>7.5069444444444453E-2</v>
      </c>
      <c r="L338" s="47" t="s">
        <v>1283</v>
      </c>
      <c r="M338" s="48"/>
      <c r="N338" s="48"/>
      <c r="O338" s="48">
        <f t="shared" si="0"/>
        <v>0</v>
      </c>
      <c r="P338" s="38"/>
      <c r="Q338" s="14" t="str">
        <f t="shared" ca="1" si="1"/>
        <v/>
      </c>
      <c r="R338" s="51"/>
      <c r="S338" s="51"/>
      <c r="T338" s="51"/>
      <c r="U338" s="40"/>
      <c r="V338" s="54"/>
      <c r="W338" s="55"/>
      <c r="X338" s="56"/>
      <c r="Y338" s="88"/>
      <c r="Z338" s="88"/>
      <c r="AA338" s="88"/>
      <c r="AB338" s="88"/>
    </row>
    <row r="339" spans="1:28">
      <c r="A339" s="38">
        <v>338</v>
      </c>
      <c r="B339" s="51"/>
      <c r="C339" s="40"/>
      <c r="D339" s="38"/>
      <c r="E339" s="38" t="s">
        <v>1408</v>
      </c>
      <c r="F339" s="43" t="s">
        <v>1409</v>
      </c>
      <c r="G339" s="44"/>
      <c r="H339" s="45"/>
      <c r="I339" s="38"/>
      <c r="J339" s="38">
        <f>828</f>
        <v>828</v>
      </c>
      <c r="K339" s="46">
        <v>2.5000000000000001E-3</v>
      </c>
      <c r="L339" s="47" t="s">
        <v>1283</v>
      </c>
      <c r="M339" s="48"/>
      <c r="N339" s="48"/>
      <c r="O339" s="48">
        <f t="shared" si="0"/>
        <v>0</v>
      </c>
      <c r="P339" s="38"/>
      <c r="Q339" s="14" t="str">
        <f t="shared" ca="1" si="1"/>
        <v/>
      </c>
      <c r="R339" s="51"/>
      <c r="S339" s="51"/>
      <c r="T339" s="51"/>
      <c r="U339" s="40"/>
      <c r="V339" s="54"/>
      <c r="W339" s="55"/>
      <c r="X339" s="56"/>
      <c r="Y339" s="88"/>
      <c r="Z339" s="88"/>
      <c r="AA339" s="88"/>
      <c r="AB339" s="88"/>
    </row>
    <row r="340" spans="1:28">
      <c r="A340" s="38">
        <v>339</v>
      </c>
      <c r="B340" s="51"/>
      <c r="C340" s="40"/>
      <c r="D340" s="38"/>
      <c r="E340" s="38" t="s">
        <v>1410</v>
      </c>
      <c r="F340" s="43" t="s">
        <v>1411</v>
      </c>
      <c r="G340" s="44"/>
      <c r="H340" s="45"/>
      <c r="I340" s="38"/>
      <c r="J340" s="38">
        <f>1.2*1000</f>
        <v>1200</v>
      </c>
      <c r="K340" s="46">
        <v>9.8379629629629642E-4</v>
      </c>
      <c r="L340" s="47" t="s">
        <v>1283</v>
      </c>
      <c r="M340" s="48"/>
      <c r="N340" s="48"/>
      <c r="O340" s="48">
        <f t="shared" si="0"/>
        <v>0</v>
      </c>
      <c r="P340" s="38"/>
      <c r="Q340" s="14" t="str">
        <f t="shared" ca="1" si="1"/>
        <v/>
      </c>
      <c r="R340" s="51"/>
      <c r="S340" s="51"/>
      <c r="T340" s="51"/>
      <c r="U340" s="40"/>
      <c r="V340" s="54"/>
      <c r="W340" s="55"/>
      <c r="X340" s="56"/>
      <c r="Y340" s="88"/>
      <c r="Z340" s="88"/>
      <c r="AA340" s="88"/>
      <c r="AB340" s="88"/>
    </row>
    <row r="341" spans="1:28">
      <c r="A341" s="38">
        <v>340</v>
      </c>
      <c r="B341" s="51"/>
      <c r="C341" s="40"/>
      <c r="D341" s="38"/>
      <c r="E341" s="38" t="s">
        <v>1412</v>
      </c>
      <c r="F341" s="43" t="s">
        <v>1413</v>
      </c>
      <c r="G341" s="44"/>
      <c r="H341" s="45"/>
      <c r="I341" s="38"/>
      <c r="J341" s="38">
        <f>3.7*1000</f>
        <v>3700</v>
      </c>
      <c r="K341" s="46">
        <v>7.0636574074074074E-2</v>
      </c>
      <c r="L341" s="47" t="s">
        <v>1283</v>
      </c>
      <c r="M341" s="48"/>
      <c r="N341" s="48"/>
      <c r="O341" s="48">
        <f t="shared" si="0"/>
        <v>0</v>
      </c>
      <c r="P341" s="38"/>
      <c r="Q341" s="14" t="str">
        <f t="shared" ca="1" si="1"/>
        <v/>
      </c>
      <c r="R341" s="51"/>
      <c r="S341" s="51"/>
      <c r="T341" s="51"/>
      <c r="U341" s="40"/>
      <c r="V341" s="54"/>
      <c r="W341" s="55"/>
      <c r="X341" s="56"/>
      <c r="Y341" s="88"/>
      <c r="Z341" s="88"/>
      <c r="AA341" s="88"/>
      <c r="AB341" s="88"/>
    </row>
    <row r="342" spans="1:28">
      <c r="A342" s="38">
        <v>341</v>
      </c>
      <c r="B342" s="51"/>
      <c r="C342" s="40"/>
      <c r="D342" s="38"/>
      <c r="E342" s="38" t="s">
        <v>1414</v>
      </c>
      <c r="F342" s="43" t="s">
        <v>1415</v>
      </c>
      <c r="G342" s="44"/>
      <c r="H342" s="45"/>
      <c r="I342" s="38"/>
      <c r="J342" s="38">
        <f>6.8*1000</f>
        <v>6800</v>
      </c>
      <c r="K342" s="46">
        <v>1.2453703703703703E-2</v>
      </c>
      <c r="L342" s="47" t="s">
        <v>1283</v>
      </c>
      <c r="M342" s="48"/>
      <c r="N342" s="48"/>
      <c r="O342" s="48">
        <f t="shared" si="0"/>
        <v>0</v>
      </c>
      <c r="P342" s="38"/>
      <c r="Q342" s="14" t="str">
        <f t="shared" ca="1" si="1"/>
        <v/>
      </c>
      <c r="R342" s="51"/>
      <c r="S342" s="51"/>
      <c r="T342" s="51"/>
      <c r="U342" s="40"/>
      <c r="V342" s="54"/>
      <c r="W342" s="55"/>
      <c r="X342" s="56"/>
      <c r="Y342" s="88"/>
      <c r="Z342" s="88"/>
      <c r="AA342" s="88"/>
      <c r="AB342" s="88"/>
    </row>
    <row r="343" spans="1:28">
      <c r="A343" s="38">
        <v>342</v>
      </c>
      <c r="B343" s="51"/>
      <c r="C343" s="40"/>
      <c r="D343" s="38"/>
      <c r="E343" s="38" t="s">
        <v>1416</v>
      </c>
      <c r="F343" s="43" t="s">
        <v>1417</v>
      </c>
      <c r="G343" s="44"/>
      <c r="H343" s="45"/>
      <c r="I343" s="38"/>
      <c r="J343" s="38">
        <f t="shared" ref="J343:J344" si="11">1.2*1000</f>
        <v>1200</v>
      </c>
      <c r="K343" s="46">
        <v>2.7546296296296294E-3</v>
      </c>
      <c r="L343" s="47" t="s">
        <v>1283</v>
      </c>
      <c r="M343" s="48"/>
      <c r="N343" s="48"/>
      <c r="O343" s="48">
        <f t="shared" si="0"/>
        <v>0</v>
      </c>
      <c r="P343" s="38"/>
      <c r="Q343" s="14" t="str">
        <f t="shared" ca="1" si="1"/>
        <v/>
      </c>
      <c r="R343" s="51"/>
      <c r="S343" s="51"/>
      <c r="T343" s="51"/>
      <c r="U343" s="40"/>
      <c r="V343" s="54"/>
      <c r="W343" s="55"/>
      <c r="X343" s="56"/>
      <c r="Y343" s="88"/>
      <c r="Z343" s="88"/>
      <c r="AA343" s="88"/>
      <c r="AB343" s="88"/>
    </row>
    <row r="344" spans="1:28">
      <c r="A344" s="38">
        <v>343</v>
      </c>
      <c r="B344" s="51"/>
      <c r="C344" s="40"/>
      <c r="D344" s="38"/>
      <c r="E344" s="38" t="s">
        <v>1418</v>
      </c>
      <c r="F344" s="43" t="s">
        <v>1419</v>
      </c>
      <c r="G344" s="44"/>
      <c r="H344" s="45"/>
      <c r="I344" s="38"/>
      <c r="J344" s="38">
        <f t="shared" si="11"/>
        <v>1200</v>
      </c>
      <c r="K344" s="46">
        <v>2.5694444444444445E-3</v>
      </c>
      <c r="L344" s="47" t="s">
        <v>1283</v>
      </c>
      <c r="M344" s="48"/>
      <c r="N344" s="48"/>
      <c r="O344" s="48">
        <f t="shared" si="0"/>
        <v>0</v>
      </c>
      <c r="P344" s="38"/>
      <c r="Q344" s="14" t="str">
        <f t="shared" ca="1" si="1"/>
        <v/>
      </c>
      <c r="R344" s="51"/>
      <c r="S344" s="51"/>
      <c r="T344" s="51"/>
      <c r="U344" s="40"/>
      <c r="V344" s="54"/>
      <c r="W344" s="55"/>
      <c r="X344" s="56"/>
      <c r="Y344" s="88"/>
      <c r="Z344" s="88"/>
      <c r="AA344" s="88"/>
      <c r="AB344" s="88"/>
    </row>
    <row r="345" spans="1:28">
      <c r="A345" s="38">
        <v>344</v>
      </c>
      <c r="B345" s="51"/>
      <c r="C345" s="40"/>
      <c r="D345" s="38"/>
      <c r="E345" s="38" t="s">
        <v>1420</v>
      </c>
      <c r="F345" s="43" t="s">
        <v>1421</v>
      </c>
      <c r="G345" s="44"/>
      <c r="H345" s="45"/>
      <c r="I345" s="38"/>
      <c r="J345" s="38">
        <f>231</f>
        <v>231</v>
      </c>
      <c r="K345" s="46">
        <v>1.7708333333333332E-3</v>
      </c>
      <c r="L345" s="47" t="s">
        <v>1283</v>
      </c>
      <c r="M345" s="48"/>
      <c r="N345" s="48"/>
      <c r="O345" s="48">
        <f t="shared" si="0"/>
        <v>0</v>
      </c>
      <c r="P345" s="38"/>
      <c r="Q345" s="14" t="str">
        <f t="shared" ca="1" si="1"/>
        <v/>
      </c>
      <c r="R345" s="51"/>
      <c r="S345" s="51"/>
      <c r="T345" s="51"/>
      <c r="U345" s="40"/>
      <c r="V345" s="54"/>
      <c r="W345" s="55"/>
      <c r="X345" s="56"/>
      <c r="Y345" s="88"/>
      <c r="Z345" s="88"/>
      <c r="AA345" s="88"/>
      <c r="AB345" s="88"/>
    </row>
    <row r="346" spans="1:28">
      <c r="A346" s="38">
        <v>345</v>
      </c>
      <c r="B346" s="51"/>
      <c r="C346" s="40"/>
      <c r="D346" s="38"/>
      <c r="E346" s="38" t="s">
        <v>1422</v>
      </c>
      <c r="F346" s="43" t="s">
        <v>1423</v>
      </c>
      <c r="G346" s="44"/>
      <c r="H346" s="45"/>
      <c r="I346" s="38"/>
      <c r="J346" s="38">
        <f>666</f>
        <v>666</v>
      </c>
      <c r="K346" s="46">
        <v>1.3194444444444443E-3</v>
      </c>
      <c r="L346" s="47" t="s">
        <v>1283</v>
      </c>
      <c r="M346" s="48"/>
      <c r="N346" s="48"/>
      <c r="O346" s="48">
        <f t="shared" si="0"/>
        <v>0</v>
      </c>
      <c r="P346" s="38"/>
      <c r="Q346" s="14" t="str">
        <f t="shared" ca="1" si="1"/>
        <v/>
      </c>
      <c r="R346" s="51"/>
      <c r="S346" s="51"/>
      <c r="T346" s="51"/>
      <c r="U346" s="40"/>
      <c r="V346" s="54"/>
      <c r="W346" s="55"/>
      <c r="X346" s="56"/>
      <c r="Y346" s="88"/>
      <c r="Z346" s="88"/>
      <c r="AA346" s="88"/>
      <c r="AB346" s="88"/>
    </row>
    <row r="347" spans="1:28">
      <c r="A347" s="38">
        <v>346</v>
      </c>
      <c r="B347" s="51"/>
      <c r="C347" s="40"/>
      <c r="D347" s="38"/>
      <c r="E347" s="38" t="s">
        <v>1424</v>
      </c>
      <c r="F347" s="43" t="s">
        <v>1425</v>
      </c>
      <c r="G347" s="44"/>
      <c r="H347" s="45"/>
      <c r="I347" s="38"/>
      <c r="J347" s="38">
        <f>191</f>
        <v>191</v>
      </c>
      <c r="K347" s="46">
        <v>9.4907407407407408E-4</v>
      </c>
      <c r="L347" s="47" t="s">
        <v>1283</v>
      </c>
      <c r="M347" s="48"/>
      <c r="N347" s="48"/>
      <c r="O347" s="48">
        <f t="shared" si="0"/>
        <v>0</v>
      </c>
      <c r="P347" s="38"/>
      <c r="Q347" s="14" t="str">
        <f t="shared" ca="1" si="1"/>
        <v/>
      </c>
      <c r="R347" s="51"/>
      <c r="S347" s="51"/>
      <c r="T347" s="51"/>
      <c r="U347" s="40"/>
      <c r="V347" s="54"/>
      <c r="W347" s="55"/>
      <c r="X347" s="56"/>
      <c r="Y347" s="88"/>
      <c r="Z347" s="88"/>
      <c r="AA347" s="88"/>
      <c r="AB347" s="88"/>
    </row>
    <row r="348" spans="1:28">
      <c r="A348" s="38">
        <v>347</v>
      </c>
      <c r="B348" s="51"/>
      <c r="C348" s="40"/>
      <c r="D348" s="38"/>
      <c r="E348" s="38" t="s">
        <v>1426</v>
      </c>
      <c r="F348" s="43" t="s">
        <v>1427</v>
      </c>
      <c r="G348" s="44"/>
      <c r="H348" s="45"/>
      <c r="I348" s="38"/>
      <c r="J348" s="38">
        <f>870</f>
        <v>870</v>
      </c>
      <c r="K348" s="46">
        <v>6.076388888888889E-3</v>
      </c>
      <c r="L348" s="47" t="s">
        <v>1283</v>
      </c>
      <c r="M348" s="48"/>
      <c r="N348" s="48"/>
      <c r="O348" s="48">
        <f t="shared" si="0"/>
        <v>0</v>
      </c>
      <c r="P348" s="38"/>
      <c r="Q348" s="14" t="str">
        <f t="shared" ca="1" si="1"/>
        <v/>
      </c>
      <c r="R348" s="51"/>
      <c r="S348" s="51"/>
      <c r="T348" s="51"/>
      <c r="U348" s="40"/>
      <c r="V348" s="54"/>
      <c r="W348" s="55"/>
      <c r="X348" s="56"/>
      <c r="Y348" s="88"/>
      <c r="Z348" s="88"/>
      <c r="AA348" s="88"/>
      <c r="AB348" s="88"/>
    </row>
    <row r="349" spans="1:28">
      <c r="A349" s="38">
        <v>348</v>
      </c>
      <c r="B349" s="51"/>
      <c r="C349" s="40"/>
      <c r="D349" s="38"/>
      <c r="E349" s="38" t="s">
        <v>1428</v>
      </c>
      <c r="F349" s="43" t="s">
        <v>1429</v>
      </c>
      <c r="G349" s="44"/>
      <c r="H349" s="45"/>
      <c r="I349" s="38"/>
      <c r="J349" s="38">
        <f>527</f>
        <v>527</v>
      </c>
      <c r="K349" s="46">
        <v>3.6574074074074074E-3</v>
      </c>
      <c r="L349" s="47" t="s">
        <v>1283</v>
      </c>
      <c r="M349" s="48"/>
      <c r="N349" s="48"/>
      <c r="O349" s="48">
        <f t="shared" si="0"/>
        <v>0</v>
      </c>
      <c r="P349" s="38"/>
      <c r="Q349" s="14" t="str">
        <f t="shared" ca="1" si="1"/>
        <v/>
      </c>
      <c r="R349" s="51"/>
      <c r="S349" s="51"/>
      <c r="T349" s="51"/>
      <c r="U349" s="40"/>
      <c r="V349" s="54"/>
      <c r="W349" s="55"/>
      <c r="X349" s="56"/>
      <c r="Y349" s="88"/>
      <c r="Z349" s="88"/>
      <c r="AA349" s="88"/>
      <c r="AB349" s="88"/>
    </row>
    <row r="350" spans="1:28">
      <c r="A350" s="38">
        <v>349</v>
      </c>
      <c r="B350" s="51"/>
      <c r="C350" s="40"/>
      <c r="D350" s="38"/>
      <c r="E350" s="38" t="s">
        <v>1430</v>
      </c>
      <c r="F350" s="43" t="s">
        <v>1431</v>
      </c>
      <c r="G350" s="44"/>
      <c r="H350" s="45"/>
      <c r="I350" s="38"/>
      <c r="J350" s="38">
        <f>1*1000</f>
        <v>1000</v>
      </c>
      <c r="K350" s="46">
        <v>5.2662037037037035E-3</v>
      </c>
      <c r="L350" s="47" t="s">
        <v>1283</v>
      </c>
      <c r="M350" s="48"/>
      <c r="N350" s="48"/>
      <c r="O350" s="48">
        <f t="shared" si="0"/>
        <v>0</v>
      </c>
      <c r="P350" s="38"/>
      <c r="Q350" s="14" t="str">
        <f t="shared" ca="1" si="1"/>
        <v/>
      </c>
      <c r="R350" s="51"/>
      <c r="S350" s="51"/>
      <c r="T350" s="51"/>
      <c r="U350" s="40"/>
      <c r="V350" s="54"/>
      <c r="W350" s="55"/>
      <c r="X350" s="56"/>
      <c r="Y350" s="88"/>
      <c r="Z350" s="88"/>
      <c r="AA350" s="88"/>
      <c r="AB350" s="88"/>
    </row>
    <row r="351" spans="1:28">
      <c r="A351" s="38">
        <v>350</v>
      </c>
      <c r="B351" s="51"/>
      <c r="C351" s="40"/>
      <c r="D351" s="38"/>
      <c r="E351" s="38" t="s">
        <v>1432</v>
      </c>
      <c r="F351" s="43" t="s">
        <v>1433</v>
      </c>
      <c r="G351" s="44"/>
      <c r="H351" s="45"/>
      <c r="I351" s="38"/>
      <c r="J351" s="38">
        <f>368</f>
        <v>368</v>
      </c>
      <c r="K351" s="46">
        <v>1.1805555555555556E-3</v>
      </c>
      <c r="L351" s="47" t="s">
        <v>1283</v>
      </c>
      <c r="M351" s="48"/>
      <c r="N351" s="48"/>
      <c r="O351" s="48">
        <f t="shared" si="0"/>
        <v>0</v>
      </c>
      <c r="P351" s="38"/>
      <c r="Q351" s="14" t="str">
        <f t="shared" ca="1" si="1"/>
        <v/>
      </c>
      <c r="R351" s="51"/>
      <c r="S351" s="51"/>
      <c r="T351" s="51"/>
      <c r="U351" s="40"/>
      <c r="V351" s="54"/>
      <c r="W351" s="55"/>
      <c r="X351" s="56"/>
      <c r="Y351" s="88"/>
      <c r="Z351" s="88"/>
      <c r="AA351" s="88"/>
      <c r="AB351" s="88"/>
    </row>
    <row r="352" spans="1:28">
      <c r="A352" s="38">
        <v>351</v>
      </c>
      <c r="B352" s="51"/>
      <c r="C352" s="40"/>
      <c r="D352" s="38"/>
      <c r="E352" s="38" t="s">
        <v>1434</v>
      </c>
      <c r="F352" s="43" t="s">
        <v>1435</v>
      </c>
      <c r="G352" s="44"/>
      <c r="H352" s="45"/>
      <c r="I352" s="38"/>
      <c r="J352" s="38">
        <f>1.3*1000</f>
        <v>1300</v>
      </c>
      <c r="K352" s="46">
        <v>2.9398148148148148E-3</v>
      </c>
      <c r="L352" s="47" t="s">
        <v>1283</v>
      </c>
      <c r="M352" s="48"/>
      <c r="N352" s="48"/>
      <c r="O352" s="48">
        <f t="shared" si="0"/>
        <v>0</v>
      </c>
      <c r="P352" s="38"/>
      <c r="Q352" s="14" t="str">
        <f t="shared" ca="1" si="1"/>
        <v/>
      </c>
      <c r="R352" s="51"/>
      <c r="S352" s="51"/>
      <c r="T352" s="51"/>
      <c r="U352" s="40"/>
      <c r="V352" s="54"/>
      <c r="W352" s="55"/>
      <c r="X352" s="56"/>
      <c r="Y352" s="88"/>
      <c r="Z352" s="88"/>
      <c r="AA352" s="88"/>
      <c r="AB352" s="88"/>
    </row>
    <row r="353" spans="1:28">
      <c r="A353" s="38">
        <v>352</v>
      </c>
      <c r="B353" s="51"/>
      <c r="C353" s="40"/>
      <c r="D353" s="38"/>
      <c r="E353" s="38" t="s">
        <v>1436</v>
      </c>
      <c r="F353" s="43" t="s">
        <v>1437</v>
      </c>
      <c r="G353" s="44"/>
      <c r="H353" s="45"/>
      <c r="I353" s="38"/>
      <c r="J353" s="38">
        <f>207</f>
        <v>207</v>
      </c>
      <c r="K353" s="46">
        <v>3.425925925925926E-3</v>
      </c>
      <c r="L353" s="47" t="s">
        <v>1283</v>
      </c>
      <c r="M353" s="48"/>
      <c r="N353" s="48"/>
      <c r="O353" s="48">
        <f t="shared" si="0"/>
        <v>0</v>
      </c>
      <c r="P353" s="38"/>
      <c r="Q353" s="14" t="str">
        <f t="shared" ca="1" si="1"/>
        <v/>
      </c>
      <c r="R353" s="51"/>
      <c r="S353" s="51"/>
      <c r="T353" s="51"/>
      <c r="U353" s="40"/>
      <c r="V353" s="54"/>
      <c r="W353" s="55"/>
      <c r="X353" s="56"/>
      <c r="Y353" s="88"/>
      <c r="Z353" s="88"/>
      <c r="AA353" s="88"/>
      <c r="AB353" s="88"/>
    </row>
    <row r="354" spans="1:28">
      <c r="A354" s="38">
        <v>353</v>
      </c>
      <c r="B354" s="51"/>
      <c r="C354" s="40"/>
      <c r="D354" s="38"/>
      <c r="E354" s="38" t="s">
        <v>1438</v>
      </c>
      <c r="F354" s="43" t="s">
        <v>1439</v>
      </c>
      <c r="G354" s="44"/>
      <c r="H354" s="45"/>
      <c r="I354" s="38"/>
      <c r="J354" s="38">
        <f>177</f>
        <v>177</v>
      </c>
      <c r="K354" s="46">
        <v>2.7777777777777778E-4</v>
      </c>
      <c r="L354" s="47" t="s">
        <v>1283</v>
      </c>
      <c r="M354" s="48"/>
      <c r="N354" s="48"/>
      <c r="O354" s="48">
        <f t="shared" si="0"/>
        <v>0</v>
      </c>
      <c r="P354" s="38"/>
      <c r="Q354" s="14" t="str">
        <f t="shared" ca="1" si="1"/>
        <v/>
      </c>
      <c r="R354" s="51"/>
      <c r="S354" s="51"/>
      <c r="T354" s="51"/>
      <c r="U354" s="40"/>
      <c r="V354" s="54"/>
      <c r="W354" s="55"/>
      <c r="X354" s="56"/>
      <c r="Y354" s="88"/>
      <c r="Z354" s="88"/>
      <c r="AA354" s="88"/>
      <c r="AB354" s="88"/>
    </row>
    <row r="355" spans="1:28">
      <c r="A355" s="38">
        <v>354</v>
      </c>
      <c r="B355" s="51"/>
      <c r="C355" s="40"/>
      <c r="D355" s="38"/>
      <c r="E355" s="38" t="s">
        <v>1440</v>
      </c>
      <c r="F355" s="43" t="s">
        <v>1441</v>
      </c>
      <c r="G355" s="44"/>
      <c r="H355" s="45"/>
      <c r="I355" s="38"/>
      <c r="J355" s="38">
        <f>3*1000</f>
        <v>3000</v>
      </c>
      <c r="K355" s="46">
        <v>2.615740740740741E-3</v>
      </c>
      <c r="L355" s="47" t="s">
        <v>1283</v>
      </c>
      <c r="M355" s="48"/>
      <c r="N355" s="48"/>
      <c r="O355" s="48">
        <f t="shared" si="0"/>
        <v>0</v>
      </c>
      <c r="P355" s="38"/>
      <c r="Q355" s="14" t="str">
        <f t="shared" ca="1" si="1"/>
        <v/>
      </c>
      <c r="R355" s="51"/>
      <c r="S355" s="51"/>
      <c r="T355" s="51"/>
      <c r="U355" s="40"/>
      <c r="V355" s="54"/>
      <c r="W355" s="55"/>
      <c r="X355" s="56"/>
      <c r="Y355" s="88"/>
      <c r="Z355" s="88"/>
      <c r="AA355" s="88"/>
      <c r="AB355" s="88"/>
    </row>
    <row r="356" spans="1:28">
      <c r="A356" s="38">
        <v>355</v>
      </c>
      <c r="B356" s="51"/>
      <c r="C356" s="40"/>
      <c r="D356" s="38"/>
      <c r="E356" s="38" t="s">
        <v>1442</v>
      </c>
      <c r="F356" s="43" t="s">
        <v>1443</v>
      </c>
      <c r="G356" s="44"/>
      <c r="H356" s="45"/>
      <c r="I356" s="38"/>
      <c r="J356" s="38">
        <f>1.9*1000</f>
        <v>1900</v>
      </c>
      <c r="K356" s="46">
        <v>2.9629629629629628E-3</v>
      </c>
      <c r="L356" s="47" t="s">
        <v>1283</v>
      </c>
      <c r="M356" s="48"/>
      <c r="N356" s="48"/>
      <c r="O356" s="48">
        <f t="shared" si="0"/>
        <v>0</v>
      </c>
      <c r="P356" s="38"/>
      <c r="Q356" s="14" t="str">
        <f t="shared" ca="1" si="1"/>
        <v/>
      </c>
      <c r="R356" s="51"/>
      <c r="S356" s="51"/>
      <c r="T356" s="51"/>
      <c r="U356" s="40"/>
      <c r="V356" s="54"/>
      <c r="W356" s="55"/>
      <c r="X356" s="56"/>
      <c r="Y356" s="88"/>
      <c r="Z356" s="88"/>
      <c r="AA356" s="88"/>
      <c r="AB356" s="88"/>
    </row>
    <row r="357" spans="1:28">
      <c r="A357" s="38">
        <v>356</v>
      </c>
      <c r="B357" s="51"/>
      <c r="C357" s="40"/>
      <c r="D357" s="38"/>
      <c r="E357" s="38" t="s">
        <v>1444</v>
      </c>
      <c r="F357" s="43" t="s">
        <v>1445</v>
      </c>
      <c r="G357" s="44"/>
      <c r="H357" s="45"/>
      <c r="I357" s="38"/>
      <c r="J357" s="38">
        <f>549</f>
        <v>549</v>
      </c>
      <c r="K357" s="46">
        <v>2.1874999999999998E-3</v>
      </c>
      <c r="L357" s="47" t="s">
        <v>1283</v>
      </c>
      <c r="M357" s="48"/>
      <c r="N357" s="48"/>
      <c r="O357" s="48">
        <f t="shared" si="0"/>
        <v>0</v>
      </c>
      <c r="P357" s="38"/>
      <c r="Q357" s="14" t="str">
        <f t="shared" ca="1" si="1"/>
        <v/>
      </c>
      <c r="R357" s="51"/>
      <c r="S357" s="51"/>
      <c r="T357" s="51"/>
      <c r="U357" s="40"/>
      <c r="V357" s="54"/>
      <c r="W357" s="55"/>
      <c r="X357" s="56"/>
      <c r="Y357" s="88"/>
      <c r="Z357" s="88"/>
      <c r="AA357" s="88"/>
      <c r="AB357" s="88"/>
    </row>
    <row r="358" spans="1:28">
      <c r="A358" s="38">
        <v>357</v>
      </c>
      <c r="B358" s="51"/>
      <c r="C358" s="40"/>
      <c r="D358" s="38"/>
      <c r="E358" s="38" t="s">
        <v>1446</v>
      </c>
      <c r="F358" s="43" t="s">
        <v>1447</v>
      </c>
      <c r="G358" s="44"/>
      <c r="H358" s="45"/>
      <c r="I358" s="38"/>
      <c r="J358" s="38">
        <f>632</f>
        <v>632</v>
      </c>
      <c r="K358" s="46">
        <v>4.3749999999999995E-3</v>
      </c>
      <c r="L358" s="47" t="s">
        <v>1283</v>
      </c>
      <c r="M358" s="48"/>
      <c r="N358" s="48"/>
      <c r="O358" s="48">
        <f t="shared" si="0"/>
        <v>0</v>
      </c>
      <c r="P358" s="38"/>
      <c r="Q358" s="14" t="str">
        <f t="shared" ca="1" si="1"/>
        <v/>
      </c>
      <c r="R358" s="51"/>
      <c r="S358" s="51"/>
      <c r="T358" s="51"/>
      <c r="U358" s="40"/>
      <c r="V358" s="54"/>
      <c r="W358" s="55"/>
      <c r="X358" s="56"/>
      <c r="Y358" s="88"/>
      <c r="Z358" s="88"/>
      <c r="AA358" s="88"/>
      <c r="AB358" s="88"/>
    </row>
    <row r="359" spans="1:28">
      <c r="A359" s="38">
        <v>358</v>
      </c>
      <c r="B359" s="51"/>
      <c r="C359" s="40"/>
      <c r="D359" s="38"/>
      <c r="E359" s="38" t="s">
        <v>1448</v>
      </c>
      <c r="F359" s="43" t="s">
        <v>1449</v>
      </c>
      <c r="G359" s="44"/>
      <c r="H359" s="45"/>
      <c r="I359" s="38"/>
      <c r="J359" s="38">
        <f>656</f>
        <v>656</v>
      </c>
      <c r="K359" s="46">
        <v>3.1250000000000001E-4</v>
      </c>
      <c r="L359" s="47" t="s">
        <v>1283</v>
      </c>
      <c r="M359" s="48"/>
      <c r="N359" s="48"/>
      <c r="O359" s="48">
        <f t="shared" si="0"/>
        <v>0</v>
      </c>
      <c r="P359" s="38"/>
      <c r="Q359" s="14" t="str">
        <f t="shared" ca="1" si="1"/>
        <v/>
      </c>
      <c r="R359" s="51"/>
      <c r="S359" s="51"/>
      <c r="T359" s="51"/>
      <c r="U359" s="40"/>
      <c r="V359" s="54"/>
      <c r="W359" s="55"/>
      <c r="X359" s="56"/>
      <c r="Y359" s="88"/>
      <c r="Z359" s="88"/>
      <c r="AA359" s="88"/>
      <c r="AB359" s="88"/>
    </row>
    <row r="360" spans="1:28">
      <c r="A360" s="38">
        <v>359</v>
      </c>
      <c r="B360" s="51"/>
      <c r="C360" s="40"/>
      <c r="D360" s="38"/>
      <c r="E360" s="38" t="s">
        <v>1450</v>
      </c>
      <c r="F360" s="43" t="s">
        <v>1451</v>
      </c>
      <c r="G360" s="44"/>
      <c r="H360" s="45"/>
      <c r="I360" s="38"/>
      <c r="J360" s="38">
        <f>1.2*1000</f>
        <v>1200</v>
      </c>
      <c r="K360" s="46">
        <v>4.9189814814814816E-3</v>
      </c>
      <c r="L360" s="47" t="s">
        <v>1452</v>
      </c>
      <c r="M360" s="48"/>
      <c r="N360" s="48"/>
      <c r="O360" s="48">
        <f t="shared" si="0"/>
        <v>0</v>
      </c>
      <c r="P360" s="38"/>
      <c r="Q360" s="14" t="str">
        <f t="shared" ca="1" si="1"/>
        <v/>
      </c>
      <c r="R360" s="51"/>
      <c r="S360" s="51"/>
      <c r="T360" s="51"/>
      <c r="U360" s="40"/>
      <c r="V360" s="54"/>
      <c r="W360" s="55"/>
      <c r="X360" s="56"/>
      <c r="Y360" s="88"/>
      <c r="Z360" s="88"/>
      <c r="AA360" s="88"/>
      <c r="AB360" s="88"/>
    </row>
    <row r="361" spans="1:28">
      <c r="A361" s="38">
        <v>360</v>
      </c>
      <c r="B361" s="51"/>
      <c r="C361" s="40"/>
      <c r="D361" s="38"/>
      <c r="E361" s="38" t="s">
        <v>1453</v>
      </c>
      <c r="F361" s="43" t="s">
        <v>1454</v>
      </c>
      <c r="G361" s="44"/>
      <c r="H361" s="45"/>
      <c r="I361" s="38"/>
      <c r="J361" s="38">
        <f>1.3*1000</f>
        <v>1300</v>
      </c>
      <c r="K361" s="46">
        <v>2.9398148148148148E-3</v>
      </c>
      <c r="L361" s="47" t="s">
        <v>1283</v>
      </c>
      <c r="M361" s="48"/>
      <c r="N361" s="48"/>
      <c r="O361" s="48">
        <f t="shared" si="0"/>
        <v>0</v>
      </c>
      <c r="P361" s="38"/>
      <c r="Q361" s="14" t="str">
        <f t="shared" ca="1" si="1"/>
        <v/>
      </c>
      <c r="R361" s="51"/>
      <c r="S361" s="51"/>
      <c r="T361" s="51"/>
      <c r="U361" s="40"/>
      <c r="V361" s="54"/>
      <c r="W361" s="55"/>
      <c r="X361" s="56"/>
      <c r="Y361" s="88"/>
      <c r="Z361" s="88"/>
      <c r="AA361" s="88"/>
      <c r="AB361" s="88"/>
    </row>
    <row r="362" spans="1:28">
      <c r="A362" s="38">
        <v>361</v>
      </c>
      <c r="B362" s="51"/>
      <c r="C362" s="40"/>
      <c r="D362" s="38"/>
      <c r="E362" s="38" t="s">
        <v>1455</v>
      </c>
      <c r="F362" s="43" t="s">
        <v>1456</v>
      </c>
      <c r="G362" s="44"/>
      <c r="H362" s="45"/>
      <c r="I362" s="38"/>
      <c r="J362" s="38">
        <f>3.8*1000</f>
        <v>3800</v>
      </c>
      <c r="K362" s="46">
        <v>1.3912037037037037E-2</v>
      </c>
      <c r="L362" s="47" t="s">
        <v>1283</v>
      </c>
      <c r="M362" s="48"/>
      <c r="N362" s="48"/>
      <c r="O362" s="48">
        <f t="shared" si="0"/>
        <v>0</v>
      </c>
      <c r="P362" s="38"/>
      <c r="Q362" s="14" t="str">
        <f t="shared" ca="1" si="1"/>
        <v/>
      </c>
      <c r="R362" s="51"/>
      <c r="S362" s="51"/>
      <c r="T362" s="51"/>
      <c r="U362" s="40"/>
      <c r="V362" s="54"/>
      <c r="W362" s="55"/>
      <c r="X362" s="56"/>
      <c r="Y362" s="88"/>
      <c r="Z362" s="88"/>
      <c r="AA362" s="88"/>
      <c r="AB362" s="88"/>
    </row>
    <row r="363" spans="1:28">
      <c r="A363" s="38">
        <v>362</v>
      </c>
      <c r="B363" s="51"/>
      <c r="C363" s="40"/>
      <c r="D363" s="38"/>
      <c r="E363" s="38" t="s">
        <v>1457</v>
      </c>
      <c r="F363" s="43" t="s">
        <v>1458</v>
      </c>
      <c r="G363" s="44"/>
      <c r="H363" s="45"/>
      <c r="I363" s="38"/>
      <c r="J363" s="38">
        <f>9.2*1000</f>
        <v>9200</v>
      </c>
      <c r="K363" s="46">
        <v>1.6898148148148148E-2</v>
      </c>
      <c r="L363" s="47" t="s">
        <v>1283</v>
      </c>
      <c r="M363" s="48"/>
      <c r="N363" s="48"/>
      <c r="O363" s="48">
        <f t="shared" si="0"/>
        <v>0</v>
      </c>
      <c r="P363" s="38"/>
      <c r="Q363" s="14" t="str">
        <f t="shared" ca="1" si="1"/>
        <v/>
      </c>
      <c r="R363" s="51"/>
      <c r="S363" s="51"/>
      <c r="T363" s="51"/>
      <c r="U363" s="40"/>
      <c r="V363" s="54"/>
      <c r="W363" s="55"/>
      <c r="X363" s="56"/>
      <c r="Y363" s="88"/>
      <c r="Z363" s="88"/>
      <c r="AA363" s="88"/>
      <c r="AB363" s="88"/>
    </row>
    <row r="364" spans="1:28">
      <c r="A364" s="38">
        <v>363</v>
      </c>
      <c r="B364" s="51"/>
      <c r="C364" s="40"/>
      <c r="D364" s="38"/>
      <c r="E364" s="38" t="s">
        <v>1459</v>
      </c>
      <c r="F364" s="43" t="s">
        <v>1460</v>
      </c>
      <c r="G364" s="44"/>
      <c r="H364" s="45"/>
      <c r="I364" s="38"/>
      <c r="J364" s="38">
        <f>1.6*1000</f>
        <v>1600</v>
      </c>
      <c r="K364" s="46">
        <v>2.2106481481481478E-3</v>
      </c>
      <c r="L364" s="47" t="s">
        <v>1283</v>
      </c>
      <c r="M364" s="48"/>
      <c r="N364" s="48"/>
      <c r="O364" s="48">
        <f t="shared" si="0"/>
        <v>0</v>
      </c>
      <c r="P364" s="38"/>
      <c r="Q364" s="14" t="str">
        <f t="shared" ca="1" si="1"/>
        <v/>
      </c>
      <c r="R364" s="51"/>
      <c r="S364" s="51"/>
      <c r="T364" s="51"/>
      <c r="U364" s="40"/>
      <c r="V364" s="54"/>
      <c r="W364" s="55"/>
      <c r="X364" s="56"/>
      <c r="Y364" s="88"/>
      <c r="Z364" s="88"/>
      <c r="AA364" s="88"/>
      <c r="AB364" s="88"/>
    </row>
    <row r="365" spans="1:28">
      <c r="A365" s="38">
        <v>364</v>
      </c>
      <c r="B365" s="51"/>
      <c r="C365" s="40"/>
      <c r="D365" s="38"/>
      <c r="E365" s="38" t="s">
        <v>1461</v>
      </c>
      <c r="F365" s="43" t="s">
        <v>1462</v>
      </c>
      <c r="G365" s="44"/>
      <c r="H365" s="45"/>
      <c r="I365" s="38"/>
      <c r="J365" s="38">
        <f>2.7*1000</f>
        <v>2700</v>
      </c>
      <c r="K365" s="46">
        <v>2.2615740740740742E-2</v>
      </c>
      <c r="L365" s="47" t="s">
        <v>1283</v>
      </c>
      <c r="M365" s="48"/>
      <c r="N365" s="48"/>
      <c r="O365" s="48">
        <f t="shared" si="0"/>
        <v>0</v>
      </c>
      <c r="P365" s="38"/>
      <c r="Q365" s="14" t="str">
        <f t="shared" ca="1" si="1"/>
        <v/>
      </c>
      <c r="R365" s="51"/>
      <c r="S365" s="51"/>
      <c r="T365" s="51"/>
      <c r="U365" s="40"/>
      <c r="V365" s="54"/>
      <c r="W365" s="55"/>
      <c r="X365" s="56"/>
      <c r="Y365" s="88"/>
      <c r="Z365" s="88"/>
      <c r="AA365" s="88"/>
      <c r="AB365" s="88"/>
    </row>
    <row r="366" spans="1:28">
      <c r="A366" s="38">
        <v>365</v>
      </c>
      <c r="B366" s="51"/>
      <c r="C366" s="40"/>
      <c r="D366" s="38"/>
      <c r="E366" s="38" t="s">
        <v>1463</v>
      </c>
      <c r="F366" s="43" t="s">
        <v>1464</v>
      </c>
      <c r="G366" s="44"/>
      <c r="H366" s="45"/>
      <c r="I366" s="38"/>
      <c r="J366" s="38">
        <f>768</f>
        <v>768</v>
      </c>
      <c r="K366" s="46">
        <v>2.8587962962962963E-3</v>
      </c>
      <c r="L366" s="47" t="s">
        <v>1283</v>
      </c>
      <c r="M366" s="48"/>
      <c r="N366" s="48"/>
      <c r="O366" s="48">
        <f t="shared" si="0"/>
        <v>0</v>
      </c>
      <c r="P366" s="38"/>
      <c r="Q366" s="14" t="str">
        <f t="shared" ca="1" si="1"/>
        <v/>
      </c>
      <c r="R366" s="51"/>
      <c r="S366" s="51"/>
      <c r="T366" s="51"/>
      <c r="U366" s="40"/>
      <c r="V366" s="54"/>
      <c r="W366" s="55"/>
      <c r="X366" s="56"/>
      <c r="Y366" s="88"/>
      <c r="Z366" s="88"/>
      <c r="AA366" s="88"/>
      <c r="AB366" s="88"/>
    </row>
    <row r="367" spans="1:28">
      <c r="A367" s="38">
        <v>366</v>
      </c>
      <c r="B367" s="51"/>
      <c r="C367" s="40"/>
      <c r="D367" s="38"/>
      <c r="E367" s="38" t="s">
        <v>1465</v>
      </c>
      <c r="F367" s="43" t="s">
        <v>1466</v>
      </c>
      <c r="G367" s="44"/>
      <c r="H367" s="45"/>
      <c r="I367" s="38"/>
      <c r="J367" s="38">
        <f>925</f>
        <v>925</v>
      </c>
      <c r="K367" s="46">
        <v>1.2037037037037038E-3</v>
      </c>
      <c r="L367" s="47" t="s">
        <v>1283</v>
      </c>
      <c r="M367" s="48"/>
      <c r="N367" s="48"/>
      <c r="O367" s="48">
        <f t="shared" si="0"/>
        <v>0</v>
      </c>
      <c r="P367" s="38"/>
      <c r="Q367" s="14" t="str">
        <f t="shared" ca="1" si="1"/>
        <v/>
      </c>
      <c r="R367" s="51"/>
      <c r="S367" s="51"/>
      <c r="T367" s="51"/>
      <c r="U367" s="40"/>
      <c r="V367" s="54"/>
      <c r="W367" s="55"/>
      <c r="X367" s="56"/>
      <c r="Y367" s="88"/>
      <c r="Z367" s="88"/>
      <c r="AA367" s="88"/>
      <c r="AB367" s="88"/>
    </row>
    <row r="368" spans="1:28">
      <c r="A368" s="38">
        <v>367</v>
      </c>
      <c r="B368" s="51"/>
      <c r="C368" s="40"/>
      <c r="D368" s="38"/>
      <c r="E368" s="38" t="s">
        <v>1467</v>
      </c>
      <c r="F368" s="43" t="s">
        <v>1468</v>
      </c>
      <c r="G368" s="44"/>
      <c r="H368" s="45"/>
      <c r="I368" s="38"/>
      <c r="J368" s="38">
        <f>12*1000</f>
        <v>12000</v>
      </c>
      <c r="K368" s="46">
        <v>1.8634259259259261E-3</v>
      </c>
      <c r="L368" s="47" t="s">
        <v>1283</v>
      </c>
      <c r="M368" s="48"/>
      <c r="N368" s="48"/>
      <c r="O368" s="48">
        <f t="shared" si="0"/>
        <v>0</v>
      </c>
      <c r="P368" s="38"/>
      <c r="Q368" s="14" t="str">
        <f t="shared" ca="1" si="1"/>
        <v/>
      </c>
      <c r="R368" s="51"/>
      <c r="S368" s="51"/>
      <c r="T368" s="51"/>
      <c r="U368" s="40"/>
      <c r="V368" s="54"/>
      <c r="W368" s="55"/>
      <c r="X368" s="56"/>
      <c r="Y368" s="88"/>
      <c r="Z368" s="88"/>
      <c r="AA368" s="88"/>
      <c r="AB368" s="88"/>
    </row>
    <row r="369" spans="1:28">
      <c r="A369" s="38">
        <v>368</v>
      </c>
      <c r="B369" s="51"/>
      <c r="C369" s="40"/>
      <c r="D369" s="38"/>
      <c r="E369" s="38" t="s">
        <v>1469</v>
      </c>
      <c r="F369" s="43" t="s">
        <v>1470</v>
      </c>
      <c r="G369" s="44"/>
      <c r="H369" s="45"/>
      <c r="I369" s="38"/>
      <c r="J369" s="38">
        <f>13*1000</f>
        <v>13000</v>
      </c>
      <c r="K369" s="46">
        <v>1.5914351851851853E-2</v>
      </c>
      <c r="L369" s="47" t="s">
        <v>1283</v>
      </c>
      <c r="M369" s="48"/>
      <c r="N369" s="48"/>
      <c r="O369" s="48">
        <f t="shared" si="0"/>
        <v>0</v>
      </c>
      <c r="P369" s="38"/>
      <c r="Q369" s="14" t="str">
        <f t="shared" ca="1" si="1"/>
        <v/>
      </c>
      <c r="R369" s="51"/>
      <c r="S369" s="51"/>
      <c r="T369" s="51"/>
      <c r="U369" s="40"/>
      <c r="V369" s="54"/>
      <c r="W369" s="55"/>
      <c r="X369" s="56"/>
      <c r="Y369" s="88"/>
      <c r="Z369" s="88"/>
      <c r="AA369" s="88"/>
      <c r="AB369" s="88"/>
    </row>
    <row r="370" spans="1:28">
      <c r="A370" s="38">
        <v>369</v>
      </c>
      <c r="B370" s="51"/>
      <c r="C370" s="40"/>
      <c r="D370" s="38"/>
      <c r="E370" s="38" t="s">
        <v>1471</v>
      </c>
      <c r="F370" s="43" t="s">
        <v>1472</v>
      </c>
      <c r="G370" s="44"/>
      <c r="H370" s="45"/>
      <c r="I370" s="38"/>
      <c r="J370" s="38">
        <f>193</f>
        <v>193</v>
      </c>
      <c r="K370" s="46">
        <v>3.8773148148148143E-3</v>
      </c>
      <c r="L370" s="47" t="s">
        <v>1283</v>
      </c>
      <c r="M370" s="48"/>
      <c r="N370" s="48"/>
      <c r="O370" s="48">
        <f t="shared" si="0"/>
        <v>0</v>
      </c>
      <c r="P370" s="38"/>
      <c r="Q370" s="14" t="str">
        <f t="shared" ca="1" si="1"/>
        <v/>
      </c>
      <c r="R370" s="51"/>
      <c r="S370" s="51"/>
      <c r="T370" s="51"/>
      <c r="U370" s="40"/>
      <c r="V370" s="54"/>
      <c r="W370" s="55"/>
      <c r="X370" s="56"/>
      <c r="Y370" s="88"/>
      <c r="Z370" s="88"/>
      <c r="AA370" s="88"/>
      <c r="AB370" s="88"/>
    </row>
    <row r="371" spans="1:28">
      <c r="A371" s="38">
        <v>370</v>
      </c>
      <c r="B371" s="51"/>
      <c r="C371" s="40"/>
      <c r="D371" s="38"/>
      <c r="E371" s="38" t="s">
        <v>1473</v>
      </c>
      <c r="F371" s="43" t="s">
        <v>1474</v>
      </c>
      <c r="G371" s="44"/>
      <c r="H371" s="45"/>
      <c r="I371" s="38"/>
      <c r="J371" s="38">
        <f>219</f>
        <v>219</v>
      </c>
      <c r="K371" s="46">
        <v>2.1296296296296298E-3</v>
      </c>
      <c r="L371" s="47" t="s">
        <v>1283</v>
      </c>
      <c r="M371" s="48"/>
      <c r="N371" s="48"/>
      <c r="O371" s="48">
        <f t="shared" si="0"/>
        <v>0</v>
      </c>
      <c r="P371" s="38"/>
      <c r="Q371" s="14" t="str">
        <f t="shared" ca="1" si="1"/>
        <v/>
      </c>
      <c r="R371" s="51"/>
      <c r="S371" s="51"/>
      <c r="T371" s="51"/>
      <c r="U371" s="40"/>
      <c r="V371" s="54"/>
      <c r="W371" s="55"/>
      <c r="X371" s="56"/>
      <c r="Y371" s="88"/>
      <c r="Z371" s="88"/>
      <c r="AA371" s="88"/>
      <c r="AB371" s="88"/>
    </row>
    <row r="372" spans="1:28">
      <c r="A372" s="38">
        <v>371</v>
      </c>
      <c r="B372" s="51"/>
      <c r="C372" s="40"/>
      <c r="D372" s="38"/>
      <c r="E372" s="38" t="s">
        <v>1475</v>
      </c>
      <c r="F372" s="43" t="s">
        <v>1476</v>
      </c>
      <c r="G372" s="44"/>
      <c r="H372" s="45"/>
      <c r="I372" s="38"/>
      <c r="J372" s="38">
        <f>413</f>
        <v>413</v>
      </c>
      <c r="K372" s="46">
        <v>2.4189814814814816E-3</v>
      </c>
      <c r="L372" s="47" t="s">
        <v>1283</v>
      </c>
      <c r="M372" s="48"/>
      <c r="N372" s="48"/>
      <c r="O372" s="48">
        <f t="shared" si="0"/>
        <v>0</v>
      </c>
      <c r="P372" s="38"/>
      <c r="Q372" s="14" t="str">
        <f t="shared" ca="1" si="1"/>
        <v/>
      </c>
      <c r="R372" s="51"/>
      <c r="S372" s="51"/>
      <c r="T372" s="51"/>
      <c r="U372" s="40"/>
      <c r="V372" s="54"/>
      <c r="W372" s="55"/>
      <c r="X372" s="56"/>
      <c r="Y372" s="88"/>
      <c r="Z372" s="88"/>
      <c r="AA372" s="88"/>
      <c r="AB372" s="88"/>
    </row>
    <row r="373" spans="1:28">
      <c r="A373" s="38">
        <v>372</v>
      </c>
      <c r="B373" s="51"/>
      <c r="C373" s="40"/>
      <c r="D373" s="38"/>
      <c r="E373" s="38" t="s">
        <v>1477</v>
      </c>
      <c r="F373" s="43" t="s">
        <v>1478</v>
      </c>
      <c r="G373" s="44"/>
      <c r="H373" s="45"/>
      <c r="I373" s="38"/>
      <c r="J373" s="38">
        <f>126</f>
        <v>126</v>
      </c>
      <c r="K373" s="46">
        <v>1.6203703703703703E-3</v>
      </c>
      <c r="L373" s="47" t="s">
        <v>1283</v>
      </c>
      <c r="M373" s="48"/>
      <c r="N373" s="48"/>
      <c r="O373" s="48">
        <f t="shared" si="0"/>
        <v>0</v>
      </c>
      <c r="P373" s="38"/>
      <c r="Q373" s="14" t="str">
        <f t="shared" ca="1" si="1"/>
        <v/>
      </c>
      <c r="R373" s="51"/>
      <c r="S373" s="51"/>
      <c r="T373" s="51"/>
      <c r="U373" s="40"/>
      <c r="V373" s="54"/>
      <c r="W373" s="55"/>
      <c r="X373" s="56"/>
      <c r="Y373" s="88"/>
      <c r="Z373" s="88"/>
      <c r="AA373" s="88"/>
      <c r="AB373" s="88"/>
    </row>
    <row r="374" spans="1:28">
      <c r="A374" s="38">
        <v>373</v>
      </c>
      <c r="B374" s="51"/>
      <c r="C374" s="40"/>
      <c r="D374" s="38"/>
      <c r="E374" s="38" t="s">
        <v>1479</v>
      </c>
      <c r="F374" s="43" t="s">
        <v>1480</v>
      </c>
      <c r="G374" s="44"/>
      <c r="H374" s="45"/>
      <c r="I374" s="38"/>
      <c r="J374" s="38">
        <f>154</f>
        <v>154</v>
      </c>
      <c r="K374" s="46">
        <v>3.3680555555555551E-3</v>
      </c>
      <c r="L374" s="47" t="s">
        <v>1283</v>
      </c>
      <c r="M374" s="48"/>
      <c r="N374" s="48"/>
      <c r="O374" s="48">
        <f t="shared" si="0"/>
        <v>0</v>
      </c>
      <c r="P374" s="38"/>
      <c r="Q374" s="14" t="str">
        <f t="shared" ca="1" si="1"/>
        <v/>
      </c>
      <c r="R374" s="51"/>
      <c r="S374" s="51"/>
      <c r="T374" s="51"/>
      <c r="U374" s="40"/>
      <c r="V374" s="54"/>
      <c r="W374" s="55"/>
      <c r="X374" s="56"/>
      <c r="Y374" s="88"/>
      <c r="Z374" s="88"/>
      <c r="AA374" s="88"/>
      <c r="AB374" s="88"/>
    </row>
    <row r="375" spans="1:28">
      <c r="A375" s="38">
        <v>374</v>
      </c>
      <c r="B375" s="51"/>
      <c r="C375" s="40"/>
      <c r="D375" s="38"/>
      <c r="E375" s="38" t="s">
        <v>1481</v>
      </c>
      <c r="F375" s="43" t="s">
        <v>1482</v>
      </c>
      <c r="G375" s="44"/>
      <c r="H375" s="45"/>
      <c r="I375" s="38"/>
      <c r="J375" s="38">
        <f>119</f>
        <v>119</v>
      </c>
      <c r="K375" s="46">
        <v>2.3263888888888887E-3</v>
      </c>
      <c r="L375" s="47" t="s">
        <v>1283</v>
      </c>
      <c r="M375" s="48"/>
      <c r="N375" s="48"/>
      <c r="O375" s="48">
        <f t="shared" si="0"/>
        <v>0</v>
      </c>
      <c r="P375" s="38"/>
      <c r="Q375" s="14" t="str">
        <f t="shared" ca="1" si="1"/>
        <v/>
      </c>
      <c r="R375" s="51"/>
      <c r="S375" s="51"/>
      <c r="T375" s="51"/>
      <c r="U375" s="40"/>
      <c r="V375" s="54"/>
      <c r="W375" s="55"/>
      <c r="X375" s="56"/>
      <c r="Y375" s="88"/>
      <c r="Z375" s="88"/>
      <c r="AA375" s="88"/>
      <c r="AB375" s="88"/>
    </row>
    <row r="376" spans="1:28">
      <c r="A376" s="38">
        <v>375</v>
      </c>
      <c r="B376" s="51"/>
      <c r="C376" s="40"/>
      <c r="D376" s="38"/>
      <c r="E376" s="38" t="s">
        <v>1483</v>
      </c>
      <c r="F376" s="43" t="s">
        <v>1484</v>
      </c>
      <c r="G376" s="44"/>
      <c r="H376" s="45"/>
      <c r="I376" s="38"/>
      <c r="J376" s="38">
        <f>241</f>
        <v>241</v>
      </c>
      <c r="K376" s="46">
        <v>8.7962962962962962E-4</v>
      </c>
      <c r="L376" s="47" t="s">
        <v>1283</v>
      </c>
      <c r="M376" s="48"/>
      <c r="N376" s="48"/>
      <c r="O376" s="48">
        <f t="shared" si="0"/>
        <v>0</v>
      </c>
      <c r="P376" s="38"/>
      <c r="Q376" s="14" t="str">
        <f t="shared" ca="1" si="1"/>
        <v/>
      </c>
      <c r="R376" s="51"/>
      <c r="S376" s="51"/>
      <c r="T376" s="51"/>
      <c r="U376" s="40"/>
      <c r="V376" s="54"/>
      <c r="W376" s="55"/>
      <c r="X376" s="56"/>
      <c r="Y376" s="88"/>
      <c r="Z376" s="88"/>
      <c r="AA376" s="88"/>
      <c r="AB376" s="88"/>
    </row>
    <row r="377" spans="1:28">
      <c r="A377" s="38">
        <v>376</v>
      </c>
      <c r="B377" s="51"/>
      <c r="C377" s="40"/>
      <c r="D377" s="38"/>
      <c r="E377" s="38" t="s">
        <v>1485</v>
      </c>
      <c r="F377" s="43" t="s">
        <v>1486</v>
      </c>
      <c r="G377" s="44"/>
      <c r="H377" s="45"/>
      <c r="I377" s="38"/>
      <c r="J377" s="38">
        <f>13*1000</f>
        <v>13000</v>
      </c>
      <c r="K377" s="46">
        <v>8.2986111111111108E-3</v>
      </c>
      <c r="L377" s="47" t="s">
        <v>1283</v>
      </c>
      <c r="M377" s="48"/>
      <c r="N377" s="48"/>
      <c r="O377" s="48">
        <f t="shared" si="0"/>
        <v>0</v>
      </c>
      <c r="P377" s="38"/>
      <c r="Q377" s="14" t="str">
        <f t="shared" ca="1" si="1"/>
        <v/>
      </c>
      <c r="R377" s="51"/>
      <c r="S377" s="51"/>
      <c r="T377" s="51"/>
      <c r="U377" s="40"/>
      <c r="V377" s="54"/>
      <c r="W377" s="55"/>
      <c r="X377" s="56"/>
      <c r="Y377" s="88"/>
      <c r="Z377" s="88"/>
      <c r="AA377" s="88"/>
      <c r="AB377" s="88"/>
    </row>
    <row r="378" spans="1:28">
      <c r="A378" s="38">
        <v>377</v>
      </c>
      <c r="B378" s="51"/>
      <c r="C378" s="40"/>
      <c r="D378" s="38"/>
      <c r="E378" s="38" t="s">
        <v>1487</v>
      </c>
      <c r="F378" s="43" t="s">
        <v>1488</v>
      </c>
      <c r="G378" s="44"/>
      <c r="H378" s="45"/>
      <c r="I378" s="38"/>
      <c r="J378" s="38">
        <f>20*1000</f>
        <v>20000</v>
      </c>
      <c r="K378" s="46">
        <v>6.7592592592592591E-3</v>
      </c>
      <c r="L378" s="47" t="s">
        <v>1283</v>
      </c>
      <c r="M378" s="48"/>
      <c r="N378" s="48"/>
      <c r="O378" s="48">
        <f t="shared" si="0"/>
        <v>0</v>
      </c>
      <c r="P378" s="38"/>
      <c r="Q378" s="14" t="str">
        <f t="shared" ca="1" si="1"/>
        <v/>
      </c>
      <c r="R378" s="51"/>
      <c r="S378" s="51"/>
      <c r="T378" s="51"/>
      <c r="U378" s="40"/>
      <c r="V378" s="54"/>
      <c r="W378" s="55"/>
      <c r="X378" s="56"/>
      <c r="Y378" s="88"/>
      <c r="Z378" s="88"/>
      <c r="AA378" s="88"/>
      <c r="AB378" s="88"/>
    </row>
    <row r="379" spans="1:28">
      <c r="A379" s="38">
        <v>378</v>
      </c>
      <c r="B379" s="51"/>
      <c r="C379" s="40"/>
      <c r="D379" s="38"/>
      <c r="E379" s="38" t="s">
        <v>1489</v>
      </c>
      <c r="F379" s="43" t="s">
        <v>1490</v>
      </c>
      <c r="G379" s="44"/>
      <c r="H379" s="45"/>
      <c r="I379" s="38"/>
      <c r="J379" s="38">
        <f>844</f>
        <v>844</v>
      </c>
      <c r="K379" s="46">
        <v>2.5347222222222221E-3</v>
      </c>
      <c r="L379" s="47" t="s">
        <v>1283</v>
      </c>
      <c r="M379" s="48"/>
      <c r="N379" s="48"/>
      <c r="O379" s="48">
        <f t="shared" si="0"/>
        <v>0</v>
      </c>
      <c r="P379" s="38"/>
      <c r="Q379" s="14" t="str">
        <f t="shared" ca="1" si="1"/>
        <v/>
      </c>
      <c r="R379" s="51"/>
      <c r="S379" s="51"/>
      <c r="T379" s="51"/>
      <c r="U379" s="40"/>
      <c r="V379" s="54"/>
      <c r="W379" s="55"/>
      <c r="X379" s="56"/>
      <c r="Y379" s="88"/>
      <c r="Z379" s="88"/>
      <c r="AA379" s="88"/>
      <c r="AB379" s="88"/>
    </row>
    <row r="380" spans="1:28">
      <c r="A380" s="38">
        <v>379</v>
      </c>
      <c r="B380" s="51"/>
      <c r="C380" s="40"/>
      <c r="D380" s="38"/>
      <c r="E380" s="38" t="s">
        <v>1491</v>
      </c>
      <c r="F380" s="43" t="s">
        <v>1492</v>
      </c>
      <c r="G380" s="44"/>
      <c r="H380" s="45"/>
      <c r="I380" s="38"/>
      <c r="J380" s="38">
        <f>904</f>
        <v>904</v>
      </c>
      <c r="K380" s="46">
        <v>5.37037037037037E-3</v>
      </c>
      <c r="L380" s="47" t="s">
        <v>1283</v>
      </c>
      <c r="M380" s="48"/>
      <c r="N380" s="48"/>
      <c r="O380" s="48">
        <f t="shared" si="0"/>
        <v>0</v>
      </c>
      <c r="P380" s="38"/>
      <c r="Q380" s="14" t="str">
        <f t="shared" ca="1" si="1"/>
        <v/>
      </c>
      <c r="R380" s="51"/>
      <c r="S380" s="51"/>
      <c r="T380" s="51"/>
      <c r="U380" s="40"/>
      <c r="V380" s="54"/>
      <c r="W380" s="55"/>
      <c r="X380" s="56"/>
      <c r="Y380" s="88"/>
      <c r="Z380" s="88"/>
      <c r="AA380" s="88"/>
      <c r="AB380" s="88"/>
    </row>
    <row r="381" spans="1:28">
      <c r="A381" s="38">
        <v>380</v>
      </c>
      <c r="B381" s="51"/>
      <c r="C381" s="40"/>
      <c r="D381" s="38"/>
      <c r="E381" s="38" t="s">
        <v>1493</v>
      </c>
      <c r="F381" s="43" t="s">
        <v>1494</v>
      </c>
      <c r="G381" s="44"/>
      <c r="H381" s="45"/>
      <c r="I381" s="38"/>
      <c r="J381" s="38">
        <f>384</f>
        <v>384</v>
      </c>
      <c r="K381" s="46">
        <v>1.7592592592592592E-3</v>
      </c>
      <c r="L381" s="47" t="s">
        <v>1283</v>
      </c>
      <c r="M381" s="48"/>
      <c r="N381" s="48"/>
      <c r="O381" s="48">
        <f t="shared" si="0"/>
        <v>0</v>
      </c>
      <c r="P381" s="38"/>
      <c r="Q381" s="14" t="str">
        <f t="shared" ca="1" si="1"/>
        <v/>
      </c>
      <c r="R381" s="51"/>
      <c r="S381" s="51"/>
      <c r="T381" s="51"/>
      <c r="U381" s="40"/>
      <c r="V381" s="54"/>
      <c r="W381" s="55"/>
      <c r="X381" s="56"/>
      <c r="Y381" s="88"/>
      <c r="Z381" s="88"/>
      <c r="AA381" s="88"/>
      <c r="AB381" s="88"/>
    </row>
    <row r="382" spans="1:28">
      <c r="A382" s="38">
        <v>381</v>
      </c>
      <c r="B382" s="51"/>
      <c r="C382" s="40"/>
      <c r="D382" s="38"/>
      <c r="E382" s="38" t="s">
        <v>1495</v>
      </c>
      <c r="F382" s="43" t="s">
        <v>1496</v>
      </c>
      <c r="G382" s="44"/>
      <c r="H382" s="45"/>
      <c r="I382" s="38"/>
      <c r="J382" s="38">
        <f>43*1000</f>
        <v>43000</v>
      </c>
      <c r="K382" s="46">
        <v>4.9652777777777777E-3</v>
      </c>
      <c r="L382" s="47" t="s">
        <v>1283</v>
      </c>
      <c r="M382" s="48"/>
      <c r="N382" s="48"/>
      <c r="O382" s="48">
        <f t="shared" si="0"/>
        <v>0</v>
      </c>
      <c r="P382" s="38"/>
      <c r="Q382" s="14" t="str">
        <f t="shared" ca="1" si="1"/>
        <v/>
      </c>
      <c r="R382" s="51"/>
      <c r="S382" s="51"/>
      <c r="T382" s="51"/>
      <c r="U382" s="40"/>
      <c r="V382" s="54"/>
      <c r="W382" s="55"/>
      <c r="X382" s="56"/>
      <c r="Y382" s="88"/>
      <c r="Z382" s="88"/>
      <c r="AA382" s="88"/>
      <c r="AB382" s="88"/>
    </row>
    <row r="383" spans="1:28">
      <c r="A383" s="38">
        <v>382</v>
      </c>
      <c r="B383" s="51"/>
      <c r="C383" s="40"/>
      <c r="D383" s="38"/>
      <c r="E383" s="38" t="s">
        <v>1497</v>
      </c>
      <c r="F383" s="43" t="s">
        <v>1498</v>
      </c>
      <c r="G383" s="44"/>
      <c r="H383" s="45"/>
      <c r="I383" s="38"/>
      <c r="J383" s="38">
        <f>1.3*1000</f>
        <v>1300</v>
      </c>
      <c r="K383" s="46">
        <v>1.1689814814814814E-2</v>
      </c>
      <c r="L383" s="47" t="s">
        <v>1283</v>
      </c>
      <c r="M383" s="48"/>
      <c r="N383" s="48"/>
      <c r="O383" s="48">
        <f t="shared" si="0"/>
        <v>0</v>
      </c>
      <c r="P383" s="38"/>
      <c r="Q383" s="14" t="str">
        <f t="shared" ca="1" si="1"/>
        <v/>
      </c>
      <c r="R383" s="51"/>
      <c r="S383" s="51"/>
      <c r="T383" s="51"/>
      <c r="U383" s="40"/>
      <c r="V383" s="54"/>
      <c r="W383" s="55"/>
      <c r="X383" s="56"/>
      <c r="Y383" s="88"/>
      <c r="Z383" s="88"/>
      <c r="AA383" s="88"/>
      <c r="AB383" s="88"/>
    </row>
    <row r="384" spans="1:28">
      <c r="A384" s="38">
        <v>383</v>
      </c>
      <c r="B384" s="51"/>
      <c r="C384" s="40"/>
      <c r="D384" s="38"/>
      <c r="E384" s="38" t="s">
        <v>1499</v>
      </c>
      <c r="F384" s="43" t="s">
        <v>1500</v>
      </c>
      <c r="G384" s="44"/>
      <c r="H384" s="45"/>
      <c r="I384" s="38"/>
      <c r="J384" s="38">
        <f>1.1*1000</f>
        <v>1100</v>
      </c>
      <c r="K384" s="46">
        <v>2.7199074074074074E-3</v>
      </c>
      <c r="L384" s="47" t="s">
        <v>1283</v>
      </c>
      <c r="M384" s="48"/>
      <c r="N384" s="48"/>
      <c r="O384" s="48">
        <f t="shared" si="0"/>
        <v>0</v>
      </c>
      <c r="P384" s="38"/>
      <c r="Q384" s="14" t="str">
        <f t="shared" ca="1" si="1"/>
        <v/>
      </c>
      <c r="R384" s="51"/>
      <c r="S384" s="51"/>
      <c r="T384" s="51"/>
      <c r="U384" s="40"/>
      <c r="V384" s="54"/>
      <c r="W384" s="55"/>
      <c r="X384" s="56"/>
      <c r="Y384" s="88"/>
      <c r="Z384" s="88"/>
      <c r="AA384" s="88"/>
      <c r="AB384" s="88"/>
    </row>
    <row r="385" spans="1:28">
      <c r="A385" s="38">
        <v>384</v>
      </c>
      <c r="B385" s="51"/>
      <c r="C385" s="40"/>
      <c r="D385" s="38"/>
      <c r="E385" s="38" t="s">
        <v>1501</v>
      </c>
      <c r="F385" s="43" t="s">
        <v>1502</v>
      </c>
      <c r="G385" s="44"/>
      <c r="H385" s="45"/>
      <c r="I385" s="38"/>
      <c r="J385" s="38">
        <f>947</f>
        <v>947</v>
      </c>
      <c r="K385" s="46">
        <v>2.0254629629629629E-3</v>
      </c>
      <c r="L385" s="47" t="s">
        <v>1283</v>
      </c>
      <c r="M385" s="48"/>
      <c r="N385" s="48"/>
      <c r="O385" s="48">
        <f t="shared" si="0"/>
        <v>0</v>
      </c>
      <c r="P385" s="38"/>
      <c r="Q385" s="14" t="str">
        <f t="shared" ca="1" si="1"/>
        <v/>
      </c>
      <c r="R385" s="51"/>
      <c r="S385" s="51"/>
      <c r="T385" s="51"/>
      <c r="U385" s="40"/>
      <c r="V385" s="54"/>
      <c r="W385" s="55"/>
      <c r="X385" s="56"/>
      <c r="Y385" s="88"/>
      <c r="Z385" s="88"/>
      <c r="AA385" s="88"/>
      <c r="AB385" s="88"/>
    </row>
    <row r="386" spans="1:28">
      <c r="A386" s="38">
        <v>385</v>
      </c>
      <c r="B386" s="51"/>
      <c r="C386" s="40"/>
      <c r="D386" s="38"/>
      <c r="E386" s="38" t="s">
        <v>1503</v>
      </c>
      <c r="F386" s="43" t="s">
        <v>1504</v>
      </c>
      <c r="G386" s="44"/>
      <c r="H386" s="45"/>
      <c r="I386" s="38"/>
      <c r="J386" s="38">
        <f>405</f>
        <v>405</v>
      </c>
      <c r="K386" s="46">
        <v>3.4375E-3</v>
      </c>
      <c r="L386" s="47" t="s">
        <v>1283</v>
      </c>
      <c r="M386" s="48"/>
      <c r="N386" s="48"/>
      <c r="O386" s="48">
        <f t="shared" si="0"/>
        <v>0</v>
      </c>
      <c r="P386" s="38"/>
      <c r="Q386" s="14" t="str">
        <f t="shared" ca="1" si="1"/>
        <v/>
      </c>
      <c r="R386" s="51"/>
      <c r="S386" s="51"/>
      <c r="T386" s="51"/>
      <c r="U386" s="40"/>
      <c r="V386" s="54"/>
      <c r="W386" s="55"/>
      <c r="X386" s="56"/>
      <c r="Y386" s="88"/>
      <c r="Z386" s="88"/>
      <c r="AA386" s="88"/>
      <c r="AB386" s="88"/>
    </row>
    <row r="387" spans="1:28">
      <c r="A387" s="38">
        <v>386</v>
      </c>
      <c r="B387" s="51"/>
      <c r="C387" s="40"/>
      <c r="D387" s="38"/>
      <c r="E387" s="38" t="s">
        <v>1505</v>
      </c>
      <c r="F387" s="43" t="s">
        <v>1506</v>
      </c>
      <c r="G387" s="44"/>
      <c r="H387" s="45"/>
      <c r="I387" s="38"/>
      <c r="J387" s="38">
        <f>365</f>
        <v>365</v>
      </c>
      <c r="K387" s="46">
        <v>2.9745370370370373E-3</v>
      </c>
      <c r="L387" s="47" t="s">
        <v>1283</v>
      </c>
      <c r="M387" s="48"/>
      <c r="N387" s="48"/>
      <c r="O387" s="48">
        <f t="shared" si="0"/>
        <v>0</v>
      </c>
      <c r="P387" s="38"/>
      <c r="Q387" s="14" t="str">
        <f t="shared" ca="1" si="1"/>
        <v/>
      </c>
      <c r="R387" s="51"/>
      <c r="S387" s="51"/>
      <c r="T387" s="51"/>
      <c r="U387" s="40"/>
      <c r="V387" s="54"/>
      <c r="W387" s="55"/>
      <c r="X387" s="56"/>
      <c r="Y387" s="88"/>
      <c r="Z387" s="88"/>
      <c r="AA387" s="88"/>
      <c r="AB387" s="88"/>
    </row>
    <row r="388" spans="1:28">
      <c r="A388" s="38">
        <v>387</v>
      </c>
      <c r="B388" s="51"/>
      <c r="C388" s="40"/>
      <c r="D388" s="38"/>
      <c r="E388" s="38" t="s">
        <v>1507</v>
      </c>
      <c r="F388" s="43" t="s">
        <v>1508</v>
      </c>
      <c r="G388" s="44"/>
      <c r="H388" s="45"/>
      <c r="I388" s="38"/>
      <c r="J388" s="38">
        <f>728</f>
        <v>728</v>
      </c>
      <c r="K388" s="46">
        <v>3.37962962962963E-3</v>
      </c>
      <c r="L388" s="47" t="s">
        <v>1283</v>
      </c>
      <c r="M388" s="48"/>
      <c r="N388" s="48"/>
      <c r="O388" s="48">
        <f t="shared" si="0"/>
        <v>0</v>
      </c>
      <c r="P388" s="38"/>
      <c r="Q388" s="14" t="str">
        <f t="shared" ca="1" si="1"/>
        <v/>
      </c>
      <c r="R388" s="51"/>
      <c r="S388" s="51"/>
      <c r="T388" s="51"/>
      <c r="U388" s="40"/>
      <c r="V388" s="54"/>
      <c r="W388" s="55"/>
      <c r="X388" s="56"/>
      <c r="Y388" s="88"/>
      <c r="Z388" s="88"/>
      <c r="AA388" s="88"/>
      <c r="AB388" s="88"/>
    </row>
    <row r="389" spans="1:28">
      <c r="A389" s="38">
        <v>388</v>
      </c>
      <c r="B389" s="51"/>
      <c r="C389" s="40"/>
      <c r="D389" s="38"/>
      <c r="E389" s="38" t="s">
        <v>1509</v>
      </c>
      <c r="F389" s="43" t="s">
        <v>1510</v>
      </c>
      <c r="G389" s="44"/>
      <c r="H389" s="45"/>
      <c r="I389" s="38"/>
      <c r="J389" s="38">
        <f>3.7*1000</f>
        <v>3700</v>
      </c>
      <c r="K389" s="46">
        <v>3.1782407407407405E-2</v>
      </c>
      <c r="L389" s="47" t="s">
        <v>1283</v>
      </c>
      <c r="M389" s="48"/>
      <c r="N389" s="48"/>
      <c r="O389" s="48">
        <f t="shared" si="0"/>
        <v>0</v>
      </c>
      <c r="P389" s="38"/>
      <c r="Q389" s="14" t="str">
        <f t="shared" ca="1" si="1"/>
        <v/>
      </c>
      <c r="R389" s="51"/>
      <c r="S389" s="51"/>
      <c r="T389" s="51"/>
      <c r="U389" s="40"/>
      <c r="V389" s="54"/>
      <c r="W389" s="55"/>
      <c r="X389" s="56"/>
      <c r="Y389" s="88"/>
      <c r="Z389" s="88"/>
      <c r="AA389" s="88"/>
      <c r="AB389" s="88"/>
    </row>
    <row r="390" spans="1:28">
      <c r="A390" s="38">
        <v>389</v>
      </c>
      <c r="B390" s="51"/>
      <c r="C390" s="40"/>
      <c r="D390" s="38"/>
      <c r="E390" s="38" t="s">
        <v>1511</v>
      </c>
      <c r="F390" s="43" t="s">
        <v>1512</v>
      </c>
      <c r="G390" s="44"/>
      <c r="H390" s="45"/>
      <c r="I390" s="38"/>
      <c r="J390" s="38">
        <f>634</f>
        <v>634</v>
      </c>
      <c r="K390" s="46">
        <v>2.2337962962962967E-3</v>
      </c>
      <c r="L390" s="47" t="s">
        <v>1283</v>
      </c>
      <c r="M390" s="48"/>
      <c r="N390" s="48"/>
      <c r="O390" s="48">
        <f t="shared" si="0"/>
        <v>0</v>
      </c>
      <c r="P390" s="38"/>
      <c r="Q390" s="14" t="str">
        <f t="shared" ca="1" si="1"/>
        <v/>
      </c>
      <c r="R390" s="51"/>
      <c r="S390" s="51"/>
      <c r="T390" s="51"/>
      <c r="U390" s="40"/>
      <c r="V390" s="54"/>
      <c r="W390" s="55"/>
      <c r="X390" s="56"/>
      <c r="Y390" s="88"/>
      <c r="Z390" s="88"/>
      <c r="AA390" s="88"/>
      <c r="AB390" s="88"/>
    </row>
    <row r="391" spans="1:28">
      <c r="A391" s="38">
        <v>390</v>
      </c>
      <c r="B391" s="51"/>
      <c r="C391" s="40"/>
      <c r="D391" s="38"/>
      <c r="E391" s="38" t="s">
        <v>1513</v>
      </c>
      <c r="F391" s="43" t="s">
        <v>1514</v>
      </c>
      <c r="G391" s="44"/>
      <c r="H391" s="45"/>
      <c r="I391" s="38"/>
      <c r="J391" s="38">
        <f>387</f>
        <v>387</v>
      </c>
      <c r="K391" s="46">
        <v>1.8171296296296297E-3</v>
      </c>
      <c r="L391" s="47" t="s">
        <v>1283</v>
      </c>
      <c r="M391" s="48"/>
      <c r="N391" s="48"/>
      <c r="O391" s="48">
        <f t="shared" si="0"/>
        <v>0</v>
      </c>
      <c r="P391" s="38"/>
      <c r="Q391" s="14" t="str">
        <f t="shared" ca="1" si="1"/>
        <v/>
      </c>
      <c r="R391" s="51"/>
      <c r="S391" s="51"/>
      <c r="T391" s="51"/>
      <c r="U391" s="40"/>
      <c r="V391" s="54"/>
      <c r="W391" s="55"/>
      <c r="X391" s="56"/>
      <c r="Y391" s="88"/>
      <c r="Z391" s="88"/>
      <c r="AA391" s="88"/>
      <c r="AB391" s="88"/>
    </row>
    <row r="392" spans="1:28">
      <c r="A392" s="38">
        <v>391</v>
      </c>
      <c r="B392" s="51"/>
      <c r="C392" s="40"/>
      <c r="D392" s="38"/>
      <c r="E392" s="38" t="s">
        <v>1515</v>
      </c>
      <c r="F392" s="43" t="s">
        <v>1516</v>
      </c>
      <c r="G392" s="44"/>
      <c r="H392" s="45"/>
      <c r="I392" s="38"/>
      <c r="J392" s="38">
        <f>319</f>
        <v>319</v>
      </c>
      <c r="K392" s="46">
        <v>1.8402777777777777E-3</v>
      </c>
      <c r="L392" s="47" t="s">
        <v>1283</v>
      </c>
      <c r="M392" s="48"/>
      <c r="N392" s="48"/>
      <c r="O392" s="48">
        <f t="shared" si="0"/>
        <v>0</v>
      </c>
      <c r="P392" s="38"/>
      <c r="Q392" s="14" t="str">
        <f t="shared" ca="1" si="1"/>
        <v/>
      </c>
      <c r="R392" s="51"/>
      <c r="S392" s="51"/>
      <c r="T392" s="51"/>
      <c r="U392" s="40"/>
      <c r="V392" s="54"/>
      <c r="W392" s="55"/>
      <c r="X392" s="56"/>
      <c r="Y392" s="88"/>
      <c r="Z392" s="88"/>
      <c r="AA392" s="88"/>
      <c r="AB392" s="88"/>
    </row>
    <row r="393" spans="1:28">
      <c r="A393" s="38">
        <v>392</v>
      </c>
      <c r="B393" s="51"/>
      <c r="C393" s="40"/>
      <c r="D393" s="38"/>
      <c r="E393" s="38" t="s">
        <v>1517</v>
      </c>
      <c r="F393" s="43" t="s">
        <v>1518</v>
      </c>
      <c r="G393" s="44"/>
      <c r="H393" s="45"/>
      <c r="I393" s="38"/>
      <c r="J393" s="38">
        <f>282</f>
        <v>282</v>
      </c>
      <c r="K393" s="46">
        <v>1.0995370370370371E-3</v>
      </c>
      <c r="L393" s="47" t="s">
        <v>1283</v>
      </c>
      <c r="M393" s="48"/>
      <c r="N393" s="48"/>
      <c r="O393" s="48">
        <f t="shared" si="0"/>
        <v>0</v>
      </c>
      <c r="P393" s="38"/>
      <c r="Q393" s="14" t="str">
        <f t="shared" ca="1" si="1"/>
        <v/>
      </c>
      <c r="R393" s="51"/>
      <c r="S393" s="51"/>
      <c r="T393" s="51"/>
      <c r="U393" s="40"/>
      <c r="V393" s="54"/>
      <c r="W393" s="55"/>
      <c r="X393" s="56"/>
      <c r="Y393" s="88"/>
      <c r="Z393" s="88"/>
      <c r="AA393" s="88"/>
      <c r="AB393" s="88"/>
    </row>
    <row r="394" spans="1:28">
      <c r="A394" s="38">
        <v>393</v>
      </c>
      <c r="B394" s="51"/>
      <c r="C394" s="40"/>
      <c r="D394" s="38"/>
      <c r="E394" s="38" t="s">
        <v>1520</v>
      </c>
      <c r="F394" s="43" t="s">
        <v>1521</v>
      </c>
      <c r="G394" s="44"/>
      <c r="H394" s="45"/>
      <c r="I394" s="38"/>
      <c r="J394" s="38">
        <f>1*1000</f>
        <v>1000</v>
      </c>
      <c r="K394" s="46">
        <v>5.7986111111111112E-3</v>
      </c>
      <c r="L394" s="47" t="s">
        <v>1283</v>
      </c>
      <c r="M394" s="48"/>
      <c r="N394" s="48"/>
      <c r="O394" s="48">
        <f t="shared" si="0"/>
        <v>0</v>
      </c>
      <c r="P394" s="38"/>
      <c r="Q394" s="14" t="str">
        <f t="shared" ca="1" si="1"/>
        <v/>
      </c>
      <c r="R394" s="51"/>
      <c r="S394" s="51"/>
      <c r="T394" s="51"/>
      <c r="U394" s="40"/>
      <c r="V394" s="54"/>
      <c r="W394" s="55"/>
      <c r="X394" s="56"/>
      <c r="Y394" s="88"/>
      <c r="Z394" s="88"/>
      <c r="AA394" s="88"/>
      <c r="AB394" s="88"/>
    </row>
    <row r="395" spans="1:28">
      <c r="A395" s="38">
        <v>394</v>
      </c>
      <c r="B395" s="51"/>
      <c r="C395" s="40"/>
      <c r="D395" s="38"/>
      <c r="E395" s="38" t="s">
        <v>1526</v>
      </c>
      <c r="F395" s="43" t="s">
        <v>1527</v>
      </c>
      <c r="G395" s="44"/>
      <c r="H395" s="45"/>
      <c r="I395" s="38"/>
      <c r="J395" s="38">
        <f>790</f>
        <v>790</v>
      </c>
      <c r="K395" s="46">
        <v>2.8124999999999995E-3</v>
      </c>
      <c r="L395" s="47" t="s">
        <v>1283</v>
      </c>
      <c r="M395" s="48"/>
      <c r="N395" s="48"/>
      <c r="O395" s="48">
        <f t="shared" si="0"/>
        <v>0</v>
      </c>
      <c r="P395" s="38"/>
      <c r="Q395" s="14" t="str">
        <f t="shared" ca="1" si="1"/>
        <v/>
      </c>
      <c r="R395" s="51"/>
      <c r="S395" s="51"/>
      <c r="T395" s="51"/>
      <c r="U395" s="40"/>
      <c r="V395" s="54"/>
      <c r="W395" s="55"/>
      <c r="X395" s="56"/>
      <c r="Y395" s="88"/>
      <c r="Z395" s="88"/>
      <c r="AA395" s="88"/>
      <c r="AB395" s="88"/>
    </row>
    <row r="396" spans="1:28">
      <c r="A396" s="38">
        <v>395</v>
      </c>
      <c r="B396" s="51"/>
      <c r="C396" s="40"/>
      <c r="D396" s="38"/>
      <c r="E396" s="38" t="s">
        <v>1531</v>
      </c>
      <c r="F396" s="43" t="s">
        <v>1532</v>
      </c>
      <c r="G396" s="44"/>
      <c r="H396" s="45"/>
      <c r="I396" s="38"/>
      <c r="J396" s="38">
        <f>270</f>
        <v>270</v>
      </c>
      <c r="K396" s="46">
        <v>7.7546296296296304E-4</v>
      </c>
      <c r="L396" s="47" t="s">
        <v>1283</v>
      </c>
      <c r="M396" s="48"/>
      <c r="N396" s="48"/>
      <c r="O396" s="48">
        <f t="shared" si="0"/>
        <v>0</v>
      </c>
      <c r="P396" s="38"/>
      <c r="Q396" s="14" t="str">
        <f t="shared" ca="1" si="1"/>
        <v/>
      </c>
      <c r="R396" s="51"/>
      <c r="S396" s="51"/>
      <c r="T396" s="51"/>
      <c r="U396" s="40"/>
      <c r="V396" s="54"/>
      <c r="W396" s="55"/>
      <c r="X396" s="56"/>
      <c r="Y396" s="88"/>
      <c r="Z396" s="88"/>
      <c r="AA396" s="88"/>
      <c r="AB396" s="88"/>
    </row>
    <row r="397" spans="1:28">
      <c r="A397" s="38">
        <v>396</v>
      </c>
      <c r="B397" s="51"/>
      <c r="C397" s="40"/>
      <c r="D397" s="38"/>
      <c r="E397" s="38" t="s">
        <v>1535</v>
      </c>
      <c r="F397" s="43" t="s">
        <v>1536</v>
      </c>
      <c r="G397" s="44"/>
      <c r="H397" s="45"/>
      <c r="I397" s="38"/>
      <c r="J397" s="38">
        <f>9.5*1000</f>
        <v>9500</v>
      </c>
      <c r="K397" s="46">
        <v>1.4224537037037037E-2</v>
      </c>
      <c r="L397" s="47" t="s">
        <v>1283</v>
      </c>
      <c r="M397" s="48"/>
      <c r="N397" s="48"/>
      <c r="O397" s="48">
        <f t="shared" si="0"/>
        <v>0</v>
      </c>
      <c r="P397" s="38"/>
      <c r="Q397" s="14" t="str">
        <f t="shared" ca="1" si="1"/>
        <v/>
      </c>
      <c r="R397" s="51"/>
      <c r="S397" s="51"/>
      <c r="T397" s="51"/>
      <c r="U397" s="40"/>
      <c r="V397" s="54"/>
      <c r="W397" s="55"/>
      <c r="X397" s="56"/>
      <c r="Y397" s="88"/>
      <c r="Z397" s="88"/>
      <c r="AA397" s="88"/>
      <c r="AB397" s="88"/>
    </row>
    <row r="398" spans="1:28">
      <c r="A398" s="38">
        <v>397</v>
      </c>
      <c r="B398" s="51"/>
      <c r="C398" s="40"/>
      <c r="D398" s="38"/>
      <c r="E398" s="38" t="s">
        <v>1539</v>
      </c>
      <c r="F398" s="43" t="s">
        <v>1540</v>
      </c>
      <c r="G398" s="44"/>
      <c r="H398" s="45"/>
      <c r="I398" s="38"/>
      <c r="J398" s="38">
        <f>276</f>
        <v>276</v>
      </c>
      <c r="K398" s="46">
        <v>2.5115740740740741E-3</v>
      </c>
      <c r="L398" s="47" t="s">
        <v>1283</v>
      </c>
      <c r="M398" s="48"/>
      <c r="N398" s="48"/>
      <c r="O398" s="48">
        <f t="shared" si="0"/>
        <v>0</v>
      </c>
      <c r="P398" s="38"/>
      <c r="Q398" s="14" t="str">
        <f t="shared" ca="1" si="1"/>
        <v/>
      </c>
      <c r="R398" s="51"/>
      <c r="S398" s="51"/>
      <c r="T398" s="51"/>
      <c r="U398" s="40"/>
      <c r="V398" s="54"/>
      <c r="W398" s="55"/>
      <c r="X398" s="56"/>
      <c r="Y398" s="88"/>
      <c r="Z398" s="88"/>
      <c r="AA398" s="88"/>
      <c r="AB398" s="88"/>
    </row>
    <row r="399" spans="1:28">
      <c r="A399" s="38">
        <v>398</v>
      </c>
      <c r="B399" s="51"/>
      <c r="C399" s="40"/>
      <c r="D399" s="38"/>
      <c r="E399" s="38" t="s">
        <v>1545</v>
      </c>
      <c r="F399" s="43" t="s">
        <v>1546</v>
      </c>
      <c r="G399" s="44"/>
      <c r="H399" s="45"/>
      <c r="I399" s="38"/>
      <c r="J399" s="38">
        <f>574</f>
        <v>574</v>
      </c>
      <c r="K399" s="46">
        <v>5.0694444444444441E-3</v>
      </c>
      <c r="L399" s="47" t="s">
        <v>1283</v>
      </c>
      <c r="M399" s="48"/>
      <c r="N399" s="48"/>
      <c r="O399" s="48">
        <f t="shared" si="0"/>
        <v>0</v>
      </c>
      <c r="P399" s="38"/>
      <c r="Q399" s="14" t="str">
        <f t="shared" ca="1" si="1"/>
        <v/>
      </c>
      <c r="R399" s="51"/>
      <c r="S399" s="51"/>
      <c r="T399" s="51"/>
      <c r="U399" s="40"/>
      <c r="V399" s="54"/>
      <c r="W399" s="55"/>
      <c r="X399" s="56"/>
      <c r="Y399" s="88"/>
      <c r="Z399" s="88"/>
      <c r="AA399" s="88"/>
      <c r="AB399" s="88"/>
    </row>
    <row r="400" spans="1:28">
      <c r="A400" s="38">
        <v>399</v>
      </c>
      <c r="B400" s="51"/>
      <c r="C400" s="40"/>
      <c r="D400" s="38"/>
      <c r="E400" s="38" t="s">
        <v>1549</v>
      </c>
      <c r="F400" s="43" t="s">
        <v>1550</v>
      </c>
      <c r="G400" s="44"/>
      <c r="H400" s="45"/>
      <c r="I400" s="38"/>
      <c r="J400" s="38">
        <f>612</f>
        <v>612</v>
      </c>
      <c r="K400" s="46">
        <v>1.5393518518518519E-3</v>
      </c>
      <c r="L400" s="47" t="s">
        <v>1283</v>
      </c>
      <c r="M400" s="48"/>
      <c r="N400" s="48"/>
      <c r="O400" s="48">
        <f t="shared" si="0"/>
        <v>0</v>
      </c>
      <c r="P400" s="38"/>
      <c r="Q400" s="14" t="str">
        <f t="shared" ca="1" si="1"/>
        <v/>
      </c>
      <c r="R400" s="51"/>
      <c r="S400" s="51"/>
      <c r="T400" s="51"/>
      <c r="U400" s="40"/>
      <c r="V400" s="54"/>
      <c r="W400" s="55"/>
      <c r="X400" s="56"/>
      <c r="Y400" s="88"/>
      <c r="Z400" s="88"/>
      <c r="AA400" s="88"/>
      <c r="AB400" s="88"/>
    </row>
    <row r="401" spans="1:28">
      <c r="A401" s="38">
        <v>400</v>
      </c>
      <c r="B401" s="51"/>
      <c r="C401" s="40"/>
      <c r="D401" s="38"/>
      <c r="E401" s="38" t="s">
        <v>1554</v>
      </c>
      <c r="F401" s="43" t="s">
        <v>1555</v>
      </c>
      <c r="G401" s="44"/>
      <c r="H401" s="45"/>
      <c r="I401" s="38"/>
      <c r="J401" s="38">
        <f>423</f>
        <v>423</v>
      </c>
      <c r="K401" s="46">
        <v>1.1689814814814816E-3</v>
      </c>
      <c r="L401" s="47" t="s">
        <v>1283</v>
      </c>
      <c r="M401" s="48"/>
      <c r="N401" s="48"/>
      <c r="O401" s="48">
        <f t="shared" si="0"/>
        <v>0</v>
      </c>
      <c r="P401" s="38"/>
      <c r="Q401" s="14" t="str">
        <f t="shared" ca="1" si="1"/>
        <v/>
      </c>
      <c r="R401" s="51"/>
      <c r="S401" s="51"/>
      <c r="T401" s="51"/>
      <c r="U401" s="40"/>
      <c r="V401" s="54"/>
      <c r="W401" s="55"/>
      <c r="X401" s="56"/>
      <c r="Y401" s="88"/>
      <c r="Z401" s="88"/>
      <c r="AA401" s="88"/>
      <c r="AB401" s="88"/>
    </row>
    <row r="402" spans="1:28">
      <c r="A402" s="38">
        <v>401</v>
      </c>
      <c r="B402" s="51"/>
      <c r="C402" s="40"/>
      <c r="D402" s="38"/>
      <c r="E402" s="38" t="s">
        <v>1558</v>
      </c>
      <c r="F402" s="43" t="s">
        <v>1559</v>
      </c>
      <c r="G402" s="44"/>
      <c r="H402" s="45"/>
      <c r="I402" s="38"/>
      <c r="J402" s="38">
        <f>567</f>
        <v>567</v>
      </c>
      <c r="K402" s="46">
        <v>1.3657407407407409E-3</v>
      </c>
      <c r="L402" s="47" t="s">
        <v>1283</v>
      </c>
      <c r="M402" s="48"/>
      <c r="N402" s="48"/>
      <c r="O402" s="48">
        <f t="shared" si="0"/>
        <v>0</v>
      </c>
      <c r="P402" s="38"/>
      <c r="Q402" s="14" t="str">
        <f t="shared" ca="1" si="1"/>
        <v/>
      </c>
      <c r="R402" s="51"/>
      <c r="S402" s="51"/>
      <c r="T402" s="51"/>
      <c r="U402" s="40"/>
      <c r="V402" s="54"/>
      <c r="W402" s="55"/>
      <c r="X402" s="56"/>
      <c r="Y402" s="88"/>
      <c r="Z402" s="88"/>
      <c r="AA402" s="88"/>
      <c r="AB402" s="88"/>
    </row>
    <row r="403" spans="1:28">
      <c r="A403" s="38">
        <v>402</v>
      </c>
      <c r="B403" s="51"/>
      <c r="C403" s="40"/>
      <c r="D403" s="38"/>
      <c r="E403" s="38" t="s">
        <v>1564</v>
      </c>
      <c r="F403" s="43" t="s">
        <v>1565</v>
      </c>
      <c r="G403" s="44"/>
      <c r="H403" s="45"/>
      <c r="I403" s="38"/>
      <c r="J403" s="38">
        <f>231</f>
        <v>231</v>
      </c>
      <c r="K403" s="46">
        <v>2.2685185185185182E-3</v>
      </c>
      <c r="L403" s="47" t="s">
        <v>1283</v>
      </c>
      <c r="M403" s="48"/>
      <c r="N403" s="48"/>
      <c r="O403" s="48">
        <f t="shared" si="0"/>
        <v>0</v>
      </c>
      <c r="P403" s="38"/>
      <c r="Q403" s="14" t="str">
        <f t="shared" ca="1" si="1"/>
        <v/>
      </c>
      <c r="R403" s="51"/>
      <c r="S403" s="51"/>
      <c r="T403" s="51"/>
      <c r="U403" s="40"/>
      <c r="V403" s="54"/>
      <c r="W403" s="55"/>
      <c r="X403" s="56"/>
      <c r="Y403" s="88"/>
      <c r="Z403" s="88"/>
      <c r="AA403" s="88"/>
      <c r="AB403" s="88"/>
    </row>
    <row r="404" spans="1:28">
      <c r="A404" s="38">
        <v>403</v>
      </c>
      <c r="B404" s="51"/>
      <c r="C404" s="40"/>
      <c r="D404" s="38"/>
      <c r="E404" s="38" t="s">
        <v>1567</v>
      </c>
      <c r="F404" s="43" t="s">
        <v>1568</v>
      </c>
      <c r="G404" s="44"/>
      <c r="H404" s="45"/>
      <c r="I404" s="38"/>
      <c r="J404" s="38">
        <f>415</f>
        <v>415</v>
      </c>
      <c r="K404" s="46">
        <v>2.8935185185185188E-3</v>
      </c>
      <c r="L404" s="47" t="s">
        <v>1283</v>
      </c>
      <c r="M404" s="48"/>
      <c r="N404" s="48"/>
      <c r="O404" s="48">
        <f t="shared" si="0"/>
        <v>0</v>
      </c>
      <c r="P404" s="38"/>
      <c r="Q404" s="14" t="str">
        <f t="shared" ca="1" si="1"/>
        <v/>
      </c>
      <c r="R404" s="51"/>
      <c r="S404" s="51"/>
      <c r="T404" s="51"/>
      <c r="U404" s="40"/>
      <c r="V404" s="54"/>
      <c r="W404" s="55"/>
      <c r="X404" s="56"/>
      <c r="Y404" s="88"/>
      <c r="Z404" s="88"/>
      <c r="AA404" s="88"/>
      <c r="AB404" s="88"/>
    </row>
    <row r="405" spans="1:28">
      <c r="A405" s="38">
        <v>404</v>
      </c>
      <c r="B405" s="51"/>
      <c r="C405" s="40"/>
      <c r="D405" s="38"/>
      <c r="E405" s="38" t="s">
        <v>1571</v>
      </c>
      <c r="F405" s="43" t="s">
        <v>1572</v>
      </c>
      <c r="G405" s="44"/>
      <c r="H405" s="45"/>
      <c r="I405" s="38"/>
      <c r="J405" s="38">
        <f>553</f>
        <v>553</v>
      </c>
      <c r="K405" s="46">
        <v>2.1990740740740742E-3</v>
      </c>
      <c r="L405" s="47" t="s">
        <v>1283</v>
      </c>
      <c r="M405" s="48"/>
      <c r="N405" s="48"/>
      <c r="O405" s="48">
        <f t="shared" si="0"/>
        <v>0</v>
      </c>
      <c r="P405" s="38"/>
      <c r="Q405" s="14" t="str">
        <f t="shared" ca="1" si="1"/>
        <v/>
      </c>
      <c r="R405" s="51"/>
      <c r="S405" s="51"/>
      <c r="T405" s="51"/>
      <c r="U405" s="40"/>
      <c r="V405" s="54"/>
      <c r="W405" s="55"/>
      <c r="X405" s="56"/>
      <c r="Y405" s="88"/>
      <c r="Z405" s="88"/>
      <c r="AA405" s="88"/>
      <c r="AB405" s="88"/>
    </row>
    <row r="406" spans="1:28">
      <c r="A406" s="38">
        <v>405</v>
      </c>
      <c r="B406" s="51"/>
      <c r="C406" s="40"/>
      <c r="D406" s="38"/>
      <c r="E406" s="38" t="s">
        <v>1573</v>
      </c>
      <c r="F406" s="43" t="s">
        <v>1574</v>
      </c>
      <c r="G406" s="44"/>
      <c r="H406" s="45"/>
      <c r="I406" s="38"/>
      <c r="J406" s="38">
        <f>353</f>
        <v>353</v>
      </c>
      <c r="K406" s="46">
        <v>1.3541666666666667E-3</v>
      </c>
      <c r="L406" s="47" t="s">
        <v>1283</v>
      </c>
      <c r="M406" s="48"/>
      <c r="N406" s="48"/>
      <c r="O406" s="48">
        <f t="shared" si="0"/>
        <v>0</v>
      </c>
      <c r="P406" s="38"/>
      <c r="Q406" s="14" t="str">
        <f t="shared" ca="1" si="1"/>
        <v/>
      </c>
      <c r="R406" s="51"/>
      <c r="S406" s="51"/>
      <c r="T406" s="51"/>
      <c r="U406" s="40"/>
      <c r="V406" s="54"/>
      <c r="W406" s="55"/>
      <c r="X406" s="56"/>
      <c r="Y406" s="88"/>
      <c r="Z406" s="88"/>
      <c r="AA406" s="88"/>
      <c r="AB406" s="88"/>
    </row>
    <row r="407" spans="1:28">
      <c r="A407" s="38">
        <v>406</v>
      </c>
      <c r="B407" s="51"/>
      <c r="C407" s="40"/>
      <c r="D407" s="38"/>
      <c r="E407" s="38" t="s">
        <v>1577</v>
      </c>
      <c r="F407" s="43" t="s">
        <v>1578</v>
      </c>
      <c r="G407" s="44"/>
      <c r="H407" s="45"/>
      <c r="I407" s="38"/>
      <c r="J407" s="38">
        <f>798</f>
        <v>798</v>
      </c>
      <c r="K407" s="46">
        <v>1.8287037037037037E-3</v>
      </c>
      <c r="L407" s="47" t="s">
        <v>1283</v>
      </c>
      <c r="M407" s="48"/>
      <c r="N407" s="48"/>
      <c r="O407" s="48">
        <f t="shared" si="0"/>
        <v>0</v>
      </c>
      <c r="P407" s="38"/>
      <c r="Q407" s="14" t="str">
        <f t="shared" ca="1" si="1"/>
        <v/>
      </c>
      <c r="R407" s="51"/>
      <c r="S407" s="51"/>
      <c r="T407" s="51"/>
      <c r="U407" s="40"/>
      <c r="V407" s="54"/>
      <c r="W407" s="55"/>
      <c r="X407" s="56"/>
      <c r="Y407" s="88"/>
      <c r="Z407" s="88"/>
      <c r="AA407" s="88"/>
      <c r="AB407" s="88"/>
    </row>
    <row r="408" spans="1:28">
      <c r="A408" s="38">
        <v>407</v>
      </c>
      <c r="B408" s="51"/>
      <c r="C408" s="40"/>
      <c r="D408" s="38"/>
      <c r="E408" s="38" t="s">
        <v>1579</v>
      </c>
      <c r="F408" s="43" t="s">
        <v>1581</v>
      </c>
      <c r="G408" s="44"/>
      <c r="H408" s="45"/>
      <c r="I408" s="38"/>
      <c r="J408" s="38">
        <f>632</f>
        <v>632</v>
      </c>
      <c r="K408" s="46">
        <v>5.9490740740740745E-3</v>
      </c>
      <c r="L408" s="47" t="s">
        <v>1283</v>
      </c>
      <c r="M408" s="48"/>
      <c r="N408" s="48"/>
      <c r="O408" s="48">
        <f t="shared" si="0"/>
        <v>0</v>
      </c>
      <c r="P408" s="38"/>
      <c r="Q408" s="14" t="str">
        <f t="shared" ca="1" si="1"/>
        <v/>
      </c>
      <c r="R408" s="51"/>
      <c r="S408" s="51"/>
      <c r="T408" s="51"/>
      <c r="U408" s="40"/>
      <c r="V408" s="54"/>
      <c r="W408" s="55"/>
      <c r="X408" s="56"/>
      <c r="Y408" s="88"/>
      <c r="Z408" s="88"/>
      <c r="AA408" s="88"/>
      <c r="AB408" s="88"/>
    </row>
    <row r="409" spans="1:28">
      <c r="A409" s="38">
        <v>408</v>
      </c>
      <c r="B409" s="51"/>
      <c r="C409" s="40"/>
      <c r="D409" s="38"/>
      <c r="E409" s="38" t="s">
        <v>1584</v>
      </c>
      <c r="F409" s="43" t="s">
        <v>1585</v>
      </c>
      <c r="G409" s="44"/>
      <c r="H409" s="45"/>
      <c r="I409" s="38"/>
      <c r="J409" s="38">
        <f>363</f>
        <v>363</v>
      </c>
      <c r="K409" s="46">
        <v>1.4583333333333334E-3</v>
      </c>
      <c r="L409" s="47" t="s">
        <v>1283</v>
      </c>
      <c r="M409" s="48"/>
      <c r="N409" s="48"/>
      <c r="O409" s="48">
        <f t="shared" si="0"/>
        <v>0</v>
      </c>
      <c r="P409" s="38"/>
      <c r="Q409" s="14" t="str">
        <f t="shared" ca="1" si="1"/>
        <v/>
      </c>
      <c r="R409" s="51"/>
      <c r="S409" s="51"/>
      <c r="T409" s="51"/>
      <c r="U409" s="40"/>
      <c r="V409" s="54"/>
      <c r="W409" s="55"/>
      <c r="X409" s="56"/>
      <c r="Y409" s="88"/>
      <c r="Z409" s="88"/>
      <c r="AA409" s="88"/>
      <c r="AB409" s="88"/>
    </row>
    <row r="410" spans="1:28">
      <c r="A410" s="38">
        <v>409</v>
      </c>
      <c r="B410" s="51"/>
      <c r="C410" s="40"/>
      <c r="D410" s="38"/>
      <c r="E410" s="38" t="s">
        <v>1587</v>
      </c>
      <c r="F410" s="43" t="s">
        <v>1588</v>
      </c>
      <c r="G410" s="44"/>
      <c r="H410" s="45"/>
      <c r="I410" s="38"/>
      <c r="J410" s="38">
        <f>2.4*1000</f>
        <v>2400</v>
      </c>
      <c r="K410" s="46">
        <v>2.0370370370370373E-3</v>
      </c>
      <c r="L410" s="47" t="s">
        <v>1283</v>
      </c>
      <c r="M410" s="48"/>
      <c r="N410" s="48"/>
      <c r="O410" s="48">
        <f t="shared" si="0"/>
        <v>0</v>
      </c>
      <c r="P410" s="38"/>
      <c r="Q410" s="14" t="str">
        <f t="shared" ca="1" si="1"/>
        <v/>
      </c>
      <c r="R410" s="51"/>
      <c r="S410" s="51"/>
      <c r="T410" s="51"/>
      <c r="U410" s="40"/>
      <c r="V410" s="54"/>
      <c r="W410" s="55"/>
      <c r="X410" s="56"/>
      <c r="Y410" s="88"/>
      <c r="Z410" s="88"/>
      <c r="AA410" s="88"/>
      <c r="AB410" s="88"/>
    </row>
    <row r="411" spans="1:28">
      <c r="A411" s="38">
        <v>410</v>
      </c>
      <c r="B411" s="51"/>
      <c r="C411" s="40"/>
      <c r="D411" s="38"/>
      <c r="E411" s="38" t="s">
        <v>1591</v>
      </c>
      <c r="F411" s="43" t="s">
        <v>1592</v>
      </c>
      <c r="G411" s="44"/>
      <c r="H411" s="45"/>
      <c r="I411" s="38"/>
      <c r="J411" s="38">
        <f>513</f>
        <v>513</v>
      </c>
      <c r="K411" s="46">
        <v>7.6388888888888893E-4</v>
      </c>
      <c r="L411" s="47" t="s">
        <v>1283</v>
      </c>
      <c r="M411" s="48"/>
      <c r="N411" s="48"/>
      <c r="O411" s="48">
        <f t="shared" si="0"/>
        <v>0</v>
      </c>
      <c r="P411" s="38"/>
      <c r="Q411" s="14" t="str">
        <f t="shared" ca="1" si="1"/>
        <v/>
      </c>
      <c r="R411" s="51"/>
      <c r="S411" s="51"/>
      <c r="T411" s="51"/>
      <c r="U411" s="40"/>
      <c r="V411" s="54"/>
      <c r="W411" s="55"/>
      <c r="X411" s="56"/>
      <c r="Y411" s="88"/>
      <c r="Z411" s="88"/>
      <c r="AA411" s="88"/>
      <c r="AB411" s="88"/>
    </row>
    <row r="412" spans="1:28">
      <c r="A412" s="38">
        <v>411</v>
      </c>
      <c r="B412" s="51"/>
      <c r="C412" s="40"/>
      <c r="D412" s="38"/>
      <c r="E412" s="38" t="s">
        <v>1595</v>
      </c>
      <c r="F412" s="43" t="s">
        <v>1596</v>
      </c>
      <c r="G412" s="44"/>
      <c r="H412" s="45"/>
      <c r="I412" s="38"/>
      <c r="J412" s="38">
        <f>765</f>
        <v>765</v>
      </c>
      <c r="K412" s="46">
        <v>2.615740740740741E-3</v>
      </c>
      <c r="L412" s="47" t="s">
        <v>1283</v>
      </c>
      <c r="M412" s="48"/>
      <c r="N412" s="48"/>
      <c r="O412" s="48">
        <f t="shared" si="0"/>
        <v>0</v>
      </c>
      <c r="P412" s="38"/>
      <c r="Q412" s="14" t="str">
        <f t="shared" ca="1" si="1"/>
        <v/>
      </c>
      <c r="R412" s="51"/>
      <c r="S412" s="51"/>
      <c r="T412" s="51"/>
      <c r="U412" s="40"/>
      <c r="V412" s="54"/>
      <c r="W412" s="55"/>
      <c r="X412" s="56"/>
      <c r="Y412" s="88"/>
      <c r="Z412" s="88"/>
      <c r="AA412" s="88"/>
      <c r="AB412" s="88"/>
    </row>
    <row r="413" spans="1:28">
      <c r="A413" s="38">
        <v>412</v>
      </c>
      <c r="B413" s="51"/>
      <c r="C413" s="40"/>
      <c r="D413" s="38"/>
      <c r="E413" s="38" t="s">
        <v>1599</v>
      </c>
      <c r="F413" s="43" t="s">
        <v>1600</v>
      </c>
      <c r="G413" s="44"/>
      <c r="H413" s="45"/>
      <c r="I413" s="38"/>
      <c r="J413" s="38">
        <f>477</f>
        <v>477</v>
      </c>
      <c r="K413" s="46">
        <v>2.9629629629629628E-3</v>
      </c>
      <c r="L413" s="47" t="s">
        <v>1283</v>
      </c>
      <c r="M413" s="48"/>
      <c r="N413" s="48"/>
      <c r="O413" s="48">
        <f t="shared" si="0"/>
        <v>0</v>
      </c>
      <c r="P413" s="38"/>
      <c r="Q413" s="14" t="str">
        <f t="shared" ca="1" si="1"/>
        <v/>
      </c>
      <c r="R413" s="51"/>
      <c r="S413" s="51"/>
      <c r="T413" s="51"/>
      <c r="U413" s="40"/>
      <c r="V413" s="54"/>
      <c r="W413" s="55"/>
      <c r="X413" s="56"/>
      <c r="Y413" s="88"/>
      <c r="Z413" s="88"/>
      <c r="AA413" s="88"/>
      <c r="AB413" s="88"/>
    </row>
    <row r="414" spans="1:28">
      <c r="A414" s="38">
        <v>413</v>
      </c>
      <c r="B414" s="51"/>
      <c r="C414" s="40"/>
      <c r="D414" s="38"/>
      <c r="E414" s="38" t="s">
        <v>1603</v>
      </c>
      <c r="F414" s="43" t="s">
        <v>1604</v>
      </c>
      <c r="G414" s="44"/>
      <c r="H414" s="45"/>
      <c r="I414" s="38"/>
      <c r="J414" s="38">
        <f>742</f>
        <v>742</v>
      </c>
      <c r="K414" s="46">
        <v>2.627314814814815E-3</v>
      </c>
      <c r="L414" s="47" t="s">
        <v>1283</v>
      </c>
      <c r="M414" s="48"/>
      <c r="N414" s="48"/>
      <c r="O414" s="48">
        <f t="shared" si="0"/>
        <v>0</v>
      </c>
      <c r="P414" s="38"/>
      <c r="Q414" s="14" t="str">
        <f t="shared" ca="1" si="1"/>
        <v/>
      </c>
      <c r="R414" s="51"/>
      <c r="S414" s="51"/>
      <c r="T414" s="51"/>
      <c r="U414" s="40"/>
      <c r="V414" s="54"/>
      <c r="W414" s="55"/>
      <c r="X414" s="56"/>
      <c r="Y414" s="88"/>
      <c r="Z414" s="88"/>
      <c r="AA414" s="88"/>
      <c r="AB414" s="88"/>
    </row>
    <row r="415" spans="1:28">
      <c r="A415" s="38">
        <v>414</v>
      </c>
      <c r="B415" s="51"/>
      <c r="C415" s="40"/>
      <c r="D415" s="38"/>
      <c r="E415" s="38" t="s">
        <v>1607</v>
      </c>
      <c r="F415" s="43" t="s">
        <v>1608</v>
      </c>
      <c r="G415" s="44"/>
      <c r="H415" s="45"/>
      <c r="I415" s="38"/>
      <c r="J415" s="38">
        <f>540</f>
        <v>540</v>
      </c>
      <c r="K415" s="46">
        <v>3.9236111111111112E-3</v>
      </c>
      <c r="L415" s="47" t="s">
        <v>1283</v>
      </c>
      <c r="M415" s="48"/>
      <c r="N415" s="48"/>
      <c r="O415" s="48">
        <f t="shared" si="0"/>
        <v>0</v>
      </c>
      <c r="P415" s="38"/>
      <c r="Q415" s="14" t="str">
        <f t="shared" ca="1" si="1"/>
        <v/>
      </c>
      <c r="R415" s="51"/>
      <c r="S415" s="51"/>
      <c r="T415" s="51"/>
      <c r="U415" s="40"/>
      <c r="V415" s="54"/>
      <c r="W415" s="55"/>
      <c r="X415" s="56"/>
      <c r="Y415" s="88"/>
      <c r="Z415" s="88"/>
      <c r="AA415" s="88"/>
      <c r="AB415" s="88"/>
    </row>
    <row r="416" spans="1:28">
      <c r="A416" s="38">
        <v>415</v>
      </c>
      <c r="B416" s="51"/>
      <c r="C416" s="40"/>
      <c r="D416" s="38"/>
      <c r="E416" s="38" t="s">
        <v>1614</v>
      </c>
      <c r="F416" s="43" t="s">
        <v>1615</v>
      </c>
      <c r="G416" s="44"/>
      <c r="H416" s="45"/>
      <c r="I416" s="38"/>
      <c r="J416" s="38">
        <f>657</f>
        <v>657</v>
      </c>
      <c r="K416" s="46">
        <v>1.0995370370370371E-3</v>
      </c>
      <c r="L416" s="47" t="s">
        <v>1283</v>
      </c>
      <c r="M416" s="48"/>
      <c r="N416" s="48"/>
      <c r="O416" s="48">
        <f t="shared" si="0"/>
        <v>0</v>
      </c>
      <c r="P416" s="38"/>
      <c r="Q416" s="14" t="str">
        <f t="shared" ca="1" si="1"/>
        <v/>
      </c>
      <c r="R416" s="51"/>
      <c r="S416" s="51"/>
      <c r="T416" s="51"/>
      <c r="U416" s="40"/>
      <c r="V416" s="54"/>
      <c r="W416" s="55"/>
      <c r="X416" s="56"/>
      <c r="Y416" s="88"/>
      <c r="Z416" s="88"/>
      <c r="AA416" s="88"/>
      <c r="AB416" s="88"/>
    </row>
    <row r="417" spans="1:28">
      <c r="A417" s="38">
        <v>416</v>
      </c>
      <c r="B417" s="51"/>
      <c r="C417" s="40"/>
      <c r="D417" s="38"/>
      <c r="E417" s="38" t="s">
        <v>1618</v>
      </c>
      <c r="F417" s="43" t="s">
        <v>1619</v>
      </c>
      <c r="G417" s="44"/>
      <c r="H417" s="45"/>
      <c r="I417" s="38"/>
      <c r="J417" s="38">
        <f>535</f>
        <v>535</v>
      </c>
      <c r="K417" s="46">
        <v>1.7708333333333332E-3</v>
      </c>
      <c r="L417" s="47" t="s">
        <v>1283</v>
      </c>
      <c r="M417" s="48"/>
      <c r="N417" s="48"/>
      <c r="O417" s="48">
        <f t="shared" si="0"/>
        <v>0</v>
      </c>
      <c r="P417" s="38"/>
      <c r="Q417" s="14" t="str">
        <f t="shared" ca="1" si="1"/>
        <v/>
      </c>
      <c r="R417" s="51"/>
      <c r="S417" s="51"/>
      <c r="T417" s="51"/>
      <c r="U417" s="40"/>
      <c r="V417" s="54"/>
      <c r="W417" s="55"/>
      <c r="X417" s="56"/>
      <c r="Y417" s="88"/>
      <c r="Z417" s="88"/>
      <c r="AA417" s="88"/>
      <c r="AB417" s="88"/>
    </row>
    <row r="418" spans="1:28">
      <c r="A418" s="38">
        <v>417</v>
      </c>
      <c r="B418" s="51"/>
      <c r="C418" s="40"/>
      <c r="D418" s="38"/>
      <c r="E418" s="38" t="s">
        <v>1622</v>
      </c>
      <c r="F418" s="43" t="s">
        <v>1623</v>
      </c>
      <c r="G418" s="44"/>
      <c r="H418" s="45"/>
      <c r="I418" s="38"/>
      <c r="J418" s="38">
        <f>6.4*1000</f>
        <v>6400</v>
      </c>
      <c r="K418" s="46">
        <v>1.8807870370370371E-2</v>
      </c>
      <c r="L418" s="47" t="s">
        <v>1283</v>
      </c>
      <c r="M418" s="48"/>
      <c r="N418" s="48"/>
      <c r="O418" s="48">
        <f t="shared" si="0"/>
        <v>0</v>
      </c>
      <c r="P418" s="38"/>
      <c r="Q418" s="14" t="str">
        <f t="shared" ca="1" si="1"/>
        <v/>
      </c>
      <c r="R418" s="51"/>
      <c r="S418" s="51"/>
      <c r="T418" s="51"/>
      <c r="U418" s="40"/>
      <c r="V418" s="54"/>
      <c r="W418" s="55"/>
      <c r="X418" s="56"/>
      <c r="Y418" s="88"/>
      <c r="Z418" s="88"/>
      <c r="AA418" s="88"/>
      <c r="AB418" s="88"/>
    </row>
    <row r="419" spans="1:28">
      <c r="A419" s="38">
        <v>418</v>
      </c>
      <c r="B419" s="51"/>
      <c r="C419" s="40"/>
      <c r="D419" s="38"/>
      <c r="E419" s="38" t="s">
        <v>1627</v>
      </c>
      <c r="F419" s="43" t="s">
        <v>1628</v>
      </c>
      <c r="G419" s="44"/>
      <c r="H419" s="45"/>
      <c r="I419" s="38"/>
      <c r="J419" s="38">
        <f>257</f>
        <v>257</v>
      </c>
      <c r="K419" s="46">
        <v>2.0486111111111113E-3</v>
      </c>
      <c r="L419" s="47" t="s">
        <v>1283</v>
      </c>
      <c r="M419" s="48"/>
      <c r="N419" s="48"/>
      <c r="O419" s="48">
        <f t="shared" si="0"/>
        <v>0</v>
      </c>
      <c r="P419" s="38"/>
      <c r="Q419" s="14" t="str">
        <f t="shared" ca="1" si="1"/>
        <v/>
      </c>
      <c r="R419" s="51"/>
      <c r="S419" s="51"/>
      <c r="T419" s="51"/>
      <c r="U419" s="40"/>
      <c r="V419" s="54"/>
      <c r="W419" s="55"/>
      <c r="X419" s="56"/>
      <c r="Y419" s="88"/>
      <c r="Z419" s="88"/>
      <c r="AA419" s="88"/>
      <c r="AB419" s="88"/>
    </row>
    <row r="420" spans="1:28">
      <c r="A420" s="38">
        <v>419</v>
      </c>
      <c r="B420" s="51"/>
      <c r="C420" s="40"/>
      <c r="D420" s="38"/>
      <c r="E420" s="38" t="s">
        <v>1631</v>
      </c>
      <c r="F420" s="43" t="s">
        <v>1632</v>
      </c>
      <c r="G420" s="44"/>
      <c r="H420" s="45"/>
      <c r="I420" s="38"/>
      <c r="J420" s="38">
        <f>485</f>
        <v>485</v>
      </c>
      <c r="K420" s="46">
        <v>1.5624999999999999E-3</v>
      </c>
      <c r="L420" s="47" t="s">
        <v>1283</v>
      </c>
      <c r="M420" s="48"/>
      <c r="N420" s="48"/>
      <c r="O420" s="48">
        <f t="shared" si="0"/>
        <v>0</v>
      </c>
      <c r="P420" s="38"/>
      <c r="Q420" s="14" t="str">
        <f t="shared" ca="1" si="1"/>
        <v/>
      </c>
      <c r="R420" s="51"/>
      <c r="S420" s="51"/>
      <c r="T420" s="51"/>
      <c r="U420" s="40"/>
      <c r="V420" s="54"/>
      <c r="W420" s="55"/>
      <c r="X420" s="56"/>
      <c r="Y420" s="88"/>
      <c r="Z420" s="88"/>
      <c r="AA420" s="88"/>
      <c r="AB420" s="88"/>
    </row>
    <row r="421" spans="1:28">
      <c r="A421" s="38">
        <v>420</v>
      </c>
      <c r="B421" s="51"/>
      <c r="C421" s="40"/>
      <c r="D421" s="38"/>
      <c r="E421" s="38" t="s">
        <v>1635</v>
      </c>
      <c r="F421" s="43" t="s">
        <v>1636</v>
      </c>
      <c r="G421" s="44"/>
      <c r="H421" s="45"/>
      <c r="I421" s="38"/>
      <c r="J421" s="38">
        <f>994</f>
        <v>994</v>
      </c>
      <c r="K421" s="46">
        <v>3.5879629629629635E-4</v>
      </c>
      <c r="L421" s="47" t="s">
        <v>1283</v>
      </c>
      <c r="M421" s="48"/>
      <c r="N421" s="48"/>
      <c r="O421" s="48">
        <f t="shared" si="0"/>
        <v>0</v>
      </c>
      <c r="P421" s="38"/>
      <c r="Q421" s="14" t="str">
        <f t="shared" ca="1" si="1"/>
        <v/>
      </c>
      <c r="R421" s="51"/>
      <c r="S421" s="51"/>
      <c r="T421" s="51"/>
      <c r="U421" s="40"/>
      <c r="V421" s="54"/>
      <c r="W421" s="55"/>
      <c r="X421" s="56"/>
      <c r="Y421" s="88"/>
      <c r="Z421" s="88"/>
      <c r="AA421" s="88"/>
      <c r="AB421" s="88"/>
    </row>
    <row r="422" spans="1:28">
      <c r="A422" s="38">
        <v>421</v>
      </c>
      <c r="B422" s="51"/>
      <c r="C422" s="40"/>
      <c r="D422" s="38"/>
      <c r="E422" s="38" t="s">
        <v>1640</v>
      </c>
      <c r="F422" s="43" t="s">
        <v>1641</v>
      </c>
      <c r="G422" s="44"/>
      <c r="H422" s="45"/>
      <c r="I422" s="38"/>
      <c r="J422" s="38">
        <f>3.3*1000</f>
        <v>3300</v>
      </c>
      <c r="K422" s="46">
        <v>3.8194444444444443E-3</v>
      </c>
      <c r="L422" s="47" t="s">
        <v>1283</v>
      </c>
      <c r="M422" s="48"/>
      <c r="N422" s="48"/>
      <c r="O422" s="48">
        <f t="shared" si="0"/>
        <v>0</v>
      </c>
      <c r="P422" s="38"/>
      <c r="Q422" s="14" t="str">
        <f t="shared" ca="1" si="1"/>
        <v/>
      </c>
      <c r="R422" s="51"/>
      <c r="S422" s="51"/>
      <c r="T422" s="51"/>
      <c r="U422" s="40"/>
      <c r="V422" s="54"/>
      <c r="W422" s="55"/>
      <c r="X422" s="56"/>
      <c r="Y422" s="88"/>
      <c r="Z422" s="88"/>
      <c r="AA422" s="88"/>
      <c r="AB422" s="88"/>
    </row>
    <row r="423" spans="1:28">
      <c r="A423" s="38">
        <v>422</v>
      </c>
      <c r="B423" s="51"/>
      <c r="C423" s="40"/>
      <c r="D423" s="38"/>
      <c r="E423" s="38" t="s">
        <v>1645</v>
      </c>
      <c r="F423" s="43" t="s">
        <v>1646</v>
      </c>
      <c r="G423" s="44"/>
      <c r="H423" s="45"/>
      <c r="I423" s="38"/>
      <c r="J423" s="38">
        <f>376</f>
        <v>376</v>
      </c>
      <c r="K423" s="46">
        <v>1.6203703703703703E-3</v>
      </c>
      <c r="L423" s="47" t="s">
        <v>1283</v>
      </c>
      <c r="M423" s="48"/>
      <c r="N423" s="48"/>
      <c r="O423" s="48">
        <f t="shared" si="0"/>
        <v>0</v>
      </c>
      <c r="P423" s="38"/>
      <c r="Q423" s="14" t="str">
        <f t="shared" ca="1" si="1"/>
        <v/>
      </c>
      <c r="R423" s="51"/>
      <c r="S423" s="51"/>
      <c r="T423" s="51"/>
      <c r="U423" s="40"/>
      <c r="V423" s="54"/>
      <c r="W423" s="55"/>
      <c r="X423" s="56"/>
      <c r="Y423" s="88"/>
      <c r="Z423" s="88"/>
      <c r="AA423" s="88"/>
      <c r="AB423" s="88"/>
    </row>
    <row r="424" spans="1:28">
      <c r="A424" s="38">
        <v>423</v>
      </c>
      <c r="B424" s="51"/>
      <c r="C424" s="40"/>
      <c r="D424" s="38"/>
      <c r="E424" s="38" t="s">
        <v>1650</v>
      </c>
      <c r="F424" s="43" t="s">
        <v>1651</v>
      </c>
      <c r="G424" s="44"/>
      <c r="H424" s="45"/>
      <c r="I424" s="38"/>
      <c r="J424" s="38">
        <f>263</f>
        <v>263</v>
      </c>
      <c r="K424" s="46">
        <v>4.5138888888888892E-4</v>
      </c>
      <c r="L424" s="47" t="s">
        <v>1283</v>
      </c>
      <c r="M424" s="48"/>
      <c r="N424" s="48"/>
      <c r="O424" s="48">
        <f t="shared" si="0"/>
        <v>0</v>
      </c>
      <c r="P424" s="38"/>
      <c r="Q424" s="14" t="str">
        <f t="shared" ca="1" si="1"/>
        <v/>
      </c>
      <c r="R424" s="51"/>
      <c r="S424" s="51"/>
      <c r="T424" s="51"/>
      <c r="U424" s="40"/>
      <c r="V424" s="54"/>
      <c r="W424" s="55"/>
      <c r="X424" s="56"/>
      <c r="Y424" s="88"/>
      <c r="Z424" s="88"/>
      <c r="AA424" s="88"/>
      <c r="AB424" s="88"/>
    </row>
    <row r="425" spans="1:28">
      <c r="A425" s="38">
        <v>424</v>
      </c>
      <c r="B425" s="51"/>
      <c r="C425" s="40"/>
      <c r="D425" s="38"/>
      <c r="E425" s="38" t="s">
        <v>1654</v>
      </c>
      <c r="F425" s="43" t="s">
        <v>1655</v>
      </c>
      <c r="G425" s="44"/>
      <c r="H425" s="45"/>
      <c r="I425" s="38"/>
      <c r="J425" s="38">
        <f>309</f>
        <v>309</v>
      </c>
      <c r="K425" s="46">
        <v>1.8171296296296297E-3</v>
      </c>
      <c r="L425" s="47" t="s">
        <v>1283</v>
      </c>
      <c r="M425" s="48"/>
      <c r="N425" s="48"/>
      <c r="O425" s="48">
        <f t="shared" si="0"/>
        <v>0</v>
      </c>
      <c r="P425" s="38"/>
      <c r="Q425" s="14" t="str">
        <f t="shared" ca="1" si="1"/>
        <v/>
      </c>
      <c r="R425" s="51"/>
      <c r="S425" s="51"/>
      <c r="T425" s="51"/>
      <c r="U425" s="40"/>
      <c r="V425" s="54"/>
      <c r="W425" s="55"/>
      <c r="X425" s="56"/>
      <c r="Y425" s="88"/>
      <c r="Z425" s="88"/>
      <c r="AA425" s="88"/>
      <c r="AB425" s="88"/>
    </row>
    <row r="426" spans="1:28">
      <c r="A426" s="38">
        <v>425</v>
      </c>
      <c r="B426" s="51"/>
      <c r="C426" s="40"/>
      <c r="D426" s="38"/>
      <c r="E426" s="38" t="s">
        <v>1656</v>
      </c>
      <c r="F426" s="43" t="s">
        <v>1658</v>
      </c>
      <c r="G426" s="44"/>
      <c r="H426" s="45"/>
      <c r="I426" s="38"/>
      <c r="J426" s="38">
        <f>899</f>
        <v>899</v>
      </c>
      <c r="K426" s="46">
        <v>8.9120370370370362E-4</v>
      </c>
      <c r="L426" s="47" t="s">
        <v>1283</v>
      </c>
      <c r="M426" s="48"/>
      <c r="N426" s="48"/>
      <c r="O426" s="48">
        <f t="shared" si="0"/>
        <v>0</v>
      </c>
      <c r="P426" s="38"/>
      <c r="Q426" s="14" t="str">
        <f t="shared" ca="1" si="1"/>
        <v/>
      </c>
      <c r="R426" s="51"/>
      <c r="S426" s="51"/>
      <c r="T426" s="51"/>
      <c r="U426" s="40"/>
      <c r="V426" s="54"/>
      <c r="W426" s="55"/>
      <c r="X426" s="56"/>
      <c r="Y426" s="88"/>
      <c r="Z426" s="88"/>
      <c r="AA426" s="88"/>
      <c r="AB426" s="88"/>
    </row>
    <row r="427" spans="1:28">
      <c r="A427" s="38">
        <v>426</v>
      </c>
      <c r="B427" s="51"/>
      <c r="C427" s="40"/>
      <c r="D427" s="38"/>
      <c r="E427" s="38" t="s">
        <v>1662</v>
      </c>
      <c r="F427" s="43" t="s">
        <v>1663</v>
      </c>
      <c r="G427" s="44"/>
      <c r="H427" s="45"/>
      <c r="I427" s="38"/>
      <c r="J427" s="38">
        <f>1.4*1000</f>
        <v>1400</v>
      </c>
      <c r="K427" s="46">
        <v>1.736111111111111E-3</v>
      </c>
      <c r="L427" s="47" t="s">
        <v>1283</v>
      </c>
      <c r="M427" s="48"/>
      <c r="N427" s="48"/>
      <c r="O427" s="48">
        <f t="shared" si="0"/>
        <v>0</v>
      </c>
      <c r="P427" s="38"/>
      <c r="Q427" s="14" t="str">
        <f t="shared" ca="1" si="1"/>
        <v/>
      </c>
      <c r="R427" s="51"/>
      <c r="S427" s="51"/>
      <c r="T427" s="51"/>
      <c r="U427" s="40"/>
      <c r="V427" s="54"/>
      <c r="W427" s="55"/>
      <c r="X427" s="56"/>
      <c r="Y427" s="88"/>
      <c r="Z427" s="88"/>
      <c r="AA427" s="88"/>
      <c r="AB427" s="88"/>
    </row>
    <row r="428" spans="1:28">
      <c r="A428" s="38">
        <v>427</v>
      </c>
      <c r="B428" s="51"/>
      <c r="C428" s="40"/>
      <c r="D428" s="38"/>
      <c r="E428" s="38" t="s">
        <v>1670</v>
      </c>
      <c r="F428" s="43" t="s">
        <v>1672</v>
      </c>
      <c r="G428" s="44"/>
      <c r="H428" s="45"/>
      <c r="I428" s="38"/>
      <c r="J428" s="38">
        <f>328</f>
        <v>328</v>
      </c>
      <c r="K428" s="46">
        <v>2.3958333333333336E-3</v>
      </c>
      <c r="L428" s="47" t="s">
        <v>1283</v>
      </c>
      <c r="M428" s="48"/>
      <c r="N428" s="48"/>
      <c r="O428" s="48">
        <f t="shared" si="0"/>
        <v>0</v>
      </c>
      <c r="P428" s="38"/>
      <c r="Q428" s="14" t="str">
        <f t="shared" ca="1" si="1"/>
        <v/>
      </c>
      <c r="R428" s="51"/>
      <c r="S428" s="51"/>
      <c r="T428" s="51"/>
      <c r="U428" s="40"/>
      <c r="V428" s="54"/>
      <c r="W428" s="55"/>
      <c r="X428" s="56"/>
      <c r="Y428" s="88"/>
      <c r="Z428" s="88"/>
      <c r="AA428" s="88"/>
      <c r="AB428" s="88"/>
    </row>
    <row r="429" spans="1:28">
      <c r="A429" s="38">
        <v>428</v>
      </c>
      <c r="B429" s="51"/>
      <c r="C429" s="40"/>
      <c r="D429" s="38"/>
      <c r="E429" s="38" t="s">
        <v>1674</v>
      </c>
      <c r="F429" s="43" t="s">
        <v>1675</v>
      </c>
      <c r="G429" s="44"/>
      <c r="H429" s="45"/>
      <c r="I429" s="38"/>
      <c r="J429" s="38">
        <f>776</f>
        <v>776</v>
      </c>
      <c r="K429" s="46">
        <v>1.3078703703703705E-3</v>
      </c>
      <c r="L429" s="47" t="s">
        <v>1283</v>
      </c>
      <c r="M429" s="48"/>
      <c r="N429" s="48"/>
      <c r="O429" s="48">
        <f t="shared" si="0"/>
        <v>0</v>
      </c>
      <c r="P429" s="38"/>
      <c r="Q429" s="14" t="str">
        <f t="shared" ca="1" si="1"/>
        <v/>
      </c>
      <c r="R429" s="51"/>
      <c r="S429" s="51"/>
      <c r="T429" s="51"/>
      <c r="U429" s="40"/>
      <c r="V429" s="54"/>
      <c r="W429" s="55"/>
      <c r="X429" s="56"/>
      <c r="Y429" s="88"/>
      <c r="Z429" s="88"/>
      <c r="AA429" s="88"/>
      <c r="AB429" s="88"/>
    </row>
    <row r="430" spans="1:28">
      <c r="A430" s="38">
        <v>429</v>
      </c>
      <c r="B430" s="51"/>
      <c r="C430" s="40"/>
      <c r="D430" s="38"/>
      <c r="E430" s="38" t="s">
        <v>1676</v>
      </c>
      <c r="F430" s="43" t="s">
        <v>1677</v>
      </c>
      <c r="G430" s="44"/>
      <c r="H430" s="45"/>
      <c r="I430" s="38"/>
      <c r="J430" s="38">
        <f>241</f>
        <v>241</v>
      </c>
      <c r="K430" s="46">
        <v>1.2962962962962963E-3</v>
      </c>
      <c r="L430" s="47" t="s">
        <v>1283</v>
      </c>
      <c r="M430" s="48"/>
      <c r="N430" s="48"/>
      <c r="O430" s="48">
        <f t="shared" si="0"/>
        <v>0</v>
      </c>
      <c r="P430" s="38"/>
      <c r="Q430" s="14" t="str">
        <f t="shared" ca="1" si="1"/>
        <v/>
      </c>
      <c r="R430" s="51"/>
      <c r="S430" s="51"/>
      <c r="T430" s="51"/>
      <c r="U430" s="40"/>
      <c r="V430" s="54"/>
      <c r="W430" s="55"/>
      <c r="X430" s="56"/>
      <c r="Y430" s="88"/>
      <c r="Z430" s="88"/>
      <c r="AA430" s="88"/>
      <c r="AB430" s="88"/>
    </row>
    <row r="431" spans="1:28">
      <c r="A431" s="38">
        <v>430</v>
      </c>
      <c r="B431" s="51"/>
      <c r="C431" s="40"/>
      <c r="D431" s="38"/>
      <c r="E431" s="38" t="s">
        <v>1682</v>
      </c>
      <c r="F431" s="43" t="s">
        <v>1683</v>
      </c>
      <c r="G431" s="44"/>
      <c r="H431" s="45"/>
      <c r="I431" s="38"/>
      <c r="J431" s="38">
        <f>440</f>
        <v>440</v>
      </c>
      <c r="K431" s="46">
        <v>4.386574074074074E-3</v>
      </c>
      <c r="L431" s="47" t="s">
        <v>1283</v>
      </c>
      <c r="M431" s="48"/>
      <c r="N431" s="48"/>
      <c r="O431" s="48">
        <f t="shared" si="0"/>
        <v>0</v>
      </c>
      <c r="P431" s="38"/>
      <c r="Q431" s="14" t="str">
        <f t="shared" ca="1" si="1"/>
        <v/>
      </c>
      <c r="R431" s="51"/>
      <c r="S431" s="51"/>
      <c r="T431" s="51"/>
      <c r="U431" s="40"/>
      <c r="V431" s="54"/>
      <c r="W431" s="55"/>
      <c r="X431" s="56"/>
      <c r="Y431" s="88"/>
      <c r="Z431" s="88"/>
      <c r="AA431" s="88"/>
      <c r="AB431" s="88"/>
    </row>
    <row r="432" spans="1:28">
      <c r="A432" s="38">
        <v>431</v>
      </c>
      <c r="B432" s="51"/>
      <c r="C432" s="40"/>
      <c r="D432" s="38"/>
      <c r="E432" s="38" t="s">
        <v>1687</v>
      </c>
      <c r="F432" s="43" t="s">
        <v>1688</v>
      </c>
      <c r="G432" s="44"/>
      <c r="H432" s="45"/>
      <c r="I432" s="38"/>
      <c r="J432" s="38">
        <f>801</f>
        <v>801</v>
      </c>
      <c r="K432" s="46">
        <v>3.414351851851852E-3</v>
      </c>
      <c r="L432" s="47" t="s">
        <v>1283</v>
      </c>
      <c r="M432" s="48"/>
      <c r="N432" s="48"/>
      <c r="O432" s="48">
        <f t="shared" si="0"/>
        <v>0</v>
      </c>
      <c r="P432" s="38"/>
      <c r="Q432" s="14" t="str">
        <f t="shared" ca="1" si="1"/>
        <v/>
      </c>
      <c r="R432" s="51"/>
      <c r="S432" s="51"/>
      <c r="T432" s="51"/>
      <c r="U432" s="40"/>
      <c r="V432" s="54"/>
      <c r="W432" s="55"/>
      <c r="X432" s="56"/>
      <c r="Y432" s="88"/>
      <c r="Z432" s="88"/>
      <c r="AA432" s="88"/>
      <c r="AB432" s="88"/>
    </row>
    <row r="433" spans="1:28">
      <c r="A433" s="38">
        <v>432</v>
      </c>
      <c r="B433" s="51"/>
      <c r="C433" s="40"/>
      <c r="D433" s="38"/>
      <c r="E433" s="38" t="s">
        <v>1690</v>
      </c>
      <c r="F433" s="43" t="s">
        <v>1691</v>
      </c>
      <c r="G433" s="44"/>
      <c r="H433" s="45"/>
      <c r="I433" s="38"/>
      <c r="J433" s="38">
        <f>271</f>
        <v>271</v>
      </c>
      <c r="K433" s="46">
        <v>2.4537037037037036E-3</v>
      </c>
      <c r="L433" s="47" t="s">
        <v>1283</v>
      </c>
      <c r="M433" s="48"/>
      <c r="N433" s="48"/>
      <c r="O433" s="48">
        <f t="shared" si="0"/>
        <v>0</v>
      </c>
      <c r="P433" s="38"/>
      <c r="Q433" s="14" t="str">
        <f t="shared" ca="1" si="1"/>
        <v/>
      </c>
      <c r="R433" s="51"/>
      <c r="S433" s="51"/>
      <c r="T433" s="51"/>
      <c r="U433" s="40"/>
      <c r="V433" s="54"/>
      <c r="W433" s="55"/>
      <c r="X433" s="56"/>
      <c r="Y433" s="88"/>
      <c r="Z433" s="88"/>
      <c r="AA433" s="88"/>
      <c r="AB433" s="88"/>
    </row>
    <row r="434" spans="1:28">
      <c r="A434" s="38">
        <v>433</v>
      </c>
      <c r="B434" s="51"/>
      <c r="C434" s="40"/>
      <c r="D434" s="38"/>
      <c r="E434" s="38" t="s">
        <v>1694</v>
      </c>
      <c r="F434" s="43" t="s">
        <v>1695</v>
      </c>
      <c r="G434" s="44"/>
      <c r="H434" s="45"/>
      <c r="I434" s="38"/>
      <c r="J434" s="38">
        <f>296</f>
        <v>296</v>
      </c>
      <c r="K434" s="46">
        <v>2.1643518518518518E-3</v>
      </c>
      <c r="L434" s="47" t="s">
        <v>1283</v>
      </c>
      <c r="M434" s="48"/>
      <c r="N434" s="48"/>
      <c r="O434" s="48">
        <f t="shared" si="0"/>
        <v>0</v>
      </c>
      <c r="P434" s="38"/>
      <c r="Q434" s="14" t="str">
        <f t="shared" ca="1" si="1"/>
        <v/>
      </c>
      <c r="R434" s="51"/>
      <c r="S434" s="51"/>
      <c r="T434" s="51"/>
      <c r="U434" s="40"/>
      <c r="V434" s="54"/>
      <c r="W434" s="55"/>
      <c r="X434" s="56"/>
      <c r="Y434" s="88"/>
      <c r="Z434" s="88"/>
      <c r="AA434" s="88"/>
      <c r="AB434" s="88"/>
    </row>
    <row r="435" spans="1:28">
      <c r="A435" s="38">
        <v>434</v>
      </c>
      <c r="B435" s="51"/>
      <c r="C435" s="40"/>
      <c r="D435" s="38"/>
      <c r="E435" s="38" t="s">
        <v>1700</v>
      </c>
      <c r="F435" s="43" t="s">
        <v>1701</v>
      </c>
      <c r="G435" s="44"/>
      <c r="H435" s="45"/>
      <c r="I435" s="38"/>
      <c r="J435" s="38">
        <f>696</f>
        <v>696</v>
      </c>
      <c r="K435" s="46">
        <v>2.8472222222222219E-3</v>
      </c>
      <c r="L435" s="47" t="s">
        <v>1283</v>
      </c>
      <c r="M435" s="48"/>
      <c r="N435" s="48"/>
      <c r="O435" s="48">
        <f t="shared" si="0"/>
        <v>0</v>
      </c>
      <c r="P435" s="38"/>
      <c r="Q435" s="14" t="str">
        <f t="shared" ca="1" si="1"/>
        <v/>
      </c>
      <c r="R435" s="51"/>
      <c r="S435" s="51"/>
      <c r="T435" s="51"/>
      <c r="U435" s="40"/>
      <c r="V435" s="54"/>
      <c r="W435" s="55"/>
      <c r="X435" s="56"/>
      <c r="Y435" s="88"/>
      <c r="Z435" s="88"/>
      <c r="AA435" s="88"/>
      <c r="AB435" s="88"/>
    </row>
    <row r="436" spans="1:28">
      <c r="A436" s="38">
        <v>435</v>
      </c>
      <c r="B436" s="39" t="s">
        <v>596</v>
      </c>
      <c r="C436" s="40"/>
      <c r="D436" s="38"/>
      <c r="E436" s="38" t="s">
        <v>1704</v>
      </c>
      <c r="F436" s="43" t="s">
        <v>1705</v>
      </c>
      <c r="G436" s="44"/>
      <c r="H436" s="45"/>
      <c r="I436" s="38"/>
      <c r="J436" s="38">
        <f>2.4*1000</f>
        <v>2400</v>
      </c>
      <c r="K436" s="46">
        <v>1.3310185185185187E-2</v>
      </c>
      <c r="L436" s="47" t="s">
        <v>1283</v>
      </c>
      <c r="M436" s="48"/>
      <c r="N436" s="48"/>
      <c r="O436" s="48">
        <f t="shared" si="0"/>
        <v>0</v>
      </c>
      <c r="P436" s="38"/>
      <c r="Q436" s="14" t="str">
        <f t="shared" ca="1" si="1"/>
        <v/>
      </c>
      <c r="R436" s="51"/>
      <c r="S436" s="51"/>
      <c r="T436" s="51"/>
      <c r="U436" s="40"/>
      <c r="V436" s="54"/>
      <c r="W436" s="55"/>
      <c r="X436" s="56"/>
      <c r="Y436" s="88"/>
      <c r="Z436" s="88"/>
      <c r="AA436" s="88"/>
      <c r="AB436" s="88"/>
    </row>
    <row r="437" spans="1:28">
      <c r="A437" s="38">
        <v>436</v>
      </c>
      <c r="B437" s="51"/>
      <c r="C437" s="40"/>
      <c r="D437" s="38"/>
      <c r="E437" s="38" t="s">
        <v>1708</v>
      </c>
      <c r="F437" s="43" t="s">
        <v>1709</v>
      </c>
      <c r="G437" s="44"/>
      <c r="H437" s="45"/>
      <c r="I437" s="38"/>
      <c r="J437" s="38">
        <f>928</f>
        <v>928</v>
      </c>
      <c r="K437" s="46">
        <v>1.5972222222222221E-3</v>
      </c>
      <c r="L437" s="47" t="s">
        <v>1283</v>
      </c>
      <c r="M437" s="48"/>
      <c r="N437" s="48"/>
      <c r="O437" s="48">
        <f t="shared" si="0"/>
        <v>0</v>
      </c>
      <c r="P437" s="38"/>
      <c r="Q437" s="14" t="str">
        <f t="shared" ca="1" si="1"/>
        <v/>
      </c>
      <c r="R437" s="51"/>
      <c r="S437" s="51"/>
      <c r="T437" s="51"/>
      <c r="U437" s="40"/>
      <c r="V437" s="54"/>
      <c r="W437" s="55"/>
      <c r="X437" s="56"/>
      <c r="Y437" s="88"/>
      <c r="Z437" s="88"/>
      <c r="AA437" s="88"/>
      <c r="AB437" s="88"/>
    </row>
    <row r="438" spans="1:28">
      <c r="A438" s="38">
        <v>437</v>
      </c>
      <c r="B438" s="51"/>
      <c r="C438" s="40"/>
      <c r="D438" s="38"/>
      <c r="E438" s="38" t="s">
        <v>1714</v>
      </c>
      <c r="F438" s="43" t="s">
        <v>1715</v>
      </c>
      <c r="G438" s="44"/>
      <c r="H438" s="45"/>
      <c r="I438" s="38"/>
      <c r="J438" s="38">
        <f>261</f>
        <v>261</v>
      </c>
      <c r="K438" s="46">
        <v>4.5833333333333334E-3</v>
      </c>
      <c r="L438" s="47" t="s">
        <v>1283</v>
      </c>
      <c r="M438" s="48"/>
      <c r="N438" s="48"/>
      <c r="O438" s="48">
        <f t="shared" si="0"/>
        <v>0</v>
      </c>
      <c r="P438" s="38"/>
      <c r="Q438" s="14" t="str">
        <f t="shared" ca="1" si="1"/>
        <v/>
      </c>
      <c r="R438" s="51"/>
      <c r="S438" s="51"/>
      <c r="T438" s="51"/>
      <c r="U438" s="40"/>
      <c r="V438" s="54"/>
      <c r="W438" s="55"/>
      <c r="X438" s="56"/>
      <c r="Y438" s="88"/>
      <c r="Z438" s="88"/>
      <c r="AA438" s="88"/>
      <c r="AB438" s="88"/>
    </row>
    <row r="439" spans="1:28">
      <c r="A439" s="38">
        <v>438</v>
      </c>
      <c r="B439" s="51"/>
      <c r="C439" s="40"/>
      <c r="D439" s="38"/>
      <c r="E439" s="38" t="s">
        <v>1719</v>
      </c>
      <c r="F439" s="43" t="s">
        <v>1720</v>
      </c>
      <c r="G439" s="44"/>
      <c r="H439" s="45"/>
      <c r="I439" s="38"/>
      <c r="J439" s="38">
        <f>309</f>
        <v>309</v>
      </c>
      <c r="K439" s="46">
        <v>2.0833333333333333E-3</v>
      </c>
      <c r="L439" s="47" t="s">
        <v>1283</v>
      </c>
      <c r="M439" s="48"/>
      <c r="N439" s="48"/>
      <c r="O439" s="48">
        <f t="shared" si="0"/>
        <v>0</v>
      </c>
      <c r="P439" s="38"/>
      <c r="Q439" s="14" t="str">
        <f t="shared" ca="1" si="1"/>
        <v/>
      </c>
      <c r="R439" s="51"/>
      <c r="S439" s="51"/>
      <c r="T439" s="51"/>
      <c r="U439" s="40"/>
      <c r="V439" s="54"/>
      <c r="W439" s="55"/>
      <c r="X439" s="56"/>
      <c r="Y439" s="88"/>
      <c r="Z439" s="88"/>
      <c r="AA439" s="88"/>
      <c r="AB439" s="88"/>
    </row>
    <row r="440" spans="1:28">
      <c r="A440" s="38">
        <v>439</v>
      </c>
      <c r="B440" s="51"/>
      <c r="C440" s="40"/>
      <c r="D440" s="38"/>
      <c r="E440" s="38" t="s">
        <v>1725</v>
      </c>
      <c r="F440" s="43" t="s">
        <v>1726</v>
      </c>
      <c r="G440" s="44"/>
      <c r="H440" s="45"/>
      <c r="I440" s="38"/>
      <c r="J440" s="38">
        <f>184</f>
        <v>184</v>
      </c>
      <c r="K440" s="46">
        <v>1.9675925925925928E-3</v>
      </c>
      <c r="L440" s="47" t="s">
        <v>1283</v>
      </c>
      <c r="M440" s="48"/>
      <c r="N440" s="48"/>
      <c r="O440" s="48">
        <f t="shared" si="0"/>
        <v>0</v>
      </c>
      <c r="P440" s="38"/>
      <c r="Q440" s="14" t="str">
        <f t="shared" ca="1" si="1"/>
        <v/>
      </c>
      <c r="R440" s="51"/>
      <c r="S440" s="51"/>
      <c r="T440" s="51"/>
      <c r="U440" s="40"/>
      <c r="V440" s="54"/>
      <c r="W440" s="55"/>
      <c r="X440" s="56"/>
      <c r="Y440" s="88"/>
      <c r="Z440" s="88"/>
      <c r="AA440" s="88"/>
      <c r="AB440" s="88"/>
    </row>
    <row r="441" spans="1:28">
      <c r="A441" s="38">
        <v>440</v>
      </c>
      <c r="B441" s="51"/>
      <c r="C441" s="40"/>
      <c r="D441" s="38"/>
      <c r="E441" s="38" t="s">
        <v>1729</v>
      </c>
      <c r="F441" s="43" t="s">
        <v>1730</v>
      </c>
      <c r="G441" s="44"/>
      <c r="H441" s="45"/>
      <c r="I441" s="38"/>
      <c r="J441" s="38">
        <f>380</f>
        <v>380</v>
      </c>
      <c r="K441" s="46">
        <v>3.6342592592592594E-3</v>
      </c>
      <c r="L441" s="47" t="s">
        <v>1283</v>
      </c>
      <c r="M441" s="48"/>
      <c r="N441" s="48"/>
      <c r="O441" s="48">
        <f t="shared" si="0"/>
        <v>0</v>
      </c>
      <c r="P441" s="38"/>
      <c r="Q441" s="14" t="str">
        <f t="shared" ca="1" si="1"/>
        <v/>
      </c>
      <c r="R441" s="51"/>
      <c r="S441" s="51"/>
      <c r="T441" s="51"/>
      <c r="U441" s="40"/>
      <c r="V441" s="54"/>
      <c r="W441" s="55"/>
      <c r="X441" s="56"/>
      <c r="Y441" s="88"/>
      <c r="Z441" s="88"/>
      <c r="AA441" s="88"/>
      <c r="AB441" s="88"/>
    </row>
    <row r="442" spans="1:28">
      <c r="A442" s="38">
        <v>441</v>
      </c>
      <c r="B442" s="51"/>
      <c r="C442" s="40"/>
      <c r="D442" s="38"/>
      <c r="E442" s="38" t="s">
        <v>1735</v>
      </c>
      <c r="F442" s="43" t="s">
        <v>1736</v>
      </c>
      <c r="G442" s="44"/>
      <c r="H442" s="45"/>
      <c r="I442" s="38"/>
      <c r="J442" s="38">
        <f>398</f>
        <v>398</v>
      </c>
      <c r="K442" s="46">
        <v>1.2152777777777778E-3</v>
      </c>
      <c r="L442" s="47" t="s">
        <v>1283</v>
      </c>
      <c r="M442" s="48"/>
      <c r="N442" s="48"/>
      <c r="O442" s="48">
        <f t="shared" si="0"/>
        <v>0</v>
      </c>
      <c r="P442" s="38"/>
      <c r="Q442" s="14" t="str">
        <f t="shared" ca="1" si="1"/>
        <v/>
      </c>
      <c r="R442" s="51"/>
      <c r="S442" s="51"/>
      <c r="T442" s="51"/>
      <c r="U442" s="40"/>
      <c r="V442" s="54"/>
      <c r="W442" s="55"/>
      <c r="X442" s="56"/>
      <c r="Y442" s="88"/>
      <c r="Z442" s="88"/>
      <c r="AA442" s="88"/>
      <c r="AB442" s="88"/>
    </row>
    <row r="443" spans="1:28">
      <c r="A443" s="38">
        <v>442</v>
      </c>
      <c r="B443" s="51"/>
      <c r="C443" s="40"/>
      <c r="D443" s="38"/>
      <c r="E443" s="38" t="s">
        <v>1740</v>
      </c>
      <c r="F443" s="43" t="s">
        <v>1741</v>
      </c>
      <c r="G443" s="44"/>
      <c r="H443" s="45"/>
      <c r="I443" s="38"/>
      <c r="J443" s="38">
        <f>667</f>
        <v>667</v>
      </c>
      <c r="K443" s="46">
        <v>4.3518518518518515E-3</v>
      </c>
      <c r="L443" s="47" t="s">
        <v>1283</v>
      </c>
      <c r="M443" s="48"/>
      <c r="N443" s="48"/>
      <c r="O443" s="48">
        <f t="shared" si="0"/>
        <v>0</v>
      </c>
      <c r="P443" s="38"/>
      <c r="Q443" s="14" t="str">
        <f t="shared" ca="1" si="1"/>
        <v/>
      </c>
      <c r="R443" s="51"/>
      <c r="S443" s="51"/>
      <c r="T443" s="51"/>
      <c r="U443" s="40"/>
      <c r="V443" s="54"/>
      <c r="W443" s="55"/>
      <c r="X443" s="56"/>
      <c r="Y443" s="88"/>
      <c r="Z443" s="88"/>
      <c r="AA443" s="88"/>
      <c r="AB443" s="88"/>
    </row>
    <row r="444" spans="1:28">
      <c r="A444" s="38">
        <v>443</v>
      </c>
      <c r="B444" s="51"/>
      <c r="C444" s="40"/>
      <c r="D444" s="38"/>
      <c r="E444" s="38" t="s">
        <v>1747</v>
      </c>
      <c r="F444" s="43" t="s">
        <v>1748</v>
      </c>
      <c r="G444" s="44"/>
      <c r="H444" s="45"/>
      <c r="I444" s="38"/>
      <c r="J444" s="38">
        <f>1.6*1000</f>
        <v>1600</v>
      </c>
      <c r="K444" s="46">
        <v>5.2777777777777771E-3</v>
      </c>
      <c r="L444" s="47" t="s">
        <v>1283</v>
      </c>
      <c r="M444" s="48"/>
      <c r="N444" s="48"/>
      <c r="O444" s="48">
        <f t="shared" si="0"/>
        <v>0</v>
      </c>
      <c r="P444" s="38"/>
      <c r="Q444" s="14" t="str">
        <f t="shared" ca="1" si="1"/>
        <v/>
      </c>
      <c r="R444" s="51"/>
      <c r="S444" s="51"/>
      <c r="T444" s="51"/>
      <c r="U444" s="40"/>
      <c r="V444" s="54"/>
      <c r="W444" s="55"/>
      <c r="X444" s="56"/>
      <c r="Y444" s="88"/>
      <c r="Z444" s="88"/>
      <c r="AA444" s="88"/>
      <c r="AB444" s="88"/>
    </row>
    <row r="445" spans="1:28">
      <c r="A445" s="38">
        <v>444</v>
      </c>
      <c r="B445" s="51"/>
      <c r="C445" s="40"/>
      <c r="D445" s="38"/>
      <c r="E445" s="38" t="s">
        <v>1750</v>
      </c>
      <c r="F445" s="43" t="s">
        <v>1751</v>
      </c>
      <c r="G445" s="44"/>
      <c r="H445" s="45"/>
      <c r="I445" s="38"/>
      <c r="J445" s="38">
        <f>797</f>
        <v>797</v>
      </c>
      <c r="K445" s="46">
        <v>1.4699074074074074E-3</v>
      </c>
      <c r="L445" s="47" t="s">
        <v>1283</v>
      </c>
      <c r="M445" s="48"/>
      <c r="N445" s="48"/>
      <c r="O445" s="48">
        <f t="shared" si="0"/>
        <v>0</v>
      </c>
      <c r="P445" s="38"/>
      <c r="Q445" s="14" t="str">
        <f t="shared" ca="1" si="1"/>
        <v/>
      </c>
      <c r="R445" s="51"/>
      <c r="S445" s="51"/>
      <c r="T445" s="51"/>
      <c r="U445" s="40"/>
      <c r="V445" s="54"/>
      <c r="W445" s="55"/>
      <c r="X445" s="56"/>
      <c r="Y445" s="88"/>
      <c r="Z445" s="88"/>
      <c r="AA445" s="88"/>
      <c r="AB445" s="88"/>
    </row>
    <row r="446" spans="1:28">
      <c r="A446" s="38">
        <v>445</v>
      </c>
      <c r="B446" s="51"/>
      <c r="C446" s="40"/>
      <c r="D446" s="38"/>
      <c r="E446" s="38" t="s">
        <v>1752</v>
      </c>
      <c r="F446" s="43" t="s">
        <v>1753</v>
      </c>
      <c r="G446" s="44"/>
      <c r="H446" s="45"/>
      <c r="I446" s="38"/>
      <c r="J446" s="38">
        <f>327</f>
        <v>327</v>
      </c>
      <c r="K446" s="46">
        <v>3.2060185185185191E-3</v>
      </c>
      <c r="L446" s="47" t="s">
        <v>1283</v>
      </c>
      <c r="M446" s="48"/>
      <c r="N446" s="48"/>
      <c r="O446" s="48">
        <f t="shared" si="0"/>
        <v>0</v>
      </c>
      <c r="P446" s="38"/>
      <c r="Q446" s="14" t="str">
        <f t="shared" ca="1" si="1"/>
        <v/>
      </c>
      <c r="R446" s="51"/>
      <c r="S446" s="51"/>
      <c r="T446" s="51"/>
      <c r="U446" s="40"/>
      <c r="V446" s="54"/>
      <c r="W446" s="55"/>
      <c r="X446" s="56"/>
      <c r="Y446" s="88"/>
      <c r="Z446" s="88"/>
      <c r="AA446" s="88"/>
      <c r="AB446" s="88"/>
    </row>
    <row r="447" spans="1:28">
      <c r="A447" s="38">
        <v>446</v>
      </c>
      <c r="B447" s="51"/>
      <c r="C447" s="40"/>
      <c r="D447" s="38"/>
      <c r="E447" s="38" t="s">
        <v>1758</v>
      </c>
      <c r="F447" s="43" t="s">
        <v>1760</v>
      </c>
      <c r="G447" s="44"/>
      <c r="H447" s="45"/>
      <c r="I447" s="38"/>
      <c r="J447" s="38">
        <f>173</f>
        <v>173</v>
      </c>
      <c r="K447" s="46">
        <v>8.9120370370370362E-4</v>
      </c>
      <c r="L447" s="47" t="s">
        <v>1283</v>
      </c>
      <c r="M447" s="48"/>
      <c r="N447" s="48"/>
      <c r="O447" s="48">
        <f t="shared" si="0"/>
        <v>0</v>
      </c>
      <c r="P447" s="38"/>
      <c r="Q447" s="14" t="str">
        <f t="shared" ca="1" si="1"/>
        <v/>
      </c>
      <c r="R447" s="51"/>
      <c r="S447" s="51"/>
      <c r="T447" s="51"/>
      <c r="U447" s="40"/>
      <c r="V447" s="54"/>
      <c r="W447" s="55"/>
      <c r="X447" s="56"/>
      <c r="Y447" s="88"/>
      <c r="Z447" s="88"/>
      <c r="AA447" s="88"/>
      <c r="AB447" s="88"/>
    </row>
    <row r="448" spans="1:28">
      <c r="A448" s="38">
        <v>447</v>
      </c>
      <c r="B448" s="51"/>
      <c r="C448" s="40"/>
      <c r="D448" s="38"/>
      <c r="E448" s="38" t="s">
        <v>1765</v>
      </c>
      <c r="F448" s="43" t="s">
        <v>1766</v>
      </c>
      <c r="G448" s="44"/>
      <c r="H448" s="45"/>
      <c r="I448" s="38"/>
      <c r="J448" s="38">
        <f>297</f>
        <v>297</v>
      </c>
      <c r="K448" s="46">
        <v>4.2129629629629626E-3</v>
      </c>
      <c r="L448" s="47" t="s">
        <v>1283</v>
      </c>
      <c r="M448" s="48"/>
      <c r="N448" s="48"/>
      <c r="O448" s="48">
        <f t="shared" si="0"/>
        <v>0</v>
      </c>
      <c r="P448" s="38"/>
      <c r="Q448" s="14" t="str">
        <f t="shared" ca="1" si="1"/>
        <v/>
      </c>
      <c r="R448" s="51"/>
      <c r="S448" s="51"/>
      <c r="T448" s="51"/>
      <c r="U448" s="40"/>
      <c r="V448" s="54"/>
      <c r="W448" s="55"/>
      <c r="X448" s="56"/>
      <c r="Y448" s="88"/>
      <c r="Z448" s="88"/>
      <c r="AA448" s="88"/>
      <c r="AB448" s="88"/>
    </row>
    <row r="449" spans="1:28">
      <c r="A449" s="38">
        <v>448</v>
      </c>
      <c r="B449" s="51"/>
      <c r="C449" s="40"/>
      <c r="D449" s="38"/>
      <c r="E449" s="38" t="s">
        <v>1770</v>
      </c>
      <c r="F449" s="43" t="s">
        <v>1771</v>
      </c>
      <c r="G449" s="44"/>
      <c r="H449" s="45"/>
      <c r="I449" s="38"/>
      <c r="J449" s="38">
        <f>182</f>
        <v>182</v>
      </c>
      <c r="K449" s="46">
        <v>2.7314814814814819E-3</v>
      </c>
      <c r="L449" s="47" t="s">
        <v>1283</v>
      </c>
      <c r="M449" s="48"/>
      <c r="N449" s="48"/>
      <c r="O449" s="48">
        <f t="shared" si="0"/>
        <v>0</v>
      </c>
      <c r="P449" s="38"/>
      <c r="Q449" s="14" t="str">
        <f t="shared" ca="1" si="1"/>
        <v/>
      </c>
      <c r="R449" s="51"/>
      <c r="S449" s="51"/>
      <c r="T449" s="51"/>
      <c r="U449" s="40"/>
      <c r="V449" s="54"/>
      <c r="W449" s="55"/>
      <c r="X449" s="56"/>
      <c r="Y449" s="88"/>
      <c r="Z449" s="88"/>
      <c r="AA449" s="88"/>
      <c r="AB449" s="88"/>
    </row>
    <row r="450" spans="1:28">
      <c r="A450" s="38">
        <v>449</v>
      </c>
      <c r="B450" s="51"/>
      <c r="C450" s="40"/>
      <c r="D450" s="38"/>
      <c r="E450" s="38" t="s">
        <v>1776</v>
      </c>
      <c r="F450" s="43" t="s">
        <v>1777</v>
      </c>
      <c r="G450" s="44"/>
      <c r="H450" s="45"/>
      <c r="I450" s="38"/>
      <c r="J450" s="38">
        <f>1.8*1000</f>
        <v>1800</v>
      </c>
      <c r="K450" s="46">
        <v>1.0081018518518519E-2</v>
      </c>
      <c r="L450" s="47" t="s">
        <v>1283</v>
      </c>
      <c r="M450" s="48"/>
      <c r="N450" s="48"/>
      <c r="O450" s="48">
        <f t="shared" si="0"/>
        <v>0</v>
      </c>
      <c r="P450" s="38"/>
      <c r="Q450" s="14" t="str">
        <f t="shared" ca="1" si="1"/>
        <v/>
      </c>
      <c r="R450" s="51"/>
      <c r="S450" s="51"/>
      <c r="T450" s="51"/>
      <c r="U450" s="40"/>
      <c r="V450" s="54"/>
      <c r="W450" s="55"/>
      <c r="X450" s="56"/>
      <c r="Y450" s="88"/>
      <c r="Z450" s="88"/>
      <c r="AA450" s="88"/>
      <c r="AB450" s="88"/>
    </row>
    <row r="451" spans="1:28">
      <c r="A451" s="38">
        <v>450</v>
      </c>
      <c r="B451" s="51"/>
      <c r="C451" s="40"/>
      <c r="D451" s="38"/>
      <c r="E451" s="38" t="s">
        <v>1781</v>
      </c>
      <c r="F451" s="43" t="s">
        <v>1783</v>
      </c>
      <c r="G451" s="44"/>
      <c r="H451" s="45"/>
      <c r="I451" s="38"/>
      <c r="J451" s="38">
        <f>3.6*1000</f>
        <v>3600</v>
      </c>
      <c r="K451" s="46">
        <v>2.7025462962962959E-2</v>
      </c>
      <c r="L451" s="47" t="s">
        <v>1283</v>
      </c>
      <c r="M451" s="48"/>
      <c r="N451" s="48"/>
      <c r="O451" s="48">
        <f t="shared" si="0"/>
        <v>0</v>
      </c>
      <c r="P451" s="38"/>
      <c r="Q451" s="14" t="str">
        <f t="shared" ca="1" si="1"/>
        <v/>
      </c>
      <c r="R451" s="51"/>
      <c r="S451" s="51"/>
      <c r="T451" s="51"/>
      <c r="U451" s="40"/>
      <c r="V451" s="54"/>
      <c r="W451" s="55"/>
      <c r="X451" s="56"/>
      <c r="Y451" s="88"/>
      <c r="Z451" s="88"/>
      <c r="AA451" s="88"/>
      <c r="AB451" s="88"/>
    </row>
    <row r="452" spans="1:28">
      <c r="A452" s="38">
        <v>451</v>
      </c>
      <c r="B452" s="51"/>
      <c r="C452" s="40"/>
      <c r="D452" s="38"/>
      <c r="E452" s="38" t="s">
        <v>1786</v>
      </c>
      <c r="F452" s="43" t="s">
        <v>1787</v>
      </c>
      <c r="G452" s="44"/>
      <c r="H452" s="45"/>
      <c r="I452" s="38"/>
      <c r="J452" s="38">
        <f>198</f>
        <v>198</v>
      </c>
      <c r="K452" s="46">
        <v>2.3611111111111111E-3</v>
      </c>
      <c r="L452" s="47" t="s">
        <v>1283</v>
      </c>
      <c r="M452" s="48"/>
      <c r="N452" s="48"/>
      <c r="O452" s="48">
        <f t="shared" si="0"/>
        <v>0</v>
      </c>
      <c r="P452" s="38"/>
      <c r="Q452" s="14" t="str">
        <f t="shared" ca="1" si="1"/>
        <v/>
      </c>
      <c r="R452" s="51"/>
      <c r="S452" s="51"/>
      <c r="T452" s="51"/>
      <c r="U452" s="40"/>
      <c r="V452" s="54"/>
      <c r="W452" s="55"/>
      <c r="X452" s="56"/>
      <c r="Y452" s="88"/>
      <c r="Z452" s="88"/>
      <c r="AA452" s="88"/>
      <c r="AB452" s="88"/>
    </row>
    <row r="453" spans="1:28">
      <c r="A453" s="38">
        <v>452</v>
      </c>
      <c r="B453" s="51"/>
      <c r="C453" s="40"/>
      <c r="D453" s="38"/>
      <c r="E453" s="38" t="s">
        <v>1792</v>
      </c>
      <c r="F453" s="43" t="s">
        <v>1793</v>
      </c>
      <c r="G453" s="44"/>
      <c r="H453" s="45"/>
      <c r="I453" s="38"/>
      <c r="J453" s="38">
        <f>193</f>
        <v>193</v>
      </c>
      <c r="K453" s="46">
        <v>1.7013888888888892E-3</v>
      </c>
      <c r="L453" s="47" t="s">
        <v>1283</v>
      </c>
      <c r="M453" s="48"/>
      <c r="N453" s="48"/>
      <c r="O453" s="48">
        <f t="shared" si="0"/>
        <v>0</v>
      </c>
      <c r="P453" s="38"/>
      <c r="Q453" s="14" t="str">
        <f t="shared" ca="1" si="1"/>
        <v/>
      </c>
      <c r="R453" s="51"/>
      <c r="S453" s="51"/>
      <c r="T453" s="51"/>
      <c r="U453" s="40"/>
      <c r="V453" s="54"/>
      <c r="W453" s="55"/>
      <c r="X453" s="56"/>
      <c r="Y453" s="88"/>
      <c r="Z453" s="88"/>
      <c r="AA453" s="88"/>
      <c r="AB453" s="88"/>
    </row>
    <row r="454" spans="1:28">
      <c r="A454" s="38">
        <v>453</v>
      </c>
      <c r="B454" s="51"/>
      <c r="C454" s="40"/>
      <c r="D454" s="38"/>
      <c r="E454" s="38" t="s">
        <v>1798</v>
      </c>
      <c r="F454" s="43" t="s">
        <v>1799</v>
      </c>
      <c r="G454" s="44"/>
      <c r="H454" s="45"/>
      <c r="I454" s="38"/>
      <c r="J454" s="38">
        <f>1*1000</f>
        <v>1000</v>
      </c>
      <c r="K454" s="46">
        <v>7.4189814814814813E-3</v>
      </c>
      <c r="L454" s="47" t="s">
        <v>1283</v>
      </c>
      <c r="M454" s="48"/>
      <c r="N454" s="48"/>
      <c r="O454" s="48">
        <f t="shared" si="0"/>
        <v>0</v>
      </c>
      <c r="P454" s="38"/>
      <c r="Q454" s="14" t="str">
        <f t="shared" ca="1" si="1"/>
        <v/>
      </c>
      <c r="R454" s="51"/>
      <c r="S454" s="51"/>
      <c r="T454" s="51"/>
      <c r="U454" s="40"/>
      <c r="V454" s="54"/>
      <c r="W454" s="55"/>
      <c r="X454" s="56"/>
      <c r="Y454" s="88"/>
      <c r="Z454" s="88"/>
      <c r="AA454" s="88"/>
      <c r="AB454" s="88"/>
    </row>
    <row r="455" spans="1:28">
      <c r="A455" s="38">
        <v>454</v>
      </c>
      <c r="B455" s="51"/>
      <c r="C455" s="40"/>
      <c r="D455" s="38"/>
      <c r="E455" s="38" t="s">
        <v>1804</v>
      </c>
      <c r="F455" s="43" t="s">
        <v>1805</v>
      </c>
      <c r="G455" s="44"/>
      <c r="H455" s="45"/>
      <c r="I455" s="38"/>
      <c r="J455" s="38">
        <f>530</f>
        <v>530</v>
      </c>
      <c r="K455" s="46">
        <v>1.6666666666666668E-3</v>
      </c>
      <c r="L455" s="47" t="s">
        <v>1283</v>
      </c>
      <c r="M455" s="48"/>
      <c r="N455" s="48"/>
      <c r="O455" s="48">
        <f t="shared" si="0"/>
        <v>0</v>
      </c>
      <c r="P455" s="38"/>
      <c r="Q455" s="14" t="str">
        <f t="shared" ca="1" si="1"/>
        <v/>
      </c>
      <c r="R455" s="51"/>
      <c r="S455" s="51"/>
      <c r="T455" s="51"/>
      <c r="U455" s="40"/>
      <c r="V455" s="54"/>
      <c r="W455" s="55"/>
      <c r="X455" s="56"/>
      <c r="Y455" s="88"/>
      <c r="Z455" s="88"/>
      <c r="AA455" s="88"/>
      <c r="AB455" s="88"/>
    </row>
    <row r="456" spans="1:28">
      <c r="A456" s="38">
        <v>455</v>
      </c>
      <c r="B456" s="51"/>
      <c r="C456" s="40"/>
      <c r="D456" s="38"/>
      <c r="E456" s="38" t="s">
        <v>1808</v>
      </c>
      <c r="F456" s="43" t="s">
        <v>1809</v>
      </c>
      <c r="G456" s="44"/>
      <c r="H456" s="45"/>
      <c r="I456" s="38"/>
      <c r="J456" s="38">
        <f>509</f>
        <v>509</v>
      </c>
      <c r="K456" s="46">
        <v>1.3773148148148147E-3</v>
      </c>
      <c r="L456" s="47" t="s">
        <v>1283</v>
      </c>
      <c r="M456" s="48"/>
      <c r="N456" s="48"/>
      <c r="O456" s="48">
        <f t="shared" si="0"/>
        <v>0</v>
      </c>
      <c r="P456" s="38"/>
      <c r="Q456" s="14" t="str">
        <f t="shared" ca="1" si="1"/>
        <v/>
      </c>
      <c r="R456" s="51"/>
      <c r="S456" s="51"/>
      <c r="T456" s="51"/>
      <c r="U456" s="40"/>
      <c r="V456" s="54"/>
      <c r="W456" s="55"/>
      <c r="X456" s="56"/>
      <c r="Y456" s="88"/>
      <c r="Z456" s="88"/>
      <c r="AA456" s="88"/>
      <c r="AB456" s="88"/>
    </row>
    <row r="457" spans="1:28">
      <c r="A457" s="38">
        <v>456</v>
      </c>
      <c r="B457" s="51"/>
      <c r="C457" s="40"/>
      <c r="D457" s="38"/>
      <c r="E457" s="38" t="s">
        <v>1810</v>
      </c>
      <c r="F457" s="43" t="s">
        <v>1811</v>
      </c>
      <c r="G457" s="44"/>
      <c r="H457" s="45"/>
      <c r="I457" s="38"/>
      <c r="J457" s="38">
        <f>352</f>
        <v>352</v>
      </c>
      <c r="K457" s="46">
        <v>2.0254629629629629E-3</v>
      </c>
      <c r="L457" s="47" t="s">
        <v>1283</v>
      </c>
      <c r="M457" s="48"/>
      <c r="N457" s="48"/>
      <c r="O457" s="48">
        <f t="shared" si="0"/>
        <v>0</v>
      </c>
      <c r="P457" s="38"/>
      <c r="Q457" s="14" t="str">
        <f t="shared" ca="1" si="1"/>
        <v/>
      </c>
      <c r="R457" s="51"/>
      <c r="S457" s="51"/>
      <c r="T457" s="51"/>
      <c r="U457" s="40"/>
      <c r="V457" s="54"/>
      <c r="W457" s="55"/>
      <c r="X457" s="56"/>
      <c r="Y457" s="88"/>
      <c r="Z457" s="88"/>
      <c r="AA457" s="88"/>
      <c r="AB457" s="88"/>
    </row>
    <row r="458" spans="1:28">
      <c r="A458" s="38">
        <v>457</v>
      </c>
      <c r="B458" s="51"/>
      <c r="C458" s="40"/>
      <c r="D458" s="38"/>
      <c r="E458" s="38" t="s">
        <v>1813</v>
      </c>
      <c r="F458" s="43" t="s">
        <v>1814</v>
      </c>
      <c r="G458" s="44"/>
      <c r="H458" s="45"/>
      <c r="I458" s="38"/>
      <c r="J458" s="38">
        <f>223</f>
        <v>223</v>
      </c>
      <c r="K458" s="46">
        <v>3.8888888888888883E-3</v>
      </c>
      <c r="L458" s="47" t="s">
        <v>1283</v>
      </c>
      <c r="M458" s="48"/>
      <c r="N458" s="48"/>
      <c r="O458" s="48">
        <f t="shared" si="0"/>
        <v>0</v>
      </c>
      <c r="P458" s="38"/>
      <c r="Q458" s="14" t="str">
        <f t="shared" ca="1" si="1"/>
        <v/>
      </c>
      <c r="R458" s="51"/>
      <c r="S458" s="51"/>
      <c r="T458" s="51"/>
      <c r="U458" s="40"/>
      <c r="V458" s="54"/>
      <c r="W458" s="55"/>
      <c r="X458" s="56"/>
      <c r="Y458" s="88"/>
      <c r="Z458" s="88"/>
      <c r="AA458" s="88"/>
      <c r="AB458" s="88"/>
    </row>
    <row r="459" spans="1:28">
      <c r="A459" s="38">
        <v>458</v>
      </c>
      <c r="B459" s="51"/>
      <c r="C459" s="40"/>
      <c r="D459" s="38"/>
      <c r="E459" s="38" t="s">
        <v>1821</v>
      </c>
      <c r="F459" s="43" t="s">
        <v>1822</v>
      </c>
      <c r="G459" s="44"/>
      <c r="H459" s="45"/>
      <c r="I459" s="38"/>
      <c r="J459" s="38">
        <f>2.5*1000</f>
        <v>2500</v>
      </c>
      <c r="K459" s="46">
        <v>3.4340277777777782E-2</v>
      </c>
      <c r="L459" s="47" t="s">
        <v>1283</v>
      </c>
      <c r="M459" s="48"/>
      <c r="N459" s="48"/>
      <c r="O459" s="48">
        <f t="shared" si="0"/>
        <v>0</v>
      </c>
      <c r="P459" s="38"/>
      <c r="Q459" s="14" t="str">
        <f t="shared" ca="1" si="1"/>
        <v/>
      </c>
      <c r="R459" s="51"/>
      <c r="S459" s="51"/>
      <c r="T459" s="51"/>
      <c r="U459" s="40"/>
      <c r="V459" s="54"/>
      <c r="W459" s="55"/>
      <c r="X459" s="56"/>
      <c r="Y459" s="88"/>
      <c r="Z459" s="88"/>
      <c r="AA459" s="88"/>
      <c r="AB459" s="88"/>
    </row>
    <row r="460" spans="1:28">
      <c r="A460" s="38">
        <v>459</v>
      </c>
      <c r="B460" s="51"/>
      <c r="C460" s="40"/>
      <c r="D460" s="38"/>
      <c r="E460" s="38" t="s">
        <v>1827</v>
      </c>
      <c r="F460" s="43" t="s">
        <v>1828</v>
      </c>
      <c r="G460" s="44"/>
      <c r="H460" s="45"/>
      <c r="I460" s="38"/>
      <c r="J460" s="38">
        <f>4.4*1000</f>
        <v>4400</v>
      </c>
      <c r="K460" s="46">
        <v>2.7303240740740743E-2</v>
      </c>
      <c r="L460" s="47" t="s">
        <v>1283</v>
      </c>
      <c r="M460" s="48"/>
      <c r="N460" s="48"/>
      <c r="O460" s="48">
        <f t="shared" si="0"/>
        <v>0</v>
      </c>
      <c r="P460" s="38"/>
      <c r="Q460" s="14" t="str">
        <f t="shared" ca="1" si="1"/>
        <v/>
      </c>
      <c r="R460" s="51"/>
      <c r="S460" s="51"/>
      <c r="T460" s="51"/>
      <c r="U460" s="40"/>
      <c r="V460" s="54"/>
      <c r="W460" s="55"/>
      <c r="X460" s="56"/>
      <c r="Y460" s="88"/>
      <c r="Z460" s="88"/>
      <c r="AA460" s="88"/>
      <c r="AB460" s="88"/>
    </row>
    <row r="461" spans="1:28">
      <c r="A461" s="38">
        <v>460</v>
      </c>
      <c r="B461" s="51"/>
      <c r="C461" s="40"/>
      <c r="D461" s="38"/>
      <c r="E461" s="38" t="s">
        <v>1833</v>
      </c>
      <c r="F461" s="43" t="s">
        <v>1836</v>
      </c>
      <c r="G461" s="44"/>
      <c r="H461" s="45"/>
      <c r="I461" s="38"/>
      <c r="J461" s="38">
        <f>2.7*1000</f>
        <v>2700</v>
      </c>
      <c r="K461" s="46">
        <v>1.9560185185185184E-3</v>
      </c>
      <c r="L461" s="47" t="s">
        <v>1283</v>
      </c>
      <c r="M461" s="48"/>
      <c r="N461" s="48"/>
      <c r="O461" s="48">
        <f t="shared" si="0"/>
        <v>0</v>
      </c>
      <c r="P461" s="38"/>
      <c r="Q461" s="14" t="str">
        <f t="shared" ca="1" si="1"/>
        <v/>
      </c>
      <c r="R461" s="51"/>
      <c r="S461" s="51"/>
      <c r="T461" s="51"/>
      <c r="U461" s="40"/>
      <c r="V461" s="54"/>
      <c r="W461" s="55"/>
      <c r="X461" s="56"/>
      <c r="Y461" s="88"/>
      <c r="Z461" s="88"/>
      <c r="AA461" s="88"/>
      <c r="AB461" s="88"/>
    </row>
    <row r="462" spans="1:28">
      <c r="A462" s="38">
        <v>461</v>
      </c>
      <c r="B462" s="51"/>
      <c r="C462" s="40"/>
      <c r="D462" s="38"/>
      <c r="E462" s="38" t="s">
        <v>1839</v>
      </c>
      <c r="F462" s="43" t="s">
        <v>1842</v>
      </c>
      <c r="G462" s="44"/>
      <c r="H462" s="45"/>
      <c r="I462" s="38"/>
      <c r="J462" s="38">
        <f>2.2*1000</f>
        <v>2200</v>
      </c>
      <c r="K462" s="46">
        <v>1.1331018518518518E-2</v>
      </c>
      <c r="L462" s="47" t="s">
        <v>1283</v>
      </c>
      <c r="M462" s="48"/>
      <c r="N462" s="48"/>
      <c r="O462" s="48">
        <f t="shared" si="0"/>
        <v>0</v>
      </c>
      <c r="P462" s="38"/>
      <c r="Q462" s="14" t="str">
        <f t="shared" ca="1" si="1"/>
        <v/>
      </c>
      <c r="R462" s="51"/>
      <c r="S462" s="51"/>
      <c r="T462" s="51"/>
      <c r="U462" s="40"/>
      <c r="V462" s="54"/>
      <c r="W462" s="55"/>
      <c r="X462" s="56"/>
      <c r="Y462" s="88"/>
      <c r="Z462" s="88"/>
      <c r="AA462" s="88"/>
      <c r="AB462" s="88"/>
    </row>
    <row r="463" spans="1:28">
      <c r="A463" s="38">
        <v>462</v>
      </c>
      <c r="B463" s="51"/>
      <c r="C463" s="40"/>
      <c r="D463" s="38"/>
      <c r="E463" s="38" t="s">
        <v>1849</v>
      </c>
      <c r="F463" s="43" t="s">
        <v>1851</v>
      </c>
      <c r="G463" s="44"/>
      <c r="H463" s="45"/>
      <c r="I463" s="38"/>
      <c r="J463" s="38">
        <f>1*1000</f>
        <v>1000</v>
      </c>
      <c r="K463" s="46">
        <v>7.6504629629629631E-3</v>
      </c>
      <c r="L463" s="47" t="s">
        <v>1283</v>
      </c>
      <c r="M463" s="48"/>
      <c r="N463" s="48"/>
      <c r="O463" s="48">
        <f t="shared" si="0"/>
        <v>0</v>
      </c>
      <c r="P463" s="38"/>
      <c r="Q463" s="14" t="str">
        <f t="shared" ca="1" si="1"/>
        <v/>
      </c>
      <c r="R463" s="51"/>
      <c r="S463" s="51"/>
      <c r="T463" s="51"/>
      <c r="U463" s="40"/>
      <c r="V463" s="54"/>
      <c r="W463" s="55"/>
      <c r="X463" s="56"/>
      <c r="Y463" s="88"/>
      <c r="Z463" s="88"/>
      <c r="AA463" s="88"/>
      <c r="AB463" s="88"/>
    </row>
    <row r="464" spans="1:28">
      <c r="A464" s="38">
        <v>463</v>
      </c>
      <c r="B464" s="51"/>
      <c r="C464" s="40"/>
      <c r="D464" s="38"/>
      <c r="E464" s="38" t="s">
        <v>1855</v>
      </c>
      <c r="F464" s="43" t="s">
        <v>1856</v>
      </c>
      <c r="G464" s="44"/>
      <c r="H464" s="45"/>
      <c r="I464" s="38"/>
      <c r="J464" s="38">
        <f>704</f>
        <v>704</v>
      </c>
      <c r="K464" s="46">
        <v>4.7337962962962958E-3</v>
      </c>
      <c r="L464" s="47" t="s">
        <v>1283</v>
      </c>
      <c r="M464" s="48"/>
      <c r="N464" s="48"/>
      <c r="O464" s="48">
        <f t="shared" si="0"/>
        <v>0</v>
      </c>
      <c r="P464" s="38"/>
      <c r="Q464" s="14" t="str">
        <f t="shared" ca="1" si="1"/>
        <v/>
      </c>
      <c r="R464" s="51"/>
      <c r="S464" s="51"/>
      <c r="T464" s="51"/>
      <c r="U464" s="40"/>
      <c r="V464" s="54"/>
      <c r="W464" s="55"/>
      <c r="X464" s="56"/>
      <c r="Y464" s="88"/>
      <c r="Z464" s="88"/>
      <c r="AA464" s="88"/>
      <c r="AB464" s="88"/>
    </row>
    <row r="465" spans="1:28">
      <c r="A465" s="38">
        <v>464</v>
      </c>
      <c r="B465" s="51"/>
      <c r="C465" s="40"/>
      <c r="D465" s="38"/>
      <c r="E465" s="38" t="s">
        <v>1860</v>
      </c>
      <c r="F465" s="43" t="s">
        <v>1861</v>
      </c>
      <c r="G465" s="44"/>
      <c r="H465" s="45"/>
      <c r="I465" s="38"/>
      <c r="J465" s="38">
        <f>396</f>
        <v>396</v>
      </c>
      <c r="K465" s="46">
        <v>2.6041666666666665E-3</v>
      </c>
      <c r="L465" s="47" t="s">
        <v>1283</v>
      </c>
      <c r="M465" s="48"/>
      <c r="N465" s="48"/>
      <c r="O465" s="48">
        <f t="shared" si="0"/>
        <v>0</v>
      </c>
      <c r="P465" s="38"/>
      <c r="Q465" s="14" t="str">
        <f t="shared" ca="1" si="1"/>
        <v/>
      </c>
      <c r="R465" s="51"/>
      <c r="S465" s="51"/>
      <c r="T465" s="51"/>
      <c r="U465" s="40"/>
      <c r="V465" s="54"/>
      <c r="W465" s="55"/>
      <c r="X465" s="56"/>
      <c r="Y465" s="88"/>
      <c r="Z465" s="88"/>
      <c r="AA465" s="88"/>
      <c r="AB465" s="88"/>
    </row>
    <row r="466" spans="1:28">
      <c r="A466" s="38">
        <v>465</v>
      </c>
      <c r="B466" s="51"/>
      <c r="C466" s="40"/>
      <c r="D466" s="38"/>
      <c r="E466" s="38" t="s">
        <v>1862</v>
      </c>
      <c r="F466" s="43" t="s">
        <v>1863</v>
      </c>
      <c r="G466" s="44"/>
      <c r="H466" s="45"/>
      <c r="I466" s="38"/>
      <c r="J466" s="38">
        <f>260</f>
        <v>260</v>
      </c>
      <c r="K466" s="46">
        <v>1.5393518518518519E-3</v>
      </c>
      <c r="L466" s="47" t="s">
        <v>1283</v>
      </c>
      <c r="M466" s="48"/>
      <c r="N466" s="48"/>
      <c r="O466" s="48">
        <f t="shared" si="0"/>
        <v>0</v>
      </c>
      <c r="P466" s="38"/>
      <c r="Q466" s="14" t="str">
        <f t="shared" ca="1" si="1"/>
        <v/>
      </c>
      <c r="R466" s="51"/>
      <c r="S466" s="51"/>
      <c r="T466" s="51"/>
      <c r="U466" s="40"/>
      <c r="V466" s="54"/>
      <c r="W466" s="55"/>
      <c r="X466" s="56"/>
      <c r="Y466" s="88"/>
      <c r="Z466" s="88"/>
      <c r="AA466" s="88"/>
      <c r="AB466" s="88"/>
    </row>
    <row r="467" spans="1:28">
      <c r="A467" s="38">
        <v>466</v>
      </c>
      <c r="B467" s="51"/>
      <c r="C467" s="40"/>
      <c r="D467" s="38"/>
      <c r="E467" s="38" t="s">
        <v>1866</v>
      </c>
      <c r="F467" s="43" t="s">
        <v>1867</v>
      </c>
      <c r="G467" s="44"/>
      <c r="H467" s="45"/>
      <c r="I467" s="38"/>
      <c r="J467" s="38">
        <f>366</f>
        <v>366</v>
      </c>
      <c r="K467" s="46">
        <v>1.1342592592592591E-3</v>
      </c>
      <c r="L467" s="47" t="s">
        <v>1283</v>
      </c>
      <c r="M467" s="48"/>
      <c r="N467" s="48"/>
      <c r="O467" s="48">
        <f t="shared" si="0"/>
        <v>0</v>
      </c>
      <c r="P467" s="38"/>
      <c r="Q467" s="14" t="str">
        <f t="shared" ca="1" si="1"/>
        <v/>
      </c>
      <c r="R467" s="51"/>
      <c r="S467" s="51"/>
      <c r="T467" s="51"/>
      <c r="U467" s="40"/>
      <c r="V467" s="54"/>
      <c r="W467" s="55"/>
      <c r="X467" s="56"/>
      <c r="Y467" s="88"/>
      <c r="Z467" s="88"/>
      <c r="AA467" s="88"/>
      <c r="AB467" s="88"/>
    </row>
    <row r="468" spans="1:28">
      <c r="A468" s="38">
        <v>467</v>
      </c>
      <c r="B468" s="51"/>
      <c r="C468" s="40"/>
      <c r="D468" s="38"/>
      <c r="E468" s="38" t="s">
        <v>1871</v>
      </c>
      <c r="F468" s="43" t="s">
        <v>1873</v>
      </c>
      <c r="G468" s="44"/>
      <c r="H468" s="45"/>
      <c r="I468" s="38"/>
      <c r="J468" s="38">
        <f>461</f>
        <v>461</v>
      </c>
      <c r="K468" s="46">
        <v>1.8287037037037037E-3</v>
      </c>
      <c r="L468" s="47" t="s">
        <v>1283</v>
      </c>
      <c r="M468" s="48"/>
      <c r="N468" s="48"/>
      <c r="O468" s="48">
        <f t="shared" si="0"/>
        <v>0</v>
      </c>
      <c r="P468" s="38"/>
      <c r="Q468" s="14" t="str">
        <f t="shared" ca="1" si="1"/>
        <v/>
      </c>
      <c r="R468" s="51"/>
      <c r="S468" s="51"/>
      <c r="T468" s="51"/>
      <c r="U468" s="40"/>
      <c r="V468" s="54"/>
      <c r="W468" s="55"/>
      <c r="X468" s="56"/>
      <c r="Y468" s="88"/>
      <c r="Z468" s="88"/>
      <c r="AA468" s="88"/>
      <c r="AB468" s="88"/>
    </row>
    <row r="469" spans="1:28">
      <c r="A469" s="38">
        <v>468</v>
      </c>
      <c r="B469" s="51"/>
      <c r="C469" s="40"/>
      <c r="D469" s="38"/>
      <c r="E469" s="38" t="s">
        <v>1878</v>
      </c>
      <c r="F469" s="43" t="s">
        <v>1881</v>
      </c>
      <c r="G469" s="44"/>
      <c r="H469" s="45"/>
      <c r="I469" s="38"/>
      <c r="J469" s="38">
        <f>849</f>
        <v>849</v>
      </c>
      <c r="K469" s="46">
        <v>9.4907407407407408E-4</v>
      </c>
      <c r="L469" s="47" t="s">
        <v>1283</v>
      </c>
      <c r="M469" s="48"/>
      <c r="N469" s="48"/>
      <c r="O469" s="48">
        <f t="shared" si="0"/>
        <v>0</v>
      </c>
      <c r="P469" s="38"/>
      <c r="Q469" s="14" t="str">
        <f t="shared" ca="1" si="1"/>
        <v/>
      </c>
      <c r="R469" s="51"/>
      <c r="S469" s="51"/>
      <c r="T469" s="51"/>
      <c r="U469" s="40"/>
      <c r="V469" s="54"/>
      <c r="W469" s="55"/>
      <c r="X469" s="56"/>
      <c r="Y469" s="88"/>
      <c r="Z469" s="88"/>
      <c r="AA469" s="88"/>
      <c r="AB469" s="88"/>
    </row>
    <row r="470" spans="1:28">
      <c r="A470" s="38">
        <v>469</v>
      </c>
      <c r="B470" s="51"/>
      <c r="C470" s="40"/>
      <c r="D470" s="38"/>
      <c r="E470" s="38" t="s">
        <v>1884</v>
      </c>
      <c r="F470" s="43" t="s">
        <v>1886</v>
      </c>
      <c r="G470" s="44"/>
      <c r="H470" s="45"/>
      <c r="I470" s="38"/>
      <c r="J470" s="38">
        <f>248</f>
        <v>248</v>
      </c>
      <c r="K470" s="46">
        <v>1.5046296296296294E-3</v>
      </c>
      <c r="L470" s="47" t="s">
        <v>1283</v>
      </c>
      <c r="M470" s="48"/>
      <c r="N470" s="48"/>
      <c r="O470" s="48">
        <f t="shared" si="0"/>
        <v>0</v>
      </c>
      <c r="P470" s="38"/>
      <c r="Q470" s="14" t="str">
        <f t="shared" ca="1" si="1"/>
        <v/>
      </c>
      <c r="R470" s="51"/>
      <c r="S470" s="51"/>
      <c r="T470" s="51"/>
      <c r="U470" s="40"/>
      <c r="V470" s="54"/>
      <c r="W470" s="55"/>
      <c r="X470" s="56"/>
      <c r="Y470" s="88"/>
      <c r="Z470" s="88"/>
      <c r="AA470" s="88"/>
      <c r="AB470" s="88"/>
    </row>
    <row r="471" spans="1:28">
      <c r="A471" s="38">
        <v>470</v>
      </c>
      <c r="B471" s="51"/>
      <c r="C471" s="40"/>
      <c r="D471" s="38"/>
      <c r="E471" s="38" t="s">
        <v>1890</v>
      </c>
      <c r="F471" s="43" t="s">
        <v>1891</v>
      </c>
      <c r="G471" s="44"/>
      <c r="H471" s="45"/>
      <c r="I471" s="38"/>
      <c r="J471" s="38">
        <f>671</f>
        <v>671</v>
      </c>
      <c r="K471" s="46">
        <v>1.3078703703703705E-3</v>
      </c>
      <c r="L471" s="47" t="s">
        <v>1283</v>
      </c>
      <c r="M471" s="48"/>
      <c r="N471" s="48"/>
      <c r="O471" s="48">
        <f t="shared" si="0"/>
        <v>0</v>
      </c>
      <c r="P471" s="38"/>
      <c r="Q471" s="14" t="str">
        <f t="shared" ca="1" si="1"/>
        <v/>
      </c>
      <c r="R471" s="51"/>
      <c r="S471" s="51"/>
      <c r="T471" s="51"/>
      <c r="U471" s="40"/>
      <c r="V471" s="54"/>
      <c r="W471" s="55"/>
      <c r="X471" s="56"/>
      <c r="Y471" s="88"/>
      <c r="Z471" s="88"/>
      <c r="AA471" s="88"/>
      <c r="AB471" s="88"/>
    </row>
    <row r="472" spans="1:28">
      <c r="A472" s="38">
        <v>471</v>
      </c>
      <c r="B472" s="51"/>
      <c r="C472" s="40"/>
      <c r="D472" s="38"/>
      <c r="E472" s="38" t="s">
        <v>1896</v>
      </c>
      <c r="F472" s="43" t="s">
        <v>1897</v>
      </c>
      <c r="G472" s="44"/>
      <c r="H472" s="45"/>
      <c r="I472" s="38"/>
      <c r="J472" s="38">
        <f>335</f>
        <v>335</v>
      </c>
      <c r="K472" s="46">
        <v>7.0601851851851847E-4</v>
      </c>
      <c r="L472" s="47" t="s">
        <v>1283</v>
      </c>
      <c r="M472" s="48"/>
      <c r="N472" s="48"/>
      <c r="O472" s="48">
        <f t="shared" si="0"/>
        <v>0</v>
      </c>
      <c r="P472" s="38"/>
      <c r="Q472" s="14" t="str">
        <f t="shared" ca="1" si="1"/>
        <v/>
      </c>
      <c r="R472" s="51"/>
      <c r="S472" s="51"/>
      <c r="T472" s="51"/>
      <c r="U472" s="40"/>
      <c r="V472" s="54"/>
      <c r="W472" s="55"/>
      <c r="X472" s="56"/>
      <c r="Y472" s="88"/>
      <c r="Z472" s="88"/>
      <c r="AA472" s="88"/>
      <c r="AB472" s="88"/>
    </row>
    <row r="473" spans="1:28">
      <c r="A473" s="38">
        <v>472</v>
      </c>
      <c r="B473" s="51"/>
      <c r="C473" s="40"/>
      <c r="D473" s="38"/>
      <c r="E473" s="38" t="s">
        <v>1901</v>
      </c>
      <c r="F473" s="43" t="s">
        <v>1902</v>
      </c>
      <c r="G473" s="44"/>
      <c r="H473" s="45"/>
      <c r="I473" s="38"/>
      <c r="J473" s="38">
        <f>1*1000</f>
        <v>1000</v>
      </c>
      <c r="K473" s="46">
        <v>4.9884259259259265E-3</v>
      </c>
      <c r="L473" s="47" t="s">
        <v>1283</v>
      </c>
      <c r="M473" s="48"/>
      <c r="N473" s="48"/>
      <c r="O473" s="48">
        <f t="shared" si="0"/>
        <v>0</v>
      </c>
      <c r="P473" s="38"/>
      <c r="Q473" s="14" t="str">
        <f t="shared" ca="1" si="1"/>
        <v/>
      </c>
      <c r="R473" s="51"/>
      <c r="S473" s="51"/>
      <c r="T473" s="51"/>
      <c r="U473" s="40"/>
      <c r="V473" s="54"/>
      <c r="W473" s="55"/>
      <c r="X473" s="56"/>
      <c r="Y473" s="88"/>
      <c r="Z473" s="88"/>
      <c r="AA473" s="88"/>
      <c r="AB473" s="88"/>
    </row>
    <row r="474" spans="1:28">
      <c r="A474" s="38">
        <v>473</v>
      </c>
      <c r="B474" s="51"/>
      <c r="C474" s="40"/>
      <c r="D474" s="38"/>
      <c r="E474" s="38" t="s">
        <v>1903</v>
      </c>
      <c r="F474" s="43" t="s">
        <v>1904</v>
      </c>
      <c r="G474" s="44"/>
      <c r="H474" s="45"/>
      <c r="I474" s="38"/>
      <c r="J474" s="38">
        <f>704</f>
        <v>704</v>
      </c>
      <c r="K474" s="46">
        <v>8.4259259259259253E-3</v>
      </c>
      <c r="L474" s="47" t="s">
        <v>1283</v>
      </c>
      <c r="M474" s="48"/>
      <c r="N474" s="48"/>
      <c r="O474" s="48">
        <f t="shared" si="0"/>
        <v>0</v>
      </c>
      <c r="P474" s="38"/>
      <c r="Q474" s="14" t="str">
        <f t="shared" ca="1" si="1"/>
        <v/>
      </c>
      <c r="R474" s="51"/>
      <c r="S474" s="51"/>
      <c r="T474" s="51"/>
      <c r="U474" s="40"/>
      <c r="V474" s="54"/>
      <c r="W474" s="55"/>
      <c r="X474" s="56"/>
      <c r="Y474" s="88"/>
      <c r="Z474" s="88"/>
      <c r="AA474" s="88"/>
      <c r="AB474" s="88"/>
    </row>
    <row r="475" spans="1:28">
      <c r="A475" s="38">
        <v>474</v>
      </c>
      <c r="B475" s="51"/>
      <c r="C475" s="40"/>
      <c r="D475" s="38"/>
      <c r="E475" s="38" t="s">
        <v>1909</v>
      </c>
      <c r="F475" s="43" t="s">
        <v>1910</v>
      </c>
      <c r="G475" s="44"/>
      <c r="H475" s="45"/>
      <c r="I475" s="38"/>
      <c r="J475" s="38">
        <f>1.1*1000</f>
        <v>1100</v>
      </c>
      <c r="K475" s="46">
        <v>1.1099537037037038E-2</v>
      </c>
      <c r="L475" s="47" t="s">
        <v>1283</v>
      </c>
      <c r="M475" s="48"/>
      <c r="N475" s="48"/>
      <c r="O475" s="48">
        <f t="shared" si="0"/>
        <v>0</v>
      </c>
      <c r="P475" s="38"/>
      <c r="Q475" s="14" t="str">
        <f t="shared" ca="1" si="1"/>
        <v/>
      </c>
      <c r="R475" s="51"/>
      <c r="S475" s="51"/>
      <c r="T475" s="51"/>
      <c r="U475" s="40"/>
      <c r="V475" s="54"/>
      <c r="W475" s="55"/>
      <c r="X475" s="56"/>
      <c r="Y475" s="88"/>
      <c r="Z475" s="88"/>
      <c r="AA475" s="88"/>
      <c r="AB475" s="88"/>
    </row>
    <row r="476" spans="1:28">
      <c r="A476" s="38">
        <v>475</v>
      </c>
      <c r="B476" s="51"/>
      <c r="C476" s="40"/>
      <c r="D476" s="38"/>
      <c r="E476" s="38" t="s">
        <v>1914</v>
      </c>
      <c r="F476" s="43" t="s">
        <v>1915</v>
      </c>
      <c r="G476" s="44"/>
      <c r="H476" s="45"/>
      <c r="I476" s="38"/>
      <c r="J476" s="38">
        <f>179</f>
        <v>179</v>
      </c>
      <c r="K476" s="46">
        <v>2.2222222222222222E-3</v>
      </c>
      <c r="L476" s="47" t="s">
        <v>1283</v>
      </c>
      <c r="M476" s="48"/>
      <c r="N476" s="48"/>
      <c r="O476" s="48">
        <f t="shared" si="0"/>
        <v>0</v>
      </c>
      <c r="P476" s="38"/>
      <c r="Q476" s="14" t="str">
        <f t="shared" ca="1" si="1"/>
        <v/>
      </c>
      <c r="R476" s="51"/>
      <c r="S476" s="51"/>
      <c r="T476" s="51"/>
      <c r="U476" s="40"/>
      <c r="V476" s="54"/>
      <c r="W476" s="55"/>
      <c r="X476" s="56"/>
      <c r="Y476" s="88"/>
      <c r="Z476" s="88"/>
      <c r="AA476" s="88"/>
      <c r="AB476" s="88"/>
    </row>
    <row r="477" spans="1:28">
      <c r="A477" s="38">
        <v>476</v>
      </c>
      <c r="B477" s="51"/>
      <c r="C477" s="40"/>
      <c r="D477" s="38"/>
      <c r="E477" s="38" t="s">
        <v>1920</v>
      </c>
      <c r="F477" s="43" t="s">
        <v>1921</v>
      </c>
      <c r="G477" s="44"/>
      <c r="H477" s="45"/>
      <c r="I477" s="38"/>
      <c r="J477" s="38">
        <f>961</f>
        <v>961</v>
      </c>
      <c r="K477" s="46">
        <v>5.6249999999999989E-3</v>
      </c>
      <c r="L477" s="47" t="s">
        <v>1283</v>
      </c>
      <c r="M477" s="48"/>
      <c r="N477" s="48"/>
      <c r="O477" s="48">
        <f t="shared" si="0"/>
        <v>0</v>
      </c>
      <c r="P477" s="38"/>
      <c r="Q477" s="14" t="str">
        <f t="shared" ca="1" si="1"/>
        <v/>
      </c>
      <c r="R477" s="51"/>
      <c r="S477" s="51"/>
      <c r="T477" s="51"/>
      <c r="U477" s="40"/>
      <c r="V477" s="54"/>
      <c r="W477" s="55"/>
      <c r="X477" s="56"/>
      <c r="Y477" s="88"/>
      <c r="Z477" s="88"/>
      <c r="AA477" s="88"/>
      <c r="AB477" s="88"/>
    </row>
    <row r="478" spans="1:28">
      <c r="A478" s="38">
        <v>477</v>
      </c>
      <c r="B478" s="51"/>
      <c r="C478" s="40"/>
      <c r="D478" s="38"/>
      <c r="E478" s="38" t="s">
        <v>1922</v>
      </c>
      <c r="F478" s="43" t="s">
        <v>1923</v>
      </c>
      <c r="G478" s="44"/>
      <c r="H478" s="45"/>
      <c r="I478" s="38"/>
      <c r="J478" s="38">
        <f>144</f>
        <v>144</v>
      </c>
      <c r="K478" s="46">
        <v>1.8287037037037037E-3</v>
      </c>
      <c r="L478" s="47" t="s">
        <v>1283</v>
      </c>
      <c r="M478" s="48"/>
      <c r="N478" s="48"/>
      <c r="O478" s="48">
        <f t="shared" si="0"/>
        <v>0</v>
      </c>
      <c r="P478" s="38"/>
      <c r="Q478" s="14" t="str">
        <f t="shared" ca="1" si="1"/>
        <v/>
      </c>
      <c r="R478" s="51"/>
      <c r="S478" s="51"/>
      <c r="T478" s="51"/>
      <c r="U478" s="40"/>
      <c r="V478" s="54"/>
      <c r="W478" s="55"/>
      <c r="X478" s="56"/>
      <c r="Y478" s="88"/>
      <c r="Z478" s="88"/>
      <c r="AA478" s="88"/>
      <c r="AB478" s="88"/>
    </row>
    <row r="479" spans="1:28">
      <c r="A479" s="38">
        <v>478</v>
      </c>
      <c r="B479" s="51"/>
      <c r="C479" s="40"/>
      <c r="D479" s="38"/>
      <c r="E479" s="38" t="s">
        <v>1927</v>
      </c>
      <c r="F479" s="43" t="s">
        <v>1929</v>
      </c>
      <c r="G479" s="44"/>
      <c r="H479" s="45"/>
      <c r="I479" s="38"/>
      <c r="J479" s="38">
        <f>2.4*1000</f>
        <v>2400</v>
      </c>
      <c r="K479" s="46">
        <v>2.6620370370370374E-3</v>
      </c>
      <c r="L479" s="47" t="s">
        <v>1283</v>
      </c>
      <c r="M479" s="48"/>
      <c r="N479" s="48"/>
      <c r="O479" s="48">
        <f t="shared" si="0"/>
        <v>0</v>
      </c>
      <c r="P479" s="38"/>
      <c r="Q479" s="14" t="str">
        <f t="shared" ca="1" si="1"/>
        <v/>
      </c>
      <c r="R479" s="51"/>
      <c r="S479" s="51"/>
      <c r="T479" s="51"/>
      <c r="U479" s="40"/>
      <c r="V479" s="54"/>
      <c r="W479" s="55"/>
      <c r="X479" s="56"/>
      <c r="Y479" s="88"/>
      <c r="Z479" s="88"/>
      <c r="AA479" s="88"/>
      <c r="AB479" s="88"/>
    </row>
    <row r="480" spans="1:28">
      <c r="A480" s="38">
        <v>479</v>
      </c>
      <c r="B480" s="51"/>
      <c r="C480" s="40"/>
      <c r="D480" s="38"/>
      <c r="E480" s="38" t="s">
        <v>1933</v>
      </c>
      <c r="F480" s="43" t="s">
        <v>1934</v>
      </c>
      <c r="G480" s="44"/>
      <c r="H480" s="45"/>
      <c r="I480" s="38"/>
      <c r="J480" s="38">
        <f>2.8*1000</f>
        <v>2800</v>
      </c>
      <c r="K480" s="46">
        <v>4.9884259259259265E-3</v>
      </c>
      <c r="L480" s="47" t="s">
        <v>1283</v>
      </c>
      <c r="M480" s="48"/>
      <c r="N480" s="48"/>
      <c r="O480" s="48">
        <f t="shared" si="0"/>
        <v>0</v>
      </c>
      <c r="P480" s="38"/>
      <c r="Q480" s="14" t="str">
        <f t="shared" ca="1" si="1"/>
        <v/>
      </c>
      <c r="R480" s="51"/>
      <c r="S480" s="51"/>
      <c r="T480" s="51"/>
      <c r="U480" s="40"/>
      <c r="V480" s="54"/>
      <c r="W480" s="55"/>
      <c r="X480" s="56"/>
      <c r="Y480" s="88"/>
      <c r="Z480" s="88"/>
      <c r="AA480" s="88"/>
      <c r="AB480" s="88"/>
    </row>
    <row r="481" spans="1:28">
      <c r="A481" s="38">
        <v>480</v>
      </c>
      <c r="B481" s="51"/>
      <c r="C481" s="40"/>
      <c r="D481" s="38"/>
      <c r="E481" s="38" t="s">
        <v>1942</v>
      </c>
      <c r="F481" s="43" t="s">
        <v>1943</v>
      </c>
      <c r="G481" s="44"/>
      <c r="H481" s="45"/>
      <c r="I481" s="38"/>
      <c r="J481" s="38">
        <f>14*1000</f>
        <v>14000</v>
      </c>
      <c r="K481" s="46">
        <v>8.5416666666666679E-3</v>
      </c>
      <c r="L481" s="47" t="s">
        <v>1283</v>
      </c>
      <c r="M481" s="48"/>
      <c r="N481" s="48"/>
      <c r="O481" s="48">
        <f t="shared" si="0"/>
        <v>0</v>
      </c>
      <c r="P481" s="38"/>
      <c r="Q481" s="14" t="str">
        <f t="shared" ca="1" si="1"/>
        <v/>
      </c>
      <c r="R481" s="51"/>
      <c r="S481" s="51"/>
      <c r="T481" s="51"/>
      <c r="U481" s="40"/>
      <c r="V481" s="54"/>
      <c r="W481" s="55"/>
      <c r="X481" s="56"/>
      <c r="Y481" s="88"/>
      <c r="Z481" s="88"/>
      <c r="AA481" s="88"/>
      <c r="AB481" s="88"/>
    </row>
    <row r="482" spans="1:28">
      <c r="A482" s="38">
        <v>481</v>
      </c>
      <c r="B482" s="39" t="s">
        <v>136</v>
      </c>
      <c r="C482" s="40"/>
      <c r="D482" s="42" t="s">
        <v>139</v>
      </c>
      <c r="E482" s="38" t="s">
        <v>1947</v>
      </c>
      <c r="F482" s="43" t="s">
        <v>1948</v>
      </c>
      <c r="G482" s="44"/>
      <c r="H482" s="45"/>
      <c r="I482" s="38"/>
      <c r="J482" s="38">
        <f>3.5*1000</f>
        <v>3500</v>
      </c>
      <c r="K482" s="46">
        <v>7.4884259259259262E-3</v>
      </c>
      <c r="L482" s="47" t="s">
        <v>1283</v>
      </c>
      <c r="M482" s="48"/>
      <c r="N482" s="48"/>
      <c r="O482" s="48">
        <f t="shared" si="0"/>
        <v>0</v>
      </c>
      <c r="P482" s="38"/>
      <c r="Q482" s="14" t="str">
        <f t="shared" ca="1" si="1"/>
        <v/>
      </c>
      <c r="R482" s="51"/>
      <c r="S482" s="51"/>
      <c r="T482" s="51"/>
      <c r="U482" s="40"/>
      <c r="V482" s="54"/>
      <c r="W482" s="55"/>
      <c r="X482" s="56"/>
      <c r="Y482" s="88"/>
      <c r="Z482" s="88"/>
      <c r="AA482" s="88"/>
      <c r="AB482" s="88"/>
    </row>
    <row r="483" spans="1:28">
      <c r="A483" s="38">
        <v>482</v>
      </c>
      <c r="B483" s="51"/>
      <c r="C483" s="40"/>
      <c r="D483" s="38"/>
      <c r="E483" s="38" t="s">
        <v>1954</v>
      </c>
      <c r="F483" s="43" t="s">
        <v>1955</v>
      </c>
      <c r="G483" s="44"/>
      <c r="H483" s="45"/>
      <c r="I483" s="38"/>
      <c r="J483" s="38">
        <f>118</f>
        <v>118</v>
      </c>
      <c r="K483" s="46">
        <v>1.0763888888888889E-3</v>
      </c>
      <c r="L483" s="47" t="s">
        <v>1283</v>
      </c>
      <c r="M483" s="48"/>
      <c r="N483" s="48"/>
      <c r="O483" s="48">
        <f t="shared" si="0"/>
        <v>0</v>
      </c>
      <c r="P483" s="38"/>
      <c r="Q483" s="14" t="str">
        <f t="shared" ca="1" si="1"/>
        <v/>
      </c>
      <c r="R483" s="51"/>
      <c r="S483" s="51"/>
      <c r="T483" s="51"/>
      <c r="U483" s="40"/>
      <c r="V483" s="54"/>
      <c r="W483" s="55"/>
      <c r="X483" s="56"/>
      <c r="Y483" s="88"/>
      <c r="Z483" s="88"/>
      <c r="AA483" s="88"/>
      <c r="AB483" s="88"/>
    </row>
    <row r="484" spans="1:28">
      <c r="A484" s="38">
        <v>483</v>
      </c>
      <c r="B484" s="51"/>
      <c r="C484" s="40"/>
      <c r="D484" s="38"/>
      <c r="E484" s="38" t="s">
        <v>1957</v>
      </c>
      <c r="F484" s="43" t="s">
        <v>1958</v>
      </c>
      <c r="G484" s="44"/>
      <c r="H484" s="45"/>
      <c r="I484" s="38"/>
      <c r="J484" s="38">
        <f>317</f>
        <v>317</v>
      </c>
      <c r="K484" s="46">
        <v>1.6319444444444445E-3</v>
      </c>
      <c r="L484" s="47" t="s">
        <v>1283</v>
      </c>
      <c r="M484" s="48"/>
      <c r="N484" s="48"/>
      <c r="O484" s="48">
        <f t="shared" si="0"/>
        <v>0</v>
      </c>
      <c r="P484" s="38"/>
      <c r="Q484" s="14" t="str">
        <f t="shared" ca="1" si="1"/>
        <v/>
      </c>
      <c r="R484" s="51"/>
      <c r="S484" s="51"/>
      <c r="T484" s="51"/>
      <c r="U484" s="40"/>
      <c r="V484" s="54"/>
      <c r="W484" s="55"/>
      <c r="X484" s="56"/>
      <c r="Y484" s="88"/>
      <c r="Z484" s="88"/>
      <c r="AA484" s="88"/>
      <c r="AB484" s="88"/>
    </row>
    <row r="485" spans="1:28">
      <c r="A485" s="38">
        <v>484</v>
      </c>
      <c r="B485" s="51"/>
      <c r="C485" s="40"/>
      <c r="D485" s="38"/>
      <c r="E485" s="38" t="s">
        <v>1961</v>
      </c>
      <c r="F485" s="43" t="s">
        <v>1962</v>
      </c>
      <c r="G485" s="44"/>
      <c r="H485" s="45"/>
      <c r="I485" s="38"/>
      <c r="J485" s="38">
        <f>3.2*1000</f>
        <v>3200</v>
      </c>
      <c r="K485" s="46">
        <v>4.3749999999999995E-3</v>
      </c>
      <c r="L485" s="47" t="s">
        <v>1283</v>
      </c>
      <c r="M485" s="48"/>
      <c r="N485" s="48"/>
      <c r="O485" s="48">
        <f t="shared" si="0"/>
        <v>0</v>
      </c>
      <c r="P485" s="38"/>
      <c r="Q485" s="14" t="str">
        <f t="shared" ca="1" si="1"/>
        <v/>
      </c>
      <c r="R485" s="51"/>
      <c r="S485" s="51"/>
      <c r="T485" s="51"/>
      <c r="U485" s="40"/>
      <c r="V485" s="54"/>
      <c r="W485" s="55"/>
      <c r="X485" s="56"/>
      <c r="Y485" s="88"/>
      <c r="Z485" s="88"/>
      <c r="AA485" s="88"/>
      <c r="AB485" s="88"/>
    </row>
    <row r="486" spans="1:28">
      <c r="A486" s="38">
        <v>485</v>
      </c>
      <c r="B486" s="51"/>
      <c r="C486" s="40"/>
      <c r="D486" s="38"/>
      <c r="E486" s="38" t="s">
        <v>1963</v>
      </c>
      <c r="F486" s="43" t="s">
        <v>1964</v>
      </c>
      <c r="G486" s="44"/>
      <c r="H486" s="45"/>
      <c r="I486" s="38"/>
      <c r="J486" s="38">
        <f>219</f>
        <v>219</v>
      </c>
      <c r="K486" s="46">
        <v>2.1296296296296298E-3</v>
      </c>
      <c r="L486" s="47" t="s">
        <v>1283</v>
      </c>
      <c r="M486" s="48"/>
      <c r="N486" s="48"/>
      <c r="O486" s="48">
        <f t="shared" si="0"/>
        <v>0</v>
      </c>
      <c r="P486" s="38"/>
      <c r="Q486" s="14" t="str">
        <f t="shared" ca="1" si="1"/>
        <v/>
      </c>
      <c r="R486" s="51"/>
      <c r="S486" s="51"/>
      <c r="T486" s="51"/>
      <c r="U486" s="40"/>
      <c r="V486" s="54"/>
      <c r="W486" s="55"/>
      <c r="X486" s="56"/>
      <c r="Y486" s="88"/>
      <c r="Z486" s="88"/>
      <c r="AA486" s="88"/>
      <c r="AB486" s="88"/>
    </row>
    <row r="487" spans="1:28">
      <c r="A487" s="38">
        <v>486</v>
      </c>
      <c r="B487" s="39"/>
      <c r="C487" s="40"/>
      <c r="D487" s="38"/>
      <c r="E487" s="38" t="s">
        <v>1967</v>
      </c>
      <c r="F487" s="43" t="s">
        <v>1968</v>
      </c>
      <c r="G487" s="44"/>
      <c r="H487" s="45"/>
      <c r="I487" s="38"/>
      <c r="J487" s="38">
        <f>22*1000</f>
        <v>22000</v>
      </c>
      <c r="K487" s="46">
        <v>7.2453703703703708E-3</v>
      </c>
      <c r="L487" s="47" t="s">
        <v>1283</v>
      </c>
      <c r="M487" s="48"/>
      <c r="N487" s="48"/>
      <c r="O487" s="48">
        <f t="shared" si="0"/>
        <v>0</v>
      </c>
      <c r="P487" s="38"/>
      <c r="Q487" s="14" t="str">
        <f t="shared" ca="1" si="1"/>
        <v/>
      </c>
      <c r="R487" s="51"/>
      <c r="S487" s="51"/>
      <c r="T487" s="51"/>
      <c r="U487" s="40"/>
      <c r="V487" s="54"/>
      <c r="W487" s="55"/>
      <c r="X487" s="56"/>
      <c r="Y487" s="88"/>
      <c r="Z487" s="88"/>
      <c r="AA487" s="88"/>
      <c r="AB487" s="88"/>
    </row>
    <row r="488" spans="1:28">
      <c r="A488" s="38">
        <v>487</v>
      </c>
      <c r="B488" s="51"/>
      <c r="C488" s="40"/>
      <c r="D488" s="38"/>
      <c r="E488" s="38" t="s">
        <v>1972</v>
      </c>
      <c r="F488" s="43" t="s">
        <v>1973</v>
      </c>
      <c r="G488" s="44"/>
      <c r="H488" s="45"/>
      <c r="I488" s="38"/>
      <c r="J488" s="38">
        <f>743</f>
        <v>743</v>
      </c>
      <c r="K488" s="46">
        <v>2.1527777777777778E-3</v>
      </c>
      <c r="L488" s="47" t="s">
        <v>1283</v>
      </c>
      <c r="M488" s="48"/>
      <c r="N488" s="48"/>
      <c r="O488" s="48">
        <f t="shared" si="0"/>
        <v>0</v>
      </c>
      <c r="P488" s="38"/>
      <c r="Q488" s="14" t="str">
        <f t="shared" ca="1" si="1"/>
        <v/>
      </c>
      <c r="R488" s="51"/>
      <c r="S488" s="51"/>
      <c r="T488" s="51"/>
      <c r="U488" s="40"/>
      <c r="V488" s="54"/>
      <c r="W488" s="55"/>
      <c r="X488" s="56"/>
      <c r="Y488" s="88"/>
      <c r="Z488" s="88"/>
      <c r="AA488" s="88"/>
      <c r="AB488" s="88"/>
    </row>
    <row r="489" spans="1:28">
      <c r="A489" s="38">
        <v>488</v>
      </c>
      <c r="B489" s="51"/>
      <c r="C489" s="40"/>
      <c r="D489" s="38"/>
      <c r="E489" s="38" t="s">
        <v>1976</v>
      </c>
      <c r="F489" s="43" t="s">
        <v>1977</v>
      </c>
      <c r="G489" s="44"/>
      <c r="H489" s="45"/>
      <c r="I489" s="38"/>
      <c r="J489" s="38">
        <f>408</f>
        <v>408</v>
      </c>
      <c r="K489" s="46">
        <v>1.3773148148148147E-3</v>
      </c>
      <c r="L489" s="47" t="s">
        <v>1283</v>
      </c>
      <c r="M489" s="48"/>
      <c r="N489" s="48"/>
      <c r="O489" s="48">
        <f t="shared" si="0"/>
        <v>0</v>
      </c>
      <c r="P489" s="38"/>
      <c r="Q489" s="14" t="str">
        <f t="shared" ca="1" si="1"/>
        <v/>
      </c>
      <c r="R489" s="51"/>
      <c r="S489" s="51"/>
      <c r="T489" s="51"/>
      <c r="U489" s="40"/>
      <c r="V489" s="54"/>
      <c r="W489" s="55"/>
      <c r="X489" s="56"/>
      <c r="Y489" s="88"/>
      <c r="Z489" s="88"/>
      <c r="AA489" s="88"/>
      <c r="AB489" s="88"/>
    </row>
    <row r="490" spans="1:28">
      <c r="A490" s="38">
        <v>489</v>
      </c>
      <c r="B490" s="51"/>
      <c r="C490" s="40"/>
      <c r="D490" s="38"/>
      <c r="E490" s="38" t="s">
        <v>1982</v>
      </c>
      <c r="F490" s="43" t="s">
        <v>1983</v>
      </c>
      <c r="G490" s="44"/>
      <c r="H490" s="45"/>
      <c r="I490" s="38"/>
      <c r="J490" s="38">
        <f>1.8*1000</f>
        <v>1800</v>
      </c>
      <c r="K490" s="46">
        <v>3.2291666666666666E-3</v>
      </c>
      <c r="L490" s="47" t="s">
        <v>1283</v>
      </c>
      <c r="M490" s="48"/>
      <c r="N490" s="48"/>
      <c r="O490" s="48">
        <f t="shared" si="0"/>
        <v>0</v>
      </c>
      <c r="P490" s="38"/>
      <c r="Q490" s="14" t="str">
        <f t="shared" ca="1" si="1"/>
        <v/>
      </c>
      <c r="R490" s="51"/>
      <c r="S490" s="51"/>
      <c r="T490" s="51"/>
      <c r="U490" s="40"/>
      <c r="V490" s="54"/>
      <c r="W490" s="55"/>
      <c r="X490" s="56"/>
      <c r="Y490" s="88"/>
      <c r="Z490" s="88"/>
      <c r="AA490" s="88"/>
      <c r="AB490" s="88"/>
    </row>
    <row r="491" spans="1:28">
      <c r="A491" s="38">
        <v>490</v>
      </c>
      <c r="B491" s="51"/>
      <c r="C491" s="40"/>
      <c r="D491" s="38"/>
      <c r="E491" s="38" t="s">
        <v>1986</v>
      </c>
      <c r="F491" s="43" t="s">
        <v>1987</v>
      </c>
      <c r="G491" s="44"/>
      <c r="H491" s="45"/>
      <c r="I491" s="38"/>
      <c r="J491" s="38">
        <f>577</f>
        <v>577</v>
      </c>
      <c r="K491" s="46">
        <v>2.0370370370370373E-3</v>
      </c>
      <c r="L491" s="47" t="s">
        <v>1283</v>
      </c>
      <c r="M491" s="48"/>
      <c r="N491" s="48"/>
      <c r="O491" s="48">
        <f t="shared" si="0"/>
        <v>0</v>
      </c>
      <c r="P491" s="38"/>
      <c r="Q491" s="14" t="str">
        <f t="shared" ca="1" si="1"/>
        <v/>
      </c>
      <c r="R491" s="51"/>
      <c r="S491" s="51"/>
      <c r="T491" s="51"/>
      <c r="U491" s="40"/>
      <c r="V491" s="54"/>
      <c r="W491" s="55"/>
      <c r="X491" s="56"/>
      <c r="Y491" s="88"/>
      <c r="Z491" s="88"/>
      <c r="AA491" s="88"/>
      <c r="AB491" s="88"/>
    </row>
    <row r="492" spans="1:28">
      <c r="A492" s="38">
        <v>491</v>
      </c>
      <c r="B492" s="51"/>
      <c r="C492" s="40"/>
      <c r="D492" s="38"/>
      <c r="E492" s="38" t="s">
        <v>1990</v>
      </c>
      <c r="F492" s="43" t="s">
        <v>1991</v>
      </c>
      <c r="G492" s="44"/>
      <c r="H492" s="45"/>
      <c r="I492" s="38"/>
      <c r="J492" s="38">
        <f>1.1*1000</f>
        <v>1100</v>
      </c>
      <c r="K492" s="46">
        <v>2.8587962962962963E-3</v>
      </c>
      <c r="L492" s="47" t="s">
        <v>1283</v>
      </c>
      <c r="M492" s="48"/>
      <c r="N492" s="48"/>
      <c r="O492" s="48">
        <f t="shared" si="0"/>
        <v>0</v>
      </c>
      <c r="P492" s="38"/>
      <c r="Q492" s="14" t="str">
        <f t="shared" ca="1" si="1"/>
        <v/>
      </c>
      <c r="R492" s="51"/>
      <c r="S492" s="51"/>
      <c r="T492" s="51"/>
      <c r="U492" s="40"/>
      <c r="V492" s="54"/>
      <c r="W492" s="55"/>
      <c r="X492" s="56"/>
      <c r="Y492" s="88"/>
      <c r="Z492" s="88"/>
      <c r="AA492" s="88"/>
      <c r="AB492" s="88"/>
    </row>
    <row r="493" spans="1:28">
      <c r="A493" s="38">
        <v>492</v>
      </c>
      <c r="B493" s="51"/>
      <c r="C493" s="40"/>
      <c r="D493" s="38"/>
      <c r="E493" s="38" t="s">
        <v>1994</v>
      </c>
      <c r="F493" s="43" t="s">
        <v>1995</v>
      </c>
      <c r="G493" s="44"/>
      <c r="H493" s="45"/>
      <c r="I493" s="38"/>
      <c r="J493" s="38">
        <f>225</f>
        <v>225</v>
      </c>
      <c r="K493" s="46">
        <v>1.6319444444444445E-3</v>
      </c>
      <c r="L493" s="47" t="s">
        <v>1283</v>
      </c>
      <c r="M493" s="48"/>
      <c r="N493" s="48"/>
      <c r="O493" s="48">
        <f t="shared" si="0"/>
        <v>0</v>
      </c>
      <c r="P493" s="38"/>
      <c r="Q493" s="14" t="str">
        <f t="shared" ca="1" si="1"/>
        <v/>
      </c>
      <c r="R493" s="51"/>
      <c r="S493" s="51"/>
      <c r="T493" s="51"/>
      <c r="U493" s="40"/>
      <c r="V493" s="54"/>
      <c r="W493" s="55"/>
      <c r="X493" s="56"/>
      <c r="Y493" s="88"/>
      <c r="Z493" s="88"/>
      <c r="AA493" s="88"/>
      <c r="AB493" s="88"/>
    </row>
    <row r="494" spans="1:28">
      <c r="A494" s="38">
        <v>493</v>
      </c>
      <c r="B494" s="51"/>
      <c r="C494" s="40"/>
      <c r="D494" s="38"/>
      <c r="E494" s="38" t="s">
        <v>1998</v>
      </c>
      <c r="F494" s="43" t="s">
        <v>1999</v>
      </c>
      <c r="G494" s="44"/>
      <c r="H494" s="45"/>
      <c r="I494" s="38"/>
      <c r="J494" s="38">
        <f>208</f>
        <v>208</v>
      </c>
      <c r="K494" s="46">
        <v>2.8472222222222219E-3</v>
      </c>
      <c r="L494" s="47" t="s">
        <v>1283</v>
      </c>
      <c r="M494" s="48"/>
      <c r="N494" s="48"/>
      <c r="O494" s="48">
        <f t="shared" si="0"/>
        <v>0</v>
      </c>
      <c r="P494" s="38"/>
      <c r="Q494" s="14" t="str">
        <f t="shared" ca="1" si="1"/>
        <v/>
      </c>
      <c r="R494" s="51"/>
      <c r="S494" s="51"/>
      <c r="T494" s="51"/>
      <c r="U494" s="40"/>
      <c r="V494" s="54"/>
      <c r="W494" s="55"/>
      <c r="X494" s="56"/>
      <c r="Y494" s="88"/>
      <c r="Z494" s="88"/>
      <c r="AA494" s="88"/>
      <c r="AB494" s="88"/>
    </row>
    <row r="495" spans="1:28">
      <c r="A495" s="38">
        <v>494</v>
      </c>
      <c r="B495" s="51"/>
      <c r="C495" s="40"/>
      <c r="D495" s="38"/>
      <c r="E495" s="38" t="s">
        <v>2004</v>
      </c>
      <c r="F495" s="43" t="s">
        <v>2005</v>
      </c>
      <c r="G495" s="44"/>
      <c r="H495" s="45"/>
      <c r="I495" s="38"/>
      <c r="J495" s="38">
        <f>422</f>
        <v>422</v>
      </c>
      <c r="K495" s="46">
        <v>2.685185185185185E-3</v>
      </c>
      <c r="L495" s="47" t="s">
        <v>1283</v>
      </c>
      <c r="M495" s="48"/>
      <c r="N495" s="48"/>
      <c r="O495" s="48">
        <f t="shared" si="0"/>
        <v>0</v>
      </c>
      <c r="P495" s="38"/>
      <c r="Q495" s="14" t="str">
        <f t="shared" ca="1" si="1"/>
        <v/>
      </c>
      <c r="R495" s="51"/>
      <c r="S495" s="51"/>
      <c r="T495" s="51"/>
      <c r="U495" s="40"/>
      <c r="V495" s="54"/>
      <c r="W495" s="55"/>
      <c r="X495" s="56"/>
      <c r="Y495" s="88"/>
      <c r="Z495" s="88"/>
      <c r="AA495" s="88"/>
      <c r="AB495" s="88"/>
    </row>
    <row r="496" spans="1:28">
      <c r="A496" s="38">
        <v>495</v>
      </c>
      <c r="B496" s="51"/>
      <c r="C496" s="40"/>
      <c r="D496" s="38"/>
      <c r="E496" s="38" t="s">
        <v>2008</v>
      </c>
      <c r="F496" s="43" t="s">
        <v>2009</v>
      </c>
      <c r="G496" s="44"/>
      <c r="H496" s="45"/>
      <c r="I496" s="38"/>
      <c r="J496" s="38">
        <f>6.6*1000</f>
        <v>6600</v>
      </c>
      <c r="K496" s="46">
        <v>5.5092592592592589E-3</v>
      </c>
      <c r="L496" s="47" t="s">
        <v>1283</v>
      </c>
      <c r="M496" s="48"/>
      <c r="N496" s="48"/>
      <c r="O496" s="48">
        <f t="shared" si="0"/>
        <v>0</v>
      </c>
      <c r="P496" s="38"/>
      <c r="Q496" s="14" t="str">
        <f t="shared" ca="1" si="1"/>
        <v/>
      </c>
      <c r="R496" s="51"/>
      <c r="S496" s="51"/>
      <c r="T496" s="51"/>
      <c r="U496" s="40"/>
      <c r="V496" s="54"/>
      <c r="W496" s="55"/>
      <c r="X496" s="56"/>
      <c r="Y496" s="88"/>
      <c r="Z496" s="88"/>
      <c r="AA496" s="88"/>
      <c r="AB496" s="88"/>
    </row>
    <row r="497" spans="1:28">
      <c r="A497" s="38">
        <v>496</v>
      </c>
      <c r="B497" s="51"/>
      <c r="C497" s="40"/>
      <c r="D497" s="38"/>
      <c r="E497" s="38" t="s">
        <v>2012</v>
      </c>
      <c r="F497" s="43" t="s">
        <v>2013</v>
      </c>
      <c r="G497" s="44"/>
      <c r="H497" s="45"/>
      <c r="I497" s="38"/>
      <c r="J497" s="38">
        <f>1*1000</f>
        <v>1000</v>
      </c>
      <c r="K497" s="46">
        <v>4.0393518518518521E-3</v>
      </c>
      <c r="L497" s="47" t="s">
        <v>1283</v>
      </c>
      <c r="M497" s="48"/>
      <c r="N497" s="48"/>
      <c r="O497" s="48">
        <f t="shared" si="0"/>
        <v>0</v>
      </c>
      <c r="P497" s="38"/>
      <c r="Q497" s="14" t="str">
        <f t="shared" ca="1" si="1"/>
        <v/>
      </c>
      <c r="R497" s="51"/>
      <c r="S497" s="51"/>
      <c r="T497" s="51"/>
      <c r="U497" s="40"/>
      <c r="V497" s="54"/>
      <c r="W497" s="55"/>
      <c r="X497" s="56"/>
      <c r="Y497" s="88"/>
      <c r="Z497" s="88"/>
      <c r="AA497" s="88"/>
      <c r="AB497" s="88"/>
    </row>
    <row r="498" spans="1:28">
      <c r="A498" s="38">
        <v>497</v>
      </c>
      <c r="B498" s="51"/>
      <c r="C498" s="40"/>
      <c r="D498" s="38"/>
      <c r="E498" s="38" t="s">
        <v>2017</v>
      </c>
      <c r="F498" s="43" t="s">
        <v>2018</v>
      </c>
      <c r="G498" s="44"/>
      <c r="H498" s="45"/>
      <c r="I498" s="38"/>
      <c r="J498" s="38">
        <f>2.1*1000</f>
        <v>2100</v>
      </c>
      <c r="K498" s="46">
        <v>4.3946759259259255E-2</v>
      </c>
      <c r="L498" s="47" t="s">
        <v>1283</v>
      </c>
      <c r="M498" s="48"/>
      <c r="N498" s="48"/>
      <c r="O498" s="48">
        <f t="shared" si="0"/>
        <v>0</v>
      </c>
      <c r="P498" s="38"/>
      <c r="Q498" s="14" t="str">
        <f t="shared" ca="1" si="1"/>
        <v/>
      </c>
      <c r="R498" s="51"/>
      <c r="S498" s="51"/>
      <c r="T498" s="51"/>
      <c r="U498" s="40"/>
      <c r="V498" s="54"/>
      <c r="W498" s="55"/>
      <c r="X498" s="56"/>
      <c r="Y498" s="88"/>
      <c r="Z498" s="88"/>
      <c r="AA498" s="88"/>
      <c r="AB498" s="88"/>
    </row>
    <row r="499" spans="1:28">
      <c r="A499" s="38">
        <v>498</v>
      </c>
      <c r="B499" s="51"/>
      <c r="C499" s="40"/>
      <c r="D499" s="38"/>
      <c r="E499" s="38" t="s">
        <v>2019</v>
      </c>
      <c r="F499" s="43" t="s">
        <v>2020</v>
      </c>
      <c r="G499" s="44"/>
      <c r="H499" s="45"/>
      <c r="I499" s="38"/>
      <c r="J499" s="38">
        <f>1.9*1000</f>
        <v>1900</v>
      </c>
      <c r="K499" s="46">
        <v>2.5046296296296299E-2</v>
      </c>
      <c r="L499" s="47" t="s">
        <v>1283</v>
      </c>
      <c r="M499" s="48"/>
      <c r="N499" s="48"/>
      <c r="O499" s="48">
        <f t="shared" si="0"/>
        <v>0</v>
      </c>
      <c r="P499" s="38"/>
      <c r="Q499" s="14" t="str">
        <f t="shared" ca="1" si="1"/>
        <v/>
      </c>
      <c r="R499" s="51"/>
      <c r="S499" s="51"/>
      <c r="T499" s="51"/>
      <c r="U499" s="40"/>
      <c r="V499" s="54"/>
      <c r="W499" s="55"/>
      <c r="X499" s="56"/>
      <c r="Y499" s="88"/>
      <c r="Z499" s="88"/>
      <c r="AA499" s="88"/>
      <c r="AB499" s="88"/>
    </row>
    <row r="500" spans="1:28">
      <c r="A500" s="38">
        <v>499</v>
      </c>
      <c r="B500" s="51"/>
      <c r="C500" s="40"/>
      <c r="D500" s="38"/>
      <c r="E500" s="38" t="s">
        <v>2023</v>
      </c>
      <c r="F500" s="43" t="s">
        <v>2024</v>
      </c>
      <c r="G500" s="44"/>
      <c r="H500" s="45"/>
      <c r="I500" s="38"/>
      <c r="J500" s="38">
        <f>234</f>
        <v>234</v>
      </c>
      <c r="K500" s="46">
        <v>1.3888888888888889E-3</v>
      </c>
      <c r="L500" s="47" t="s">
        <v>1283</v>
      </c>
      <c r="M500" s="48"/>
      <c r="N500" s="48"/>
      <c r="O500" s="48">
        <f t="shared" si="0"/>
        <v>0</v>
      </c>
      <c r="P500" s="38"/>
      <c r="Q500" s="14" t="str">
        <f t="shared" ca="1" si="1"/>
        <v/>
      </c>
      <c r="R500" s="51"/>
      <c r="S500" s="51"/>
      <c r="T500" s="51"/>
      <c r="U500" s="40"/>
      <c r="V500" s="54"/>
      <c r="W500" s="55"/>
      <c r="X500" s="56"/>
      <c r="Y500" s="88"/>
      <c r="Z500" s="88"/>
      <c r="AA500" s="88"/>
      <c r="AB500" s="88"/>
    </row>
    <row r="501" spans="1:28">
      <c r="A501" s="38">
        <v>500</v>
      </c>
      <c r="B501" s="51"/>
      <c r="C501" s="40"/>
      <c r="D501" s="38"/>
      <c r="E501" s="38" t="s">
        <v>2027</v>
      </c>
      <c r="F501" s="43" t="s">
        <v>2028</v>
      </c>
      <c r="G501" s="44"/>
      <c r="H501" s="45"/>
      <c r="I501" s="38"/>
      <c r="J501" s="38">
        <f>205</f>
        <v>205</v>
      </c>
      <c r="K501" s="46">
        <v>2.1874999999999998E-3</v>
      </c>
      <c r="L501" s="47" t="s">
        <v>1283</v>
      </c>
      <c r="M501" s="48"/>
      <c r="N501" s="48"/>
      <c r="O501" s="48">
        <f t="shared" si="0"/>
        <v>0</v>
      </c>
      <c r="P501" s="38"/>
      <c r="Q501" s="14" t="str">
        <f t="shared" ca="1" si="1"/>
        <v/>
      </c>
      <c r="R501" s="51"/>
      <c r="S501" s="51"/>
      <c r="T501" s="51"/>
      <c r="U501" s="40"/>
      <c r="V501" s="54"/>
      <c r="W501" s="55"/>
      <c r="X501" s="56"/>
      <c r="Y501" s="88"/>
      <c r="Z501" s="88"/>
      <c r="AA501" s="88"/>
      <c r="AB501" s="88"/>
    </row>
    <row r="502" spans="1:28">
      <c r="A502" s="38">
        <v>501</v>
      </c>
      <c r="B502" s="51"/>
      <c r="C502" s="40"/>
      <c r="D502" s="38"/>
      <c r="E502" s="38" t="s">
        <v>2031</v>
      </c>
      <c r="F502" s="43" t="s">
        <v>2032</v>
      </c>
      <c r="G502" s="44"/>
      <c r="H502" s="45"/>
      <c r="I502" s="38"/>
      <c r="J502" s="38">
        <f>3*1000</f>
        <v>3000</v>
      </c>
      <c r="K502" s="46">
        <v>2.3958333333333331E-2</v>
      </c>
      <c r="L502" s="47" t="s">
        <v>1283</v>
      </c>
      <c r="M502" s="48"/>
      <c r="N502" s="48"/>
      <c r="O502" s="48">
        <f t="shared" si="0"/>
        <v>0</v>
      </c>
      <c r="P502" s="38"/>
      <c r="Q502" s="14" t="str">
        <f t="shared" ca="1" si="1"/>
        <v/>
      </c>
      <c r="R502" s="51"/>
      <c r="S502" s="51"/>
      <c r="T502" s="51"/>
      <c r="U502" s="40"/>
      <c r="V502" s="54"/>
      <c r="W502" s="55"/>
      <c r="X502" s="56"/>
      <c r="Y502" s="88"/>
      <c r="Z502" s="88"/>
      <c r="AA502" s="88"/>
      <c r="AB502" s="88"/>
    </row>
    <row r="503" spans="1:28">
      <c r="A503" s="38">
        <v>502</v>
      </c>
      <c r="B503" s="51"/>
      <c r="C503" s="40"/>
      <c r="D503" s="38"/>
      <c r="E503" s="38" t="s">
        <v>2036</v>
      </c>
      <c r="F503" s="43" t="s">
        <v>2037</v>
      </c>
      <c r="G503" s="44"/>
      <c r="H503" s="45"/>
      <c r="I503" s="38"/>
      <c r="J503" s="38">
        <f>2.4*1000</f>
        <v>2400</v>
      </c>
      <c r="K503" s="46">
        <v>3.7743055555555557E-2</v>
      </c>
      <c r="L503" s="47" t="s">
        <v>1283</v>
      </c>
      <c r="M503" s="48"/>
      <c r="N503" s="48"/>
      <c r="O503" s="48">
        <f t="shared" si="0"/>
        <v>0</v>
      </c>
      <c r="P503" s="38"/>
      <c r="Q503" s="14" t="str">
        <f t="shared" ca="1" si="1"/>
        <v/>
      </c>
      <c r="R503" s="51"/>
      <c r="S503" s="51"/>
      <c r="T503" s="51"/>
      <c r="U503" s="40"/>
      <c r="V503" s="54"/>
      <c r="W503" s="55"/>
      <c r="X503" s="56"/>
      <c r="Y503" s="88"/>
      <c r="Z503" s="88"/>
      <c r="AA503" s="88"/>
      <c r="AB503" s="88"/>
    </row>
    <row r="504" spans="1:28">
      <c r="A504" s="38">
        <v>503</v>
      </c>
      <c r="B504" s="51"/>
      <c r="C504" s="40"/>
      <c r="D504" s="38"/>
      <c r="E504" s="38" t="s">
        <v>2041</v>
      </c>
      <c r="F504" s="43" t="s">
        <v>2042</v>
      </c>
      <c r="G504" s="44"/>
      <c r="H504" s="45"/>
      <c r="I504" s="38"/>
      <c r="J504" s="38">
        <f>2.8*1000</f>
        <v>2800</v>
      </c>
      <c r="K504" s="46">
        <v>1.8460648148148146E-2</v>
      </c>
      <c r="L504" s="47" t="s">
        <v>1283</v>
      </c>
      <c r="M504" s="48"/>
      <c r="N504" s="48"/>
      <c r="O504" s="48">
        <f t="shared" si="0"/>
        <v>0</v>
      </c>
      <c r="P504" s="38"/>
      <c r="Q504" s="14" t="str">
        <f t="shared" ca="1" si="1"/>
        <v/>
      </c>
      <c r="R504" s="51"/>
      <c r="S504" s="51"/>
      <c r="T504" s="51"/>
      <c r="U504" s="40"/>
      <c r="V504" s="54"/>
      <c r="W504" s="55"/>
      <c r="X504" s="56"/>
      <c r="Y504" s="88"/>
      <c r="Z504" s="88"/>
      <c r="AA504" s="88"/>
      <c r="AB504" s="88"/>
    </row>
    <row r="505" spans="1:28">
      <c r="A505" s="38">
        <v>504</v>
      </c>
      <c r="B505" s="51"/>
      <c r="C505" s="40"/>
      <c r="D505" s="38"/>
      <c r="E505" s="38" t="s">
        <v>2045</v>
      </c>
      <c r="F505" s="43" t="s">
        <v>2046</v>
      </c>
      <c r="G505" s="44"/>
      <c r="H505" s="45"/>
      <c r="I505" s="38"/>
      <c r="J505" s="38">
        <f>3.5*1000</f>
        <v>3500</v>
      </c>
      <c r="K505" s="46">
        <v>3.8206018518518521E-2</v>
      </c>
      <c r="L505" s="47" t="s">
        <v>1283</v>
      </c>
      <c r="M505" s="48"/>
      <c r="N505" s="48"/>
      <c r="O505" s="48">
        <f t="shared" si="0"/>
        <v>0</v>
      </c>
      <c r="P505" s="38"/>
      <c r="Q505" s="14" t="str">
        <f t="shared" ca="1" si="1"/>
        <v/>
      </c>
      <c r="R505" s="51"/>
      <c r="S505" s="51"/>
      <c r="T505" s="51"/>
      <c r="U505" s="40"/>
      <c r="V505" s="54"/>
      <c r="W505" s="55"/>
      <c r="X505" s="56"/>
      <c r="Y505" s="88"/>
      <c r="Z505" s="88"/>
      <c r="AA505" s="88"/>
      <c r="AB505" s="88"/>
    </row>
    <row r="506" spans="1:28">
      <c r="A506" s="38">
        <v>505</v>
      </c>
      <c r="B506" s="51"/>
      <c r="C506" s="40"/>
      <c r="D506" s="38"/>
      <c r="E506" s="38" t="s">
        <v>2049</v>
      </c>
      <c r="F506" s="43" t="s">
        <v>2050</v>
      </c>
      <c r="G506" s="44"/>
      <c r="H506" s="45"/>
      <c r="I506" s="38"/>
      <c r="J506" s="38">
        <f>1*1000</f>
        <v>1000</v>
      </c>
      <c r="K506" s="46">
        <v>1.1562499999999998E-2</v>
      </c>
      <c r="L506" s="47" t="s">
        <v>1283</v>
      </c>
      <c r="M506" s="48"/>
      <c r="N506" s="48"/>
      <c r="O506" s="48">
        <f t="shared" si="0"/>
        <v>0</v>
      </c>
      <c r="P506" s="38"/>
      <c r="Q506" s="14" t="str">
        <f t="shared" ca="1" si="1"/>
        <v/>
      </c>
      <c r="R506" s="51"/>
      <c r="S506" s="51"/>
      <c r="T506" s="51"/>
      <c r="U506" s="40"/>
      <c r="V506" s="54"/>
      <c r="W506" s="55"/>
      <c r="X506" s="56"/>
      <c r="Y506" s="88"/>
      <c r="Z506" s="88"/>
      <c r="AA506" s="88"/>
      <c r="AB506" s="88"/>
    </row>
    <row r="507" spans="1:28">
      <c r="A507" s="38">
        <v>506</v>
      </c>
      <c r="B507" s="51"/>
      <c r="C507" s="40"/>
      <c r="D507" s="38"/>
      <c r="E507" s="38" t="s">
        <v>2053</v>
      </c>
      <c r="F507" s="43" t="s">
        <v>2054</v>
      </c>
      <c r="G507" s="44"/>
      <c r="H507" s="45"/>
      <c r="I507" s="38"/>
      <c r="J507" s="38">
        <f>4.3*1000</f>
        <v>4300</v>
      </c>
      <c r="K507" s="46">
        <v>2.4340277777777777E-2</v>
      </c>
      <c r="L507" s="47" t="s">
        <v>1283</v>
      </c>
      <c r="M507" s="48"/>
      <c r="N507" s="48"/>
      <c r="O507" s="48">
        <f t="shared" si="0"/>
        <v>0</v>
      </c>
      <c r="P507" s="38"/>
      <c r="Q507" s="14" t="str">
        <f t="shared" ca="1" si="1"/>
        <v/>
      </c>
      <c r="R507" s="51"/>
      <c r="S507" s="51"/>
      <c r="T507" s="51"/>
      <c r="U507" s="40"/>
      <c r="V507" s="54"/>
      <c r="W507" s="55"/>
      <c r="X507" s="56"/>
      <c r="Y507" s="88"/>
      <c r="Z507" s="88"/>
      <c r="AA507" s="88"/>
      <c r="AB507" s="88"/>
    </row>
    <row r="508" spans="1:28">
      <c r="A508" s="38">
        <v>507</v>
      </c>
      <c r="B508" s="51"/>
      <c r="C508" s="40"/>
      <c r="D508" s="38"/>
      <c r="E508" s="38" t="s">
        <v>2057</v>
      </c>
      <c r="F508" s="43" t="s">
        <v>2058</v>
      </c>
      <c r="G508" s="44"/>
      <c r="H508" s="45"/>
      <c r="I508" s="38"/>
      <c r="J508" s="38">
        <f>2.6*1000</f>
        <v>2600</v>
      </c>
      <c r="K508" s="46">
        <v>1.3182870370370371E-2</v>
      </c>
      <c r="L508" s="47" t="s">
        <v>1283</v>
      </c>
      <c r="M508" s="48"/>
      <c r="N508" s="48"/>
      <c r="O508" s="48">
        <f t="shared" si="0"/>
        <v>0</v>
      </c>
      <c r="P508" s="38"/>
      <c r="Q508" s="14" t="str">
        <f t="shared" ca="1" si="1"/>
        <v/>
      </c>
      <c r="R508" s="51"/>
      <c r="S508" s="51"/>
      <c r="T508" s="51"/>
      <c r="U508" s="40"/>
      <c r="V508" s="54"/>
      <c r="W508" s="55"/>
      <c r="X508" s="56"/>
      <c r="Y508" s="88"/>
      <c r="Z508" s="88"/>
      <c r="AA508" s="88"/>
      <c r="AB508" s="88"/>
    </row>
    <row r="509" spans="1:28">
      <c r="A509" s="38">
        <v>508</v>
      </c>
      <c r="B509" s="51"/>
      <c r="C509" s="40"/>
      <c r="D509" s="38"/>
      <c r="E509" s="38" t="s">
        <v>2064</v>
      </c>
      <c r="F509" s="43" t="s">
        <v>2065</v>
      </c>
      <c r="G509" s="44"/>
      <c r="H509" s="45"/>
      <c r="I509" s="38"/>
      <c r="J509" s="38">
        <f>473</f>
        <v>473</v>
      </c>
      <c r="K509" s="46">
        <v>6.5277777777777782E-3</v>
      </c>
      <c r="L509" s="47" t="s">
        <v>1283</v>
      </c>
      <c r="M509" s="48"/>
      <c r="N509" s="48"/>
      <c r="O509" s="48">
        <f t="shared" si="0"/>
        <v>0</v>
      </c>
      <c r="P509" s="38"/>
      <c r="Q509" s="14" t="str">
        <f t="shared" ca="1" si="1"/>
        <v/>
      </c>
      <c r="R509" s="51"/>
      <c r="S509" s="51"/>
      <c r="T509" s="51"/>
      <c r="U509" s="40"/>
      <c r="V509" s="54"/>
      <c r="W509" s="55"/>
      <c r="X509" s="56"/>
      <c r="Y509" s="88"/>
      <c r="Z509" s="88"/>
      <c r="AA509" s="88"/>
      <c r="AB509" s="88"/>
    </row>
    <row r="510" spans="1:28">
      <c r="A510" s="38">
        <v>509</v>
      </c>
      <c r="B510" s="51"/>
      <c r="C510" s="40"/>
      <c r="D510" s="38"/>
      <c r="E510" s="38" t="s">
        <v>2072</v>
      </c>
      <c r="F510" s="43" t="s">
        <v>2073</v>
      </c>
      <c r="G510" s="44"/>
      <c r="H510" s="45"/>
      <c r="I510" s="38"/>
      <c r="J510" s="38">
        <f>974</f>
        <v>974</v>
      </c>
      <c r="K510" s="46">
        <v>2.673611111111111E-3</v>
      </c>
      <c r="L510" s="47" t="s">
        <v>1283</v>
      </c>
      <c r="M510" s="48"/>
      <c r="N510" s="48"/>
      <c r="O510" s="48">
        <f t="shared" si="0"/>
        <v>0</v>
      </c>
      <c r="P510" s="38"/>
      <c r="Q510" s="14" t="str">
        <f t="shared" ca="1" si="1"/>
        <v/>
      </c>
      <c r="R510" s="51"/>
      <c r="S510" s="51"/>
      <c r="T510" s="51"/>
      <c r="U510" s="40"/>
      <c r="V510" s="54"/>
      <c r="W510" s="55"/>
      <c r="X510" s="56"/>
      <c r="Y510" s="88"/>
      <c r="Z510" s="88"/>
      <c r="AA510" s="88"/>
      <c r="AB510" s="88"/>
    </row>
    <row r="511" spans="1:28">
      <c r="A511" s="38">
        <v>510</v>
      </c>
      <c r="B511" s="51"/>
      <c r="C511" s="40"/>
      <c r="D511" s="38"/>
      <c r="E511" s="38" t="s">
        <v>2079</v>
      </c>
      <c r="F511" s="43" t="s">
        <v>2081</v>
      </c>
      <c r="G511" s="44"/>
      <c r="H511" s="45"/>
      <c r="I511" s="38"/>
      <c r="J511" s="38">
        <f>437</f>
        <v>437</v>
      </c>
      <c r="K511" s="46">
        <v>1.3194444444444443E-3</v>
      </c>
      <c r="L511" s="47" t="s">
        <v>1283</v>
      </c>
      <c r="M511" s="48"/>
      <c r="N511" s="48"/>
      <c r="O511" s="48">
        <f t="shared" si="0"/>
        <v>0</v>
      </c>
      <c r="P511" s="38"/>
      <c r="Q511" s="14" t="str">
        <f t="shared" ca="1" si="1"/>
        <v/>
      </c>
      <c r="R511" s="51"/>
      <c r="S511" s="51"/>
      <c r="T511" s="51"/>
      <c r="U511" s="40"/>
      <c r="V511" s="54"/>
      <c r="W511" s="55"/>
      <c r="X511" s="56"/>
      <c r="Y511" s="88"/>
      <c r="Z511" s="88"/>
      <c r="AA511" s="88"/>
      <c r="AB511" s="88"/>
    </row>
    <row r="512" spans="1:28">
      <c r="A512" s="38">
        <v>511</v>
      </c>
      <c r="B512" s="51"/>
      <c r="C512" s="40"/>
      <c r="D512" s="38"/>
      <c r="E512" s="38" t="s">
        <v>2091</v>
      </c>
      <c r="F512" s="43" t="s">
        <v>2092</v>
      </c>
      <c r="G512" s="44"/>
      <c r="H512" s="45"/>
      <c r="I512" s="38"/>
      <c r="J512" s="38">
        <f>274</f>
        <v>274</v>
      </c>
      <c r="K512" s="46">
        <v>1.4351851851851854E-3</v>
      </c>
      <c r="L512" s="47" t="s">
        <v>1283</v>
      </c>
      <c r="M512" s="48"/>
      <c r="N512" s="48"/>
      <c r="O512" s="48">
        <f t="shared" si="0"/>
        <v>0</v>
      </c>
      <c r="P512" s="38"/>
      <c r="Q512" s="14" t="str">
        <f t="shared" ca="1" si="1"/>
        <v/>
      </c>
      <c r="R512" s="51"/>
      <c r="S512" s="51"/>
      <c r="T512" s="51"/>
      <c r="U512" s="40"/>
      <c r="V512" s="54"/>
      <c r="W512" s="55"/>
      <c r="X512" s="56"/>
      <c r="Y512" s="88"/>
      <c r="Z512" s="88"/>
      <c r="AA512" s="88"/>
      <c r="AB512" s="88"/>
    </row>
    <row r="513" spans="1:28">
      <c r="A513" s="38">
        <v>512</v>
      </c>
      <c r="B513" s="51"/>
      <c r="C513" s="40"/>
      <c r="D513" s="38"/>
      <c r="E513" s="38" t="s">
        <v>2095</v>
      </c>
      <c r="F513" s="43" t="s">
        <v>2096</v>
      </c>
      <c r="G513" s="44"/>
      <c r="H513" s="45"/>
      <c r="I513" s="38"/>
      <c r="J513" s="38">
        <f>4.2*1000</f>
        <v>4200</v>
      </c>
      <c r="K513" s="46">
        <v>1.3888888888888889E-3</v>
      </c>
      <c r="L513" s="47" t="s">
        <v>1283</v>
      </c>
      <c r="M513" s="48"/>
      <c r="N513" s="48"/>
      <c r="O513" s="48">
        <f t="shared" si="0"/>
        <v>0</v>
      </c>
      <c r="P513" s="38"/>
      <c r="Q513" s="14" t="str">
        <f t="shared" ca="1" si="1"/>
        <v/>
      </c>
      <c r="R513" s="51"/>
      <c r="S513" s="51"/>
      <c r="T513" s="51"/>
      <c r="U513" s="40"/>
      <c r="V513" s="54"/>
      <c r="W513" s="55"/>
      <c r="X513" s="56"/>
      <c r="Y513" s="88"/>
      <c r="Z513" s="88"/>
      <c r="AA513" s="88"/>
      <c r="AB513" s="88"/>
    </row>
    <row r="514" spans="1:28">
      <c r="A514" s="38">
        <v>513</v>
      </c>
      <c r="B514" s="51"/>
      <c r="C514" s="40"/>
      <c r="D514" s="38"/>
      <c r="E514" s="38" t="s">
        <v>2101</v>
      </c>
      <c r="F514" s="43" t="s">
        <v>2102</v>
      </c>
      <c r="G514" s="44"/>
      <c r="H514" s="45"/>
      <c r="I514" s="38"/>
      <c r="J514" s="38">
        <f>366</f>
        <v>366</v>
      </c>
      <c r="K514" s="46">
        <v>2.1874999999999998E-3</v>
      </c>
      <c r="L514" s="47" t="s">
        <v>1283</v>
      </c>
      <c r="M514" s="48"/>
      <c r="N514" s="48"/>
      <c r="O514" s="48">
        <f t="shared" si="0"/>
        <v>0</v>
      </c>
      <c r="P514" s="38"/>
      <c r="Q514" s="14" t="str">
        <f t="shared" ca="1" si="1"/>
        <v/>
      </c>
      <c r="R514" s="51"/>
      <c r="S514" s="51"/>
      <c r="T514" s="51"/>
      <c r="U514" s="40"/>
      <c r="V514" s="54"/>
      <c r="W514" s="55"/>
      <c r="X514" s="56"/>
      <c r="Y514" s="88"/>
      <c r="Z514" s="88"/>
      <c r="AA514" s="88"/>
      <c r="AB514" s="88"/>
    </row>
    <row r="515" spans="1:28">
      <c r="A515" s="38">
        <v>514</v>
      </c>
      <c r="B515" s="51"/>
      <c r="C515" s="40"/>
      <c r="D515" s="38"/>
      <c r="E515" s="38" t="s">
        <v>2107</v>
      </c>
      <c r="F515" s="43" t="s">
        <v>2108</v>
      </c>
      <c r="G515" s="44"/>
      <c r="H515" s="45"/>
      <c r="I515" s="38"/>
      <c r="J515" s="38">
        <f>277</f>
        <v>277</v>
      </c>
      <c r="K515" s="46">
        <v>2.4189814814814816E-3</v>
      </c>
      <c r="L515" s="47" t="s">
        <v>1283</v>
      </c>
      <c r="M515" s="48"/>
      <c r="N515" s="48"/>
      <c r="O515" s="48">
        <f t="shared" si="0"/>
        <v>0</v>
      </c>
      <c r="P515" s="38"/>
      <c r="Q515" s="14" t="str">
        <f t="shared" ca="1" si="1"/>
        <v/>
      </c>
      <c r="R515" s="51"/>
      <c r="S515" s="51"/>
      <c r="T515" s="51"/>
      <c r="U515" s="40"/>
      <c r="V515" s="54"/>
      <c r="W515" s="55"/>
      <c r="X515" s="56"/>
      <c r="Y515" s="88"/>
      <c r="Z515" s="88"/>
      <c r="AA515" s="88"/>
      <c r="AB515" s="88"/>
    </row>
    <row r="516" spans="1:28">
      <c r="A516" s="38">
        <v>515</v>
      </c>
      <c r="B516" s="51"/>
      <c r="C516" s="40"/>
      <c r="D516" s="38"/>
      <c r="E516" s="38" t="s">
        <v>2113</v>
      </c>
      <c r="F516" s="43" t="s">
        <v>2114</v>
      </c>
      <c r="G516" s="44"/>
      <c r="H516" s="45"/>
      <c r="I516" s="38"/>
      <c r="J516" s="38">
        <f>667</f>
        <v>667</v>
      </c>
      <c r="K516" s="46">
        <v>1.5277777777777779E-3</v>
      </c>
      <c r="L516" s="47" t="s">
        <v>1283</v>
      </c>
      <c r="M516" s="48"/>
      <c r="N516" s="48"/>
      <c r="O516" s="48">
        <f t="shared" si="0"/>
        <v>0</v>
      </c>
      <c r="P516" s="38"/>
      <c r="Q516" s="14" t="str">
        <f t="shared" ca="1" si="1"/>
        <v/>
      </c>
      <c r="R516" s="51"/>
      <c r="S516" s="51"/>
      <c r="T516" s="51"/>
      <c r="U516" s="40"/>
      <c r="V516" s="54"/>
      <c r="W516" s="55"/>
      <c r="X516" s="56"/>
      <c r="Y516" s="88"/>
      <c r="Z516" s="88"/>
      <c r="AA516" s="88"/>
      <c r="AB516" s="88"/>
    </row>
    <row r="517" spans="1:28">
      <c r="A517" s="38">
        <v>516</v>
      </c>
      <c r="B517" s="51"/>
      <c r="C517" s="40"/>
      <c r="D517" s="38"/>
      <c r="E517" s="38" t="s">
        <v>2123</v>
      </c>
      <c r="F517" s="43" t="s">
        <v>2125</v>
      </c>
      <c r="G517" s="44"/>
      <c r="H517" s="45"/>
      <c r="I517" s="38"/>
      <c r="J517" s="38">
        <f>434</f>
        <v>434</v>
      </c>
      <c r="K517" s="46">
        <v>1.3425925925925925E-3</v>
      </c>
      <c r="L517" s="47" t="s">
        <v>1283</v>
      </c>
      <c r="M517" s="48"/>
      <c r="N517" s="48"/>
      <c r="O517" s="48">
        <f t="shared" si="0"/>
        <v>0</v>
      </c>
      <c r="P517" s="38"/>
      <c r="Q517" s="14" t="str">
        <f t="shared" ca="1" si="1"/>
        <v/>
      </c>
      <c r="R517" s="51"/>
      <c r="S517" s="51"/>
      <c r="T517" s="51"/>
      <c r="U517" s="40"/>
      <c r="V517" s="54"/>
      <c r="W517" s="55"/>
      <c r="X517" s="56"/>
      <c r="Y517" s="88"/>
      <c r="Z517" s="88"/>
      <c r="AA517" s="88"/>
      <c r="AB517" s="88"/>
    </row>
    <row r="518" spans="1:28">
      <c r="A518" s="38">
        <v>517</v>
      </c>
      <c r="B518" s="51"/>
      <c r="C518" s="40"/>
      <c r="D518" s="38"/>
      <c r="E518" s="38" t="s">
        <v>2133</v>
      </c>
      <c r="F518" s="43" t="s">
        <v>2134</v>
      </c>
      <c r="G518" s="44"/>
      <c r="H518" s="45"/>
      <c r="I518" s="38"/>
      <c r="J518" s="38">
        <f>556</f>
        <v>556</v>
      </c>
      <c r="K518" s="46">
        <v>2.0370370370370373E-3</v>
      </c>
      <c r="L518" s="47" t="s">
        <v>1283</v>
      </c>
      <c r="M518" s="48"/>
      <c r="N518" s="48"/>
      <c r="O518" s="48">
        <f t="shared" si="0"/>
        <v>0</v>
      </c>
      <c r="P518" s="38"/>
      <c r="Q518" s="14" t="str">
        <f t="shared" ca="1" si="1"/>
        <v/>
      </c>
      <c r="R518" s="51"/>
      <c r="S518" s="51"/>
      <c r="T518" s="51"/>
      <c r="U518" s="40"/>
      <c r="V518" s="54"/>
      <c r="W518" s="55"/>
      <c r="X518" s="56"/>
      <c r="Y518" s="88"/>
      <c r="Z518" s="88"/>
      <c r="AA518" s="88"/>
      <c r="AB518" s="88"/>
    </row>
    <row r="519" spans="1:28">
      <c r="A519" s="38">
        <v>518</v>
      </c>
      <c r="B519" s="51"/>
      <c r="C519" s="40"/>
      <c r="D519" s="38"/>
      <c r="E519" s="38" t="s">
        <v>2138</v>
      </c>
      <c r="F519" s="43" t="s">
        <v>2139</v>
      </c>
      <c r="G519" s="44"/>
      <c r="H519" s="45"/>
      <c r="I519" s="38"/>
      <c r="J519" s="38">
        <f>449</f>
        <v>449</v>
      </c>
      <c r="K519" s="46">
        <v>3.5648148148148154E-3</v>
      </c>
      <c r="L519" s="47" t="s">
        <v>1283</v>
      </c>
      <c r="M519" s="48"/>
      <c r="N519" s="48"/>
      <c r="O519" s="48">
        <f t="shared" si="0"/>
        <v>0</v>
      </c>
      <c r="P519" s="38"/>
      <c r="Q519" s="14" t="str">
        <f t="shared" ca="1" si="1"/>
        <v/>
      </c>
      <c r="R519" s="51"/>
      <c r="S519" s="51"/>
      <c r="T519" s="51"/>
      <c r="U519" s="40"/>
      <c r="V519" s="54"/>
      <c r="W519" s="55"/>
      <c r="X519" s="56"/>
      <c r="Y519" s="88"/>
      <c r="Z519" s="88"/>
      <c r="AA519" s="88"/>
      <c r="AB519" s="88"/>
    </row>
    <row r="520" spans="1:28">
      <c r="A520" s="38">
        <v>519</v>
      </c>
      <c r="B520" s="51"/>
      <c r="C520" s="40"/>
      <c r="D520" s="38"/>
      <c r="E520" s="38" t="s">
        <v>2142</v>
      </c>
      <c r="F520" s="43" t="s">
        <v>2143</v>
      </c>
      <c r="G520" s="44"/>
      <c r="H520" s="45"/>
      <c r="I520" s="38"/>
      <c r="J520" s="38">
        <f>813</f>
        <v>813</v>
      </c>
      <c r="K520" s="46">
        <v>3.1365740740740742E-3</v>
      </c>
      <c r="L520" s="47" t="s">
        <v>1283</v>
      </c>
      <c r="M520" s="48"/>
      <c r="N520" s="48"/>
      <c r="O520" s="48">
        <f t="shared" si="0"/>
        <v>0</v>
      </c>
      <c r="P520" s="38"/>
      <c r="Q520" s="14" t="str">
        <f t="shared" ca="1" si="1"/>
        <v/>
      </c>
      <c r="R520" s="51"/>
      <c r="S520" s="51"/>
      <c r="T520" s="51"/>
      <c r="U520" s="40"/>
      <c r="V520" s="54"/>
      <c r="W520" s="55"/>
      <c r="X520" s="56"/>
      <c r="Y520" s="88"/>
      <c r="Z520" s="88"/>
      <c r="AA520" s="88"/>
      <c r="AB520" s="88"/>
    </row>
    <row r="521" spans="1:28">
      <c r="A521" s="38">
        <v>520</v>
      </c>
      <c r="B521" s="51"/>
      <c r="C521" s="40"/>
      <c r="D521" s="38"/>
      <c r="E521" s="38" t="s">
        <v>2149</v>
      </c>
      <c r="F521" s="43" t="s">
        <v>2150</v>
      </c>
      <c r="G521" s="44"/>
      <c r="H521" s="45"/>
      <c r="I521" s="38"/>
      <c r="J521" s="38">
        <f>1.4*1000</f>
        <v>1400</v>
      </c>
      <c r="K521" s="46">
        <v>3.4606481481481485E-3</v>
      </c>
      <c r="L521" s="47" t="s">
        <v>1283</v>
      </c>
      <c r="M521" s="48"/>
      <c r="N521" s="48"/>
      <c r="O521" s="48">
        <f t="shared" si="0"/>
        <v>0</v>
      </c>
      <c r="P521" s="38"/>
      <c r="Q521" s="14" t="str">
        <f t="shared" ca="1" si="1"/>
        <v/>
      </c>
      <c r="R521" s="51"/>
      <c r="S521" s="51"/>
      <c r="T521" s="51"/>
      <c r="U521" s="40"/>
      <c r="V521" s="54"/>
      <c r="W521" s="55"/>
      <c r="X521" s="56"/>
      <c r="Y521" s="88"/>
      <c r="Z521" s="88"/>
      <c r="AA521" s="88"/>
      <c r="AB521" s="88"/>
    </row>
    <row r="522" spans="1:28">
      <c r="A522" s="38">
        <v>521</v>
      </c>
      <c r="B522" s="51"/>
      <c r="C522" s="40"/>
      <c r="D522" s="38"/>
      <c r="E522" s="38" t="s">
        <v>2153</v>
      </c>
      <c r="F522" s="43" t="s">
        <v>2154</v>
      </c>
      <c r="G522" s="44"/>
      <c r="H522" s="45"/>
      <c r="I522" s="38"/>
      <c r="J522" s="38">
        <f>343</f>
        <v>343</v>
      </c>
      <c r="K522" s="46">
        <v>7.175925925925927E-4</v>
      </c>
      <c r="L522" s="47" t="s">
        <v>1283</v>
      </c>
      <c r="M522" s="48"/>
      <c r="N522" s="48"/>
      <c r="O522" s="48">
        <f t="shared" si="0"/>
        <v>0</v>
      </c>
      <c r="P522" s="38"/>
      <c r="Q522" s="14" t="str">
        <f t="shared" ca="1" si="1"/>
        <v/>
      </c>
      <c r="R522" s="51"/>
      <c r="S522" s="51"/>
      <c r="T522" s="51"/>
      <c r="U522" s="40"/>
      <c r="V522" s="54"/>
      <c r="W522" s="55"/>
      <c r="X522" s="56"/>
      <c r="Y522" s="88"/>
      <c r="Z522" s="88"/>
      <c r="AA522" s="88"/>
      <c r="AB522" s="88"/>
    </row>
    <row r="523" spans="1:28">
      <c r="A523" s="38">
        <v>522</v>
      </c>
      <c r="B523" s="51"/>
      <c r="C523" s="40"/>
      <c r="D523" s="38"/>
      <c r="E523" s="38" t="s">
        <v>2160</v>
      </c>
      <c r="F523" s="43" t="s">
        <v>2161</v>
      </c>
      <c r="G523" s="44"/>
      <c r="H523" s="45"/>
      <c r="I523" s="38"/>
      <c r="J523" s="38">
        <f>736</f>
        <v>736</v>
      </c>
      <c r="K523" s="46">
        <v>2.4189814814814816E-3</v>
      </c>
      <c r="L523" s="47" t="s">
        <v>1283</v>
      </c>
      <c r="M523" s="48"/>
      <c r="N523" s="48"/>
      <c r="O523" s="48">
        <f t="shared" si="0"/>
        <v>0</v>
      </c>
      <c r="P523" s="38"/>
      <c r="Q523" s="14" t="str">
        <f t="shared" ca="1" si="1"/>
        <v/>
      </c>
      <c r="R523" s="51"/>
      <c r="S523" s="51"/>
      <c r="T523" s="51"/>
      <c r="U523" s="40"/>
      <c r="V523" s="54"/>
      <c r="W523" s="55"/>
      <c r="X523" s="56"/>
      <c r="Y523" s="88"/>
      <c r="Z523" s="88"/>
      <c r="AA523" s="88"/>
      <c r="AB523" s="88"/>
    </row>
    <row r="524" spans="1:28">
      <c r="A524" s="38">
        <v>523</v>
      </c>
      <c r="B524" s="51"/>
      <c r="C524" s="40"/>
      <c r="D524" s="38"/>
      <c r="E524" s="38" t="s">
        <v>2165</v>
      </c>
      <c r="F524" s="43" t="s">
        <v>2166</v>
      </c>
      <c r="G524" s="44"/>
      <c r="H524" s="45"/>
      <c r="I524" s="38"/>
      <c r="J524" s="38">
        <f>2.3*1000</f>
        <v>2300</v>
      </c>
      <c r="K524" s="46">
        <v>2.4189814814814816E-3</v>
      </c>
      <c r="L524" s="47" t="s">
        <v>1283</v>
      </c>
      <c r="M524" s="48"/>
      <c r="N524" s="48"/>
      <c r="O524" s="48">
        <f t="shared" si="0"/>
        <v>0</v>
      </c>
      <c r="P524" s="38"/>
      <c r="Q524" s="14" t="str">
        <f t="shared" ca="1" si="1"/>
        <v/>
      </c>
      <c r="R524" s="51"/>
      <c r="S524" s="51"/>
      <c r="T524" s="51"/>
      <c r="U524" s="40"/>
      <c r="V524" s="54"/>
      <c r="W524" s="55"/>
      <c r="X524" s="56"/>
      <c r="Y524" s="88"/>
      <c r="Z524" s="88"/>
      <c r="AA524" s="88"/>
      <c r="AB524" s="88"/>
    </row>
    <row r="525" spans="1:28">
      <c r="A525" s="38">
        <v>524</v>
      </c>
      <c r="B525" s="51"/>
      <c r="C525" s="40"/>
      <c r="D525" s="38"/>
      <c r="E525" s="38" t="s">
        <v>2169</v>
      </c>
      <c r="F525" s="43" t="s">
        <v>2170</v>
      </c>
      <c r="G525" s="44"/>
      <c r="H525" s="45"/>
      <c r="I525" s="38"/>
      <c r="J525" s="38">
        <f>4.8*1000</f>
        <v>4800</v>
      </c>
      <c r="K525" s="46">
        <v>3.1805555555555552E-2</v>
      </c>
      <c r="L525" s="47" t="s">
        <v>1283</v>
      </c>
      <c r="M525" s="48"/>
      <c r="N525" s="48"/>
      <c r="O525" s="48">
        <f t="shared" si="0"/>
        <v>0</v>
      </c>
      <c r="P525" s="38"/>
      <c r="Q525" s="14" t="str">
        <f t="shared" ca="1" si="1"/>
        <v/>
      </c>
      <c r="R525" s="51"/>
      <c r="S525" s="51"/>
      <c r="T525" s="51"/>
      <c r="U525" s="40"/>
      <c r="V525" s="54"/>
      <c r="W525" s="55"/>
      <c r="X525" s="56"/>
      <c r="Y525" s="88"/>
      <c r="Z525" s="88"/>
      <c r="AA525" s="88"/>
      <c r="AB525" s="88"/>
    </row>
    <row r="526" spans="1:28">
      <c r="A526" s="38">
        <v>525</v>
      </c>
      <c r="B526" s="51"/>
      <c r="C526" s="40"/>
      <c r="D526" s="38"/>
      <c r="E526" s="38" t="s">
        <v>2173</v>
      </c>
      <c r="F526" s="43" t="s">
        <v>2174</v>
      </c>
      <c r="G526" s="44"/>
      <c r="H526" s="45"/>
      <c r="I526" s="38"/>
      <c r="J526" s="38">
        <f>2*1000</f>
        <v>2000</v>
      </c>
      <c r="K526" s="46">
        <v>1.9733796296296298E-2</v>
      </c>
      <c r="L526" s="47" t="s">
        <v>1283</v>
      </c>
      <c r="M526" s="48"/>
      <c r="N526" s="48"/>
      <c r="O526" s="48">
        <f t="shared" si="0"/>
        <v>0</v>
      </c>
      <c r="P526" s="38"/>
      <c r="Q526" s="14" t="str">
        <f t="shared" ca="1" si="1"/>
        <v/>
      </c>
      <c r="R526" s="51"/>
      <c r="S526" s="51"/>
      <c r="T526" s="51"/>
      <c r="U526" s="40"/>
      <c r="V526" s="54"/>
      <c r="W526" s="55"/>
      <c r="X526" s="56"/>
      <c r="Y526" s="88"/>
      <c r="Z526" s="88"/>
      <c r="AA526" s="88"/>
      <c r="AB526" s="88"/>
    </row>
    <row r="527" spans="1:28">
      <c r="A527" s="38">
        <v>526</v>
      </c>
      <c r="B527" s="51"/>
      <c r="C527" s="40"/>
      <c r="D527" s="38"/>
      <c r="E527" s="38" t="s">
        <v>2177</v>
      </c>
      <c r="F527" s="43" t="s">
        <v>2178</v>
      </c>
      <c r="G527" s="44"/>
      <c r="H527" s="45"/>
      <c r="I527" s="38"/>
      <c r="J527" s="38">
        <f>1.9*1000</f>
        <v>1900</v>
      </c>
      <c r="K527" s="46">
        <v>5.162037037037037E-3</v>
      </c>
      <c r="L527" s="47" t="s">
        <v>1283</v>
      </c>
      <c r="M527" s="48"/>
      <c r="N527" s="48"/>
      <c r="O527" s="48">
        <f t="shared" si="0"/>
        <v>0</v>
      </c>
      <c r="P527" s="38"/>
      <c r="Q527" s="14" t="str">
        <f t="shared" ca="1" si="1"/>
        <v/>
      </c>
      <c r="R527" s="51"/>
      <c r="S527" s="51"/>
      <c r="T527" s="51"/>
      <c r="U527" s="40"/>
      <c r="V527" s="54"/>
      <c r="W527" s="55"/>
      <c r="X527" s="56"/>
      <c r="Y527" s="88"/>
      <c r="Z527" s="88"/>
      <c r="AA527" s="88"/>
      <c r="AB527" s="88"/>
    </row>
    <row r="528" spans="1:28">
      <c r="A528" s="38">
        <v>527</v>
      </c>
      <c r="B528" s="51"/>
      <c r="C528" s="40"/>
      <c r="D528" s="38"/>
      <c r="E528" s="38" t="s">
        <v>2182</v>
      </c>
      <c r="F528" s="43" t="s">
        <v>2183</v>
      </c>
      <c r="G528" s="44"/>
      <c r="H528" s="45"/>
      <c r="I528" s="38"/>
      <c r="J528" s="38">
        <f>1.4*1000</f>
        <v>1400</v>
      </c>
      <c r="K528" s="46">
        <v>1.7071759259259259E-2</v>
      </c>
      <c r="L528" s="47" t="s">
        <v>1283</v>
      </c>
      <c r="M528" s="48"/>
      <c r="N528" s="48"/>
      <c r="O528" s="48">
        <f t="shared" si="0"/>
        <v>0</v>
      </c>
      <c r="P528" s="38"/>
      <c r="Q528" s="14" t="str">
        <f t="shared" ca="1" si="1"/>
        <v/>
      </c>
      <c r="R528" s="51"/>
      <c r="S528" s="51"/>
      <c r="T528" s="51"/>
      <c r="U528" s="40"/>
      <c r="V528" s="54"/>
      <c r="W528" s="55"/>
      <c r="X528" s="56"/>
      <c r="Y528" s="88"/>
      <c r="Z528" s="88"/>
      <c r="AA528" s="88"/>
      <c r="AB528" s="88"/>
    </row>
    <row r="529" spans="1:28">
      <c r="A529" s="38">
        <v>528</v>
      </c>
      <c r="B529" s="51"/>
      <c r="C529" s="40"/>
      <c r="D529" s="38"/>
      <c r="E529" s="38" t="s">
        <v>2187</v>
      </c>
      <c r="F529" s="43" t="s">
        <v>2188</v>
      </c>
      <c r="G529" s="44"/>
      <c r="H529" s="45"/>
      <c r="I529" s="38"/>
      <c r="J529" s="38">
        <f>1*1000</f>
        <v>1000</v>
      </c>
      <c r="K529" s="46">
        <v>1.5960648148148151E-2</v>
      </c>
      <c r="L529" s="47" t="s">
        <v>1283</v>
      </c>
      <c r="M529" s="48"/>
      <c r="N529" s="48"/>
      <c r="O529" s="48">
        <f t="shared" si="0"/>
        <v>0</v>
      </c>
      <c r="P529" s="38"/>
      <c r="Q529" s="14" t="str">
        <f t="shared" ca="1" si="1"/>
        <v/>
      </c>
      <c r="R529" s="51"/>
      <c r="S529" s="51"/>
      <c r="T529" s="51"/>
      <c r="U529" s="40"/>
      <c r="V529" s="54"/>
      <c r="W529" s="55"/>
      <c r="X529" s="56"/>
      <c r="Y529" s="88"/>
      <c r="Z529" s="88"/>
      <c r="AA529" s="88"/>
      <c r="AB529" s="88"/>
    </row>
    <row r="530" spans="1:28">
      <c r="A530" s="38">
        <v>529</v>
      </c>
      <c r="B530" s="51"/>
      <c r="C530" s="40"/>
      <c r="D530" s="38"/>
      <c r="E530" s="38" t="s">
        <v>2191</v>
      </c>
      <c r="F530" s="43" t="s">
        <v>2192</v>
      </c>
      <c r="G530" s="44"/>
      <c r="H530" s="45"/>
      <c r="I530" s="38"/>
      <c r="J530" s="38">
        <f>4.9*1000</f>
        <v>4900</v>
      </c>
      <c r="K530" s="46">
        <v>1.8032407407407407E-2</v>
      </c>
      <c r="L530" s="47" t="s">
        <v>1283</v>
      </c>
      <c r="M530" s="48"/>
      <c r="N530" s="48"/>
      <c r="O530" s="48">
        <f t="shared" si="0"/>
        <v>0</v>
      </c>
      <c r="P530" s="38"/>
      <c r="Q530" s="14" t="str">
        <f t="shared" ca="1" si="1"/>
        <v/>
      </c>
      <c r="R530" s="51"/>
      <c r="S530" s="51"/>
      <c r="T530" s="51"/>
      <c r="U530" s="40"/>
      <c r="V530" s="54"/>
      <c r="W530" s="55"/>
      <c r="X530" s="56"/>
      <c r="Y530" s="88"/>
      <c r="Z530" s="88"/>
      <c r="AA530" s="88"/>
      <c r="AB530" s="88"/>
    </row>
    <row r="531" spans="1:28">
      <c r="A531" s="38">
        <v>530</v>
      </c>
      <c r="B531" s="51"/>
      <c r="C531" s="40"/>
      <c r="D531" s="38"/>
      <c r="E531" s="38" t="s">
        <v>2196</v>
      </c>
      <c r="F531" s="43" t="s">
        <v>2197</v>
      </c>
      <c r="G531" s="44"/>
      <c r="H531" s="45"/>
      <c r="I531" s="38"/>
      <c r="J531" s="38">
        <f>5.2*1000</f>
        <v>5200</v>
      </c>
      <c r="K531" s="46">
        <v>1.8055555555555557E-2</v>
      </c>
      <c r="L531" s="47" t="s">
        <v>1283</v>
      </c>
      <c r="M531" s="48"/>
      <c r="N531" s="48"/>
      <c r="O531" s="48">
        <f t="shared" si="0"/>
        <v>0</v>
      </c>
      <c r="P531" s="38"/>
      <c r="Q531" s="14" t="str">
        <f t="shared" ca="1" si="1"/>
        <v/>
      </c>
      <c r="R531" s="51"/>
      <c r="S531" s="51"/>
      <c r="T531" s="51"/>
      <c r="U531" s="40"/>
      <c r="V531" s="54"/>
      <c r="W531" s="55"/>
      <c r="X531" s="56"/>
      <c r="Y531" s="88"/>
      <c r="Z531" s="88"/>
      <c r="AA531" s="88"/>
      <c r="AB531" s="88"/>
    </row>
    <row r="532" spans="1:28">
      <c r="A532" s="38">
        <v>531</v>
      </c>
      <c r="B532" s="51"/>
      <c r="C532" s="40"/>
      <c r="D532" s="38"/>
      <c r="E532" s="38" t="s">
        <v>2200</v>
      </c>
      <c r="F532" s="43" t="s">
        <v>2201</v>
      </c>
      <c r="G532" s="44"/>
      <c r="H532" s="45"/>
      <c r="I532" s="38"/>
      <c r="J532" s="38">
        <f>9.2*1000</f>
        <v>9200</v>
      </c>
      <c r="K532" s="46">
        <v>1.8171296296296297E-2</v>
      </c>
      <c r="L532" s="47" t="s">
        <v>1283</v>
      </c>
      <c r="M532" s="48"/>
      <c r="N532" s="48"/>
      <c r="O532" s="48">
        <f t="shared" si="0"/>
        <v>0</v>
      </c>
      <c r="P532" s="38"/>
      <c r="Q532" s="14" t="str">
        <f t="shared" ca="1" si="1"/>
        <v/>
      </c>
      <c r="R532" s="51"/>
      <c r="S532" s="51"/>
      <c r="T532" s="51"/>
      <c r="U532" s="40"/>
      <c r="V532" s="54"/>
      <c r="W532" s="55"/>
      <c r="X532" s="56"/>
      <c r="Y532" s="88"/>
      <c r="Z532" s="88"/>
      <c r="AA532" s="88"/>
      <c r="AB532" s="88"/>
    </row>
    <row r="533" spans="1:28">
      <c r="A533" s="38">
        <v>532</v>
      </c>
      <c r="B533" s="51"/>
      <c r="C533" s="40"/>
      <c r="D533" s="38"/>
      <c r="E533" s="38" t="s">
        <v>2205</v>
      </c>
      <c r="F533" s="43" t="s">
        <v>2206</v>
      </c>
      <c r="G533" s="44"/>
      <c r="H533" s="45"/>
      <c r="I533" s="38"/>
      <c r="J533" s="38">
        <f>25*1000</f>
        <v>25000</v>
      </c>
      <c r="K533" s="46">
        <v>2.0787037037037038E-2</v>
      </c>
      <c r="L533" s="47" t="s">
        <v>1283</v>
      </c>
      <c r="M533" s="48"/>
      <c r="N533" s="48"/>
      <c r="O533" s="48">
        <f t="shared" si="0"/>
        <v>0</v>
      </c>
      <c r="P533" s="38"/>
      <c r="Q533" s="14" t="str">
        <f t="shared" ca="1" si="1"/>
        <v/>
      </c>
      <c r="R533" s="51"/>
      <c r="S533" s="51"/>
      <c r="T533" s="51"/>
      <c r="U533" s="40"/>
      <c r="V533" s="54"/>
      <c r="W533" s="55"/>
      <c r="X533" s="56"/>
      <c r="Y533" s="88"/>
      <c r="Z533" s="88"/>
      <c r="AA533" s="88"/>
      <c r="AB533" s="88"/>
    </row>
    <row r="534" spans="1:28">
      <c r="A534" s="38">
        <v>533</v>
      </c>
      <c r="B534" s="51"/>
      <c r="C534" s="40"/>
      <c r="D534" s="38"/>
      <c r="E534" s="38" t="s">
        <v>2212</v>
      </c>
      <c r="F534" s="43" t="s">
        <v>2213</v>
      </c>
      <c r="G534" s="44"/>
      <c r="H534" s="45"/>
      <c r="I534" s="38"/>
      <c r="J534" s="38">
        <f>7.4*1000</f>
        <v>7400</v>
      </c>
      <c r="K534" s="46">
        <v>2.3032407407407407E-3</v>
      </c>
      <c r="L534" s="47" t="s">
        <v>1283</v>
      </c>
      <c r="M534" s="48"/>
      <c r="N534" s="48"/>
      <c r="O534" s="48">
        <f t="shared" si="0"/>
        <v>0</v>
      </c>
      <c r="P534" s="38"/>
      <c r="Q534" s="14" t="str">
        <f t="shared" ca="1" si="1"/>
        <v/>
      </c>
      <c r="R534" s="51"/>
      <c r="S534" s="51"/>
      <c r="T534" s="51"/>
      <c r="U534" s="40"/>
      <c r="V534" s="54"/>
      <c r="W534" s="55"/>
      <c r="X534" s="56"/>
      <c r="Y534" s="88"/>
      <c r="Z534" s="88"/>
      <c r="AA534" s="88"/>
      <c r="AB534" s="88"/>
    </row>
    <row r="535" spans="1:28">
      <c r="A535" s="38">
        <v>534</v>
      </c>
      <c r="B535" s="51"/>
      <c r="C535" s="40"/>
      <c r="D535" s="38"/>
      <c r="E535" s="38" t="s">
        <v>2218</v>
      </c>
      <c r="F535" s="43" t="s">
        <v>2219</v>
      </c>
      <c r="G535" s="44"/>
      <c r="H535" s="45"/>
      <c r="I535" s="38"/>
      <c r="J535" s="38">
        <f>716</f>
        <v>716</v>
      </c>
      <c r="K535" s="46">
        <v>2.0243055555555552E-2</v>
      </c>
      <c r="L535" s="47" t="s">
        <v>1283</v>
      </c>
      <c r="M535" s="48"/>
      <c r="N535" s="48"/>
      <c r="O535" s="48">
        <f t="shared" si="0"/>
        <v>0</v>
      </c>
      <c r="P535" s="38"/>
      <c r="Q535" s="14" t="str">
        <f t="shared" ca="1" si="1"/>
        <v/>
      </c>
      <c r="R535" s="51"/>
      <c r="S535" s="51"/>
      <c r="T535" s="51"/>
      <c r="U535" s="40"/>
      <c r="V535" s="54"/>
      <c r="W535" s="55"/>
      <c r="X535" s="56"/>
      <c r="Y535" s="88"/>
      <c r="Z535" s="88"/>
      <c r="AA535" s="88"/>
      <c r="AB535" s="88"/>
    </row>
    <row r="536" spans="1:28">
      <c r="A536" s="38">
        <v>535</v>
      </c>
      <c r="B536" s="51"/>
      <c r="C536" s="40"/>
      <c r="D536" s="38"/>
      <c r="E536" s="38" t="s">
        <v>2223</v>
      </c>
      <c r="F536" s="43" t="s">
        <v>2225</v>
      </c>
      <c r="G536" s="44"/>
      <c r="H536" s="45"/>
      <c r="I536" s="38"/>
      <c r="J536" s="38">
        <f>629</f>
        <v>629</v>
      </c>
      <c r="K536" s="46">
        <v>2.0509259259259258E-2</v>
      </c>
      <c r="L536" s="47" t="s">
        <v>1283</v>
      </c>
      <c r="M536" s="48"/>
      <c r="N536" s="48"/>
      <c r="O536" s="48">
        <f t="shared" si="0"/>
        <v>0</v>
      </c>
      <c r="P536" s="38"/>
      <c r="Q536" s="14" t="str">
        <f t="shared" ca="1" si="1"/>
        <v/>
      </c>
      <c r="R536" s="51"/>
      <c r="S536" s="51"/>
      <c r="T536" s="51"/>
      <c r="U536" s="40"/>
      <c r="V536" s="54"/>
      <c r="W536" s="55"/>
      <c r="X536" s="56"/>
      <c r="Y536" s="88"/>
      <c r="Z536" s="88"/>
      <c r="AA536" s="88"/>
      <c r="AB536" s="88"/>
    </row>
    <row r="537" spans="1:28">
      <c r="A537" s="38">
        <v>536</v>
      </c>
      <c r="B537" s="51"/>
      <c r="C537" s="40"/>
      <c r="D537" s="38"/>
      <c r="E537" s="38" t="s">
        <v>2229</v>
      </c>
      <c r="F537" s="43" t="s">
        <v>2230</v>
      </c>
      <c r="G537" s="44"/>
      <c r="H537" s="45"/>
      <c r="I537" s="38"/>
      <c r="J537" s="38">
        <f>858</f>
        <v>858</v>
      </c>
      <c r="K537" s="46">
        <v>2.2939814814814816E-2</v>
      </c>
      <c r="L537" s="47" t="s">
        <v>1283</v>
      </c>
      <c r="M537" s="48"/>
      <c r="N537" s="48"/>
      <c r="O537" s="48">
        <f t="shared" si="0"/>
        <v>0</v>
      </c>
      <c r="P537" s="38"/>
      <c r="Q537" s="14" t="str">
        <f t="shared" ca="1" si="1"/>
        <v/>
      </c>
      <c r="R537" s="51"/>
      <c r="S537" s="51"/>
      <c r="T537" s="51"/>
      <c r="U537" s="40"/>
      <c r="V537" s="54"/>
      <c r="W537" s="55"/>
      <c r="X537" s="56"/>
      <c r="Y537" s="88"/>
      <c r="Z537" s="88"/>
      <c r="AA537" s="88"/>
      <c r="AB537" s="88"/>
    </row>
    <row r="538" spans="1:28">
      <c r="A538" s="38">
        <v>537</v>
      </c>
      <c r="B538" s="51"/>
      <c r="C538" s="40"/>
      <c r="D538" s="38"/>
      <c r="E538" s="38" t="s">
        <v>2234</v>
      </c>
      <c r="F538" s="43" t="s">
        <v>2235</v>
      </c>
      <c r="G538" s="44"/>
      <c r="H538" s="45"/>
      <c r="I538" s="38"/>
      <c r="J538" s="38">
        <f>1*1000</f>
        <v>1000</v>
      </c>
      <c r="K538" s="46">
        <v>2.7986111111111111E-2</v>
      </c>
      <c r="L538" s="47" t="s">
        <v>1283</v>
      </c>
      <c r="M538" s="48"/>
      <c r="N538" s="48"/>
      <c r="O538" s="48">
        <f t="shared" si="0"/>
        <v>0</v>
      </c>
      <c r="P538" s="38"/>
      <c r="Q538" s="14" t="str">
        <f t="shared" ca="1" si="1"/>
        <v/>
      </c>
      <c r="R538" s="51"/>
      <c r="S538" s="51"/>
      <c r="T538" s="51"/>
      <c r="U538" s="40"/>
      <c r="V538" s="54"/>
      <c r="W538" s="55"/>
      <c r="X538" s="56"/>
      <c r="Y538" s="88"/>
      <c r="Z538" s="88"/>
      <c r="AA538" s="88"/>
      <c r="AB538" s="88"/>
    </row>
    <row r="539" spans="1:28">
      <c r="A539" s="38">
        <v>538</v>
      </c>
      <c r="B539" s="51"/>
      <c r="C539" s="40"/>
      <c r="D539" s="38"/>
      <c r="E539" s="38" t="s">
        <v>2239</v>
      </c>
      <c r="F539" s="43" t="s">
        <v>2240</v>
      </c>
      <c r="G539" s="44"/>
      <c r="H539" s="45"/>
      <c r="I539" s="38"/>
      <c r="J539" s="38">
        <f>2.6*1000</f>
        <v>2600</v>
      </c>
      <c r="K539" s="46">
        <v>1.5011574074074075E-2</v>
      </c>
      <c r="L539" s="47" t="s">
        <v>1283</v>
      </c>
      <c r="M539" s="48"/>
      <c r="N539" s="48"/>
      <c r="O539" s="48">
        <f t="shared" si="0"/>
        <v>0</v>
      </c>
      <c r="P539" s="38"/>
      <c r="Q539" s="14" t="str">
        <f t="shared" ca="1" si="1"/>
        <v/>
      </c>
      <c r="R539" s="51"/>
      <c r="S539" s="51"/>
      <c r="T539" s="51"/>
      <c r="U539" s="40"/>
      <c r="V539" s="54"/>
      <c r="W539" s="55"/>
      <c r="X539" s="56"/>
      <c r="Y539" s="88"/>
      <c r="Z539" s="88"/>
      <c r="AA539" s="88"/>
      <c r="AB539" s="88"/>
    </row>
    <row r="540" spans="1:28">
      <c r="A540" s="38">
        <v>539</v>
      </c>
      <c r="B540" s="51"/>
      <c r="C540" s="40"/>
      <c r="D540" s="38"/>
      <c r="E540" s="38" t="s">
        <v>2242</v>
      </c>
      <c r="F540" s="43" t="s">
        <v>2243</v>
      </c>
      <c r="G540" s="44"/>
      <c r="H540" s="45"/>
      <c r="I540" s="38"/>
      <c r="J540" s="38">
        <f>4.6*1000</f>
        <v>4600</v>
      </c>
      <c r="K540" s="46">
        <v>2.1550925925925928E-2</v>
      </c>
      <c r="L540" s="47" t="s">
        <v>1283</v>
      </c>
      <c r="M540" s="48"/>
      <c r="N540" s="48"/>
      <c r="O540" s="48">
        <f t="shared" si="0"/>
        <v>0</v>
      </c>
      <c r="P540" s="38"/>
      <c r="Q540" s="14" t="str">
        <f t="shared" ca="1" si="1"/>
        <v/>
      </c>
      <c r="R540" s="51"/>
      <c r="S540" s="51"/>
      <c r="T540" s="51"/>
      <c r="U540" s="40"/>
      <c r="V540" s="54"/>
      <c r="W540" s="55"/>
      <c r="X540" s="56"/>
      <c r="Y540" s="88"/>
      <c r="Z540" s="88"/>
      <c r="AA540" s="88"/>
      <c r="AB540" s="88"/>
    </row>
    <row r="541" spans="1:28">
      <c r="A541" s="38">
        <v>540</v>
      </c>
      <c r="B541" s="51"/>
      <c r="C541" s="40"/>
      <c r="D541" s="38"/>
      <c r="E541" s="38" t="s">
        <v>2244</v>
      </c>
      <c r="F541" s="43" t="s">
        <v>2245</v>
      </c>
      <c r="G541" s="44"/>
      <c r="H541" s="45"/>
      <c r="I541" s="38"/>
      <c r="J541" s="38">
        <f>1.9*1000</f>
        <v>1900</v>
      </c>
      <c r="K541" s="46">
        <v>2.1331018518518517E-2</v>
      </c>
      <c r="L541" s="47" t="s">
        <v>1283</v>
      </c>
      <c r="M541" s="48"/>
      <c r="N541" s="48"/>
      <c r="O541" s="48">
        <f t="shared" si="0"/>
        <v>0</v>
      </c>
      <c r="P541" s="38"/>
      <c r="Q541" s="14" t="str">
        <f t="shared" ca="1" si="1"/>
        <v/>
      </c>
      <c r="R541" s="51"/>
      <c r="S541" s="51"/>
      <c r="T541" s="51"/>
      <c r="U541" s="40"/>
      <c r="V541" s="54"/>
      <c r="W541" s="55"/>
      <c r="X541" s="56"/>
      <c r="Y541" s="88"/>
      <c r="Z541" s="88"/>
      <c r="AA541" s="88"/>
      <c r="AB541" s="88"/>
    </row>
    <row r="542" spans="1:28">
      <c r="A542" s="38">
        <v>541</v>
      </c>
      <c r="B542" s="51"/>
      <c r="C542" s="40"/>
      <c r="D542" s="38"/>
      <c r="E542" s="38" t="s">
        <v>2249</v>
      </c>
      <c r="F542" s="43" t="s">
        <v>2250</v>
      </c>
      <c r="G542" s="44"/>
      <c r="H542" s="45"/>
      <c r="I542" s="38"/>
      <c r="J542" s="38">
        <f>5.6*1000</f>
        <v>5600</v>
      </c>
      <c r="K542" s="46">
        <v>8.4490740740740741E-3</v>
      </c>
      <c r="L542" s="47" t="s">
        <v>1283</v>
      </c>
      <c r="M542" s="48"/>
      <c r="N542" s="48"/>
      <c r="O542" s="48">
        <f t="shared" si="0"/>
        <v>0</v>
      </c>
      <c r="P542" s="38"/>
      <c r="Q542" s="14" t="str">
        <f t="shared" ca="1" si="1"/>
        <v/>
      </c>
      <c r="R542" s="51"/>
      <c r="S542" s="51"/>
      <c r="T542" s="51"/>
      <c r="U542" s="40"/>
      <c r="V542" s="54"/>
      <c r="W542" s="55"/>
      <c r="X542" s="56"/>
      <c r="Y542" s="88"/>
      <c r="Z542" s="88"/>
      <c r="AA542" s="88"/>
      <c r="AB542" s="88"/>
    </row>
    <row r="543" spans="1:28">
      <c r="A543" s="38">
        <v>542</v>
      </c>
      <c r="B543" s="51"/>
      <c r="C543" s="40"/>
      <c r="D543" s="38"/>
      <c r="E543" s="38" t="s">
        <v>2254</v>
      </c>
      <c r="F543" s="43" t="s">
        <v>2255</v>
      </c>
      <c r="G543" s="44"/>
      <c r="H543" s="45"/>
      <c r="I543" s="38"/>
      <c r="J543" s="38">
        <f>984</f>
        <v>984</v>
      </c>
      <c r="K543" s="46">
        <v>3.4768518518518525E-2</v>
      </c>
      <c r="L543" s="47" t="s">
        <v>1283</v>
      </c>
      <c r="M543" s="48"/>
      <c r="N543" s="48"/>
      <c r="O543" s="48">
        <f t="shared" si="0"/>
        <v>0</v>
      </c>
      <c r="P543" s="38"/>
      <c r="Q543" s="14" t="str">
        <f t="shared" ca="1" si="1"/>
        <v/>
      </c>
      <c r="R543" s="51"/>
      <c r="S543" s="51"/>
      <c r="T543" s="51"/>
      <c r="U543" s="40"/>
      <c r="V543" s="54"/>
      <c r="W543" s="55"/>
      <c r="X543" s="56"/>
      <c r="Y543" s="88"/>
      <c r="Z543" s="88"/>
      <c r="AA543" s="88"/>
      <c r="AB543" s="88"/>
    </row>
    <row r="544" spans="1:28">
      <c r="A544" s="38">
        <v>543</v>
      </c>
      <c r="B544" s="51"/>
      <c r="C544" s="40"/>
      <c r="D544" s="38"/>
      <c r="E544" s="38" t="s">
        <v>2257</v>
      </c>
      <c r="F544" s="43" t="s">
        <v>2258</v>
      </c>
      <c r="G544" s="44"/>
      <c r="H544" s="45"/>
      <c r="I544" s="38"/>
      <c r="J544" s="38">
        <f>722</f>
        <v>722</v>
      </c>
      <c r="K544" s="46">
        <v>1.5659722222222224E-2</v>
      </c>
      <c r="L544" s="47" t="s">
        <v>1283</v>
      </c>
      <c r="M544" s="48"/>
      <c r="N544" s="48"/>
      <c r="O544" s="48">
        <f t="shared" si="0"/>
        <v>0</v>
      </c>
      <c r="P544" s="38"/>
      <c r="Q544" s="14" t="str">
        <f t="shared" ca="1" si="1"/>
        <v/>
      </c>
      <c r="R544" s="51"/>
      <c r="S544" s="51"/>
      <c r="T544" s="51"/>
      <c r="U544" s="40"/>
      <c r="V544" s="54"/>
      <c r="W544" s="55"/>
      <c r="X544" s="56"/>
      <c r="Y544" s="88"/>
      <c r="Z544" s="88"/>
      <c r="AA544" s="88"/>
      <c r="AB544" s="88"/>
    </row>
    <row r="545" spans="1:28">
      <c r="A545" s="38">
        <v>544</v>
      </c>
      <c r="B545" s="51"/>
      <c r="C545" s="40"/>
      <c r="D545" s="38"/>
      <c r="E545" s="38" t="s">
        <v>2259</v>
      </c>
      <c r="F545" s="43" t="s">
        <v>2260</v>
      </c>
      <c r="G545" s="44"/>
      <c r="H545" s="45"/>
      <c r="I545" s="38"/>
      <c r="J545" s="38">
        <f>4.9*1000</f>
        <v>4900</v>
      </c>
      <c r="K545" s="46">
        <v>1.0231481481481482E-2</v>
      </c>
      <c r="L545" s="47" t="s">
        <v>1283</v>
      </c>
      <c r="M545" s="48"/>
      <c r="N545" s="48"/>
      <c r="O545" s="48">
        <f t="shared" si="0"/>
        <v>0</v>
      </c>
      <c r="P545" s="38"/>
      <c r="Q545" s="14" t="str">
        <f t="shared" ca="1" si="1"/>
        <v/>
      </c>
      <c r="R545" s="51"/>
      <c r="S545" s="51"/>
      <c r="T545" s="51"/>
      <c r="U545" s="40"/>
      <c r="V545" s="54"/>
      <c r="W545" s="55"/>
      <c r="X545" s="56"/>
      <c r="Y545" s="88"/>
      <c r="Z545" s="88"/>
      <c r="AA545" s="88"/>
      <c r="AB545" s="88"/>
    </row>
    <row r="546" spans="1:28">
      <c r="A546" s="38">
        <v>545</v>
      </c>
      <c r="B546" s="51"/>
      <c r="C546" s="40"/>
      <c r="D546" s="38"/>
      <c r="E546" s="38" t="s">
        <v>2263</v>
      </c>
      <c r="F546" s="43" t="s">
        <v>2264</v>
      </c>
      <c r="G546" s="44"/>
      <c r="H546" s="45"/>
      <c r="I546" s="38"/>
      <c r="J546" s="38">
        <f>1*1000</f>
        <v>1000</v>
      </c>
      <c r="K546" s="46">
        <v>4.2361111111111106E-3</v>
      </c>
      <c r="L546" s="47" t="s">
        <v>1283</v>
      </c>
      <c r="M546" s="48"/>
      <c r="N546" s="48"/>
      <c r="O546" s="48">
        <f t="shared" si="0"/>
        <v>0</v>
      </c>
      <c r="P546" s="38"/>
      <c r="Q546" s="14" t="str">
        <f t="shared" ca="1" si="1"/>
        <v/>
      </c>
      <c r="R546" s="51"/>
      <c r="S546" s="51"/>
      <c r="T546" s="51"/>
      <c r="U546" s="40"/>
      <c r="V546" s="54"/>
      <c r="W546" s="55"/>
      <c r="X546" s="56"/>
      <c r="Y546" s="88"/>
      <c r="Z546" s="88"/>
      <c r="AA546" s="88"/>
      <c r="AB546" s="88"/>
    </row>
    <row r="547" spans="1:28">
      <c r="A547" s="38">
        <v>546</v>
      </c>
      <c r="B547" s="51"/>
      <c r="C547" s="40"/>
      <c r="D547" s="38"/>
      <c r="E547" s="38" t="s">
        <v>2267</v>
      </c>
      <c r="F547" s="43" t="s">
        <v>2268</v>
      </c>
      <c r="G547" s="44"/>
      <c r="H547" s="45"/>
      <c r="I547" s="38"/>
      <c r="J547" s="38">
        <f>3.5*1000</f>
        <v>3500</v>
      </c>
      <c r="K547" s="46">
        <v>1.3587962962962963E-2</v>
      </c>
      <c r="L547" s="47" t="s">
        <v>1283</v>
      </c>
      <c r="M547" s="48"/>
      <c r="N547" s="48"/>
      <c r="O547" s="48">
        <f t="shared" si="0"/>
        <v>0</v>
      </c>
      <c r="P547" s="38"/>
      <c r="Q547" s="14" t="str">
        <f t="shared" ca="1" si="1"/>
        <v/>
      </c>
      <c r="R547" s="51"/>
      <c r="S547" s="51"/>
      <c r="T547" s="51"/>
      <c r="U547" s="40"/>
      <c r="V547" s="54"/>
      <c r="W547" s="55"/>
      <c r="X547" s="56"/>
      <c r="Y547" s="88"/>
      <c r="Z547" s="88"/>
      <c r="AA547" s="88"/>
      <c r="AB547" s="88"/>
    </row>
    <row r="548" spans="1:28">
      <c r="A548" s="38">
        <v>547</v>
      </c>
      <c r="B548" s="51"/>
      <c r="C548" s="40"/>
      <c r="D548" s="38"/>
      <c r="E548" s="38" t="s">
        <v>2276</v>
      </c>
      <c r="F548" s="43" t="s">
        <v>2277</v>
      </c>
      <c r="G548" s="44"/>
      <c r="H548" s="45"/>
      <c r="I548" s="38"/>
      <c r="J548" s="38">
        <f>1.9*1000</f>
        <v>1900</v>
      </c>
      <c r="K548" s="46">
        <v>5.8796296296296296E-3</v>
      </c>
      <c r="L548" s="47" t="s">
        <v>1283</v>
      </c>
      <c r="M548" s="48"/>
      <c r="N548" s="48"/>
      <c r="O548" s="48">
        <f t="shared" si="0"/>
        <v>0</v>
      </c>
      <c r="P548" s="38"/>
      <c r="Q548" s="14" t="str">
        <f t="shared" ca="1" si="1"/>
        <v/>
      </c>
      <c r="R548" s="51"/>
      <c r="S548" s="51"/>
      <c r="T548" s="51"/>
      <c r="U548" s="40"/>
      <c r="V548" s="54"/>
      <c r="W548" s="55"/>
      <c r="X548" s="56"/>
      <c r="Y548" s="88"/>
      <c r="Z548" s="88"/>
      <c r="AA548" s="88"/>
      <c r="AB548" s="88"/>
    </row>
    <row r="549" spans="1:28">
      <c r="A549" s="38">
        <v>548</v>
      </c>
      <c r="B549" s="51"/>
      <c r="C549" s="40"/>
      <c r="D549" s="38"/>
      <c r="E549" s="38" t="s">
        <v>2282</v>
      </c>
      <c r="F549" s="43" t="s">
        <v>2284</v>
      </c>
      <c r="G549" s="44"/>
      <c r="H549" s="45"/>
      <c r="I549" s="38"/>
      <c r="J549" s="38">
        <f>1.3*1000</f>
        <v>1300</v>
      </c>
      <c r="K549" s="46">
        <v>3.9467592592592592E-3</v>
      </c>
      <c r="L549" s="47" t="s">
        <v>1283</v>
      </c>
      <c r="M549" s="48"/>
      <c r="N549" s="48"/>
      <c r="O549" s="48">
        <f t="shared" si="0"/>
        <v>0</v>
      </c>
      <c r="P549" s="38"/>
      <c r="Q549" s="14" t="str">
        <f t="shared" ca="1" si="1"/>
        <v/>
      </c>
      <c r="R549" s="51"/>
      <c r="S549" s="51"/>
      <c r="T549" s="51"/>
      <c r="U549" s="40"/>
      <c r="V549" s="54"/>
      <c r="W549" s="55"/>
      <c r="X549" s="56"/>
      <c r="Y549" s="88"/>
      <c r="Z549" s="88"/>
      <c r="AA549" s="88"/>
      <c r="AB549" s="88"/>
    </row>
    <row r="550" spans="1:28">
      <c r="A550" s="38">
        <v>549</v>
      </c>
      <c r="B550" s="51"/>
      <c r="C550" s="40"/>
      <c r="D550" s="38"/>
      <c r="E550" s="38" t="s">
        <v>2289</v>
      </c>
      <c r="F550" s="43" t="s">
        <v>2290</v>
      </c>
      <c r="G550" s="44"/>
      <c r="H550" s="45"/>
      <c r="I550" s="38"/>
      <c r="J550" s="38">
        <f>1.2*1000</f>
        <v>1200</v>
      </c>
      <c r="K550" s="46">
        <v>1.5740740740740741E-3</v>
      </c>
      <c r="L550" s="47" t="s">
        <v>1283</v>
      </c>
      <c r="M550" s="48"/>
      <c r="N550" s="48"/>
      <c r="O550" s="48">
        <f t="shared" si="0"/>
        <v>0</v>
      </c>
      <c r="P550" s="38"/>
      <c r="Q550" s="14" t="str">
        <f t="shared" ca="1" si="1"/>
        <v/>
      </c>
      <c r="R550" s="51"/>
      <c r="S550" s="51"/>
      <c r="T550" s="51"/>
      <c r="U550" s="40"/>
      <c r="V550" s="54"/>
      <c r="W550" s="55"/>
      <c r="X550" s="56"/>
      <c r="Y550" s="88"/>
      <c r="Z550" s="88"/>
      <c r="AA550" s="88"/>
      <c r="AB550" s="88"/>
    </row>
    <row r="551" spans="1:28">
      <c r="A551" s="38">
        <v>550</v>
      </c>
      <c r="B551" s="39"/>
      <c r="C551" s="40"/>
      <c r="D551" s="38"/>
      <c r="E551" s="38" t="s">
        <v>2294</v>
      </c>
      <c r="F551" s="43" t="s">
        <v>2295</v>
      </c>
      <c r="G551" s="44"/>
      <c r="H551" s="45"/>
      <c r="I551" s="38"/>
      <c r="J551" s="38">
        <f>4.9*1000</f>
        <v>4900</v>
      </c>
      <c r="K551" s="46">
        <v>1.4074074074074074E-2</v>
      </c>
      <c r="L551" s="47" t="s">
        <v>1283</v>
      </c>
      <c r="M551" s="48"/>
      <c r="N551" s="48"/>
      <c r="O551" s="48">
        <f t="shared" si="0"/>
        <v>0</v>
      </c>
      <c r="P551" s="38"/>
      <c r="Q551" s="14" t="str">
        <f t="shared" ca="1" si="1"/>
        <v/>
      </c>
      <c r="R551" s="51"/>
      <c r="S551" s="51"/>
      <c r="T551" s="51"/>
      <c r="U551" s="40"/>
      <c r="V551" s="54"/>
      <c r="W551" s="55"/>
      <c r="X551" s="56"/>
      <c r="Y551" s="88"/>
      <c r="Z551" s="88"/>
      <c r="AA551" s="88"/>
      <c r="AB551" s="88"/>
    </row>
    <row r="552" spans="1:28">
      <c r="A552" s="38">
        <v>551</v>
      </c>
      <c r="B552" s="39"/>
      <c r="C552" s="40"/>
      <c r="D552" s="38"/>
      <c r="E552" s="38" t="s">
        <v>2299</v>
      </c>
      <c r="F552" s="43" t="s">
        <v>2300</v>
      </c>
      <c r="G552" s="44"/>
      <c r="H552" s="45"/>
      <c r="I552" s="38"/>
      <c r="J552" s="38">
        <f>62*1000</f>
        <v>62000</v>
      </c>
      <c r="K552" s="46">
        <v>3.9641203703703706E-2</v>
      </c>
      <c r="L552" s="47" t="s">
        <v>1452</v>
      </c>
      <c r="M552" s="48"/>
      <c r="N552" s="48"/>
      <c r="O552" s="48">
        <f t="shared" si="0"/>
        <v>0</v>
      </c>
      <c r="P552" s="38"/>
      <c r="Q552" s="14" t="str">
        <f t="shared" ca="1" si="1"/>
        <v/>
      </c>
      <c r="R552" s="51"/>
      <c r="S552" s="51"/>
      <c r="T552" s="51"/>
      <c r="U552" s="40"/>
      <c r="V552" s="54"/>
      <c r="W552" s="55"/>
      <c r="X552" s="56"/>
      <c r="Y552" s="88"/>
      <c r="Z552" s="88"/>
      <c r="AA552" s="88"/>
      <c r="AB552" s="88"/>
    </row>
    <row r="553" spans="1:28">
      <c r="A553" s="38">
        <v>552</v>
      </c>
      <c r="B553" s="51"/>
      <c r="C553" s="40"/>
      <c r="D553" s="38"/>
      <c r="E553" s="38" t="s">
        <v>2301</v>
      </c>
      <c r="F553" s="43" t="s">
        <v>2302</v>
      </c>
      <c r="G553" s="44"/>
      <c r="H553" s="45"/>
      <c r="I553" s="38"/>
      <c r="J553" s="38">
        <f>7*1000</f>
        <v>7000</v>
      </c>
      <c r="K553" s="46">
        <v>1.9328703703703704E-3</v>
      </c>
      <c r="L553" s="47" t="s">
        <v>1452</v>
      </c>
      <c r="M553" s="48"/>
      <c r="N553" s="48"/>
      <c r="O553" s="48">
        <f t="shared" si="0"/>
        <v>0</v>
      </c>
      <c r="P553" s="38"/>
      <c r="Q553" s="14" t="str">
        <f t="shared" ca="1" si="1"/>
        <v/>
      </c>
      <c r="R553" s="51"/>
      <c r="S553" s="51"/>
      <c r="T553" s="51"/>
      <c r="U553" s="40"/>
      <c r="V553" s="54"/>
      <c r="W553" s="55"/>
      <c r="X553" s="56"/>
      <c r="Y553" s="88"/>
      <c r="Z553" s="88"/>
      <c r="AA553" s="88"/>
      <c r="AB553" s="88"/>
    </row>
    <row r="554" spans="1:28">
      <c r="A554" s="38">
        <v>553</v>
      </c>
      <c r="B554" s="39"/>
      <c r="C554" s="40"/>
      <c r="D554" s="38"/>
      <c r="E554" s="38" t="s">
        <v>2303</v>
      </c>
      <c r="F554" s="43" t="s">
        <v>2304</v>
      </c>
      <c r="G554" s="44"/>
      <c r="H554" s="45"/>
      <c r="I554" s="38"/>
      <c r="J554" s="38">
        <f>1.7*1000</f>
        <v>1700</v>
      </c>
      <c r="K554" s="46">
        <v>1.8842592592592591E-2</v>
      </c>
      <c r="L554" s="47" t="s">
        <v>1452</v>
      </c>
      <c r="M554" s="48"/>
      <c r="N554" s="48"/>
      <c r="O554" s="48">
        <f t="shared" si="0"/>
        <v>0</v>
      </c>
      <c r="P554" s="38"/>
      <c r="Q554" s="14" t="str">
        <f t="shared" ca="1" si="1"/>
        <v/>
      </c>
      <c r="R554" s="51"/>
      <c r="S554" s="51"/>
      <c r="T554" s="51"/>
      <c r="U554" s="40"/>
      <c r="V554" s="54"/>
      <c r="W554" s="55"/>
      <c r="X554" s="56"/>
      <c r="Y554" s="88"/>
      <c r="Z554" s="88"/>
      <c r="AA554" s="88"/>
      <c r="AB554" s="88"/>
    </row>
    <row r="555" spans="1:28">
      <c r="A555" s="38">
        <v>554</v>
      </c>
      <c r="B555" s="39"/>
      <c r="C555" s="40"/>
      <c r="D555" s="38"/>
      <c r="E555" s="38" t="s">
        <v>2307</v>
      </c>
      <c r="F555" s="43" t="s">
        <v>2308</v>
      </c>
      <c r="G555" s="44"/>
      <c r="H555" s="45"/>
      <c r="I555" s="38"/>
      <c r="J555" s="38">
        <f>2.6*1000</f>
        <v>2600</v>
      </c>
      <c r="K555" s="46">
        <v>2.4108796296296298E-2</v>
      </c>
      <c r="L555" s="47" t="s">
        <v>1452</v>
      </c>
      <c r="M555" s="48"/>
      <c r="N555" s="48"/>
      <c r="O555" s="48">
        <f t="shared" si="0"/>
        <v>0</v>
      </c>
      <c r="P555" s="38"/>
      <c r="Q555" s="14" t="str">
        <f t="shared" ca="1" si="1"/>
        <v/>
      </c>
      <c r="R555" s="51"/>
      <c r="S555" s="51"/>
      <c r="T555" s="51"/>
      <c r="U555" s="40"/>
      <c r="V555" s="54"/>
      <c r="W555" s="55"/>
      <c r="X555" s="56"/>
      <c r="Y555" s="88"/>
      <c r="Z555" s="88"/>
      <c r="AA555" s="88"/>
      <c r="AB555" s="88"/>
    </row>
    <row r="556" spans="1:28">
      <c r="A556" s="38">
        <v>555</v>
      </c>
      <c r="B556" s="39"/>
      <c r="C556" s="40"/>
      <c r="D556" s="38"/>
      <c r="E556" s="38" t="s">
        <v>2310</v>
      </c>
      <c r="F556" s="43" t="s">
        <v>2311</v>
      </c>
      <c r="G556" s="44"/>
      <c r="H556" s="45"/>
      <c r="I556" s="38"/>
      <c r="J556" s="38">
        <f>868</f>
        <v>868</v>
      </c>
      <c r="K556" s="46">
        <v>1.1423611111111112E-2</v>
      </c>
      <c r="L556" s="47" t="s">
        <v>1452</v>
      </c>
      <c r="M556" s="48"/>
      <c r="N556" s="48"/>
      <c r="O556" s="48">
        <f t="shared" si="0"/>
        <v>0</v>
      </c>
      <c r="P556" s="38"/>
      <c r="Q556" s="14" t="str">
        <f t="shared" ca="1" si="1"/>
        <v/>
      </c>
      <c r="R556" s="51"/>
      <c r="S556" s="51"/>
      <c r="T556" s="51"/>
      <c r="U556" s="40"/>
      <c r="V556" s="54"/>
      <c r="W556" s="55"/>
      <c r="X556" s="56"/>
      <c r="Y556" s="88"/>
      <c r="Z556" s="88"/>
      <c r="AA556" s="88"/>
      <c r="AB556" s="88"/>
    </row>
    <row r="557" spans="1:28">
      <c r="A557" s="38">
        <v>556</v>
      </c>
      <c r="B557" s="39" t="s">
        <v>596</v>
      </c>
      <c r="C557" s="40"/>
      <c r="D557" s="42" t="s">
        <v>139</v>
      </c>
      <c r="E557" s="38" t="s">
        <v>1918</v>
      </c>
      <c r="F557" s="43" t="s">
        <v>1919</v>
      </c>
      <c r="G557" s="44"/>
      <c r="H557" s="45"/>
      <c r="I557" s="38"/>
      <c r="J557" s="38">
        <f>3.7*1000</f>
        <v>3700</v>
      </c>
      <c r="K557" s="46">
        <v>6.7870370370370373E-2</v>
      </c>
      <c r="L557" s="47" t="s">
        <v>1452</v>
      </c>
      <c r="M557" s="48"/>
      <c r="N557" s="48"/>
      <c r="O557" s="48">
        <f t="shared" si="0"/>
        <v>0</v>
      </c>
      <c r="P557" s="38"/>
      <c r="Q557" s="14" t="str">
        <f t="shared" ca="1" si="1"/>
        <v/>
      </c>
      <c r="R557" s="51"/>
      <c r="S557" s="51"/>
      <c r="T557" s="51"/>
      <c r="U557" s="40"/>
      <c r="V557" s="54"/>
      <c r="W557" s="55"/>
      <c r="X557" s="56"/>
      <c r="Y557" s="88"/>
      <c r="Z557" s="88"/>
      <c r="AA557" s="88"/>
      <c r="AB557" s="88"/>
    </row>
    <row r="558" spans="1:28">
      <c r="A558" s="38">
        <v>557</v>
      </c>
      <c r="B558" s="51"/>
      <c r="C558" s="40"/>
      <c r="D558" s="38"/>
      <c r="E558" s="38" t="s">
        <v>2312</v>
      </c>
      <c r="F558" s="43" t="s">
        <v>2313</v>
      </c>
      <c r="G558" s="44"/>
      <c r="H558" s="45"/>
      <c r="I558" s="38"/>
      <c r="J558" s="38">
        <f>6.4*1000</f>
        <v>6400</v>
      </c>
      <c r="K558" s="46">
        <v>4.1689814814814818E-2</v>
      </c>
      <c r="L558" s="47" t="s">
        <v>1452</v>
      </c>
      <c r="M558" s="48"/>
      <c r="N558" s="48"/>
      <c r="O558" s="48">
        <f t="shared" si="0"/>
        <v>0</v>
      </c>
      <c r="P558" s="38"/>
      <c r="Q558" s="14" t="str">
        <f t="shared" ca="1" si="1"/>
        <v/>
      </c>
      <c r="R558" s="51"/>
      <c r="S558" s="51"/>
      <c r="T558" s="51"/>
      <c r="U558" s="40"/>
      <c r="V558" s="54"/>
      <c r="W558" s="55"/>
      <c r="X558" s="56"/>
      <c r="Y558" s="88"/>
      <c r="Z558" s="88"/>
      <c r="AA558" s="88"/>
      <c r="AB558" s="88"/>
    </row>
    <row r="559" spans="1:28">
      <c r="A559" s="38">
        <v>558</v>
      </c>
      <c r="B559" s="51"/>
      <c r="C559" s="40"/>
      <c r="D559" s="38"/>
      <c r="E559" s="38" t="s">
        <v>2314</v>
      </c>
      <c r="F559" s="43" t="s">
        <v>2315</v>
      </c>
      <c r="G559" s="44"/>
      <c r="H559" s="45"/>
      <c r="I559" s="38"/>
      <c r="J559" s="38">
        <f>704</f>
        <v>704</v>
      </c>
      <c r="K559" s="46">
        <v>5.0347222222222225E-3</v>
      </c>
      <c r="L559" s="47" t="s">
        <v>1452</v>
      </c>
      <c r="M559" s="48"/>
      <c r="N559" s="48"/>
      <c r="O559" s="48">
        <f t="shared" si="0"/>
        <v>0</v>
      </c>
      <c r="P559" s="38"/>
      <c r="Q559" s="14" t="str">
        <f t="shared" ca="1" si="1"/>
        <v/>
      </c>
      <c r="R559" s="51"/>
      <c r="S559" s="51"/>
      <c r="T559" s="51"/>
      <c r="U559" s="40"/>
      <c r="V559" s="54"/>
      <c r="W559" s="55"/>
      <c r="X559" s="56"/>
      <c r="Y559" s="88"/>
      <c r="Z559" s="88"/>
      <c r="AA559" s="88"/>
      <c r="AB559" s="88"/>
    </row>
    <row r="560" spans="1:28">
      <c r="A560" s="38">
        <v>559</v>
      </c>
      <c r="B560" s="51"/>
      <c r="C560" s="40"/>
      <c r="D560" s="38"/>
      <c r="E560" s="38" t="s">
        <v>2316</v>
      </c>
      <c r="F560" s="43" t="s">
        <v>2317</v>
      </c>
      <c r="G560" s="44"/>
      <c r="H560" s="45"/>
      <c r="I560" s="38"/>
      <c r="J560" s="38">
        <f>692</f>
        <v>692</v>
      </c>
      <c r="K560" s="46">
        <v>6.4351851851851861E-3</v>
      </c>
      <c r="L560" s="47" t="s">
        <v>1452</v>
      </c>
      <c r="M560" s="48"/>
      <c r="N560" s="48"/>
      <c r="O560" s="48">
        <f t="shared" si="0"/>
        <v>0</v>
      </c>
      <c r="P560" s="38"/>
      <c r="Q560" s="14" t="str">
        <f t="shared" ca="1" si="1"/>
        <v/>
      </c>
      <c r="R560" s="51"/>
      <c r="S560" s="51"/>
      <c r="T560" s="51"/>
      <c r="U560" s="40"/>
      <c r="V560" s="54"/>
      <c r="W560" s="55"/>
      <c r="X560" s="56"/>
      <c r="Y560" s="88"/>
      <c r="Z560" s="88"/>
      <c r="AA560" s="88"/>
      <c r="AB560" s="88"/>
    </row>
    <row r="561" spans="1:28">
      <c r="A561" s="38">
        <v>560</v>
      </c>
      <c r="B561" s="51"/>
      <c r="C561" s="40"/>
      <c r="D561" s="38"/>
      <c r="E561" s="38" t="s">
        <v>2318</v>
      </c>
      <c r="F561" s="43" t="s">
        <v>2319</v>
      </c>
      <c r="G561" s="44"/>
      <c r="H561" s="45"/>
      <c r="I561" s="38"/>
      <c r="J561" s="38">
        <f>3.6*1000</f>
        <v>3600</v>
      </c>
      <c r="K561" s="46">
        <v>4.4004629629629623E-2</v>
      </c>
      <c r="L561" s="47" t="s">
        <v>1452</v>
      </c>
      <c r="M561" s="48"/>
      <c r="N561" s="48"/>
      <c r="O561" s="48">
        <f t="shared" si="0"/>
        <v>0</v>
      </c>
      <c r="P561" s="38"/>
      <c r="Q561" s="14" t="str">
        <f t="shared" ca="1" si="1"/>
        <v/>
      </c>
      <c r="R561" s="51"/>
      <c r="S561" s="51"/>
      <c r="T561" s="51"/>
      <c r="U561" s="40"/>
      <c r="V561" s="54"/>
      <c r="W561" s="55"/>
      <c r="X561" s="56"/>
      <c r="Y561" s="88"/>
      <c r="Z561" s="88"/>
      <c r="AA561" s="88"/>
      <c r="AB561" s="88"/>
    </row>
    <row r="562" spans="1:28">
      <c r="A562" s="38">
        <v>561</v>
      </c>
      <c r="B562" s="51"/>
      <c r="C562" s="40"/>
      <c r="D562" s="38"/>
      <c r="E562" s="38" t="s">
        <v>2320</v>
      </c>
      <c r="F562" s="43" t="s">
        <v>2321</v>
      </c>
      <c r="G562" s="44"/>
      <c r="H562" s="45"/>
      <c r="I562" s="38"/>
      <c r="J562" s="38">
        <f>3*1000</f>
        <v>3000</v>
      </c>
      <c r="K562" s="46">
        <v>1.1157407407407408E-2</v>
      </c>
      <c r="L562" s="47" t="s">
        <v>1452</v>
      </c>
      <c r="M562" s="48"/>
      <c r="N562" s="48"/>
      <c r="O562" s="48">
        <f t="shared" si="0"/>
        <v>0</v>
      </c>
      <c r="P562" s="38"/>
      <c r="Q562" s="14" t="str">
        <f t="shared" ca="1" si="1"/>
        <v/>
      </c>
      <c r="R562" s="51"/>
      <c r="S562" s="51"/>
      <c r="T562" s="51"/>
      <c r="U562" s="40"/>
      <c r="V562" s="54"/>
      <c r="W562" s="55"/>
      <c r="X562" s="56"/>
      <c r="Y562" s="88"/>
      <c r="Z562" s="88"/>
      <c r="AA562" s="88"/>
      <c r="AB562" s="88"/>
    </row>
    <row r="563" spans="1:28">
      <c r="A563" s="38">
        <v>562</v>
      </c>
      <c r="B563" s="51"/>
      <c r="C563" s="40"/>
      <c r="D563" s="38"/>
      <c r="E563" s="38" t="s">
        <v>2322</v>
      </c>
      <c r="F563" s="43" t="s">
        <v>2323</v>
      </c>
      <c r="G563" s="44"/>
      <c r="H563" s="45"/>
      <c r="I563" s="38"/>
      <c r="J563" s="38">
        <f>953</f>
        <v>953</v>
      </c>
      <c r="K563" s="46">
        <v>1.7037037037037038E-2</v>
      </c>
      <c r="L563" s="47" t="s">
        <v>1452</v>
      </c>
      <c r="M563" s="48"/>
      <c r="N563" s="48"/>
      <c r="O563" s="48">
        <f t="shared" si="0"/>
        <v>0</v>
      </c>
      <c r="P563" s="38"/>
      <c r="Q563" s="14" t="str">
        <f t="shared" ca="1" si="1"/>
        <v/>
      </c>
      <c r="R563" s="51"/>
      <c r="S563" s="51"/>
      <c r="T563" s="51"/>
      <c r="U563" s="40"/>
      <c r="V563" s="54"/>
      <c r="W563" s="55"/>
      <c r="X563" s="56"/>
      <c r="Y563" s="88"/>
      <c r="Z563" s="88"/>
      <c r="AA563" s="88"/>
      <c r="AB563" s="88"/>
    </row>
    <row r="564" spans="1:28">
      <c r="A564" s="38">
        <v>563</v>
      </c>
      <c r="B564" s="51"/>
      <c r="C564" s="40"/>
      <c r="D564" s="38"/>
      <c r="E564" s="38" t="s">
        <v>2324</v>
      </c>
      <c r="F564" s="43" t="s">
        <v>2325</v>
      </c>
      <c r="G564" s="44"/>
      <c r="H564" s="45"/>
      <c r="I564" s="38"/>
      <c r="J564" s="38">
        <f>851</f>
        <v>851</v>
      </c>
      <c r="K564" s="46">
        <v>8.8541666666666664E-3</v>
      </c>
      <c r="L564" s="47" t="s">
        <v>1452</v>
      </c>
      <c r="M564" s="48"/>
      <c r="N564" s="48"/>
      <c r="O564" s="48">
        <f t="shared" si="0"/>
        <v>0</v>
      </c>
      <c r="P564" s="38"/>
      <c r="Q564" s="14" t="str">
        <f t="shared" ca="1" si="1"/>
        <v/>
      </c>
      <c r="R564" s="51"/>
      <c r="S564" s="51"/>
      <c r="T564" s="51"/>
      <c r="U564" s="40"/>
      <c r="V564" s="54"/>
      <c r="W564" s="55"/>
      <c r="X564" s="56"/>
      <c r="Y564" s="88"/>
      <c r="Z564" s="88"/>
      <c r="AA564" s="88"/>
      <c r="AB564" s="88"/>
    </row>
    <row r="565" spans="1:28">
      <c r="A565" s="38">
        <v>564</v>
      </c>
      <c r="B565" s="51"/>
      <c r="C565" s="40"/>
      <c r="D565" s="38"/>
      <c r="E565" s="38" t="s">
        <v>2326</v>
      </c>
      <c r="F565" s="43" t="s">
        <v>2327</v>
      </c>
      <c r="G565" s="44"/>
      <c r="H565" s="45"/>
      <c r="I565" s="38"/>
      <c r="J565" s="38">
        <f>454</f>
        <v>454</v>
      </c>
      <c r="K565" s="46">
        <v>7.0254629629629634E-3</v>
      </c>
      <c r="L565" s="47" t="s">
        <v>1452</v>
      </c>
      <c r="M565" s="48"/>
      <c r="N565" s="48"/>
      <c r="O565" s="48">
        <f t="shared" si="0"/>
        <v>0</v>
      </c>
      <c r="P565" s="38"/>
      <c r="Q565" s="14" t="str">
        <f t="shared" ca="1" si="1"/>
        <v/>
      </c>
      <c r="R565" s="51"/>
      <c r="S565" s="51"/>
      <c r="T565" s="51"/>
      <c r="U565" s="40"/>
      <c r="V565" s="54"/>
      <c r="W565" s="55"/>
      <c r="X565" s="56"/>
      <c r="Y565" s="88"/>
      <c r="Z565" s="88"/>
      <c r="AA565" s="88"/>
      <c r="AB565" s="88"/>
    </row>
    <row r="566" spans="1:28">
      <c r="A566" s="38">
        <v>565</v>
      </c>
      <c r="B566" s="51"/>
      <c r="C566" s="40"/>
      <c r="D566" s="38"/>
      <c r="E566" s="38" t="s">
        <v>2328</v>
      </c>
      <c r="F566" s="43" t="s">
        <v>2329</v>
      </c>
      <c r="G566" s="44"/>
      <c r="H566" s="45"/>
      <c r="I566" s="38"/>
      <c r="J566" s="38">
        <f>979</f>
        <v>979</v>
      </c>
      <c r="K566" s="46">
        <v>9.8495370370370369E-3</v>
      </c>
      <c r="L566" s="47" t="s">
        <v>1452</v>
      </c>
      <c r="M566" s="48"/>
      <c r="N566" s="48"/>
      <c r="O566" s="48">
        <f t="shared" si="0"/>
        <v>0</v>
      </c>
      <c r="P566" s="38"/>
      <c r="Q566" s="14" t="str">
        <f t="shared" ca="1" si="1"/>
        <v/>
      </c>
      <c r="R566" s="51"/>
      <c r="S566" s="51"/>
      <c r="T566" s="51"/>
      <c r="U566" s="40"/>
      <c r="V566" s="54"/>
      <c r="W566" s="55"/>
      <c r="X566" s="56"/>
      <c r="Y566" s="88"/>
      <c r="Z566" s="88"/>
      <c r="AA566" s="88"/>
      <c r="AB566" s="88"/>
    </row>
    <row r="567" spans="1:28">
      <c r="A567" s="38">
        <v>566</v>
      </c>
      <c r="B567" s="51"/>
      <c r="C567" s="40"/>
      <c r="D567" s="38"/>
      <c r="E567" s="38" t="s">
        <v>2330</v>
      </c>
      <c r="F567" s="43" t="s">
        <v>2331</v>
      </c>
      <c r="G567" s="44"/>
      <c r="H567" s="45"/>
      <c r="I567" s="38"/>
      <c r="J567" s="38">
        <f>609</f>
        <v>609</v>
      </c>
      <c r="K567" s="46">
        <v>5.7523148148148143E-3</v>
      </c>
      <c r="L567" s="47" t="s">
        <v>1452</v>
      </c>
      <c r="M567" s="48"/>
      <c r="N567" s="48"/>
      <c r="O567" s="48">
        <f t="shared" si="0"/>
        <v>0</v>
      </c>
      <c r="P567" s="38"/>
      <c r="Q567" s="14" t="str">
        <f t="shared" ca="1" si="1"/>
        <v/>
      </c>
      <c r="R567" s="51"/>
      <c r="S567" s="51"/>
      <c r="T567" s="51"/>
      <c r="U567" s="40"/>
      <c r="V567" s="54"/>
      <c r="W567" s="55"/>
      <c r="X567" s="56"/>
      <c r="Y567" s="88"/>
      <c r="Z567" s="88"/>
      <c r="AA567" s="88"/>
      <c r="AB567" s="88"/>
    </row>
    <row r="568" spans="1:28">
      <c r="A568" s="38">
        <v>567</v>
      </c>
      <c r="B568" s="51"/>
      <c r="C568" s="40"/>
      <c r="D568" s="38"/>
      <c r="E568" s="38" t="s">
        <v>2332</v>
      </c>
      <c r="F568" s="43" t="s">
        <v>2333</v>
      </c>
      <c r="G568" s="44"/>
      <c r="H568" s="45"/>
      <c r="I568" s="38"/>
      <c r="J568" s="38">
        <f>1*1000</f>
        <v>1000</v>
      </c>
      <c r="K568" s="46">
        <v>3.5069444444444445E-3</v>
      </c>
      <c r="L568" s="47" t="s">
        <v>1452</v>
      </c>
      <c r="M568" s="48"/>
      <c r="N568" s="48"/>
      <c r="O568" s="48">
        <f t="shared" si="0"/>
        <v>0</v>
      </c>
      <c r="P568" s="38"/>
      <c r="Q568" s="14" t="str">
        <f t="shared" ca="1" si="1"/>
        <v/>
      </c>
      <c r="R568" s="51"/>
      <c r="S568" s="51"/>
      <c r="T568" s="51"/>
      <c r="U568" s="40"/>
      <c r="V568" s="54"/>
      <c r="W568" s="55"/>
      <c r="X568" s="56"/>
      <c r="Y568" s="88"/>
      <c r="Z568" s="88"/>
      <c r="AA568" s="88"/>
      <c r="AB568" s="88"/>
    </row>
    <row r="569" spans="1:28">
      <c r="A569" s="38">
        <v>568</v>
      </c>
      <c r="B569" s="51"/>
      <c r="C569" s="40"/>
      <c r="D569" s="38"/>
      <c r="E569" s="38" t="s">
        <v>2334</v>
      </c>
      <c r="F569" s="43" t="s">
        <v>2335</v>
      </c>
      <c r="G569" s="44"/>
      <c r="H569" s="45"/>
      <c r="I569" s="38"/>
      <c r="J569" s="38">
        <f>4.8*1000</f>
        <v>4800</v>
      </c>
      <c r="K569" s="46">
        <v>4.5162037037037035E-2</v>
      </c>
      <c r="L569" s="47" t="s">
        <v>1452</v>
      </c>
      <c r="M569" s="48"/>
      <c r="N569" s="48"/>
      <c r="O569" s="48">
        <f t="shared" si="0"/>
        <v>0</v>
      </c>
      <c r="P569" s="38"/>
      <c r="Q569" s="14" t="str">
        <f t="shared" ca="1" si="1"/>
        <v/>
      </c>
      <c r="R569" s="51"/>
      <c r="S569" s="51"/>
      <c r="T569" s="51"/>
      <c r="U569" s="40"/>
      <c r="V569" s="54"/>
      <c r="W569" s="55"/>
      <c r="X569" s="56"/>
      <c r="Y569" s="88"/>
      <c r="Z569" s="88"/>
      <c r="AA569" s="88"/>
      <c r="AB569" s="88"/>
    </row>
    <row r="570" spans="1:28">
      <c r="A570" s="38">
        <v>569</v>
      </c>
      <c r="B570" s="51"/>
      <c r="C570" s="40"/>
      <c r="D570" s="38"/>
      <c r="E570" s="38" t="s">
        <v>2336</v>
      </c>
      <c r="F570" s="43" t="s">
        <v>2337</v>
      </c>
      <c r="G570" s="44"/>
      <c r="H570" s="45"/>
      <c r="I570" s="38"/>
      <c r="J570" s="38">
        <f>3.4*1000</f>
        <v>3400</v>
      </c>
      <c r="K570" s="46">
        <v>1.5694444444444445E-2</v>
      </c>
      <c r="L570" s="47" t="s">
        <v>1452</v>
      </c>
      <c r="M570" s="48"/>
      <c r="N570" s="48"/>
      <c r="O570" s="48">
        <f t="shared" si="0"/>
        <v>0</v>
      </c>
      <c r="P570" s="38"/>
      <c r="Q570" s="14" t="str">
        <f t="shared" ca="1" si="1"/>
        <v/>
      </c>
      <c r="R570" s="51"/>
      <c r="S570" s="51"/>
      <c r="T570" s="51"/>
      <c r="U570" s="40"/>
      <c r="V570" s="54"/>
      <c r="W570" s="55"/>
      <c r="X570" s="56"/>
      <c r="Y570" s="88"/>
      <c r="Z570" s="88"/>
      <c r="AA570" s="88"/>
      <c r="AB570" s="88"/>
    </row>
    <row r="571" spans="1:28">
      <c r="A571" s="38">
        <v>570</v>
      </c>
      <c r="B571" s="51"/>
      <c r="C571" s="40"/>
      <c r="D571" s="38"/>
      <c r="E571" s="38" t="s">
        <v>2338</v>
      </c>
      <c r="F571" s="43" t="s">
        <v>2339</v>
      </c>
      <c r="G571" s="44"/>
      <c r="H571" s="45"/>
      <c r="I571" s="38"/>
      <c r="J571" s="38">
        <f>962</f>
        <v>962</v>
      </c>
      <c r="K571" s="46">
        <v>1.6747685185185185E-2</v>
      </c>
      <c r="L571" s="47" t="s">
        <v>1452</v>
      </c>
      <c r="M571" s="48"/>
      <c r="N571" s="48"/>
      <c r="O571" s="48">
        <f t="shared" si="0"/>
        <v>0</v>
      </c>
      <c r="P571" s="38"/>
      <c r="Q571" s="14" t="str">
        <f t="shared" ca="1" si="1"/>
        <v/>
      </c>
      <c r="R571" s="51"/>
      <c r="S571" s="51"/>
      <c r="T571" s="51"/>
      <c r="U571" s="40"/>
      <c r="V571" s="54"/>
      <c r="W571" s="55"/>
      <c r="X571" s="56"/>
      <c r="Y571" s="88"/>
      <c r="Z571" s="88"/>
      <c r="AA571" s="88"/>
      <c r="AB571" s="88"/>
    </row>
    <row r="572" spans="1:28">
      <c r="A572" s="38">
        <v>571</v>
      </c>
      <c r="B572" s="51"/>
      <c r="C572" s="40"/>
      <c r="D572" s="38"/>
      <c r="E572" s="38" t="s">
        <v>2340</v>
      </c>
      <c r="F572" s="43" t="s">
        <v>2341</v>
      </c>
      <c r="G572" s="44"/>
      <c r="H572" s="45"/>
      <c r="I572" s="38"/>
      <c r="J572" s="38">
        <f>2.2*1000</f>
        <v>2200</v>
      </c>
      <c r="K572" s="46">
        <v>3.4351851851851849E-2</v>
      </c>
      <c r="L572" s="47" t="s">
        <v>1452</v>
      </c>
      <c r="M572" s="48"/>
      <c r="N572" s="48"/>
      <c r="O572" s="48">
        <f t="shared" si="0"/>
        <v>0</v>
      </c>
      <c r="P572" s="38"/>
      <c r="Q572" s="14" t="str">
        <f t="shared" ca="1" si="1"/>
        <v/>
      </c>
      <c r="R572" s="51"/>
      <c r="S572" s="51"/>
      <c r="T572" s="51"/>
      <c r="U572" s="40"/>
      <c r="V572" s="54"/>
      <c r="W572" s="55"/>
      <c r="X572" s="56"/>
      <c r="Y572" s="88"/>
      <c r="Z572" s="88"/>
      <c r="AA572" s="88"/>
      <c r="AB572" s="88"/>
    </row>
    <row r="573" spans="1:28">
      <c r="A573" s="38">
        <v>572</v>
      </c>
      <c r="B573" s="51"/>
      <c r="C573" s="40"/>
      <c r="D573" s="38"/>
      <c r="E573" s="38" t="s">
        <v>2342</v>
      </c>
      <c r="F573" s="43" t="s">
        <v>2343</v>
      </c>
      <c r="G573" s="44"/>
      <c r="H573" s="45"/>
      <c r="I573" s="38"/>
      <c r="J573" s="38">
        <f>641</f>
        <v>641</v>
      </c>
      <c r="K573" s="46">
        <v>6.4699074074074069E-3</v>
      </c>
      <c r="L573" s="47" t="s">
        <v>1452</v>
      </c>
      <c r="M573" s="48"/>
      <c r="N573" s="48"/>
      <c r="O573" s="48">
        <f t="shared" si="0"/>
        <v>0</v>
      </c>
      <c r="P573" s="38"/>
      <c r="Q573" s="14" t="str">
        <f t="shared" ca="1" si="1"/>
        <v/>
      </c>
      <c r="R573" s="51"/>
      <c r="S573" s="51"/>
      <c r="T573" s="51"/>
      <c r="U573" s="40"/>
      <c r="V573" s="54"/>
      <c r="W573" s="55"/>
      <c r="X573" s="56"/>
      <c r="Y573" s="88"/>
      <c r="Z573" s="88"/>
      <c r="AA573" s="88"/>
      <c r="AB573" s="88"/>
    </row>
    <row r="574" spans="1:28">
      <c r="A574" s="38">
        <v>573</v>
      </c>
      <c r="B574" s="51"/>
      <c r="C574" s="40"/>
      <c r="D574" s="38"/>
      <c r="E574" s="38" t="s">
        <v>2344</v>
      </c>
      <c r="F574" s="43" t="s">
        <v>2345</v>
      </c>
      <c r="G574" s="44"/>
      <c r="H574" s="45"/>
      <c r="I574" s="38"/>
      <c r="J574" s="38">
        <f>1.1*1000</f>
        <v>1100</v>
      </c>
      <c r="K574" s="46">
        <v>2.5000000000000001E-3</v>
      </c>
      <c r="L574" s="47" t="s">
        <v>1452</v>
      </c>
      <c r="M574" s="48"/>
      <c r="N574" s="48"/>
      <c r="O574" s="48">
        <f t="shared" si="0"/>
        <v>0</v>
      </c>
      <c r="P574" s="38"/>
      <c r="Q574" s="14" t="str">
        <f t="shared" ca="1" si="1"/>
        <v/>
      </c>
      <c r="R574" s="51"/>
      <c r="S574" s="51"/>
      <c r="T574" s="51"/>
      <c r="U574" s="40"/>
      <c r="V574" s="54"/>
      <c r="W574" s="55"/>
      <c r="X574" s="56"/>
      <c r="Y574" s="88"/>
      <c r="Z574" s="88"/>
      <c r="AA574" s="88"/>
      <c r="AB574" s="88"/>
    </row>
    <row r="575" spans="1:28">
      <c r="A575" s="38">
        <v>574</v>
      </c>
      <c r="B575" s="51"/>
      <c r="C575" s="40"/>
      <c r="D575" s="38"/>
      <c r="E575" s="38" t="s">
        <v>2346</v>
      </c>
      <c r="F575" s="43" t="s">
        <v>2347</v>
      </c>
      <c r="G575" s="44"/>
      <c r="H575" s="45"/>
      <c r="I575" s="38"/>
      <c r="J575" s="38">
        <f>14*1000</f>
        <v>14000</v>
      </c>
      <c r="K575" s="46">
        <v>2.8460648148148148E-2</v>
      </c>
      <c r="L575" s="47" t="s">
        <v>2348</v>
      </c>
      <c r="M575" s="48"/>
      <c r="N575" s="48"/>
      <c r="O575" s="48">
        <f t="shared" si="0"/>
        <v>0</v>
      </c>
      <c r="P575" s="38"/>
      <c r="Q575" s="14" t="str">
        <f t="shared" ca="1" si="1"/>
        <v/>
      </c>
      <c r="R575" s="51"/>
      <c r="S575" s="51"/>
      <c r="T575" s="51"/>
      <c r="U575" s="40"/>
      <c r="V575" s="54"/>
      <c r="W575" s="55"/>
      <c r="X575" s="56"/>
      <c r="Y575" s="88"/>
      <c r="Z575" s="88"/>
      <c r="AA575" s="88"/>
      <c r="AB575" s="88"/>
    </row>
    <row r="576" spans="1:28">
      <c r="A576" s="38">
        <v>575</v>
      </c>
      <c r="B576" s="51"/>
      <c r="C576" s="40"/>
      <c r="D576" s="38"/>
      <c r="E576" s="38" t="s">
        <v>2349</v>
      </c>
      <c r="F576" s="43" t="s">
        <v>2350</v>
      </c>
      <c r="G576" s="44"/>
      <c r="H576" s="45"/>
      <c r="I576" s="38"/>
      <c r="J576" s="38">
        <f>2.7*1000</f>
        <v>2700</v>
      </c>
      <c r="K576" s="46">
        <v>1.3287037037037036E-2</v>
      </c>
      <c r="L576" s="47" t="s">
        <v>2348</v>
      </c>
      <c r="M576" s="48"/>
      <c r="N576" s="48"/>
      <c r="O576" s="48">
        <f t="shared" si="0"/>
        <v>0</v>
      </c>
      <c r="P576" s="38"/>
      <c r="Q576" s="14" t="str">
        <f t="shared" ca="1" si="1"/>
        <v/>
      </c>
      <c r="R576" s="51"/>
      <c r="S576" s="51"/>
      <c r="T576" s="51"/>
      <c r="U576" s="40"/>
      <c r="V576" s="54"/>
      <c r="W576" s="55"/>
      <c r="X576" s="56"/>
      <c r="Y576" s="88"/>
      <c r="Z576" s="88"/>
      <c r="AA576" s="88"/>
      <c r="AB576" s="88"/>
    </row>
    <row r="577" spans="1:28">
      <c r="A577" s="38">
        <v>576</v>
      </c>
      <c r="B577" s="51"/>
      <c r="C577" s="40"/>
      <c r="D577" s="38"/>
      <c r="E577" s="38" t="s">
        <v>2351</v>
      </c>
      <c r="F577" s="43" t="s">
        <v>2352</v>
      </c>
      <c r="G577" s="44"/>
      <c r="H577" s="45"/>
      <c r="I577" s="38"/>
      <c r="J577" s="38">
        <f>2.4*1000</f>
        <v>2400</v>
      </c>
      <c r="K577" s="46">
        <v>2.1909722222222223E-2</v>
      </c>
      <c r="L577" s="47" t="s">
        <v>2348</v>
      </c>
      <c r="M577" s="48"/>
      <c r="N577" s="48"/>
      <c r="O577" s="48">
        <f t="shared" si="0"/>
        <v>0</v>
      </c>
      <c r="P577" s="38"/>
      <c r="Q577" s="14" t="str">
        <f t="shared" ca="1" si="1"/>
        <v/>
      </c>
      <c r="R577" s="51"/>
      <c r="S577" s="51"/>
      <c r="T577" s="51"/>
      <c r="U577" s="40"/>
      <c r="V577" s="54"/>
      <c r="W577" s="55"/>
      <c r="X577" s="56"/>
      <c r="Y577" s="88"/>
      <c r="Z577" s="88"/>
      <c r="AA577" s="88"/>
      <c r="AB577" s="88"/>
    </row>
    <row r="578" spans="1:28">
      <c r="A578" s="38">
        <v>577</v>
      </c>
      <c r="B578" s="51"/>
      <c r="C578" s="40"/>
      <c r="D578" s="38"/>
      <c r="E578" s="38" t="s">
        <v>2353</v>
      </c>
      <c r="F578" s="43" t="s">
        <v>2354</v>
      </c>
      <c r="G578" s="44"/>
      <c r="H578" s="45"/>
      <c r="I578" s="38"/>
      <c r="J578" s="38">
        <f>1.3*1000</f>
        <v>1300</v>
      </c>
      <c r="K578" s="46">
        <v>2.4537037037037036E-3</v>
      </c>
      <c r="L578" s="47" t="s">
        <v>2348</v>
      </c>
      <c r="M578" s="48"/>
      <c r="N578" s="48"/>
      <c r="O578" s="48">
        <f t="shared" si="0"/>
        <v>0</v>
      </c>
      <c r="P578" s="38"/>
      <c r="Q578" s="14" t="str">
        <f t="shared" ca="1" si="1"/>
        <v/>
      </c>
      <c r="R578" s="51"/>
      <c r="S578" s="51"/>
      <c r="T578" s="51"/>
      <c r="U578" s="40"/>
      <c r="V578" s="54"/>
      <c r="W578" s="55"/>
      <c r="X578" s="56"/>
      <c r="Y578" s="88"/>
      <c r="Z578" s="88"/>
      <c r="AA578" s="88"/>
      <c r="AB578" s="88"/>
    </row>
    <row r="579" spans="1:28">
      <c r="A579" s="38">
        <v>578</v>
      </c>
      <c r="B579" s="51"/>
      <c r="C579" s="40"/>
      <c r="D579" s="38"/>
      <c r="E579" s="38" t="s">
        <v>2357</v>
      </c>
      <c r="F579" s="43" t="s">
        <v>2358</v>
      </c>
      <c r="G579" s="44"/>
      <c r="H579" s="45"/>
      <c r="I579" s="38"/>
      <c r="J579" s="38">
        <f>6.5*1000</f>
        <v>6500</v>
      </c>
      <c r="K579" s="46">
        <v>2.7986111111111111E-2</v>
      </c>
      <c r="L579" s="47" t="s">
        <v>2348</v>
      </c>
      <c r="M579" s="48"/>
      <c r="N579" s="48"/>
      <c r="O579" s="48">
        <f t="shared" si="0"/>
        <v>0</v>
      </c>
      <c r="P579" s="38"/>
      <c r="Q579" s="14" t="str">
        <f t="shared" ca="1" si="1"/>
        <v/>
      </c>
      <c r="R579" s="51"/>
      <c r="S579" s="51"/>
      <c r="T579" s="51"/>
      <c r="U579" s="40"/>
      <c r="V579" s="54"/>
      <c r="W579" s="55"/>
      <c r="X579" s="56"/>
      <c r="Y579" s="88"/>
      <c r="Z579" s="88"/>
      <c r="AA579" s="88"/>
      <c r="AB579" s="88"/>
    </row>
    <row r="580" spans="1:28">
      <c r="A580" s="38">
        <v>579</v>
      </c>
      <c r="B580" s="39" t="s">
        <v>497</v>
      </c>
      <c r="C580" s="40"/>
      <c r="D580" s="42" t="s">
        <v>139</v>
      </c>
      <c r="E580" s="38" t="s">
        <v>2359</v>
      </c>
      <c r="F580" s="43" t="s">
        <v>2360</v>
      </c>
      <c r="G580" s="44"/>
      <c r="H580" s="45"/>
      <c r="I580" s="38"/>
      <c r="J580" s="38">
        <f>7.9*1000</f>
        <v>7900</v>
      </c>
      <c r="K580" s="46">
        <v>4.5439814814814815E-2</v>
      </c>
      <c r="L580" s="47" t="s">
        <v>2348</v>
      </c>
      <c r="M580" s="48"/>
      <c r="N580" s="48"/>
      <c r="O580" s="48">
        <f t="shared" si="0"/>
        <v>0</v>
      </c>
      <c r="P580" s="38"/>
      <c r="Q580" s="14" t="str">
        <f t="shared" ca="1" si="1"/>
        <v/>
      </c>
      <c r="R580" s="51"/>
      <c r="S580" s="51"/>
      <c r="T580" s="51"/>
      <c r="U580" s="40"/>
      <c r="V580" s="54"/>
      <c r="W580" s="55"/>
      <c r="X580" s="56"/>
      <c r="Y580" s="88"/>
      <c r="Z580" s="88"/>
      <c r="AA580" s="88"/>
      <c r="AB580" s="88"/>
    </row>
    <row r="581" spans="1:28">
      <c r="A581" s="38">
        <v>580</v>
      </c>
      <c r="B581" s="51"/>
      <c r="C581" s="40"/>
      <c r="D581" s="38"/>
      <c r="E581" s="38" t="s">
        <v>2361</v>
      </c>
      <c r="F581" s="43" t="s">
        <v>2362</v>
      </c>
      <c r="G581" s="44"/>
      <c r="H581" s="45"/>
      <c r="I581" s="38"/>
      <c r="J581" s="38">
        <f>520</f>
        <v>520</v>
      </c>
      <c r="K581" s="46">
        <v>1.3541666666666667E-3</v>
      </c>
      <c r="L581" s="47" t="s">
        <v>2348</v>
      </c>
      <c r="M581" s="48"/>
      <c r="N581" s="48"/>
      <c r="O581" s="48">
        <f t="shared" si="0"/>
        <v>0</v>
      </c>
      <c r="P581" s="38"/>
      <c r="Q581" s="14" t="str">
        <f t="shared" ca="1" si="1"/>
        <v/>
      </c>
      <c r="R581" s="51"/>
      <c r="S581" s="51"/>
      <c r="T581" s="51"/>
      <c r="U581" s="40"/>
      <c r="V581" s="54"/>
      <c r="W581" s="55"/>
      <c r="X581" s="56"/>
      <c r="Y581" s="88"/>
      <c r="Z581" s="88"/>
      <c r="AA581" s="88"/>
      <c r="AB581" s="88"/>
    </row>
    <row r="582" spans="1:28">
      <c r="A582" s="38">
        <v>581</v>
      </c>
      <c r="B582" s="51"/>
      <c r="C582" s="40"/>
      <c r="D582" s="38"/>
      <c r="E582" s="38" t="s">
        <v>2365</v>
      </c>
      <c r="F582" s="43" t="s">
        <v>2366</v>
      </c>
      <c r="G582" s="44"/>
      <c r="H582" s="45"/>
      <c r="I582" s="38"/>
      <c r="J582" s="38">
        <f>658</f>
        <v>658</v>
      </c>
      <c r="K582" s="46">
        <v>3.8657407407407408E-3</v>
      </c>
      <c r="L582" s="47" t="s">
        <v>2348</v>
      </c>
      <c r="M582" s="48"/>
      <c r="N582" s="48"/>
      <c r="O582" s="48">
        <f t="shared" si="0"/>
        <v>0</v>
      </c>
      <c r="P582" s="38"/>
      <c r="Q582" s="14" t="str">
        <f t="shared" ca="1" si="1"/>
        <v/>
      </c>
      <c r="R582" s="51"/>
      <c r="S582" s="51"/>
      <c r="T582" s="51"/>
      <c r="U582" s="40"/>
      <c r="V582" s="54"/>
      <c r="W582" s="55"/>
      <c r="X582" s="56"/>
      <c r="Y582" s="88"/>
      <c r="Z582" s="88"/>
      <c r="AA582" s="88"/>
      <c r="AB582" s="88"/>
    </row>
    <row r="583" spans="1:28">
      <c r="A583" s="38">
        <v>582</v>
      </c>
      <c r="B583" s="51"/>
      <c r="C583" s="40"/>
      <c r="D583" s="38"/>
      <c r="E583" s="38" t="s">
        <v>2367</v>
      </c>
      <c r="F583" s="43" t="s">
        <v>2368</v>
      </c>
      <c r="G583" s="44"/>
      <c r="H583" s="45"/>
      <c r="I583" s="38"/>
      <c r="J583" s="38">
        <f>457</f>
        <v>457</v>
      </c>
      <c r="K583" s="46">
        <v>2.685185185185185E-3</v>
      </c>
      <c r="L583" s="47" t="s">
        <v>2348</v>
      </c>
      <c r="M583" s="48"/>
      <c r="N583" s="48"/>
      <c r="O583" s="48">
        <f t="shared" si="0"/>
        <v>0</v>
      </c>
      <c r="P583" s="38"/>
      <c r="Q583" s="14" t="str">
        <f t="shared" ca="1" si="1"/>
        <v/>
      </c>
      <c r="R583" s="51"/>
      <c r="S583" s="51"/>
      <c r="T583" s="51"/>
      <c r="U583" s="40"/>
      <c r="V583" s="54"/>
      <c r="W583" s="55"/>
      <c r="X583" s="56"/>
      <c r="Y583" s="88"/>
      <c r="Z583" s="88"/>
      <c r="AA583" s="88"/>
      <c r="AB583" s="88"/>
    </row>
    <row r="584" spans="1:28">
      <c r="A584" s="38">
        <v>583</v>
      </c>
      <c r="B584" s="51"/>
      <c r="C584" s="40"/>
      <c r="D584" s="38"/>
      <c r="E584" s="38" t="s">
        <v>2370</v>
      </c>
      <c r="F584" s="43" t="s">
        <v>2371</v>
      </c>
      <c r="G584" s="44"/>
      <c r="H584" s="45"/>
      <c r="I584" s="38"/>
      <c r="J584" s="38">
        <f>689</f>
        <v>689</v>
      </c>
      <c r="K584" s="46">
        <v>1.4583333333333334E-3</v>
      </c>
      <c r="L584" s="47" t="s">
        <v>2348</v>
      </c>
      <c r="M584" s="48"/>
      <c r="N584" s="48"/>
      <c r="O584" s="48">
        <f t="shared" si="0"/>
        <v>0</v>
      </c>
      <c r="P584" s="38"/>
      <c r="Q584" s="14" t="str">
        <f t="shared" ca="1" si="1"/>
        <v/>
      </c>
      <c r="R584" s="51"/>
      <c r="S584" s="51"/>
      <c r="T584" s="51"/>
      <c r="U584" s="40"/>
      <c r="V584" s="54"/>
      <c r="W584" s="55"/>
      <c r="X584" s="56"/>
      <c r="Y584" s="88"/>
      <c r="Z584" s="88"/>
      <c r="AA584" s="88"/>
      <c r="AB584" s="88"/>
    </row>
    <row r="585" spans="1:28">
      <c r="A585" s="38">
        <v>584</v>
      </c>
      <c r="B585" s="51"/>
      <c r="C585" s="40"/>
      <c r="D585" s="38"/>
      <c r="E585" s="38" t="s">
        <v>2375</v>
      </c>
      <c r="F585" s="43" t="s">
        <v>2376</v>
      </c>
      <c r="G585" s="44"/>
      <c r="H585" s="45"/>
      <c r="I585" s="38"/>
      <c r="J585" s="38">
        <f>422</f>
        <v>422</v>
      </c>
      <c r="K585" s="46">
        <v>2.627314814814815E-3</v>
      </c>
      <c r="L585" s="47" t="s">
        <v>2348</v>
      </c>
      <c r="M585" s="48"/>
      <c r="N585" s="48"/>
      <c r="O585" s="48">
        <f t="shared" si="0"/>
        <v>0</v>
      </c>
      <c r="P585" s="38"/>
      <c r="Q585" s="14" t="str">
        <f t="shared" ca="1" si="1"/>
        <v/>
      </c>
      <c r="R585" s="51"/>
      <c r="S585" s="51"/>
      <c r="T585" s="51"/>
      <c r="U585" s="40"/>
      <c r="V585" s="54"/>
      <c r="W585" s="55"/>
      <c r="X585" s="56"/>
      <c r="Y585" s="88"/>
      <c r="Z585" s="88"/>
      <c r="AA585" s="88"/>
      <c r="AB585" s="88"/>
    </row>
    <row r="586" spans="1:28">
      <c r="A586" s="38">
        <v>585</v>
      </c>
      <c r="B586" s="51"/>
      <c r="C586" s="40"/>
      <c r="D586" s="38"/>
      <c r="E586" s="38" t="s">
        <v>2377</v>
      </c>
      <c r="F586" s="43" t="s">
        <v>2378</v>
      </c>
      <c r="G586" s="44"/>
      <c r="H586" s="45"/>
      <c r="I586" s="38"/>
      <c r="J586" s="38">
        <f>393</f>
        <v>393</v>
      </c>
      <c r="K586" s="46">
        <v>2.0486111111111113E-3</v>
      </c>
      <c r="L586" s="47" t="s">
        <v>2348</v>
      </c>
      <c r="M586" s="48"/>
      <c r="N586" s="48"/>
      <c r="O586" s="48">
        <f t="shared" si="0"/>
        <v>0</v>
      </c>
      <c r="P586" s="38"/>
      <c r="Q586" s="14" t="str">
        <f t="shared" ca="1" si="1"/>
        <v/>
      </c>
      <c r="R586" s="51"/>
      <c r="S586" s="51"/>
      <c r="T586" s="51"/>
      <c r="U586" s="40"/>
      <c r="V586" s="54"/>
      <c r="W586" s="55"/>
      <c r="X586" s="56"/>
      <c r="Y586" s="88"/>
      <c r="Z586" s="88"/>
      <c r="AA586" s="88"/>
      <c r="AB586" s="88"/>
    </row>
    <row r="587" spans="1:28">
      <c r="A587" s="38">
        <v>586</v>
      </c>
      <c r="B587" s="51"/>
      <c r="C587" s="40"/>
      <c r="D587" s="38"/>
      <c r="E587" s="38" t="s">
        <v>2379</v>
      </c>
      <c r="F587" s="43" t="s">
        <v>2380</v>
      </c>
      <c r="G587" s="44"/>
      <c r="H587" s="45"/>
      <c r="I587" s="38"/>
      <c r="J587" s="38">
        <f>397</f>
        <v>397</v>
      </c>
      <c r="K587" s="46">
        <v>2.0138888888888888E-3</v>
      </c>
      <c r="L587" s="47" t="s">
        <v>2348</v>
      </c>
      <c r="M587" s="48"/>
      <c r="N587" s="48"/>
      <c r="O587" s="48">
        <f t="shared" si="0"/>
        <v>0</v>
      </c>
      <c r="P587" s="38"/>
      <c r="Q587" s="14" t="str">
        <f t="shared" ca="1" si="1"/>
        <v/>
      </c>
      <c r="R587" s="51"/>
      <c r="S587" s="51"/>
      <c r="T587" s="51"/>
      <c r="U587" s="40"/>
      <c r="V587" s="54"/>
      <c r="W587" s="55"/>
      <c r="X587" s="56"/>
      <c r="Y587" s="88"/>
      <c r="Z587" s="88"/>
      <c r="AA587" s="88"/>
      <c r="AB587" s="88"/>
    </row>
    <row r="588" spans="1:28">
      <c r="A588" s="38">
        <v>587</v>
      </c>
      <c r="B588" s="51"/>
      <c r="C588" s="40"/>
      <c r="D588" s="38"/>
      <c r="E588" s="38" t="s">
        <v>2385</v>
      </c>
      <c r="F588" s="43" t="s">
        <v>2386</v>
      </c>
      <c r="G588" s="44"/>
      <c r="H588" s="45"/>
      <c r="I588" s="38"/>
      <c r="J588" s="38">
        <f>1*1000</f>
        <v>1000</v>
      </c>
      <c r="K588" s="46">
        <v>1.6666666666666668E-3</v>
      </c>
      <c r="L588" s="47" t="s">
        <v>2348</v>
      </c>
      <c r="M588" s="48"/>
      <c r="N588" s="48"/>
      <c r="O588" s="48">
        <f t="shared" si="0"/>
        <v>0</v>
      </c>
      <c r="P588" s="38"/>
      <c r="Q588" s="14" t="str">
        <f t="shared" ca="1" si="1"/>
        <v/>
      </c>
      <c r="R588" s="51"/>
      <c r="S588" s="51"/>
      <c r="T588" s="51"/>
      <c r="U588" s="40"/>
      <c r="V588" s="54"/>
      <c r="W588" s="55"/>
      <c r="X588" s="56"/>
      <c r="Y588" s="88"/>
      <c r="Z588" s="88"/>
      <c r="AA588" s="88"/>
      <c r="AB588" s="88"/>
    </row>
    <row r="589" spans="1:28">
      <c r="A589" s="38">
        <v>588</v>
      </c>
      <c r="B589" s="51"/>
      <c r="C589" s="40"/>
      <c r="D589" s="38"/>
      <c r="E589" s="38" t="s">
        <v>2387</v>
      </c>
      <c r="F589" s="43" t="s">
        <v>2388</v>
      </c>
      <c r="G589" s="44"/>
      <c r="H589" s="45"/>
      <c r="I589" s="38"/>
      <c r="J589" s="38">
        <f>506</f>
        <v>506</v>
      </c>
      <c r="K589" s="46">
        <v>2.9166666666666668E-3</v>
      </c>
      <c r="L589" s="47" t="s">
        <v>2348</v>
      </c>
      <c r="M589" s="48"/>
      <c r="N589" s="48"/>
      <c r="O589" s="48">
        <f t="shared" si="0"/>
        <v>0</v>
      </c>
      <c r="P589" s="38"/>
      <c r="Q589" s="14" t="str">
        <f t="shared" ca="1" si="1"/>
        <v/>
      </c>
      <c r="R589" s="51"/>
      <c r="S589" s="51"/>
      <c r="T589" s="51"/>
      <c r="U589" s="40"/>
      <c r="V589" s="54"/>
      <c r="W589" s="55"/>
      <c r="X589" s="56"/>
      <c r="Y589" s="88"/>
      <c r="Z589" s="88"/>
      <c r="AA589" s="88"/>
      <c r="AB589" s="88"/>
    </row>
    <row r="590" spans="1:28">
      <c r="A590" s="38">
        <v>589</v>
      </c>
      <c r="B590" s="39" t="s">
        <v>497</v>
      </c>
      <c r="C590" s="41"/>
      <c r="D590" s="42" t="s">
        <v>139</v>
      </c>
      <c r="E590" s="38" t="s">
        <v>2390</v>
      </c>
      <c r="F590" s="43" t="s">
        <v>2391</v>
      </c>
      <c r="G590" s="44"/>
      <c r="H590" s="45"/>
      <c r="I590" s="38"/>
      <c r="J590" s="38">
        <f>25*1000</f>
        <v>25000</v>
      </c>
      <c r="K590" s="46">
        <v>6.9039351851851852E-2</v>
      </c>
      <c r="L590" s="47" t="s">
        <v>2348</v>
      </c>
      <c r="M590" s="48"/>
      <c r="N590" s="48"/>
      <c r="O590" s="48">
        <f t="shared" si="0"/>
        <v>0</v>
      </c>
      <c r="P590" s="38"/>
      <c r="Q590" s="14" t="str">
        <f t="shared" ca="1" si="1"/>
        <v/>
      </c>
      <c r="R590" s="51"/>
      <c r="S590" s="51"/>
      <c r="T590" s="51"/>
      <c r="U590" s="40"/>
      <c r="V590" s="54"/>
      <c r="W590" s="55"/>
      <c r="X590" s="56"/>
      <c r="Y590" s="88"/>
      <c r="Z590" s="88"/>
      <c r="AA590" s="88"/>
      <c r="AB590" s="88"/>
    </row>
    <row r="591" spans="1:28">
      <c r="A591" s="38">
        <v>590</v>
      </c>
      <c r="B591" s="51"/>
      <c r="C591" s="40"/>
      <c r="D591" s="38"/>
      <c r="E591" s="38" t="s">
        <v>2394</v>
      </c>
      <c r="F591" s="43" t="s">
        <v>2395</v>
      </c>
      <c r="G591" s="44"/>
      <c r="H591" s="45"/>
      <c r="I591" s="38"/>
      <c r="J591" s="38">
        <f>922</f>
        <v>922</v>
      </c>
      <c r="K591" s="46">
        <v>3.7962962962962963E-3</v>
      </c>
      <c r="L591" s="47" t="s">
        <v>2348</v>
      </c>
      <c r="M591" s="48"/>
      <c r="N591" s="48"/>
      <c r="O591" s="48">
        <f t="shared" si="0"/>
        <v>0</v>
      </c>
      <c r="P591" s="38"/>
      <c r="Q591" s="14" t="str">
        <f t="shared" ca="1" si="1"/>
        <v/>
      </c>
      <c r="R591" s="51"/>
      <c r="S591" s="51"/>
      <c r="T591" s="51"/>
      <c r="U591" s="40"/>
      <c r="V591" s="54"/>
      <c r="W591" s="55"/>
      <c r="X591" s="56"/>
      <c r="Y591" s="88"/>
      <c r="Z591" s="88"/>
      <c r="AA591" s="88"/>
      <c r="AB591" s="88"/>
    </row>
    <row r="592" spans="1:28">
      <c r="A592" s="38">
        <v>591</v>
      </c>
      <c r="B592" s="51"/>
      <c r="C592" s="40"/>
      <c r="D592" s="38"/>
      <c r="E592" s="38" t="s">
        <v>2396</v>
      </c>
      <c r="F592" s="43" t="s">
        <v>2397</v>
      </c>
      <c r="G592" s="44"/>
      <c r="H592" s="45"/>
      <c r="I592" s="38"/>
      <c r="J592" s="38">
        <f>931</f>
        <v>931</v>
      </c>
      <c r="K592" s="46">
        <v>3.7152777777777774E-3</v>
      </c>
      <c r="L592" s="47" t="s">
        <v>645</v>
      </c>
      <c r="M592" s="48"/>
      <c r="N592" s="48"/>
      <c r="O592" s="48">
        <f t="shared" si="0"/>
        <v>0</v>
      </c>
      <c r="P592" s="38"/>
      <c r="Q592" s="14" t="str">
        <f t="shared" ca="1" si="1"/>
        <v/>
      </c>
      <c r="R592" s="51"/>
      <c r="S592" s="51"/>
      <c r="T592" s="51"/>
      <c r="U592" s="40"/>
      <c r="V592" s="54"/>
      <c r="W592" s="55"/>
      <c r="X592" s="56"/>
      <c r="Y592" s="88"/>
      <c r="Z592" s="88"/>
      <c r="AA592" s="88"/>
      <c r="AB592" s="88"/>
    </row>
    <row r="593" spans="1:28">
      <c r="A593" s="38">
        <v>592</v>
      </c>
      <c r="B593" s="51"/>
      <c r="C593" s="40"/>
      <c r="D593" s="38"/>
      <c r="E593" s="38" t="s">
        <v>2400</v>
      </c>
      <c r="F593" s="43" t="s">
        <v>2401</v>
      </c>
      <c r="G593" s="44"/>
      <c r="H593" s="45"/>
      <c r="I593" s="38"/>
      <c r="J593" s="38">
        <f>799</f>
        <v>799</v>
      </c>
      <c r="K593" s="46">
        <v>2.7777777777777779E-3</v>
      </c>
      <c r="L593" s="47" t="s">
        <v>645</v>
      </c>
      <c r="M593" s="48"/>
      <c r="N593" s="48"/>
      <c r="O593" s="48">
        <f t="shared" si="0"/>
        <v>0</v>
      </c>
      <c r="P593" s="38"/>
      <c r="Q593" s="14" t="str">
        <f t="shared" ca="1" si="1"/>
        <v/>
      </c>
      <c r="R593" s="51"/>
      <c r="S593" s="51"/>
      <c r="T593" s="51"/>
      <c r="U593" s="40"/>
      <c r="V593" s="54"/>
      <c r="W593" s="55"/>
      <c r="X593" s="56"/>
      <c r="Y593" s="88"/>
      <c r="Z593" s="88"/>
      <c r="AA593" s="88"/>
      <c r="AB593" s="88"/>
    </row>
    <row r="594" spans="1:28">
      <c r="A594" s="38">
        <v>593</v>
      </c>
      <c r="B594" s="51"/>
      <c r="C594" s="40"/>
      <c r="D594" s="38"/>
      <c r="E594" s="38" t="s">
        <v>2402</v>
      </c>
      <c r="F594" s="43" t="s">
        <v>2403</v>
      </c>
      <c r="G594" s="44"/>
      <c r="H594" s="45"/>
      <c r="I594" s="38"/>
      <c r="J594" s="38">
        <f>783</f>
        <v>783</v>
      </c>
      <c r="K594" s="46">
        <v>3.7268518518518514E-3</v>
      </c>
      <c r="L594" s="47" t="s">
        <v>645</v>
      </c>
      <c r="M594" s="48"/>
      <c r="N594" s="48"/>
      <c r="O594" s="48">
        <f t="shared" si="0"/>
        <v>0</v>
      </c>
      <c r="P594" s="38"/>
      <c r="Q594" s="14" t="str">
        <f t="shared" ca="1" si="1"/>
        <v/>
      </c>
      <c r="R594" s="51"/>
      <c r="S594" s="51"/>
      <c r="T594" s="51"/>
      <c r="U594" s="40"/>
      <c r="V594" s="54"/>
      <c r="W594" s="55"/>
      <c r="X594" s="56"/>
      <c r="Y594" s="88"/>
      <c r="Z594" s="88"/>
      <c r="AA594" s="88"/>
      <c r="AB594" s="88"/>
    </row>
    <row r="595" spans="1:28">
      <c r="A595" s="38">
        <v>594</v>
      </c>
      <c r="B595" s="51"/>
      <c r="C595" s="40"/>
      <c r="D595" s="38"/>
      <c r="E595" s="38" t="s">
        <v>2404</v>
      </c>
      <c r="F595" s="43" t="s">
        <v>2406</v>
      </c>
      <c r="G595" s="44"/>
      <c r="H595" s="45"/>
      <c r="I595" s="38"/>
      <c r="J595" s="38">
        <f>1*1000</f>
        <v>1000</v>
      </c>
      <c r="K595" s="46">
        <v>1.0891203703703703E-2</v>
      </c>
      <c r="L595" s="47" t="s">
        <v>645</v>
      </c>
      <c r="M595" s="48"/>
      <c r="N595" s="48"/>
      <c r="O595" s="48">
        <f t="shared" si="0"/>
        <v>0</v>
      </c>
      <c r="P595" s="38"/>
      <c r="Q595" s="14" t="str">
        <f t="shared" ca="1" si="1"/>
        <v/>
      </c>
      <c r="R595" s="51"/>
      <c r="S595" s="51"/>
      <c r="T595" s="51"/>
      <c r="U595" s="40"/>
      <c r="V595" s="54"/>
      <c r="W595" s="55"/>
      <c r="X595" s="56"/>
      <c r="Y595" s="88"/>
      <c r="Z595" s="88"/>
      <c r="AA595" s="88"/>
      <c r="AB595" s="88"/>
    </row>
    <row r="596" spans="1:28">
      <c r="A596" s="38">
        <v>595</v>
      </c>
      <c r="B596" s="51"/>
      <c r="C596" s="40"/>
      <c r="D596" s="38"/>
      <c r="E596" s="38" t="s">
        <v>2409</v>
      </c>
      <c r="F596" s="43" t="s">
        <v>2410</v>
      </c>
      <c r="G596" s="44"/>
      <c r="H596" s="45"/>
      <c r="I596" s="38"/>
      <c r="J596" s="38">
        <f>13*1000</f>
        <v>13000</v>
      </c>
      <c r="K596" s="46">
        <v>1.2939814814814814E-2</v>
      </c>
      <c r="L596" s="47" t="s">
        <v>645</v>
      </c>
      <c r="M596" s="48"/>
      <c r="N596" s="48"/>
      <c r="O596" s="48">
        <f t="shared" si="0"/>
        <v>0</v>
      </c>
      <c r="P596" s="38"/>
      <c r="Q596" s="14" t="str">
        <f t="shared" ca="1" si="1"/>
        <v/>
      </c>
      <c r="R596" s="51"/>
      <c r="S596" s="51"/>
      <c r="T596" s="51"/>
      <c r="U596" s="40"/>
      <c r="V596" s="54"/>
      <c r="W596" s="55"/>
      <c r="X596" s="56"/>
      <c r="Y596" s="88"/>
      <c r="Z596" s="88"/>
      <c r="AA596" s="88"/>
      <c r="AB596" s="88"/>
    </row>
    <row r="597" spans="1:28">
      <c r="A597" s="38">
        <v>596</v>
      </c>
      <c r="B597" s="51"/>
      <c r="C597" s="40"/>
      <c r="D597" s="38"/>
      <c r="E597" s="38" t="s">
        <v>2413</v>
      </c>
      <c r="F597" s="43" t="s">
        <v>2414</v>
      </c>
      <c r="G597" s="44"/>
      <c r="H597" s="45"/>
      <c r="I597" s="38"/>
      <c r="J597" s="38">
        <f>20*1000</f>
        <v>20000</v>
      </c>
      <c r="K597" s="46">
        <v>2.989583333333333E-2</v>
      </c>
      <c r="L597" s="47" t="s">
        <v>645</v>
      </c>
      <c r="M597" s="48"/>
      <c r="N597" s="48"/>
      <c r="O597" s="48">
        <f t="shared" si="0"/>
        <v>0</v>
      </c>
      <c r="P597" s="38"/>
      <c r="Q597" s="14" t="str">
        <f t="shared" ca="1" si="1"/>
        <v/>
      </c>
      <c r="R597" s="51"/>
      <c r="S597" s="51"/>
      <c r="T597" s="51"/>
      <c r="U597" s="40"/>
      <c r="V597" s="54"/>
      <c r="W597" s="55"/>
      <c r="X597" s="56"/>
      <c r="Y597" s="88"/>
      <c r="Z597" s="88"/>
      <c r="AA597" s="88"/>
      <c r="AB597" s="88"/>
    </row>
    <row r="598" spans="1:28">
      <c r="A598" s="38">
        <v>597</v>
      </c>
      <c r="B598" s="39" t="s">
        <v>497</v>
      </c>
      <c r="C598" s="40"/>
      <c r="D598" s="42" t="s">
        <v>142</v>
      </c>
      <c r="E598" s="38" t="s">
        <v>2417</v>
      </c>
      <c r="F598" s="43" t="s">
        <v>2418</v>
      </c>
      <c r="G598" s="44"/>
      <c r="H598" s="45"/>
      <c r="I598" s="38"/>
      <c r="J598" s="38">
        <f>5.6*1000</f>
        <v>5600</v>
      </c>
      <c r="K598" s="46">
        <v>1.7349537037037038E-2</v>
      </c>
      <c r="L598" s="47" t="s">
        <v>645</v>
      </c>
      <c r="M598" s="48"/>
      <c r="N598" s="48"/>
      <c r="O598" s="48">
        <f t="shared" si="0"/>
        <v>0</v>
      </c>
      <c r="P598" s="38"/>
      <c r="Q598" s="14" t="str">
        <f t="shared" ca="1" si="1"/>
        <v/>
      </c>
      <c r="R598" s="51"/>
      <c r="S598" s="51"/>
      <c r="T598" s="51"/>
      <c r="U598" s="40"/>
      <c r="V598" s="54"/>
      <c r="W598" s="55"/>
      <c r="X598" s="56"/>
      <c r="Y598" s="88"/>
      <c r="Z598" s="88"/>
      <c r="AA598" s="88"/>
      <c r="AB598" s="88"/>
    </row>
    <row r="599" spans="1:28">
      <c r="A599" s="38">
        <v>598</v>
      </c>
      <c r="B599" s="51"/>
      <c r="C599" s="40"/>
      <c r="D599" s="38"/>
      <c r="E599" s="38" t="s">
        <v>2421</v>
      </c>
      <c r="F599" s="43" t="s">
        <v>2422</v>
      </c>
      <c r="G599" s="44"/>
      <c r="H599" s="45"/>
      <c r="I599" s="38"/>
      <c r="J599" s="38">
        <f>909</f>
        <v>909</v>
      </c>
      <c r="K599" s="46">
        <v>4.9305555555555552E-3</v>
      </c>
      <c r="L599" s="47" t="s">
        <v>645</v>
      </c>
      <c r="M599" s="48"/>
      <c r="N599" s="48"/>
      <c r="O599" s="48">
        <f t="shared" si="0"/>
        <v>0</v>
      </c>
      <c r="P599" s="38"/>
      <c r="Q599" s="14" t="str">
        <f t="shared" ca="1" si="1"/>
        <v/>
      </c>
      <c r="R599" s="51"/>
      <c r="S599" s="51"/>
      <c r="T599" s="51"/>
      <c r="U599" s="40"/>
      <c r="V599" s="54"/>
      <c r="W599" s="55"/>
      <c r="X599" s="56"/>
      <c r="Y599" s="88"/>
      <c r="Z599" s="88"/>
      <c r="AA599" s="88"/>
      <c r="AB599" s="88"/>
    </row>
    <row r="600" spans="1:28">
      <c r="A600" s="38">
        <v>599</v>
      </c>
      <c r="B600" s="51"/>
      <c r="C600" s="40"/>
      <c r="D600" s="38"/>
      <c r="E600" s="38" t="s">
        <v>2425</v>
      </c>
      <c r="F600" s="43" t="s">
        <v>2426</v>
      </c>
      <c r="G600" s="44"/>
      <c r="H600" s="45"/>
      <c r="I600" s="38"/>
      <c r="J600" s="38">
        <f>366</f>
        <v>366</v>
      </c>
      <c r="K600" s="46">
        <v>3.9699074074074072E-3</v>
      </c>
      <c r="L600" s="47" t="s">
        <v>645</v>
      </c>
      <c r="M600" s="48"/>
      <c r="N600" s="48"/>
      <c r="O600" s="48">
        <f t="shared" si="0"/>
        <v>0</v>
      </c>
      <c r="P600" s="38"/>
      <c r="Q600" s="14" t="str">
        <f t="shared" ca="1" si="1"/>
        <v/>
      </c>
      <c r="R600" s="51"/>
      <c r="S600" s="51"/>
      <c r="T600" s="51"/>
      <c r="U600" s="40"/>
      <c r="V600" s="54"/>
      <c r="W600" s="55"/>
      <c r="X600" s="56"/>
      <c r="Y600" s="88"/>
      <c r="Z600" s="88"/>
      <c r="AA600" s="88"/>
      <c r="AB600" s="88"/>
    </row>
    <row r="601" spans="1:28">
      <c r="A601" s="38">
        <v>600</v>
      </c>
      <c r="B601" s="51"/>
      <c r="C601" s="40"/>
      <c r="D601" s="38"/>
      <c r="E601" s="38" t="s">
        <v>2427</v>
      </c>
      <c r="F601" s="43" t="s">
        <v>2428</v>
      </c>
      <c r="G601" s="44"/>
      <c r="H601" s="45"/>
      <c r="I601" s="38"/>
      <c r="J601" s="38">
        <f>559</f>
        <v>559</v>
      </c>
      <c r="K601" s="46">
        <v>1.8287037037037037E-3</v>
      </c>
      <c r="L601" s="47" t="s">
        <v>645</v>
      </c>
      <c r="M601" s="48"/>
      <c r="N601" s="48"/>
      <c r="O601" s="48">
        <f t="shared" si="0"/>
        <v>0</v>
      </c>
      <c r="P601" s="38"/>
      <c r="Q601" s="14" t="str">
        <f t="shared" ca="1" si="1"/>
        <v/>
      </c>
      <c r="R601" s="51"/>
      <c r="S601" s="51"/>
      <c r="T601" s="51"/>
      <c r="U601" s="40"/>
      <c r="V601" s="54"/>
      <c r="W601" s="55"/>
      <c r="X601" s="56"/>
      <c r="Y601" s="88"/>
      <c r="Z601" s="88"/>
      <c r="AA601" s="88"/>
      <c r="AB601" s="88"/>
    </row>
    <row r="602" spans="1:28">
      <c r="A602" s="38">
        <v>601</v>
      </c>
      <c r="B602" s="51"/>
      <c r="C602" s="40"/>
      <c r="D602" s="38"/>
      <c r="E602" s="38" t="s">
        <v>2431</v>
      </c>
      <c r="F602" s="43" t="s">
        <v>2432</v>
      </c>
      <c r="G602" s="44"/>
      <c r="H602" s="45"/>
      <c r="I602" s="38"/>
      <c r="J602" s="38">
        <f>511</f>
        <v>511</v>
      </c>
      <c r="K602" s="46">
        <v>1.7824074074074072E-3</v>
      </c>
      <c r="L602" s="47" t="s">
        <v>645</v>
      </c>
      <c r="M602" s="48"/>
      <c r="N602" s="48"/>
      <c r="O602" s="48">
        <f t="shared" si="0"/>
        <v>0</v>
      </c>
      <c r="P602" s="38"/>
      <c r="Q602" s="14" t="str">
        <f t="shared" ca="1" si="1"/>
        <v/>
      </c>
      <c r="R602" s="51"/>
      <c r="S602" s="51"/>
      <c r="T602" s="51"/>
      <c r="U602" s="40"/>
      <c r="V602" s="54"/>
      <c r="W602" s="55"/>
      <c r="X602" s="56"/>
      <c r="Y602" s="88"/>
      <c r="Z602" s="88"/>
      <c r="AA602" s="88"/>
      <c r="AB602" s="88"/>
    </row>
    <row r="603" spans="1:28">
      <c r="A603" s="38">
        <v>602</v>
      </c>
      <c r="B603" s="51"/>
      <c r="C603" s="40"/>
      <c r="D603" s="38"/>
      <c r="E603" s="38" t="s">
        <v>2436</v>
      </c>
      <c r="F603" s="43" t="s">
        <v>2438</v>
      </c>
      <c r="G603" s="44"/>
      <c r="H603" s="45"/>
      <c r="I603" s="38"/>
      <c r="J603" s="38">
        <f t="shared" ref="J603:J604" si="12">1*1000</f>
        <v>1000</v>
      </c>
      <c r="K603" s="46">
        <v>5.6481481481481478E-3</v>
      </c>
      <c r="L603" s="47" t="s">
        <v>645</v>
      </c>
      <c r="M603" s="48"/>
      <c r="N603" s="48"/>
      <c r="O603" s="48">
        <f t="shared" si="0"/>
        <v>0</v>
      </c>
      <c r="P603" s="38"/>
      <c r="Q603" s="14" t="str">
        <f t="shared" ca="1" si="1"/>
        <v/>
      </c>
      <c r="R603" s="51"/>
      <c r="S603" s="51"/>
      <c r="T603" s="51"/>
      <c r="U603" s="40"/>
      <c r="V603" s="54"/>
      <c r="W603" s="55"/>
      <c r="X603" s="56"/>
      <c r="Y603" s="88"/>
      <c r="Z603" s="88"/>
      <c r="AA603" s="88"/>
      <c r="AB603" s="88"/>
    </row>
    <row r="604" spans="1:28">
      <c r="A604" s="38">
        <v>603</v>
      </c>
      <c r="B604" s="51"/>
      <c r="C604" s="40"/>
      <c r="D604" s="38"/>
      <c r="E604" s="38" t="s">
        <v>2443</v>
      </c>
      <c r="F604" s="43" t="s">
        <v>2444</v>
      </c>
      <c r="G604" s="44"/>
      <c r="H604" s="45"/>
      <c r="I604" s="38"/>
      <c r="J604" s="38">
        <f t="shared" si="12"/>
        <v>1000</v>
      </c>
      <c r="K604" s="46">
        <v>1.9791666666666668E-3</v>
      </c>
      <c r="L604" s="47" t="s">
        <v>645</v>
      </c>
      <c r="M604" s="48"/>
      <c r="N604" s="48"/>
      <c r="O604" s="48">
        <f t="shared" si="0"/>
        <v>0</v>
      </c>
      <c r="P604" s="38"/>
      <c r="Q604" s="14" t="str">
        <f t="shared" ca="1" si="1"/>
        <v/>
      </c>
      <c r="R604" s="51"/>
      <c r="S604" s="51"/>
      <c r="T604" s="51"/>
      <c r="U604" s="40"/>
      <c r="V604" s="54"/>
      <c r="W604" s="55"/>
      <c r="X604" s="56"/>
      <c r="Y604" s="88"/>
      <c r="Z604" s="88"/>
      <c r="AA604" s="88"/>
      <c r="AB604" s="88"/>
    </row>
    <row r="605" spans="1:28">
      <c r="A605" s="38">
        <v>604</v>
      </c>
      <c r="B605" s="51"/>
      <c r="C605" s="40"/>
      <c r="D605" s="38"/>
      <c r="E605" s="38" t="s">
        <v>2447</v>
      </c>
      <c r="F605" s="43" t="s">
        <v>2448</v>
      </c>
      <c r="G605" s="44"/>
      <c r="H605" s="45"/>
      <c r="I605" s="38"/>
      <c r="J605" s="38">
        <f>1.7*1000</f>
        <v>1700</v>
      </c>
      <c r="K605" s="46">
        <v>3.9351851851851857E-3</v>
      </c>
      <c r="L605" s="47" t="s">
        <v>645</v>
      </c>
      <c r="M605" s="48"/>
      <c r="N605" s="48"/>
      <c r="O605" s="48">
        <f t="shared" si="0"/>
        <v>0</v>
      </c>
      <c r="P605" s="38"/>
      <c r="Q605" s="14" t="str">
        <f t="shared" ca="1" si="1"/>
        <v/>
      </c>
      <c r="R605" s="51"/>
      <c r="S605" s="51"/>
      <c r="T605" s="51"/>
      <c r="U605" s="40"/>
      <c r="V605" s="54"/>
      <c r="W605" s="55"/>
      <c r="X605" s="56"/>
      <c r="Y605" s="88"/>
      <c r="Z605" s="88"/>
      <c r="AA605" s="88"/>
      <c r="AB605" s="88"/>
    </row>
    <row r="606" spans="1:28">
      <c r="A606" s="38">
        <v>605</v>
      </c>
      <c r="B606" s="51"/>
      <c r="C606" s="40"/>
      <c r="D606" s="38"/>
      <c r="E606" s="38" t="s">
        <v>2450</v>
      </c>
      <c r="F606" s="43" t="s">
        <v>2451</v>
      </c>
      <c r="G606" s="44"/>
      <c r="H606" s="45"/>
      <c r="I606" s="38"/>
      <c r="J606" s="38">
        <f>429</f>
        <v>429</v>
      </c>
      <c r="K606" s="46">
        <v>1.5972222222222221E-3</v>
      </c>
      <c r="L606" s="47" t="s">
        <v>645</v>
      </c>
      <c r="M606" s="48"/>
      <c r="N606" s="48"/>
      <c r="O606" s="48">
        <f t="shared" si="0"/>
        <v>0</v>
      </c>
      <c r="P606" s="38"/>
      <c r="Q606" s="14" t="str">
        <f t="shared" ca="1" si="1"/>
        <v/>
      </c>
      <c r="R606" s="51"/>
      <c r="S606" s="51"/>
      <c r="T606" s="51"/>
      <c r="U606" s="40"/>
      <c r="V606" s="54"/>
      <c r="W606" s="55"/>
      <c r="X606" s="56"/>
      <c r="Y606" s="88"/>
      <c r="Z606" s="88"/>
      <c r="AA606" s="88"/>
      <c r="AB606" s="88"/>
    </row>
    <row r="607" spans="1:28">
      <c r="A607" s="38">
        <v>606</v>
      </c>
      <c r="B607" s="51"/>
      <c r="C607" s="40"/>
      <c r="D607" s="38"/>
      <c r="E607" s="38" t="s">
        <v>2453</v>
      </c>
      <c r="F607" s="43" t="s">
        <v>2454</v>
      </c>
      <c r="G607" s="44"/>
      <c r="H607" s="45"/>
      <c r="I607" s="38"/>
      <c r="J607" s="38">
        <f>2.1*1000</f>
        <v>2100</v>
      </c>
      <c r="K607" s="46">
        <v>1.9791666666666668E-3</v>
      </c>
      <c r="L607" s="47" t="s">
        <v>645</v>
      </c>
      <c r="M607" s="48"/>
      <c r="N607" s="48"/>
      <c r="O607" s="48">
        <f t="shared" si="0"/>
        <v>0</v>
      </c>
      <c r="P607" s="38"/>
      <c r="Q607" s="14" t="str">
        <f t="shared" ca="1" si="1"/>
        <v/>
      </c>
      <c r="R607" s="51"/>
      <c r="S607" s="51"/>
      <c r="T607" s="51"/>
      <c r="U607" s="40"/>
      <c r="V607" s="54"/>
      <c r="W607" s="55"/>
      <c r="X607" s="56"/>
      <c r="Y607" s="88"/>
      <c r="Z607" s="88"/>
      <c r="AA607" s="88"/>
      <c r="AB607" s="88"/>
    </row>
    <row r="608" spans="1:28">
      <c r="A608" s="38">
        <v>607</v>
      </c>
      <c r="B608" s="51"/>
      <c r="C608" s="40"/>
      <c r="D608" s="38"/>
      <c r="E608" s="38" t="s">
        <v>2456</v>
      </c>
      <c r="F608" s="43" t="s">
        <v>2457</v>
      </c>
      <c r="G608" s="44"/>
      <c r="H608" s="45"/>
      <c r="I608" s="38"/>
      <c r="J608" s="38">
        <f>468</f>
        <v>468</v>
      </c>
      <c r="K608" s="46">
        <v>8.7962962962962962E-4</v>
      </c>
      <c r="L608" s="47" t="s">
        <v>645</v>
      </c>
      <c r="M608" s="48"/>
      <c r="N608" s="48"/>
      <c r="O608" s="48">
        <f t="shared" si="0"/>
        <v>0</v>
      </c>
      <c r="P608" s="38"/>
      <c r="Q608" s="14" t="str">
        <f t="shared" ca="1" si="1"/>
        <v/>
      </c>
      <c r="R608" s="51"/>
      <c r="S608" s="51"/>
      <c r="T608" s="51"/>
      <c r="U608" s="40"/>
      <c r="V608" s="54"/>
      <c r="W608" s="55"/>
      <c r="X608" s="56"/>
      <c r="Y608" s="88"/>
      <c r="Z608" s="88"/>
      <c r="AA608" s="88"/>
      <c r="AB608" s="88"/>
    </row>
    <row r="609" spans="1:28">
      <c r="A609" s="38">
        <v>608</v>
      </c>
      <c r="B609" s="51"/>
      <c r="C609" s="40"/>
      <c r="D609" s="38"/>
      <c r="E609" s="38" t="s">
        <v>2459</v>
      </c>
      <c r="F609" s="43" t="s">
        <v>2460</v>
      </c>
      <c r="G609" s="44"/>
      <c r="H609" s="45"/>
      <c r="I609" s="38"/>
      <c r="J609" s="38">
        <f>833</f>
        <v>833</v>
      </c>
      <c r="K609" s="46">
        <v>1.9907407407407408E-3</v>
      </c>
      <c r="L609" s="47" t="s">
        <v>645</v>
      </c>
      <c r="M609" s="48"/>
      <c r="N609" s="48"/>
      <c r="O609" s="48">
        <f t="shared" si="0"/>
        <v>0</v>
      </c>
      <c r="P609" s="38"/>
      <c r="Q609" s="14" t="str">
        <f t="shared" ca="1" si="1"/>
        <v/>
      </c>
      <c r="R609" s="51"/>
      <c r="S609" s="51"/>
      <c r="T609" s="51"/>
      <c r="U609" s="40"/>
      <c r="V609" s="54"/>
      <c r="W609" s="55"/>
      <c r="X609" s="56"/>
      <c r="Y609" s="88"/>
      <c r="Z609" s="88"/>
      <c r="AA609" s="88"/>
      <c r="AB609" s="88"/>
    </row>
    <row r="610" spans="1:28">
      <c r="A610" s="38">
        <v>609</v>
      </c>
      <c r="B610" s="39" t="s">
        <v>54</v>
      </c>
      <c r="C610" s="40"/>
      <c r="D610" s="42" t="s">
        <v>56</v>
      </c>
      <c r="E610" s="38" t="s">
        <v>643</v>
      </c>
      <c r="F610" s="43" t="s">
        <v>644</v>
      </c>
      <c r="G610" s="44"/>
      <c r="H610" s="45"/>
      <c r="I610" s="38"/>
      <c r="J610" s="38">
        <f>32*1000</f>
        <v>32000</v>
      </c>
      <c r="K610" s="46">
        <v>3.8900462962962963E-2</v>
      </c>
      <c r="L610" s="47" t="s">
        <v>645</v>
      </c>
      <c r="M610" s="48"/>
      <c r="N610" s="48"/>
      <c r="O610" s="48">
        <f t="shared" si="0"/>
        <v>0</v>
      </c>
      <c r="P610" s="65">
        <v>43058</v>
      </c>
      <c r="Q610" s="14" t="str">
        <f t="shared" ca="1" si="1"/>
        <v/>
      </c>
      <c r="R610" s="39" t="s">
        <v>63</v>
      </c>
      <c r="S610" s="39" t="s">
        <v>63</v>
      </c>
      <c r="T610" s="39" t="s">
        <v>63</v>
      </c>
      <c r="U610" s="40"/>
      <c r="V610" s="54"/>
      <c r="W610" s="69" t="s">
        <v>64</v>
      </c>
      <c r="X610" s="56"/>
      <c r="Y610" s="88"/>
      <c r="Z610" s="88"/>
      <c r="AA610" s="88"/>
      <c r="AB610" s="88"/>
    </row>
    <row r="611" spans="1:28">
      <c r="A611" s="38">
        <v>610</v>
      </c>
      <c r="B611" s="51"/>
      <c r="C611" s="40"/>
      <c r="D611" s="38"/>
      <c r="E611" s="38" t="s">
        <v>2461</v>
      </c>
      <c r="F611" s="43" t="s">
        <v>2462</v>
      </c>
      <c r="G611" s="44"/>
      <c r="H611" s="45"/>
      <c r="I611" s="38"/>
      <c r="J611" s="38">
        <f>14*1000</f>
        <v>14000</v>
      </c>
      <c r="K611" s="46">
        <v>1.1423611111111112E-2</v>
      </c>
      <c r="L611" s="47" t="s">
        <v>645</v>
      </c>
      <c r="M611" s="48"/>
      <c r="N611" s="48"/>
      <c r="O611" s="48">
        <f t="shared" si="0"/>
        <v>0</v>
      </c>
      <c r="P611" s="38"/>
      <c r="Q611" s="14" t="str">
        <f t="shared" ca="1" si="1"/>
        <v/>
      </c>
      <c r="R611" s="51"/>
      <c r="S611" s="51"/>
      <c r="T611" s="51"/>
      <c r="U611" s="40"/>
      <c r="V611" s="54"/>
      <c r="W611" s="55"/>
      <c r="X611" s="56"/>
      <c r="Y611" s="88"/>
      <c r="Z611" s="88"/>
      <c r="AA611" s="88"/>
      <c r="AB611" s="88"/>
    </row>
    <row r="612" spans="1:28">
      <c r="A612" s="38">
        <v>611</v>
      </c>
      <c r="B612" s="51"/>
      <c r="C612" s="40"/>
      <c r="D612" s="38"/>
      <c r="E612" s="38" t="s">
        <v>2463</v>
      </c>
      <c r="F612" s="43" t="s">
        <v>2464</v>
      </c>
      <c r="G612" s="44"/>
      <c r="H612" s="45"/>
      <c r="I612" s="38"/>
      <c r="J612" s="38">
        <f>617</f>
        <v>617</v>
      </c>
      <c r="K612" s="46">
        <v>5.6481481481481478E-3</v>
      </c>
      <c r="L612" s="47" t="s">
        <v>645</v>
      </c>
      <c r="M612" s="48"/>
      <c r="N612" s="48"/>
      <c r="O612" s="48">
        <f t="shared" si="0"/>
        <v>0</v>
      </c>
      <c r="P612" s="38"/>
      <c r="Q612" s="14" t="str">
        <f t="shared" ca="1" si="1"/>
        <v/>
      </c>
      <c r="R612" s="51"/>
      <c r="S612" s="51"/>
      <c r="T612" s="51"/>
      <c r="U612" s="40"/>
      <c r="V612" s="54"/>
      <c r="W612" s="55"/>
      <c r="X612" s="56"/>
      <c r="Y612" s="88"/>
      <c r="Z612" s="88"/>
      <c r="AA612" s="88"/>
      <c r="AB612" s="88"/>
    </row>
    <row r="613" spans="1:28">
      <c r="A613" s="38">
        <v>612</v>
      </c>
      <c r="B613" s="51"/>
      <c r="C613" s="40"/>
      <c r="D613" s="38"/>
      <c r="E613" s="38" t="s">
        <v>2465</v>
      </c>
      <c r="F613" s="43" t="s">
        <v>2466</v>
      </c>
      <c r="G613" s="44"/>
      <c r="H613" s="45"/>
      <c r="I613" s="38"/>
      <c r="J613" s="38">
        <f>8.2*1000</f>
        <v>8200</v>
      </c>
      <c r="K613" s="46">
        <v>4.3622685185185188E-2</v>
      </c>
      <c r="L613" s="47" t="s">
        <v>645</v>
      </c>
      <c r="M613" s="48"/>
      <c r="N613" s="48"/>
      <c r="O613" s="48">
        <f t="shared" si="0"/>
        <v>0</v>
      </c>
      <c r="P613" s="38"/>
      <c r="Q613" s="14" t="str">
        <f t="shared" ca="1" si="1"/>
        <v/>
      </c>
      <c r="R613" s="51"/>
      <c r="S613" s="51"/>
      <c r="T613" s="51"/>
      <c r="U613" s="40"/>
      <c r="V613" s="54"/>
      <c r="W613" s="55"/>
      <c r="X613" s="56"/>
      <c r="Y613" s="88"/>
      <c r="Z613" s="88"/>
      <c r="AA613" s="88"/>
      <c r="AB613" s="88"/>
    </row>
    <row r="614" spans="1:28">
      <c r="A614" s="38">
        <v>613</v>
      </c>
      <c r="B614" s="51"/>
      <c r="C614" s="40"/>
      <c r="D614" s="38"/>
      <c r="E614" s="38" t="s">
        <v>2467</v>
      </c>
      <c r="F614" s="43" t="s">
        <v>2468</v>
      </c>
      <c r="G614" s="44"/>
      <c r="H614" s="45"/>
      <c r="I614" s="38"/>
      <c r="J614" s="38">
        <f>878</f>
        <v>878</v>
      </c>
      <c r="K614" s="46">
        <v>3.2870370370370367E-3</v>
      </c>
      <c r="L614" s="47" t="s">
        <v>645</v>
      </c>
      <c r="M614" s="48"/>
      <c r="N614" s="48"/>
      <c r="O614" s="48">
        <f t="shared" si="0"/>
        <v>0</v>
      </c>
      <c r="P614" s="38"/>
      <c r="Q614" s="14" t="str">
        <f t="shared" ca="1" si="1"/>
        <v/>
      </c>
      <c r="R614" s="51"/>
      <c r="S614" s="51"/>
      <c r="T614" s="51"/>
      <c r="U614" s="40"/>
      <c r="V614" s="54"/>
      <c r="W614" s="55"/>
      <c r="X614" s="56"/>
      <c r="Y614" s="88"/>
      <c r="Z614" s="88"/>
      <c r="AA614" s="88"/>
      <c r="AB614" s="88"/>
    </row>
    <row r="615" spans="1:28">
      <c r="A615" s="38">
        <v>614</v>
      </c>
      <c r="B615" s="51"/>
      <c r="C615" s="40"/>
      <c r="D615" s="38"/>
      <c r="E615" s="38" t="s">
        <v>2469</v>
      </c>
      <c r="F615" s="43" t="s">
        <v>2470</v>
      </c>
      <c r="G615" s="44"/>
      <c r="H615" s="45"/>
      <c r="I615" s="38"/>
      <c r="J615" s="38">
        <f>2.7*1000</f>
        <v>2700</v>
      </c>
      <c r="K615" s="46">
        <v>3.483796296296296E-3</v>
      </c>
      <c r="L615" s="47" t="s">
        <v>645</v>
      </c>
      <c r="M615" s="48"/>
      <c r="N615" s="48"/>
      <c r="O615" s="48">
        <f t="shared" si="0"/>
        <v>0</v>
      </c>
      <c r="P615" s="38"/>
      <c r="Q615" s="14" t="str">
        <f t="shared" ca="1" si="1"/>
        <v/>
      </c>
      <c r="R615" s="51"/>
      <c r="S615" s="51"/>
      <c r="T615" s="51"/>
      <c r="U615" s="40"/>
      <c r="V615" s="54"/>
      <c r="W615" s="55"/>
      <c r="X615" s="56"/>
      <c r="Y615" s="88"/>
      <c r="Z615" s="88"/>
      <c r="AA615" s="88"/>
      <c r="AB615" s="88"/>
    </row>
    <row r="616" spans="1:28">
      <c r="A616" s="38">
        <v>615</v>
      </c>
      <c r="B616" s="39" t="s">
        <v>54</v>
      </c>
      <c r="C616" s="40"/>
      <c r="D616" s="42" t="s">
        <v>56</v>
      </c>
      <c r="E616" s="38" t="s">
        <v>675</v>
      </c>
      <c r="F616" s="43" t="s">
        <v>676</v>
      </c>
      <c r="G616" s="44"/>
      <c r="H616" s="45"/>
      <c r="I616" s="38"/>
      <c r="J616" s="38">
        <f>4.3*1000</f>
        <v>4300</v>
      </c>
      <c r="K616" s="46">
        <v>5.004629629629629E-2</v>
      </c>
      <c r="L616" s="47" t="s">
        <v>645</v>
      </c>
      <c r="M616" s="48"/>
      <c r="N616" s="48"/>
      <c r="O616" s="48">
        <f t="shared" si="0"/>
        <v>0</v>
      </c>
      <c r="P616" s="65">
        <v>43055</v>
      </c>
      <c r="Q616" s="14" t="str">
        <f t="shared" ca="1" si="1"/>
        <v/>
      </c>
      <c r="R616" s="39" t="s">
        <v>63</v>
      </c>
      <c r="S616" s="39" t="s">
        <v>131</v>
      </c>
      <c r="T616" s="39" t="s">
        <v>63</v>
      </c>
      <c r="U616" s="40"/>
      <c r="V616" s="54"/>
      <c r="W616" s="69" t="s">
        <v>64</v>
      </c>
      <c r="X616" s="56"/>
      <c r="Y616" s="88"/>
      <c r="Z616" s="88"/>
      <c r="AA616" s="88"/>
      <c r="AB616" s="88"/>
    </row>
    <row r="617" spans="1:28">
      <c r="A617" s="38">
        <v>616</v>
      </c>
      <c r="B617" s="51"/>
      <c r="C617" s="40"/>
      <c r="D617" s="38"/>
      <c r="E617" s="38" t="s">
        <v>2471</v>
      </c>
      <c r="F617" s="43" t="s">
        <v>2472</v>
      </c>
      <c r="G617" s="44"/>
      <c r="H617" s="45"/>
      <c r="I617" s="38"/>
      <c r="J617" s="38">
        <f>8.9*1000</f>
        <v>8900</v>
      </c>
      <c r="K617" s="46">
        <v>3.8819444444444441E-2</v>
      </c>
      <c r="L617" s="47" t="s">
        <v>1956</v>
      </c>
      <c r="M617" s="48"/>
      <c r="N617" s="48"/>
      <c r="O617" s="48">
        <f t="shared" si="0"/>
        <v>0</v>
      </c>
      <c r="P617" s="38"/>
      <c r="Q617" s="14" t="str">
        <f t="shared" ca="1" si="1"/>
        <v/>
      </c>
      <c r="R617" s="51"/>
      <c r="S617" s="51"/>
      <c r="T617" s="51"/>
      <c r="U617" s="40"/>
      <c r="V617" s="54"/>
      <c r="W617" s="55"/>
      <c r="X617" s="56"/>
      <c r="Y617" s="88"/>
      <c r="Z617" s="88"/>
      <c r="AA617" s="88"/>
      <c r="AB617" s="88"/>
    </row>
    <row r="618" spans="1:28">
      <c r="A618" s="38">
        <v>617</v>
      </c>
      <c r="B618" s="51"/>
      <c r="C618" s="40"/>
      <c r="D618" s="38"/>
      <c r="E618" s="38" t="s">
        <v>2473</v>
      </c>
      <c r="F618" s="43" t="s">
        <v>2474</v>
      </c>
      <c r="G618" s="44"/>
      <c r="H618" s="45"/>
      <c r="I618" s="38"/>
      <c r="J618" s="38">
        <f>72*1000</f>
        <v>72000</v>
      </c>
      <c r="K618" s="46">
        <v>0.11864583333333334</v>
      </c>
      <c r="L618" s="47" t="s">
        <v>1956</v>
      </c>
      <c r="M618" s="48"/>
      <c r="N618" s="48"/>
      <c r="O618" s="48">
        <f t="shared" si="0"/>
        <v>0</v>
      </c>
      <c r="P618" s="38"/>
      <c r="Q618" s="14" t="str">
        <f t="shared" ca="1" si="1"/>
        <v/>
      </c>
      <c r="R618" s="51"/>
      <c r="S618" s="51"/>
      <c r="T618" s="51"/>
      <c r="U618" s="40"/>
      <c r="V618" s="54"/>
      <c r="W618" s="55"/>
      <c r="X618" s="56"/>
      <c r="Y618" s="88"/>
      <c r="Z618" s="88"/>
      <c r="AA618" s="88"/>
      <c r="AB618" s="88"/>
    </row>
    <row r="619" spans="1:28">
      <c r="A619" s="38">
        <v>618</v>
      </c>
      <c r="B619" s="51"/>
      <c r="C619" s="40"/>
      <c r="D619" s="38"/>
      <c r="E619" s="38" t="s">
        <v>2475</v>
      </c>
      <c r="F619" s="43" t="s">
        <v>2476</v>
      </c>
      <c r="G619" s="44"/>
      <c r="H619" s="45"/>
      <c r="I619" s="38"/>
      <c r="J619" s="38">
        <f>12*1000</f>
        <v>12000</v>
      </c>
      <c r="K619" s="46">
        <v>3.2708333333333332E-2</v>
      </c>
      <c r="L619" s="47" t="s">
        <v>1956</v>
      </c>
      <c r="M619" s="48"/>
      <c r="N619" s="48"/>
      <c r="O619" s="48">
        <f t="shared" si="0"/>
        <v>0</v>
      </c>
      <c r="P619" s="38"/>
      <c r="Q619" s="14" t="str">
        <f t="shared" ca="1" si="1"/>
        <v/>
      </c>
      <c r="R619" s="51"/>
      <c r="S619" s="51"/>
      <c r="T619" s="51"/>
      <c r="U619" s="40"/>
      <c r="V619" s="54"/>
      <c r="W619" s="55"/>
      <c r="X619" s="56"/>
      <c r="Y619" s="88"/>
      <c r="Z619" s="88"/>
      <c r="AA619" s="88"/>
      <c r="AB619" s="88"/>
    </row>
    <row r="620" spans="1:28">
      <c r="A620" s="38">
        <v>619</v>
      </c>
      <c r="B620" s="51"/>
      <c r="C620" s="40"/>
      <c r="D620" s="38"/>
      <c r="E620" s="38" t="s">
        <v>2477</v>
      </c>
      <c r="F620" s="43" t="s">
        <v>2478</v>
      </c>
      <c r="G620" s="44"/>
      <c r="H620" s="45"/>
      <c r="I620" s="38"/>
      <c r="J620" s="38">
        <f>657</f>
        <v>657</v>
      </c>
      <c r="K620" s="46">
        <v>3.7847222222222223E-3</v>
      </c>
      <c r="L620" s="47" t="s">
        <v>1956</v>
      </c>
      <c r="M620" s="48"/>
      <c r="N620" s="48"/>
      <c r="O620" s="48">
        <f t="shared" si="0"/>
        <v>0</v>
      </c>
      <c r="P620" s="38"/>
      <c r="Q620" s="14" t="str">
        <f t="shared" ca="1" si="1"/>
        <v/>
      </c>
      <c r="R620" s="51"/>
      <c r="S620" s="51"/>
      <c r="T620" s="51"/>
      <c r="U620" s="40"/>
      <c r="V620" s="54"/>
      <c r="W620" s="55"/>
      <c r="X620" s="56"/>
      <c r="Y620" s="88"/>
      <c r="Z620" s="88"/>
      <c r="AA620" s="88"/>
      <c r="AB620" s="88"/>
    </row>
    <row r="621" spans="1:28">
      <c r="A621" s="38">
        <v>620</v>
      </c>
      <c r="B621" s="51"/>
      <c r="C621" s="40"/>
      <c r="D621" s="38"/>
      <c r="E621" s="38" t="s">
        <v>2479</v>
      </c>
      <c r="F621" s="43" t="s">
        <v>2480</v>
      </c>
      <c r="G621" s="44"/>
      <c r="H621" s="45"/>
      <c r="I621" s="38"/>
      <c r="J621" s="38">
        <f>624</f>
        <v>624</v>
      </c>
      <c r="K621" s="46">
        <v>6.2500000000000001E-4</v>
      </c>
      <c r="L621" s="47" t="s">
        <v>1956</v>
      </c>
      <c r="M621" s="48"/>
      <c r="N621" s="48"/>
      <c r="O621" s="48">
        <f t="shared" si="0"/>
        <v>0</v>
      </c>
      <c r="P621" s="38"/>
      <c r="Q621" s="14" t="str">
        <f t="shared" ca="1" si="1"/>
        <v/>
      </c>
      <c r="R621" s="51"/>
      <c r="S621" s="51"/>
      <c r="T621" s="51"/>
      <c r="U621" s="40"/>
      <c r="V621" s="54"/>
      <c r="W621" s="55"/>
      <c r="X621" s="56"/>
      <c r="Y621" s="88"/>
      <c r="Z621" s="88"/>
      <c r="AA621" s="88"/>
      <c r="AB621" s="88"/>
    </row>
    <row r="622" spans="1:28">
      <c r="A622" s="38">
        <v>621</v>
      </c>
      <c r="B622" s="51"/>
      <c r="C622" s="40"/>
      <c r="D622" s="38"/>
      <c r="E622" s="38" t="s">
        <v>2481</v>
      </c>
      <c r="F622" s="43" t="s">
        <v>2482</v>
      </c>
      <c r="G622" s="44"/>
      <c r="H622" s="45"/>
      <c r="I622" s="38"/>
      <c r="J622" s="38">
        <f>461</f>
        <v>461</v>
      </c>
      <c r="K622" s="46">
        <v>1.3078703703703705E-3</v>
      </c>
      <c r="L622" s="47" t="s">
        <v>1956</v>
      </c>
      <c r="M622" s="48"/>
      <c r="N622" s="48"/>
      <c r="O622" s="48">
        <f t="shared" si="0"/>
        <v>0</v>
      </c>
      <c r="P622" s="38"/>
      <c r="Q622" s="14" t="str">
        <f t="shared" ca="1" si="1"/>
        <v/>
      </c>
      <c r="R622" s="51"/>
      <c r="S622" s="51"/>
      <c r="T622" s="51"/>
      <c r="U622" s="40"/>
      <c r="V622" s="54"/>
      <c r="W622" s="55"/>
      <c r="X622" s="56"/>
      <c r="Y622" s="88"/>
      <c r="Z622" s="88"/>
      <c r="AA622" s="88"/>
      <c r="AB622" s="88"/>
    </row>
    <row r="623" spans="1:28">
      <c r="A623" s="38">
        <v>622</v>
      </c>
      <c r="B623" s="51"/>
      <c r="C623" s="40"/>
      <c r="D623" s="38"/>
      <c r="E623" s="38" t="s">
        <v>2483</v>
      </c>
      <c r="F623" s="43" t="s">
        <v>2484</v>
      </c>
      <c r="G623" s="44"/>
      <c r="H623" s="45"/>
      <c r="I623" s="38"/>
      <c r="J623" s="38">
        <f>369</f>
        <v>369</v>
      </c>
      <c r="K623" s="46">
        <v>2.5462962962962961E-3</v>
      </c>
      <c r="L623" s="47" t="s">
        <v>1956</v>
      </c>
      <c r="M623" s="48"/>
      <c r="N623" s="48"/>
      <c r="O623" s="48">
        <f t="shared" si="0"/>
        <v>0</v>
      </c>
      <c r="P623" s="38"/>
      <c r="Q623" s="14" t="str">
        <f t="shared" ca="1" si="1"/>
        <v/>
      </c>
      <c r="R623" s="51"/>
      <c r="S623" s="51"/>
      <c r="T623" s="51"/>
      <c r="U623" s="40"/>
      <c r="V623" s="54"/>
      <c r="W623" s="55"/>
      <c r="X623" s="56"/>
      <c r="Y623" s="88"/>
      <c r="Z623" s="88"/>
      <c r="AA623" s="88"/>
      <c r="AB623" s="88"/>
    </row>
    <row r="624" spans="1:28">
      <c r="A624" s="38">
        <v>623</v>
      </c>
      <c r="B624" s="51"/>
      <c r="C624" s="40"/>
      <c r="D624" s="38"/>
      <c r="E624" s="38" t="s">
        <v>2485</v>
      </c>
      <c r="F624" s="43" t="s">
        <v>2486</v>
      </c>
      <c r="G624" s="44"/>
      <c r="H624" s="45"/>
      <c r="I624" s="38"/>
      <c r="J624" s="38">
        <f>554</f>
        <v>554</v>
      </c>
      <c r="K624" s="46">
        <v>5.3125000000000004E-3</v>
      </c>
      <c r="L624" s="47" t="s">
        <v>1956</v>
      </c>
      <c r="M624" s="48"/>
      <c r="N624" s="48"/>
      <c r="O624" s="48">
        <f t="shared" si="0"/>
        <v>0</v>
      </c>
      <c r="P624" s="38"/>
      <c r="Q624" s="14" t="str">
        <f t="shared" ca="1" si="1"/>
        <v/>
      </c>
      <c r="R624" s="51"/>
      <c r="S624" s="51"/>
      <c r="T624" s="51"/>
      <c r="U624" s="40"/>
      <c r="V624" s="54"/>
      <c r="W624" s="55"/>
      <c r="X624" s="56"/>
      <c r="Y624" s="88"/>
      <c r="Z624" s="88"/>
      <c r="AA624" s="88"/>
      <c r="AB624" s="88"/>
    </row>
    <row r="625" spans="1:28">
      <c r="A625" s="38">
        <v>624</v>
      </c>
      <c r="B625" s="39" t="s">
        <v>596</v>
      </c>
      <c r="C625" s="40"/>
      <c r="D625" s="42" t="s">
        <v>139</v>
      </c>
      <c r="E625" s="38" t="s">
        <v>1952</v>
      </c>
      <c r="F625" s="43" t="s">
        <v>1953</v>
      </c>
      <c r="G625" s="44"/>
      <c r="H625" s="45"/>
      <c r="I625" s="38"/>
      <c r="J625" s="38">
        <f>8.5*1000</f>
        <v>8500</v>
      </c>
      <c r="K625" s="46">
        <v>5.7048611111111112E-2</v>
      </c>
      <c r="L625" s="47" t="s">
        <v>1956</v>
      </c>
      <c r="M625" s="48"/>
      <c r="N625" s="48"/>
      <c r="O625" s="48">
        <f t="shared" si="0"/>
        <v>0</v>
      </c>
      <c r="P625" s="38"/>
      <c r="Q625" s="14" t="str">
        <f t="shared" ca="1" si="1"/>
        <v/>
      </c>
      <c r="R625" s="51"/>
      <c r="S625" s="51"/>
      <c r="T625" s="51"/>
      <c r="U625" s="40"/>
      <c r="V625" s="54"/>
      <c r="W625" s="55"/>
      <c r="X625" s="56"/>
      <c r="Y625" s="88"/>
      <c r="Z625" s="88"/>
      <c r="AA625" s="88"/>
      <c r="AB625" s="88"/>
    </row>
    <row r="626" spans="1:28">
      <c r="A626" s="38">
        <v>625</v>
      </c>
      <c r="B626" s="39"/>
      <c r="C626" s="40"/>
      <c r="D626" s="38"/>
      <c r="E626" s="38" t="s">
        <v>2487</v>
      </c>
      <c r="F626" s="43" t="s">
        <v>2488</v>
      </c>
      <c r="G626" s="44"/>
      <c r="H626" s="45"/>
      <c r="I626" s="38"/>
      <c r="J626" s="38">
        <f>686</f>
        <v>686</v>
      </c>
      <c r="K626" s="46">
        <v>8.3333333333333339E-4</v>
      </c>
      <c r="L626" s="47" t="s">
        <v>1956</v>
      </c>
      <c r="M626" s="48"/>
      <c r="N626" s="48"/>
      <c r="O626" s="48">
        <f t="shared" si="0"/>
        <v>0</v>
      </c>
      <c r="P626" s="38"/>
      <c r="Q626" s="14" t="str">
        <f t="shared" ca="1" si="1"/>
        <v/>
      </c>
      <c r="R626" s="51"/>
      <c r="S626" s="51"/>
      <c r="T626" s="51"/>
      <c r="U626" s="40"/>
      <c r="V626" s="54"/>
      <c r="W626" s="55"/>
      <c r="X626" s="56"/>
      <c r="Y626" s="88"/>
      <c r="Z626" s="88"/>
      <c r="AA626" s="88"/>
      <c r="AB626" s="88"/>
    </row>
    <row r="627" spans="1:28">
      <c r="A627" s="38">
        <v>626</v>
      </c>
      <c r="B627" s="39" t="s">
        <v>596</v>
      </c>
      <c r="C627" s="40"/>
      <c r="D627" s="38"/>
      <c r="E627" s="38" t="s">
        <v>2055</v>
      </c>
      <c r="F627" s="43" t="s">
        <v>2056</v>
      </c>
      <c r="G627" s="44"/>
      <c r="H627" s="45"/>
      <c r="I627" s="38"/>
      <c r="J627" s="38">
        <f>7.1*1000</f>
        <v>7100</v>
      </c>
      <c r="K627" s="46">
        <v>4.221064814814815E-2</v>
      </c>
      <c r="L627" s="47" t="s">
        <v>1956</v>
      </c>
      <c r="M627" s="48"/>
      <c r="N627" s="48"/>
      <c r="O627" s="48">
        <f t="shared" si="0"/>
        <v>0</v>
      </c>
      <c r="P627" s="38"/>
      <c r="Q627" s="14" t="str">
        <f t="shared" ca="1" si="1"/>
        <v/>
      </c>
      <c r="R627" s="51"/>
      <c r="S627" s="51"/>
      <c r="T627" s="51"/>
      <c r="U627" s="40"/>
      <c r="V627" s="54"/>
      <c r="W627" s="55"/>
      <c r="X627" s="56"/>
      <c r="Y627" s="88"/>
      <c r="Z627" s="88"/>
      <c r="AA627" s="88"/>
      <c r="AB627" s="88"/>
    </row>
    <row r="628" spans="1:28">
      <c r="A628" s="38">
        <v>627</v>
      </c>
      <c r="B628" s="39"/>
      <c r="C628" s="40"/>
      <c r="D628" s="38"/>
      <c r="E628" s="38" t="s">
        <v>2489</v>
      </c>
      <c r="F628" s="43" t="s">
        <v>2490</v>
      </c>
      <c r="G628" s="44"/>
      <c r="H628" s="45"/>
      <c r="I628" s="38"/>
      <c r="J628" s="38">
        <f>265</f>
        <v>265</v>
      </c>
      <c r="K628" s="46">
        <v>1.2847222222222223E-3</v>
      </c>
      <c r="L628" s="47" t="s">
        <v>1956</v>
      </c>
      <c r="M628" s="48"/>
      <c r="N628" s="48"/>
      <c r="O628" s="48">
        <f t="shared" si="0"/>
        <v>0</v>
      </c>
      <c r="P628" s="38"/>
      <c r="Q628" s="14" t="str">
        <f t="shared" ca="1" si="1"/>
        <v/>
      </c>
      <c r="R628" s="51"/>
      <c r="S628" s="51"/>
      <c r="T628" s="51"/>
      <c r="U628" s="40"/>
      <c r="V628" s="54"/>
      <c r="W628" s="55"/>
      <c r="X628" s="56"/>
      <c r="Y628" s="88"/>
      <c r="Z628" s="88"/>
      <c r="AA628" s="88"/>
      <c r="AB628" s="88"/>
    </row>
    <row r="629" spans="1:28">
      <c r="A629" s="38">
        <v>628</v>
      </c>
      <c r="B629" s="51"/>
      <c r="C629" s="40"/>
      <c r="D629" s="38"/>
      <c r="E629" s="38" t="s">
        <v>2491</v>
      </c>
      <c r="F629" s="43" t="s">
        <v>2492</v>
      </c>
      <c r="G629" s="44"/>
      <c r="H629" s="45"/>
      <c r="I629" s="38"/>
      <c r="J629" s="38">
        <f>476</f>
        <v>476</v>
      </c>
      <c r="K629" s="46">
        <v>2.1064814814814813E-3</v>
      </c>
      <c r="L629" s="47" t="s">
        <v>1956</v>
      </c>
      <c r="M629" s="48"/>
      <c r="N629" s="48"/>
      <c r="O629" s="48">
        <f t="shared" si="0"/>
        <v>0</v>
      </c>
      <c r="P629" s="38"/>
      <c r="Q629" s="14" t="str">
        <f t="shared" ca="1" si="1"/>
        <v/>
      </c>
      <c r="R629" s="51"/>
      <c r="S629" s="51"/>
      <c r="T629" s="51"/>
      <c r="U629" s="40"/>
      <c r="V629" s="54"/>
      <c r="W629" s="55"/>
      <c r="X629" s="56"/>
      <c r="Y629" s="88"/>
      <c r="Z629" s="88"/>
      <c r="AA629" s="88"/>
      <c r="AB629" s="88"/>
    </row>
    <row r="630" spans="1:28">
      <c r="A630" s="38">
        <v>629</v>
      </c>
      <c r="B630" s="51"/>
      <c r="C630" s="40"/>
      <c r="D630" s="38"/>
      <c r="E630" s="38" t="s">
        <v>2493</v>
      </c>
      <c r="F630" s="43" t="s">
        <v>2494</v>
      </c>
      <c r="G630" s="44"/>
      <c r="H630" s="45"/>
      <c r="I630" s="38"/>
      <c r="J630" s="38">
        <f>359</f>
        <v>359</v>
      </c>
      <c r="K630" s="46">
        <v>2.5115740740740741E-3</v>
      </c>
      <c r="L630" s="47" t="s">
        <v>1956</v>
      </c>
      <c r="M630" s="48"/>
      <c r="N630" s="48"/>
      <c r="O630" s="48">
        <f t="shared" si="0"/>
        <v>0</v>
      </c>
      <c r="P630" s="38"/>
      <c r="Q630" s="14" t="str">
        <f t="shared" ca="1" si="1"/>
        <v/>
      </c>
      <c r="R630" s="51"/>
      <c r="S630" s="51"/>
      <c r="T630" s="51"/>
      <c r="U630" s="40"/>
      <c r="V630" s="54"/>
      <c r="W630" s="55"/>
      <c r="X630" s="56"/>
      <c r="Y630" s="88"/>
      <c r="Z630" s="88"/>
      <c r="AA630" s="88"/>
      <c r="AB630" s="88"/>
    </row>
    <row r="631" spans="1:28">
      <c r="A631" s="38">
        <v>630</v>
      </c>
      <c r="B631" s="51"/>
      <c r="C631" s="40"/>
      <c r="D631" s="38"/>
      <c r="E631" s="38" t="s">
        <v>2495</v>
      </c>
      <c r="F631" s="43" t="s">
        <v>2496</v>
      </c>
      <c r="G631" s="44"/>
      <c r="H631" s="45"/>
      <c r="I631" s="38"/>
      <c r="J631" s="38">
        <f>522</f>
        <v>522</v>
      </c>
      <c r="K631" s="46">
        <v>1.8750000000000001E-3</v>
      </c>
      <c r="L631" s="47" t="s">
        <v>1956</v>
      </c>
      <c r="M631" s="48"/>
      <c r="N631" s="48"/>
      <c r="O631" s="48">
        <f t="shared" si="0"/>
        <v>0</v>
      </c>
      <c r="P631" s="38"/>
      <c r="Q631" s="14" t="str">
        <f t="shared" ca="1" si="1"/>
        <v/>
      </c>
      <c r="R631" s="51"/>
      <c r="S631" s="51"/>
      <c r="T631" s="51"/>
      <c r="U631" s="40"/>
      <c r="V631" s="54"/>
      <c r="W631" s="55"/>
      <c r="X631" s="56"/>
      <c r="Y631" s="88"/>
      <c r="Z631" s="88"/>
      <c r="AA631" s="88"/>
      <c r="AB631" s="88"/>
    </row>
    <row r="632" spans="1:28">
      <c r="A632" s="38">
        <v>631</v>
      </c>
      <c r="B632" s="51"/>
      <c r="C632" s="40"/>
      <c r="D632" s="38"/>
      <c r="E632" s="38" t="s">
        <v>2497</v>
      </c>
      <c r="F632" s="43" t="s">
        <v>2498</v>
      </c>
      <c r="G632" s="44"/>
      <c r="H632" s="45"/>
      <c r="I632" s="38"/>
      <c r="J632" s="38">
        <f>403</f>
        <v>403</v>
      </c>
      <c r="K632" s="46">
        <v>1.1805555555555556E-3</v>
      </c>
      <c r="L632" s="47" t="s">
        <v>1956</v>
      </c>
      <c r="M632" s="48"/>
      <c r="N632" s="48"/>
      <c r="O632" s="48">
        <f t="shared" si="0"/>
        <v>0</v>
      </c>
      <c r="P632" s="38"/>
      <c r="Q632" s="14" t="str">
        <f t="shared" ca="1" si="1"/>
        <v/>
      </c>
      <c r="R632" s="51"/>
      <c r="S632" s="51"/>
      <c r="T632" s="51"/>
      <c r="U632" s="40"/>
      <c r="V632" s="54"/>
      <c r="W632" s="55"/>
      <c r="X632" s="56"/>
      <c r="Y632" s="88"/>
      <c r="Z632" s="88"/>
      <c r="AA632" s="88"/>
      <c r="AB632" s="88"/>
    </row>
    <row r="633" spans="1:28">
      <c r="A633" s="38">
        <v>632</v>
      </c>
      <c r="B633" s="51"/>
      <c r="C633" s="40"/>
      <c r="D633" s="38"/>
      <c r="E633" s="38" t="s">
        <v>2499</v>
      </c>
      <c r="F633" s="43" t="s">
        <v>2500</v>
      </c>
      <c r="G633" s="44"/>
      <c r="H633" s="45"/>
      <c r="I633" s="38"/>
      <c r="J633" s="38">
        <f>499</f>
        <v>499</v>
      </c>
      <c r="K633" s="46">
        <v>1.4004629629629629E-3</v>
      </c>
      <c r="L633" s="47" t="s">
        <v>1956</v>
      </c>
      <c r="M633" s="48"/>
      <c r="N633" s="48"/>
      <c r="O633" s="48">
        <f t="shared" si="0"/>
        <v>0</v>
      </c>
      <c r="P633" s="38"/>
      <c r="Q633" s="14" t="str">
        <f t="shared" ca="1" si="1"/>
        <v/>
      </c>
      <c r="R633" s="51"/>
      <c r="S633" s="51"/>
      <c r="T633" s="51"/>
      <c r="U633" s="40"/>
      <c r="V633" s="54"/>
      <c r="W633" s="55"/>
      <c r="X633" s="56"/>
      <c r="Y633" s="88"/>
      <c r="Z633" s="88"/>
      <c r="AA633" s="88"/>
      <c r="AB633" s="88"/>
    </row>
    <row r="634" spans="1:28">
      <c r="A634" s="38">
        <v>633</v>
      </c>
      <c r="B634" s="51"/>
      <c r="C634" s="40"/>
      <c r="D634" s="38"/>
      <c r="E634" s="38" t="s">
        <v>2501</v>
      </c>
      <c r="F634" s="43" t="s">
        <v>2502</v>
      </c>
      <c r="G634" s="44"/>
      <c r="H634" s="45"/>
      <c r="I634" s="38"/>
      <c r="J634" s="38">
        <f>390</f>
        <v>390</v>
      </c>
      <c r="K634" s="46">
        <v>1.6666666666666668E-3</v>
      </c>
      <c r="L634" s="47" t="s">
        <v>1956</v>
      </c>
      <c r="M634" s="48"/>
      <c r="N634" s="48"/>
      <c r="O634" s="48">
        <f t="shared" si="0"/>
        <v>0</v>
      </c>
      <c r="P634" s="38"/>
      <c r="Q634" s="14" t="str">
        <f t="shared" ca="1" si="1"/>
        <v/>
      </c>
      <c r="R634" s="51"/>
      <c r="S634" s="51"/>
      <c r="T634" s="51"/>
      <c r="U634" s="40"/>
      <c r="V634" s="54"/>
      <c r="W634" s="55"/>
      <c r="X634" s="56"/>
      <c r="Y634" s="88"/>
      <c r="Z634" s="88"/>
      <c r="AA634" s="88"/>
      <c r="AB634" s="88"/>
    </row>
    <row r="635" spans="1:28">
      <c r="A635" s="38">
        <v>634</v>
      </c>
      <c r="B635" s="51"/>
      <c r="C635" s="40"/>
      <c r="D635" s="38"/>
      <c r="E635" s="38" t="s">
        <v>2503</v>
      </c>
      <c r="F635" s="43" t="s">
        <v>2504</v>
      </c>
      <c r="G635" s="44"/>
      <c r="H635" s="45"/>
      <c r="I635" s="38"/>
      <c r="J635" s="38">
        <f>275</f>
        <v>275</v>
      </c>
      <c r="K635" s="46">
        <v>1.1458333333333333E-3</v>
      </c>
      <c r="L635" s="47" t="s">
        <v>1956</v>
      </c>
      <c r="M635" s="48"/>
      <c r="N635" s="48"/>
      <c r="O635" s="48">
        <f t="shared" si="0"/>
        <v>0</v>
      </c>
      <c r="P635" s="38"/>
      <c r="Q635" s="14" t="str">
        <f t="shared" ca="1" si="1"/>
        <v/>
      </c>
      <c r="R635" s="51"/>
      <c r="S635" s="51"/>
      <c r="T635" s="51"/>
      <c r="U635" s="40"/>
      <c r="V635" s="54"/>
      <c r="W635" s="55"/>
      <c r="X635" s="56"/>
      <c r="Y635" s="88"/>
      <c r="Z635" s="88"/>
      <c r="AA635" s="88"/>
      <c r="AB635" s="88"/>
    </row>
    <row r="636" spans="1:28">
      <c r="A636" s="38">
        <v>635</v>
      </c>
      <c r="B636" s="51"/>
      <c r="C636" s="40"/>
      <c r="D636" s="38"/>
      <c r="E636" s="38" t="s">
        <v>2505</v>
      </c>
      <c r="F636" s="43" t="s">
        <v>2506</v>
      </c>
      <c r="G636" s="44"/>
      <c r="H636" s="45"/>
      <c r="I636" s="38"/>
      <c r="J636" s="38">
        <f>822</f>
        <v>822</v>
      </c>
      <c r="K636" s="46">
        <v>1.8055555555555557E-3</v>
      </c>
      <c r="L636" s="47" t="s">
        <v>1956</v>
      </c>
      <c r="M636" s="48"/>
      <c r="N636" s="48"/>
      <c r="O636" s="48">
        <f t="shared" si="0"/>
        <v>0</v>
      </c>
      <c r="P636" s="38"/>
      <c r="Q636" s="14" t="str">
        <f t="shared" ca="1" si="1"/>
        <v/>
      </c>
      <c r="R636" s="51"/>
      <c r="S636" s="51"/>
      <c r="T636" s="51"/>
      <c r="U636" s="40"/>
      <c r="V636" s="54"/>
      <c r="W636" s="55"/>
      <c r="X636" s="56"/>
      <c r="Y636" s="88"/>
      <c r="Z636" s="88"/>
      <c r="AA636" s="88"/>
      <c r="AB636" s="88"/>
    </row>
    <row r="637" spans="1:28">
      <c r="A637" s="38">
        <v>636</v>
      </c>
      <c r="B637" s="51"/>
      <c r="C637" s="40"/>
      <c r="D637" s="38"/>
      <c r="E637" s="38" t="s">
        <v>2507</v>
      </c>
      <c r="F637" s="43" t="s">
        <v>2508</v>
      </c>
      <c r="G637" s="44"/>
      <c r="H637" s="45"/>
      <c r="I637" s="38"/>
      <c r="J637" s="38">
        <f>2.2*1000</f>
        <v>2200</v>
      </c>
      <c r="K637" s="46">
        <v>2.255787037037037E-2</v>
      </c>
      <c r="L637" s="47" t="s">
        <v>1956</v>
      </c>
      <c r="M637" s="48"/>
      <c r="N637" s="48"/>
      <c r="O637" s="48">
        <f t="shared" si="0"/>
        <v>0</v>
      </c>
      <c r="P637" s="38"/>
      <c r="Q637" s="14" t="str">
        <f t="shared" ca="1" si="1"/>
        <v/>
      </c>
      <c r="R637" s="51"/>
      <c r="S637" s="51"/>
      <c r="T637" s="51"/>
      <c r="U637" s="40"/>
      <c r="V637" s="54"/>
      <c r="W637" s="55"/>
      <c r="X637" s="56"/>
      <c r="Y637" s="88"/>
      <c r="Z637" s="88"/>
      <c r="AA637" s="88"/>
      <c r="AB637" s="88"/>
    </row>
    <row r="638" spans="1:28">
      <c r="A638" s="38">
        <v>637</v>
      </c>
      <c r="B638" s="51"/>
      <c r="C638" s="40"/>
      <c r="D638" s="38"/>
      <c r="E638" s="38" t="s">
        <v>2509</v>
      </c>
      <c r="F638" s="43" t="s">
        <v>2510</v>
      </c>
      <c r="G638" s="44"/>
      <c r="H638" s="45"/>
      <c r="I638" s="38"/>
      <c r="J638" s="38">
        <f>1.3*1000</f>
        <v>1300</v>
      </c>
      <c r="K638" s="46">
        <v>4.2129629629629626E-3</v>
      </c>
      <c r="L638" s="47" t="s">
        <v>1956</v>
      </c>
      <c r="M638" s="48"/>
      <c r="N638" s="48"/>
      <c r="O638" s="48">
        <f t="shared" si="0"/>
        <v>0</v>
      </c>
      <c r="P638" s="38"/>
      <c r="Q638" s="14" t="str">
        <f t="shared" ca="1" si="1"/>
        <v/>
      </c>
      <c r="R638" s="51"/>
      <c r="S638" s="51"/>
      <c r="T638" s="51"/>
      <c r="U638" s="40"/>
      <c r="V638" s="54"/>
      <c r="W638" s="55"/>
      <c r="X638" s="56"/>
      <c r="Y638" s="88"/>
      <c r="Z638" s="88"/>
      <c r="AA638" s="88"/>
      <c r="AB638" s="88"/>
    </row>
    <row r="639" spans="1:28">
      <c r="A639" s="38">
        <v>638</v>
      </c>
      <c r="B639" s="51"/>
      <c r="C639" s="40"/>
      <c r="D639" s="38"/>
      <c r="E639" s="38" t="s">
        <v>2511</v>
      </c>
      <c r="F639" s="43" t="s">
        <v>2512</v>
      </c>
      <c r="G639" s="44"/>
      <c r="H639" s="45"/>
      <c r="I639" s="38"/>
      <c r="J639" s="38">
        <f>481</f>
        <v>481</v>
      </c>
      <c r="K639" s="46">
        <v>5.2777777777777771E-3</v>
      </c>
      <c r="L639" s="47" t="s">
        <v>1956</v>
      </c>
      <c r="M639" s="48"/>
      <c r="N639" s="48"/>
      <c r="O639" s="48">
        <f t="shared" si="0"/>
        <v>0</v>
      </c>
      <c r="P639" s="38"/>
      <c r="Q639" s="14" t="str">
        <f t="shared" ca="1" si="1"/>
        <v/>
      </c>
      <c r="R639" s="51"/>
      <c r="S639" s="51"/>
      <c r="T639" s="51"/>
      <c r="U639" s="40"/>
      <c r="V639" s="54"/>
      <c r="W639" s="55"/>
      <c r="X639" s="56"/>
      <c r="Y639" s="88"/>
      <c r="Z639" s="88"/>
      <c r="AA639" s="88"/>
      <c r="AB639" s="88"/>
    </row>
    <row r="640" spans="1:28">
      <c r="A640" s="38">
        <v>639</v>
      </c>
      <c r="B640" s="51"/>
      <c r="C640" s="40"/>
      <c r="D640" s="38"/>
      <c r="E640" s="38" t="s">
        <v>2513</v>
      </c>
      <c r="F640" s="43" t="s">
        <v>2514</v>
      </c>
      <c r="G640" s="44"/>
      <c r="H640" s="45"/>
      <c r="I640" s="38"/>
      <c r="J640" s="38">
        <f>411</f>
        <v>411</v>
      </c>
      <c r="K640" s="46">
        <v>5.3240740740740744E-4</v>
      </c>
      <c r="L640" s="47" t="s">
        <v>1956</v>
      </c>
      <c r="M640" s="48"/>
      <c r="N640" s="48"/>
      <c r="O640" s="48">
        <f t="shared" si="0"/>
        <v>0</v>
      </c>
      <c r="P640" s="38"/>
      <c r="Q640" s="14" t="str">
        <f t="shared" ca="1" si="1"/>
        <v/>
      </c>
      <c r="R640" s="51"/>
      <c r="S640" s="51"/>
      <c r="T640" s="51"/>
      <c r="U640" s="40"/>
      <c r="V640" s="54"/>
      <c r="W640" s="55"/>
      <c r="X640" s="56"/>
      <c r="Y640" s="88"/>
      <c r="Z640" s="88"/>
      <c r="AA640" s="88"/>
      <c r="AB640" s="88"/>
    </row>
    <row r="641" spans="1:28">
      <c r="A641" s="38">
        <v>640</v>
      </c>
      <c r="B641" s="51"/>
      <c r="C641" s="40"/>
      <c r="D641" s="38"/>
      <c r="E641" s="38" t="s">
        <v>2515</v>
      </c>
      <c r="F641" s="43" t="s">
        <v>2516</v>
      </c>
      <c r="G641" s="44"/>
      <c r="H641" s="45"/>
      <c r="I641" s="38"/>
      <c r="J641" s="38">
        <f>301</f>
        <v>301</v>
      </c>
      <c r="K641" s="46">
        <v>1.1226851851851851E-3</v>
      </c>
      <c r="L641" s="47" t="s">
        <v>1956</v>
      </c>
      <c r="M641" s="48"/>
      <c r="N641" s="48"/>
      <c r="O641" s="48">
        <f t="shared" si="0"/>
        <v>0</v>
      </c>
      <c r="P641" s="38"/>
      <c r="Q641" s="14" t="str">
        <f t="shared" ca="1" si="1"/>
        <v/>
      </c>
      <c r="R641" s="51"/>
      <c r="S641" s="51"/>
      <c r="T641" s="51"/>
      <c r="U641" s="40"/>
      <c r="V641" s="54"/>
      <c r="W641" s="55"/>
      <c r="X641" s="56"/>
      <c r="Y641" s="88"/>
      <c r="Z641" s="88"/>
      <c r="AA641" s="88"/>
      <c r="AB641" s="88"/>
    </row>
    <row r="642" spans="1:28">
      <c r="A642" s="38">
        <v>641</v>
      </c>
      <c r="B642" s="51"/>
      <c r="C642" s="40"/>
      <c r="D642" s="38"/>
      <c r="E642" s="38" t="s">
        <v>2517</v>
      </c>
      <c r="F642" s="43" t="s">
        <v>2518</v>
      </c>
      <c r="G642" s="44"/>
      <c r="H642" s="45"/>
      <c r="I642" s="38"/>
      <c r="J642" s="38">
        <f>343</f>
        <v>343</v>
      </c>
      <c r="K642" s="46">
        <v>1.736111111111111E-3</v>
      </c>
      <c r="L642" s="47" t="s">
        <v>1956</v>
      </c>
      <c r="M642" s="48"/>
      <c r="N642" s="48"/>
      <c r="O642" s="48">
        <f t="shared" si="0"/>
        <v>0</v>
      </c>
      <c r="P642" s="38"/>
      <c r="Q642" s="14" t="str">
        <f t="shared" ca="1" si="1"/>
        <v/>
      </c>
      <c r="R642" s="51"/>
      <c r="S642" s="51"/>
      <c r="T642" s="51"/>
      <c r="U642" s="40"/>
      <c r="V642" s="54"/>
      <c r="W642" s="55"/>
      <c r="X642" s="56"/>
      <c r="Y642" s="88"/>
      <c r="Z642" s="88"/>
      <c r="AA642" s="88"/>
      <c r="AB642" s="88"/>
    </row>
    <row r="643" spans="1:28">
      <c r="A643" s="38">
        <v>642</v>
      </c>
      <c r="B643" s="51"/>
      <c r="C643" s="40"/>
      <c r="D643" s="38"/>
      <c r="E643" s="38" t="s">
        <v>2519</v>
      </c>
      <c r="F643" s="43" t="s">
        <v>2520</v>
      </c>
      <c r="G643" s="44"/>
      <c r="H643" s="45"/>
      <c r="I643" s="38"/>
      <c r="J643" s="38">
        <f>816</f>
        <v>816</v>
      </c>
      <c r="K643" s="46">
        <v>8.7962962962962962E-4</v>
      </c>
      <c r="L643" s="47" t="s">
        <v>1956</v>
      </c>
      <c r="M643" s="48"/>
      <c r="N643" s="48"/>
      <c r="O643" s="48">
        <f t="shared" si="0"/>
        <v>0</v>
      </c>
      <c r="P643" s="38"/>
      <c r="Q643" s="14" t="str">
        <f t="shared" ca="1" si="1"/>
        <v/>
      </c>
      <c r="R643" s="51"/>
      <c r="S643" s="51"/>
      <c r="T643" s="51"/>
      <c r="U643" s="40"/>
      <c r="V643" s="54"/>
      <c r="W643" s="55"/>
      <c r="X643" s="56"/>
      <c r="Y643" s="88"/>
      <c r="Z643" s="88"/>
      <c r="AA643" s="88"/>
      <c r="AB643" s="88"/>
    </row>
    <row r="644" spans="1:28">
      <c r="A644" s="38">
        <v>643</v>
      </c>
      <c r="B644" s="51"/>
      <c r="C644" s="40"/>
      <c r="D644" s="38"/>
      <c r="E644" s="38" t="s">
        <v>2521</v>
      </c>
      <c r="F644" s="43" t="s">
        <v>2522</v>
      </c>
      <c r="G644" s="44"/>
      <c r="H644" s="45"/>
      <c r="I644" s="38"/>
      <c r="J644" s="38">
        <f>443</f>
        <v>443</v>
      </c>
      <c r="K644" s="46">
        <v>2.1643518518518518E-3</v>
      </c>
      <c r="L644" s="47" t="s">
        <v>1956</v>
      </c>
      <c r="M644" s="48"/>
      <c r="N644" s="48"/>
      <c r="O644" s="48">
        <f t="shared" si="0"/>
        <v>0</v>
      </c>
      <c r="P644" s="38"/>
      <c r="Q644" s="14" t="str">
        <f t="shared" ca="1" si="1"/>
        <v/>
      </c>
      <c r="R644" s="51"/>
      <c r="S644" s="51"/>
      <c r="T644" s="51"/>
      <c r="U644" s="40"/>
      <c r="V644" s="54"/>
      <c r="W644" s="55"/>
      <c r="X644" s="56"/>
      <c r="Y644" s="88"/>
      <c r="Z644" s="88"/>
      <c r="AA644" s="88"/>
      <c r="AB644" s="88"/>
    </row>
    <row r="645" spans="1:28">
      <c r="A645" s="38">
        <v>644</v>
      </c>
      <c r="B645" s="51"/>
      <c r="C645" s="40"/>
      <c r="D645" s="38"/>
      <c r="E645" s="38" t="s">
        <v>2523</v>
      </c>
      <c r="F645" s="43" t="s">
        <v>2524</v>
      </c>
      <c r="G645" s="44"/>
      <c r="H645" s="45"/>
      <c r="I645" s="38"/>
      <c r="J645" s="38">
        <f>467</f>
        <v>467</v>
      </c>
      <c r="K645" s="46">
        <v>1.2268518518518518E-3</v>
      </c>
      <c r="L645" s="47" t="s">
        <v>1956</v>
      </c>
      <c r="M645" s="48"/>
      <c r="N645" s="48"/>
      <c r="O645" s="48">
        <f t="shared" si="0"/>
        <v>0</v>
      </c>
      <c r="P645" s="38"/>
      <c r="Q645" s="14" t="str">
        <f t="shared" ca="1" si="1"/>
        <v/>
      </c>
      <c r="R645" s="51"/>
      <c r="S645" s="51"/>
      <c r="T645" s="51"/>
      <c r="U645" s="40"/>
      <c r="V645" s="54"/>
      <c r="W645" s="55"/>
      <c r="X645" s="56"/>
      <c r="Y645" s="88"/>
      <c r="Z645" s="88"/>
      <c r="AA645" s="88"/>
      <c r="AB645" s="88"/>
    </row>
    <row r="646" spans="1:28">
      <c r="A646" s="38">
        <v>645</v>
      </c>
      <c r="B646" s="51"/>
      <c r="C646" s="40"/>
      <c r="D646" s="38"/>
      <c r="E646" s="38" t="s">
        <v>2525</v>
      </c>
      <c r="F646" s="43" t="s">
        <v>2526</v>
      </c>
      <c r="G646" s="44"/>
      <c r="H646" s="45"/>
      <c r="I646" s="38"/>
      <c r="J646" s="38">
        <f>360</f>
        <v>360</v>
      </c>
      <c r="K646" s="46">
        <v>2.5462962962962961E-3</v>
      </c>
      <c r="L646" s="47" t="s">
        <v>1956</v>
      </c>
      <c r="M646" s="48"/>
      <c r="N646" s="48"/>
      <c r="O646" s="48">
        <f t="shared" si="0"/>
        <v>0</v>
      </c>
      <c r="P646" s="38"/>
      <c r="Q646" s="14" t="str">
        <f t="shared" ca="1" si="1"/>
        <v/>
      </c>
      <c r="R646" s="51"/>
      <c r="S646" s="51"/>
      <c r="T646" s="51"/>
      <c r="U646" s="40"/>
      <c r="V646" s="54"/>
      <c r="W646" s="55"/>
      <c r="X646" s="56"/>
      <c r="Y646" s="88"/>
      <c r="Z646" s="88"/>
      <c r="AA646" s="88"/>
      <c r="AB646" s="88"/>
    </row>
    <row r="647" spans="1:28">
      <c r="A647" s="38">
        <v>646</v>
      </c>
      <c r="B647" s="51"/>
      <c r="C647" s="40"/>
      <c r="D647" s="38"/>
      <c r="E647" s="38" t="s">
        <v>2527</v>
      </c>
      <c r="F647" s="43" t="s">
        <v>2528</v>
      </c>
      <c r="G647" s="44"/>
      <c r="H647" s="45"/>
      <c r="I647" s="38"/>
      <c r="J647" s="38">
        <f>771</f>
        <v>771</v>
      </c>
      <c r="K647" s="46">
        <v>4.2476851851851851E-3</v>
      </c>
      <c r="L647" s="47" t="s">
        <v>1956</v>
      </c>
      <c r="M647" s="48"/>
      <c r="N647" s="48"/>
      <c r="O647" s="48">
        <f t="shared" si="0"/>
        <v>0</v>
      </c>
      <c r="P647" s="38"/>
      <c r="Q647" s="14" t="str">
        <f t="shared" ca="1" si="1"/>
        <v/>
      </c>
      <c r="R647" s="51"/>
      <c r="S647" s="51"/>
      <c r="T647" s="51"/>
      <c r="U647" s="40"/>
      <c r="V647" s="54"/>
      <c r="W647" s="55"/>
      <c r="X647" s="56"/>
      <c r="Y647" s="88"/>
      <c r="Z647" s="88"/>
      <c r="AA647" s="88"/>
      <c r="AB647" s="88"/>
    </row>
    <row r="648" spans="1:28">
      <c r="A648" s="38">
        <v>647</v>
      </c>
      <c r="B648" s="51"/>
      <c r="C648" s="40"/>
      <c r="D648" s="38"/>
      <c r="E648" s="38" t="s">
        <v>2529</v>
      </c>
      <c r="F648" s="43" t="s">
        <v>2530</v>
      </c>
      <c r="G648" s="44"/>
      <c r="H648" s="45"/>
      <c r="I648" s="38"/>
      <c r="J648" s="38">
        <f>546</f>
        <v>546</v>
      </c>
      <c r="K648" s="46">
        <v>2.1064814814814813E-3</v>
      </c>
      <c r="L648" s="47" t="s">
        <v>1956</v>
      </c>
      <c r="M648" s="48"/>
      <c r="N648" s="48"/>
      <c r="O648" s="48">
        <f t="shared" si="0"/>
        <v>0</v>
      </c>
      <c r="P648" s="38"/>
      <c r="Q648" s="14" t="str">
        <f t="shared" ca="1" si="1"/>
        <v/>
      </c>
      <c r="R648" s="51"/>
      <c r="S648" s="51"/>
      <c r="T648" s="51"/>
      <c r="U648" s="40"/>
      <c r="V648" s="54"/>
      <c r="W648" s="55"/>
      <c r="X648" s="56"/>
      <c r="Y648" s="88"/>
      <c r="Z648" s="88"/>
      <c r="AA648" s="88"/>
      <c r="AB648" s="88"/>
    </row>
    <row r="649" spans="1:28">
      <c r="A649" s="38">
        <v>648</v>
      </c>
      <c r="B649" s="51"/>
      <c r="C649" s="40"/>
      <c r="D649" s="38"/>
      <c r="E649" s="38" t="s">
        <v>2531</v>
      </c>
      <c r="F649" s="43" t="s">
        <v>2532</v>
      </c>
      <c r="G649" s="44"/>
      <c r="H649" s="45"/>
      <c r="I649" s="38"/>
      <c r="J649" s="38">
        <f>2.5*1000</f>
        <v>2500</v>
      </c>
      <c r="K649" s="46">
        <v>3.5532407407407405E-3</v>
      </c>
      <c r="L649" s="47" t="s">
        <v>1956</v>
      </c>
      <c r="M649" s="48"/>
      <c r="N649" s="48"/>
      <c r="O649" s="48">
        <f t="shared" si="0"/>
        <v>0</v>
      </c>
      <c r="P649" s="38"/>
      <c r="Q649" s="14" t="str">
        <f t="shared" ca="1" si="1"/>
        <v/>
      </c>
      <c r="R649" s="51"/>
      <c r="S649" s="51"/>
      <c r="T649" s="51"/>
      <c r="U649" s="40"/>
      <c r="V649" s="54"/>
      <c r="W649" s="55"/>
      <c r="X649" s="56"/>
      <c r="Y649" s="88"/>
      <c r="Z649" s="88"/>
      <c r="AA649" s="88"/>
      <c r="AB649" s="88"/>
    </row>
    <row r="650" spans="1:28">
      <c r="A650" s="38">
        <v>649</v>
      </c>
      <c r="B650" s="51"/>
      <c r="C650" s="40"/>
      <c r="D650" s="38"/>
      <c r="E650" s="38" t="s">
        <v>2533</v>
      </c>
      <c r="F650" s="43" t="s">
        <v>2534</v>
      </c>
      <c r="G650" s="44"/>
      <c r="H650" s="45"/>
      <c r="I650" s="38"/>
      <c r="J650" s="38">
        <f>570</f>
        <v>570</v>
      </c>
      <c r="K650" s="46">
        <v>1.3773148148148147E-3</v>
      </c>
      <c r="L650" s="47" t="s">
        <v>1956</v>
      </c>
      <c r="M650" s="48"/>
      <c r="N650" s="48"/>
      <c r="O650" s="48">
        <f t="shared" si="0"/>
        <v>0</v>
      </c>
      <c r="P650" s="38"/>
      <c r="Q650" s="14" t="str">
        <f t="shared" ca="1" si="1"/>
        <v/>
      </c>
      <c r="R650" s="51"/>
      <c r="S650" s="51"/>
      <c r="T650" s="51"/>
      <c r="U650" s="40"/>
      <c r="V650" s="54"/>
      <c r="W650" s="55"/>
      <c r="X650" s="56"/>
      <c r="Y650" s="88"/>
      <c r="Z650" s="88"/>
      <c r="AA650" s="88"/>
      <c r="AB650" s="88"/>
    </row>
    <row r="651" spans="1:28">
      <c r="A651" s="38">
        <v>650</v>
      </c>
      <c r="B651" s="51"/>
      <c r="C651" s="40"/>
      <c r="D651" s="38"/>
      <c r="E651" s="38" t="s">
        <v>2535</v>
      </c>
      <c r="F651" s="43" t="s">
        <v>2536</v>
      </c>
      <c r="G651" s="44"/>
      <c r="H651" s="45"/>
      <c r="I651" s="38"/>
      <c r="J651" s="38">
        <f>2.6*1000</f>
        <v>2600</v>
      </c>
      <c r="K651" s="46">
        <v>1.9212962962962962E-3</v>
      </c>
      <c r="L651" s="47" t="s">
        <v>1956</v>
      </c>
      <c r="M651" s="48"/>
      <c r="N651" s="48"/>
      <c r="O651" s="48">
        <f t="shared" si="0"/>
        <v>0</v>
      </c>
      <c r="P651" s="38"/>
      <c r="Q651" s="14" t="str">
        <f t="shared" ca="1" si="1"/>
        <v/>
      </c>
      <c r="R651" s="51"/>
      <c r="S651" s="51"/>
      <c r="T651" s="51"/>
      <c r="U651" s="40"/>
      <c r="V651" s="54"/>
      <c r="W651" s="55"/>
      <c r="X651" s="56"/>
      <c r="Y651" s="88"/>
      <c r="Z651" s="88"/>
      <c r="AA651" s="88"/>
      <c r="AB651" s="88"/>
    </row>
    <row r="652" spans="1:28">
      <c r="A652" s="38">
        <v>651</v>
      </c>
      <c r="B652" s="51"/>
      <c r="C652" s="40"/>
      <c r="D652" s="38"/>
      <c r="E652" s="38" t="s">
        <v>2537</v>
      </c>
      <c r="F652" s="43" t="s">
        <v>2538</v>
      </c>
      <c r="G652" s="44"/>
      <c r="H652" s="45"/>
      <c r="I652" s="38"/>
      <c r="J652" s="38">
        <f>173</f>
        <v>173</v>
      </c>
      <c r="K652" s="46">
        <v>8.1018518518518516E-4</v>
      </c>
      <c r="L652" s="47" t="s">
        <v>1956</v>
      </c>
      <c r="M652" s="48"/>
      <c r="N652" s="48"/>
      <c r="O652" s="48">
        <f t="shared" si="0"/>
        <v>0</v>
      </c>
      <c r="P652" s="38"/>
      <c r="Q652" s="14" t="str">
        <f t="shared" ca="1" si="1"/>
        <v/>
      </c>
      <c r="R652" s="51"/>
      <c r="S652" s="51"/>
      <c r="T652" s="51"/>
      <c r="U652" s="40"/>
      <c r="V652" s="54"/>
      <c r="W652" s="55"/>
      <c r="X652" s="56"/>
      <c r="Y652" s="88"/>
      <c r="Z652" s="88"/>
      <c r="AA652" s="88"/>
      <c r="AB652" s="88"/>
    </row>
    <row r="653" spans="1:28">
      <c r="A653" s="38">
        <v>652</v>
      </c>
      <c r="B653" s="51"/>
      <c r="C653" s="40"/>
      <c r="D653" s="38"/>
      <c r="E653" s="38" t="s">
        <v>2539</v>
      </c>
      <c r="F653" s="43" t="s">
        <v>2540</v>
      </c>
      <c r="G653" s="44"/>
      <c r="H653" s="45"/>
      <c r="I653" s="38"/>
      <c r="J653" s="38">
        <f>789</f>
        <v>789</v>
      </c>
      <c r="K653" s="46">
        <v>4.108796296296297E-3</v>
      </c>
      <c r="L653" s="47" t="s">
        <v>1956</v>
      </c>
      <c r="M653" s="48"/>
      <c r="N653" s="48"/>
      <c r="O653" s="48">
        <f t="shared" si="0"/>
        <v>0</v>
      </c>
      <c r="P653" s="38"/>
      <c r="Q653" s="14" t="str">
        <f t="shared" ca="1" si="1"/>
        <v/>
      </c>
      <c r="R653" s="51"/>
      <c r="S653" s="51"/>
      <c r="T653" s="51"/>
      <c r="U653" s="40"/>
      <c r="V653" s="54"/>
      <c r="W653" s="55"/>
      <c r="X653" s="56"/>
      <c r="Y653" s="88"/>
      <c r="Z653" s="88"/>
      <c r="AA653" s="88"/>
      <c r="AB653" s="88"/>
    </row>
    <row r="654" spans="1:28">
      <c r="A654" s="38">
        <v>653</v>
      </c>
      <c r="B654" s="51"/>
      <c r="C654" s="40"/>
      <c r="D654" s="38"/>
      <c r="E654" s="38" t="s">
        <v>2541</v>
      </c>
      <c r="F654" s="43" t="s">
        <v>2542</v>
      </c>
      <c r="G654" s="44"/>
      <c r="H654" s="45"/>
      <c r="I654" s="38"/>
      <c r="J654" s="38">
        <f>15*1000</f>
        <v>15000</v>
      </c>
      <c r="K654" s="46">
        <v>9.2048611111111109E-2</v>
      </c>
      <c r="L654" s="47" t="s">
        <v>1956</v>
      </c>
      <c r="M654" s="48"/>
      <c r="N654" s="48"/>
      <c r="O654" s="48">
        <f t="shared" si="0"/>
        <v>0</v>
      </c>
      <c r="P654" s="38"/>
      <c r="Q654" s="14" t="str">
        <f t="shared" ca="1" si="1"/>
        <v/>
      </c>
      <c r="R654" s="51"/>
      <c r="S654" s="51"/>
      <c r="T654" s="51"/>
      <c r="U654" s="40"/>
      <c r="V654" s="54"/>
      <c r="W654" s="55"/>
      <c r="X654" s="56"/>
      <c r="Y654" s="88"/>
      <c r="Z654" s="88"/>
      <c r="AA654" s="88"/>
      <c r="AB654" s="88"/>
    </row>
    <row r="655" spans="1:28">
      <c r="A655" s="38">
        <v>654</v>
      </c>
      <c r="B655" s="51"/>
      <c r="C655" s="40"/>
      <c r="D655" s="38"/>
      <c r="E655" s="38" t="s">
        <v>2543</v>
      </c>
      <c r="F655" s="43" t="s">
        <v>2544</v>
      </c>
      <c r="G655" s="44"/>
      <c r="H655" s="45"/>
      <c r="I655" s="38"/>
      <c r="J655" s="38">
        <f>1.6*1000</f>
        <v>1600</v>
      </c>
      <c r="K655" s="46">
        <v>1.8171296296296297E-3</v>
      </c>
      <c r="L655" s="47" t="s">
        <v>1956</v>
      </c>
      <c r="M655" s="48"/>
      <c r="N655" s="48"/>
      <c r="O655" s="48">
        <f t="shared" si="0"/>
        <v>0</v>
      </c>
      <c r="P655" s="38"/>
      <c r="Q655" s="14" t="str">
        <f t="shared" ca="1" si="1"/>
        <v/>
      </c>
      <c r="R655" s="51"/>
      <c r="S655" s="51"/>
      <c r="T655" s="51"/>
      <c r="U655" s="40"/>
      <c r="V655" s="54"/>
      <c r="W655" s="55"/>
      <c r="X655" s="56"/>
      <c r="Y655" s="88"/>
      <c r="Z655" s="88"/>
      <c r="AA655" s="88"/>
      <c r="AB655" s="88"/>
    </row>
    <row r="656" spans="1:28">
      <c r="A656" s="38">
        <v>655</v>
      </c>
      <c r="B656" s="51"/>
      <c r="C656" s="40"/>
      <c r="D656" s="38"/>
      <c r="E656" s="38" t="s">
        <v>2545</v>
      </c>
      <c r="F656" s="43" t="s">
        <v>2546</v>
      </c>
      <c r="G656" s="44"/>
      <c r="H656" s="45"/>
      <c r="I656" s="38"/>
      <c r="J656" s="38">
        <f>1.2*1000</f>
        <v>1200</v>
      </c>
      <c r="K656" s="46">
        <v>1.2152777777777778E-3</v>
      </c>
      <c r="L656" s="47" t="s">
        <v>2547</v>
      </c>
      <c r="M656" s="48"/>
      <c r="N656" s="48"/>
      <c r="O656" s="48">
        <f t="shared" si="0"/>
        <v>0</v>
      </c>
      <c r="P656" s="38"/>
      <c r="Q656" s="14" t="str">
        <f t="shared" ca="1" si="1"/>
        <v/>
      </c>
      <c r="R656" s="51"/>
      <c r="S656" s="51"/>
      <c r="T656" s="51"/>
      <c r="U656" s="40"/>
      <c r="V656" s="54"/>
      <c r="W656" s="55"/>
      <c r="X656" s="56"/>
      <c r="Y656" s="88"/>
      <c r="Z656" s="88"/>
      <c r="AA656" s="88"/>
      <c r="AB656" s="88"/>
    </row>
    <row r="657" spans="1:28">
      <c r="A657" s="38">
        <v>656</v>
      </c>
      <c r="B657" s="51"/>
      <c r="C657" s="40"/>
      <c r="D657" s="38"/>
      <c r="E657" s="38" t="s">
        <v>2548</v>
      </c>
      <c r="F657" s="43" t="s">
        <v>2549</v>
      </c>
      <c r="G657" s="44"/>
      <c r="H657" s="45"/>
      <c r="I657" s="38"/>
      <c r="J657" s="38">
        <f>2.3*1000</f>
        <v>2300</v>
      </c>
      <c r="K657" s="46">
        <v>3.7962962962962963E-3</v>
      </c>
      <c r="L657" s="47" t="s">
        <v>2547</v>
      </c>
      <c r="M657" s="48"/>
      <c r="N657" s="48"/>
      <c r="O657" s="48">
        <f t="shared" si="0"/>
        <v>0</v>
      </c>
      <c r="P657" s="38"/>
      <c r="Q657" s="14" t="str">
        <f t="shared" ca="1" si="1"/>
        <v/>
      </c>
      <c r="R657" s="51"/>
      <c r="S657" s="51"/>
      <c r="T657" s="51"/>
      <c r="U657" s="40"/>
      <c r="V657" s="54"/>
      <c r="W657" s="55"/>
      <c r="X657" s="56"/>
      <c r="Y657" s="88"/>
      <c r="Z657" s="88"/>
      <c r="AA657" s="88"/>
      <c r="AB657" s="88"/>
    </row>
    <row r="658" spans="1:28">
      <c r="A658" s="38">
        <v>657</v>
      </c>
      <c r="B658" s="51"/>
      <c r="C658" s="40"/>
      <c r="D658" s="38"/>
      <c r="E658" s="38" t="s">
        <v>2550</v>
      </c>
      <c r="F658" s="43" t="s">
        <v>2551</v>
      </c>
      <c r="G658" s="44"/>
      <c r="H658" s="45"/>
      <c r="I658" s="38"/>
      <c r="J658" s="38">
        <f>2.6*1000</f>
        <v>2600</v>
      </c>
      <c r="K658" s="46">
        <v>1.2916666666666667E-2</v>
      </c>
      <c r="L658" s="47" t="s">
        <v>2547</v>
      </c>
      <c r="M658" s="48"/>
      <c r="N658" s="48"/>
      <c r="O658" s="48">
        <f t="shared" si="0"/>
        <v>0</v>
      </c>
      <c r="P658" s="38"/>
      <c r="Q658" s="14" t="str">
        <f t="shared" ca="1" si="1"/>
        <v/>
      </c>
      <c r="R658" s="51"/>
      <c r="S658" s="51"/>
      <c r="T658" s="51"/>
      <c r="U658" s="40"/>
      <c r="V658" s="54"/>
      <c r="W658" s="55"/>
      <c r="X658" s="56"/>
      <c r="Y658" s="88"/>
      <c r="Z658" s="88"/>
      <c r="AA658" s="88"/>
      <c r="AB658" s="88"/>
    </row>
    <row r="659" spans="1:28">
      <c r="A659" s="38">
        <v>658</v>
      </c>
      <c r="B659" s="51"/>
      <c r="C659" s="40"/>
      <c r="D659" s="38"/>
      <c r="E659" s="38" t="s">
        <v>2552</v>
      </c>
      <c r="F659" s="43" t="s">
        <v>2553</v>
      </c>
      <c r="G659" s="44"/>
      <c r="H659" s="45"/>
      <c r="I659" s="38"/>
      <c r="J659" s="38">
        <f>5.8*1000</f>
        <v>5800</v>
      </c>
      <c r="K659" s="46">
        <v>4.0046296296296297E-3</v>
      </c>
      <c r="L659" s="47" t="s">
        <v>2547</v>
      </c>
      <c r="M659" s="48"/>
      <c r="N659" s="48"/>
      <c r="O659" s="48">
        <f t="shared" si="0"/>
        <v>0</v>
      </c>
      <c r="P659" s="38"/>
      <c r="Q659" s="14" t="str">
        <f t="shared" ca="1" si="1"/>
        <v/>
      </c>
      <c r="R659" s="51"/>
      <c r="S659" s="51"/>
      <c r="T659" s="51"/>
      <c r="U659" s="40"/>
      <c r="V659" s="54"/>
      <c r="W659" s="55"/>
      <c r="X659" s="56"/>
      <c r="Y659" s="88"/>
      <c r="Z659" s="88"/>
      <c r="AA659" s="88"/>
      <c r="AB659" s="88"/>
    </row>
    <row r="660" spans="1:28">
      <c r="A660" s="38">
        <v>659</v>
      </c>
      <c r="B660" s="51"/>
      <c r="C660" s="40"/>
      <c r="D660" s="38"/>
      <c r="E660" s="38" t="s">
        <v>2554</v>
      </c>
      <c r="F660" s="43" t="s">
        <v>2555</v>
      </c>
      <c r="G660" s="44"/>
      <c r="H660" s="45"/>
      <c r="I660" s="38"/>
      <c r="J660" s="38">
        <f>1.4*1000</f>
        <v>1400</v>
      </c>
      <c r="K660" s="46">
        <v>1.8634259259259261E-3</v>
      </c>
      <c r="L660" s="47" t="s">
        <v>2547</v>
      </c>
      <c r="M660" s="48"/>
      <c r="N660" s="48"/>
      <c r="O660" s="48">
        <f t="shared" si="0"/>
        <v>0</v>
      </c>
      <c r="P660" s="38"/>
      <c r="Q660" s="14" t="str">
        <f t="shared" ca="1" si="1"/>
        <v/>
      </c>
      <c r="R660" s="51"/>
      <c r="S660" s="51"/>
      <c r="T660" s="51"/>
      <c r="U660" s="40"/>
      <c r="V660" s="54"/>
      <c r="W660" s="55"/>
      <c r="X660" s="56"/>
      <c r="Y660" s="88"/>
      <c r="Z660" s="88"/>
      <c r="AA660" s="88"/>
      <c r="AB660" s="88"/>
    </row>
    <row r="661" spans="1:28">
      <c r="A661" s="38">
        <v>660</v>
      </c>
      <c r="B661" s="51"/>
      <c r="C661" s="40"/>
      <c r="D661" s="38"/>
      <c r="E661" s="38" t="s">
        <v>2556</v>
      </c>
      <c r="F661" s="43" t="s">
        <v>2557</v>
      </c>
      <c r="G661" s="44"/>
      <c r="H661" s="45"/>
      <c r="I661" s="38"/>
      <c r="J661" s="38">
        <f>773</f>
        <v>773</v>
      </c>
      <c r="K661" s="46">
        <v>1.5624999999999999E-3</v>
      </c>
      <c r="L661" s="47" t="s">
        <v>2547</v>
      </c>
      <c r="M661" s="48"/>
      <c r="N661" s="48"/>
      <c r="O661" s="48">
        <f t="shared" si="0"/>
        <v>0</v>
      </c>
      <c r="P661" s="38"/>
      <c r="Q661" s="14" t="str">
        <f t="shared" ca="1" si="1"/>
        <v/>
      </c>
      <c r="R661" s="51"/>
      <c r="S661" s="51"/>
      <c r="T661" s="51"/>
      <c r="U661" s="40"/>
      <c r="V661" s="54"/>
      <c r="W661" s="55"/>
      <c r="X661" s="56"/>
      <c r="Y661" s="88"/>
      <c r="Z661" s="88"/>
      <c r="AA661" s="88"/>
      <c r="AB661" s="88"/>
    </row>
    <row r="662" spans="1:28">
      <c r="A662" s="38">
        <v>661</v>
      </c>
      <c r="B662" s="51"/>
      <c r="C662" s="40"/>
      <c r="D662" s="38"/>
      <c r="E662" s="38" t="s">
        <v>2558</v>
      </c>
      <c r="F662" s="43" t="s">
        <v>2559</v>
      </c>
      <c r="G662" s="44"/>
      <c r="H662" s="45"/>
      <c r="I662" s="38"/>
      <c r="J662" s="38">
        <f>1*1000</f>
        <v>1000</v>
      </c>
      <c r="K662" s="46">
        <v>8.0324074074074065E-3</v>
      </c>
      <c r="L662" s="47" t="s">
        <v>2547</v>
      </c>
      <c r="M662" s="48"/>
      <c r="N662" s="48"/>
      <c r="O662" s="48">
        <f t="shared" si="0"/>
        <v>0</v>
      </c>
      <c r="P662" s="38"/>
      <c r="Q662" s="14" t="str">
        <f t="shared" ca="1" si="1"/>
        <v/>
      </c>
      <c r="R662" s="51"/>
      <c r="S662" s="51"/>
      <c r="T662" s="51"/>
      <c r="U662" s="40"/>
      <c r="V662" s="54"/>
      <c r="W662" s="55"/>
      <c r="X662" s="56"/>
      <c r="Y662" s="88"/>
      <c r="Z662" s="88"/>
      <c r="AA662" s="88"/>
      <c r="AB662" s="88"/>
    </row>
    <row r="663" spans="1:28">
      <c r="A663" s="38">
        <v>662</v>
      </c>
      <c r="B663" s="51"/>
      <c r="C663" s="40"/>
      <c r="D663" s="38"/>
      <c r="E663" s="38" t="s">
        <v>2560</v>
      </c>
      <c r="F663" s="43" t="s">
        <v>2561</v>
      </c>
      <c r="G663" s="44"/>
      <c r="H663" s="45"/>
      <c r="I663" s="38"/>
      <c r="J663" s="38">
        <f>536</f>
        <v>536</v>
      </c>
      <c r="K663" s="46">
        <v>1.0995370370370371E-3</v>
      </c>
      <c r="L663" s="47" t="s">
        <v>2547</v>
      </c>
      <c r="M663" s="48"/>
      <c r="N663" s="48"/>
      <c r="O663" s="48">
        <f t="shared" si="0"/>
        <v>0</v>
      </c>
      <c r="P663" s="38"/>
      <c r="Q663" s="14" t="str">
        <f t="shared" ca="1" si="1"/>
        <v/>
      </c>
      <c r="R663" s="51"/>
      <c r="S663" s="51"/>
      <c r="T663" s="51"/>
      <c r="U663" s="40"/>
      <c r="V663" s="54"/>
      <c r="W663" s="55"/>
      <c r="X663" s="56"/>
      <c r="Y663" s="88"/>
      <c r="Z663" s="88"/>
      <c r="AA663" s="88"/>
      <c r="AB663" s="88"/>
    </row>
    <row r="664" spans="1:28">
      <c r="A664" s="38">
        <v>663</v>
      </c>
      <c r="B664" s="51"/>
      <c r="C664" s="40"/>
      <c r="D664" s="38"/>
      <c r="E664" s="38" t="s">
        <v>2562</v>
      </c>
      <c r="F664" s="43" t="s">
        <v>2563</v>
      </c>
      <c r="G664" s="44"/>
      <c r="H664" s="45"/>
      <c r="I664" s="38"/>
      <c r="J664" s="38">
        <f>912</f>
        <v>912</v>
      </c>
      <c r="K664" s="46">
        <v>1.9444444444444442E-3</v>
      </c>
      <c r="L664" s="47" t="s">
        <v>2547</v>
      </c>
      <c r="M664" s="48"/>
      <c r="N664" s="48"/>
      <c r="O664" s="48">
        <f t="shared" si="0"/>
        <v>0</v>
      </c>
      <c r="P664" s="38"/>
      <c r="Q664" s="14" t="str">
        <f t="shared" ca="1" si="1"/>
        <v/>
      </c>
      <c r="R664" s="51"/>
      <c r="S664" s="51"/>
      <c r="T664" s="51"/>
      <c r="U664" s="40"/>
      <c r="V664" s="54"/>
      <c r="W664" s="55"/>
      <c r="X664" s="56"/>
      <c r="Y664" s="88"/>
      <c r="Z664" s="88"/>
      <c r="AA664" s="88"/>
      <c r="AB664" s="88"/>
    </row>
    <row r="665" spans="1:28">
      <c r="A665" s="38">
        <v>664</v>
      </c>
      <c r="B665" s="51"/>
      <c r="C665" s="40"/>
      <c r="D665" s="38"/>
      <c r="E665" s="38" t="s">
        <v>2564</v>
      </c>
      <c r="F665" s="43" t="s">
        <v>2565</v>
      </c>
      <c r="G665" s="44"/>
      <c r="H665" s="45"/>
      <c r="I665" s="38"/>
      <c r="J665" s="38">
        <f>4.1*1000</f>
        <v>4100</v>
      </c>
      <c r="K665" s="46">
        <v>4.3020833333333335E-2</v>
      </c>
      <c r="L665" s="47" t="s">
        <v>2547</v>
      </c>
      <c r="M665" s="48"/>
      <c r="N665" s="48"/>
      <c r="O665" s="48">
        <f t="shared" si="0"/>
        <v>0</v>
      </c>
      <c r="P665" s="38"/>
      <c r="Q665" s="14" t="str">
        <f t="shared" ca="1" si="1"/>
        <v/>
      </c>
      <c r="R665" s="51"/>
      <c r="S665" s="51"/>
      <c r="T665" s="51"/>
      <c r="U665" s="40"/>
      <c r="V665" s="54"/>
      <c r="W665" s="55"/>
      <c r="X665" s="56"/>
      <c r="Y665" s="88"/>
      <c r="Z665" s="88"/>
      <c r="AA665" s="88"/>
      <c r="AB665" s="88"/>
    </row>
    <row r="666" spans="1:28">
      <c r="A666" s="38">
        <v>665</v>
      </c>
      <c r="B666" s="51"/>
      <c r="C666" s="40"/>
      <c r="D666" s="38"/>
      <c r="E666" s="38" t="s">
        <v>2566</v>
      </c>
      <c r="F666" s="43" t="s">
        <v>2567</v>
      </c>
      <c r="G666" s="44"/>
      <c r="H666" s="45"/>
      <c r="I666" s="38"/>
      <c r="J666" s="38">
        <f>728</f>
        <v>728</v>
      </c>
      <c r="K666" s="46">
        <v>1.5740740740740741E-3</v>
      </c>
      <c r="L666" s="47" t="s">
        <v>2547</v>
      </c>
      <c r="M666" s="48"/>
      <c r="N666" s="48"/>
      <c r="O666" s="48">
        <f t="shared" si="0"/>
        <v>0</v>
      </c>
      <c r="P666" s="38"/>
      <c r="Q666" s="14" t="str">
        <f t="shared" ca="1" si="1"/>
        <v/>
      </c>
      <c r="R666" s="51"/>
      <c r="S666" s="51"/>
      <c r="T666" s="51"/>
      <c r="U666" s="40"/>
      <c r="V666" s="54"/>
      <c r="W666" s="55"/>
      <c r="X666" s="56"/>
      <c r="Y666" s="88"/>
      <c r="Z666" s="88"/>
      <c r="AA666" s="88"/>
      <c r="AB666" s="88"/>
    </row>
    <row r="667" spans="1:28">
      <c r="A667" s="38">
        <v>666</v>
      </c>
      <c r="B667" s="51"/>
      <c r="C667" s="40"/>
      <c r="D667" s="38"/>
      <c r="E667" s="38" t="s">
        <v>2568</v>
      </c>
      <c r="F667" s="43" t="s">
        <v>2569</v>
      </c>
      <c r="G667" s="44"/>
      <c r="H667" s="45"/>
      <c r="I667" s="38"/>
      <c r="J667" s="38">
        <f>2.7*1000</f>
        <v>2700</v>
      </c>
      <c r="K667" s="46">
        <v>2.4074074074074076E-3</v>
      </c>
      <c r="L667" s="47" t="s">
        <v>2547</v>
      </c>
      <c r="M667" s="48"/>
      <c r="N667" s="48"/>
      <c r="O667" s="48">
        <f t="shared" si="0"/>
        <v>0</v>
      </c>
      <c r="P667" s="38"/>
      <c r="Q667" s="14" t="str">
        <f t="shared" ca="1" si="1"/>
        <v/>
      </c>
      <c r="R667" s="51"/>
      <c r="S667" s="51"/>
      <c r="T667" s="51"/>
      <c r="U667" s="40"/>
      <c r="V667" s="54"/>
      <c r="W667" s="55"/>
      <c r="X667" s="56"/>
      <c r="Y667" s="88"/>
      <c r="Z667" s="88"/>
      <c r="AA667" s="88"/>
      <c r="AB667" s="88"/>
    </row>
    <row r="668" spans="1:28">
      <c r="A668" s="38">
        <v>667</v>
      </c>
      <c r="B668" s="39"/>
      <c r="C668" s="40"/>
      <c r="D668" s="38"/>
      <c r="E668" s="38" t="s">
        <v>2570</v>
      </c>
      <c r="F668" s="43" t="s">
        <v>2571</v>
      </c>
      <c r="G668" s="44"/>
      <c r="H668" s="45"/>
      <c r="I668" s="38"/>
      <c r="J668" s="38">
        <f>2.4*1000</f>
        <v>2400</v>
      </c>
      <c r="K668" s="46">
        <v>2.1180555555555553E-3</v>
      </c>
      <c r="L668" s="47" t="s">
        <v>2547</v>
      </c>
      <c r="M668" s="48"/>
      <c r="N668" s="48"/>
      <c r="O668" s="48">
        <f t="shared" si="0"/>
        <v>0</v>
      </c>
      <c r="P668" s="38"/>
      <c r="Q668" s="14" t="str">
        <f t="shared" ca="1" si="1"/>
        <v/>
      </c>
      <c r="R668" s="51"/>
      <c r="S668" s="51"/>
      <c r="T668" s="51"/>
      <c r="U668" s="40"/>
      <c r="V668" s="54"/>
      <c r="W668" s="55"/>
      <c r="X668" s="56"/>
      <c r="Y668" s="88"/>
      <c r="Z668" s="88"/>
      <c r="AA668" s="88"/>
      <c r="AB668" s="88"/>
    </row>
    <row r="669" spans="1:28">
      <c r="A669" s="38">
        <v>668</v>
      </c>
      <c r="B669" s="51"/>
      <c r="C669" s="40"/>
      <c r="D669" s="38"/>
      <c r="E669" s="38" t="s">
        <v>2572</v>
      </c>
      <c r="F669" s="43" t="s">
        <v>2573</v>
      </c>
      <c r="G669" s="44"/>
      <c r="H669" s="45"/>
      <c r="I669" s="38"/>
      <c r="J669" s="38">
        <f>2.8*1000</f>
        <v>2800</v>
      </c>
      <c r="K669" s="46">
        <v>6.9444444444444441E-3</v>
      </c>
      <c r="L669" s="47" t="s">
        <v>2547</v>
      </c>
      <c r="M669" s="48"/>
      <c r="N669" s="48"/>
      <c r="O669" s="48">
        <f t="shared" si="0"/>
        <v>0</v>
      </c>
      <c r="P669" s="38"/>
      <c r="Q669" s="14" t="str">
        <f t="shared" ca="1" si="1"/>
        <v/>
      </c>
      <c r="R669" s="51"/>
      <c r="S669" s="51"/>
      <c r="T669" s="51"/>
      <c r="U669" s="40"/>
      <c r="V669" s="54"/>
      <c r="W669" s="55"/>
      <c r="X669" s="56"/>
      <c r="Y669" s="88"/>
      <c r="Z669" s="88"/>
      <c r="AA669" s="88"/>
      <c r="AB669" s="88"/>
    </row>
    <row r="670" spans="1:28">
      <c r="A670" s="38">
        <v>669</v>
      </c>
      <c r="B670" s="39" t="s">
        <v>596</v>
      </c>
      <c r="C670" s="40"/>
      <c r="D670" s="38"/>
      <c r="E670" s="38" t="s">
        <v>2105</v>
      </c>
      <c r="F670" s="43" t="s">
        <v>2106</v>
      </c>
      <c r="G670" s="44"/>
      <c r="H670" s="45"/>
      <c r="I670" s="38"/>
      <c r="J670" s="38">
        <f>14*1000</f>
        <v>14000</v>
      </c>
      <c r="K670" s="46">
        <v>5.6435185185185179E-2</v>
      </c>
      <c r="L670" s="47" t="s">
        <v>2574</v>
      </c>
      <c r="M670" s="48"/>
      <c r="N670" s="48"/>
      <c r="O670" s="48">
        <f t="shared" si="0"/>
        <v>0</v>
      </c>
      <c r="P670" s="38"/>
      <c r="Q670" s="14" t="str">
        <f t="shared" ca="1" si="1"/>
        <v/>
      </c>
      <c r="R670" s="51"/>
      <c r="S670" s="51"/>
      <c r="T670" s="51"/>
      <c r="U670" s="40"/>
      <c r="V670" s="54"/>
      <c r="W670" s="55"/>
      <c r="X670" s="56"/>
      <c r="Y670" s="88"/>
      <c r="Z670" s="88"/>
      <c r="AA670" s="88"/>
      <c r="AB670" s="88"/>
    </row>
    <row r="671" spans="1:28">
      <c r="A671" s="38">
        <v>670</v>
      </c>
      <c r="B671" s="51"/>
      <c r="C671" s="40"/>
      <c r="D671" s="38"/>
      <c r="E671" s="38" t="s">
        <v>2575</v>
      </c>
      <c r="F671" s="43" t="s">
        <v>2576</v>
      </c>
      <c r="G671" s="44"/>
      <c r="H671" s="45"/>
      <c r="I671" s="38"/>
      <c r="J671" s="38">
        <f>15*1000</f>
        <v>15000</v>
      </c>
      <c r="K671" s="46">
        <v>6.3055555555555545E-2</v>
      </c>
      <c r="L671" s="47" t="s">
        <v>2574</v>
      </c>
      <c r="M671" s="48"/>
      <c r="N671" s="48"/>
      <c r="O671" s="48">
        <f t="shared" si="0"/>
        <v>0</v>
      </c>
      <c r="P671" s="38"/>
      <c r="Q671" s="14" t="str">
        <f t="shared" ca="1" si="1"/>
        <v/>
      </c>
      <c r="R671" s="51"/>
      <c r="S671" s="51"/>
      <c r="T671" s="51"/>
      <c r="U671" s="40"/>
      <c r="V671" s="54"/>
      <c r="W671" s="55"/>
      <c r="X671" s="56"/>
      <c r="Y671" s="88"/>
      <c r="Z671" s="88"/>
      <c r="AA671" s="88"/>
      <c r="AB671" s="88"/>
    </row>
    <row r="672" spans="1:28">
      <c r="A672" s="38">
        <v>671</v>
      </c>
      <c r="B672" s="51"/>
      <c r="C672" s="40"/>
      <c r="D672" s="38"/>
      <c r="E672" s="38" t="s">
        <v>2577</v>
      </c>
      <c r="F672" s="43" t="s">
        <v>2578</v>
      </c>
      <c r="G672" s="44"/>
      <c r="H672" s="45"/>
      <c r="I672" s="38"/>
      <c r="J672" s="38">
        <f>6.8*1000</f>
        <v>6800</v>
      </c>
      <c r="K672" s="46">
        <v>5.9907407407407409E-2</v>
      </c>
      <c r="L672" s="47" t="s">
        <v>2574</v>
      </c>
      <c r="M672" s="48"/>
      <c r="N672" s="48"/>
      <c r="O672" s="48">
        <f t="shared" si="0"/>
        <v>0</v>
      </c>
      <c r="P672" s="38"/>
      <c r="Q672" s="14" t="str">
        <f t="shared" ca="1" si="1"/>
        <v/>
      </c>
      <c r="R672" s="51"/>
      <c r="S672" s="51"/>
      <c r="T672" s="51"/>
      <c r="U672" s="40"/>
      <c r="V672" s="54"/>
      <c r="W672" s="55"/>
      <c r="X672" s="56"/>
      <c r="Y672" s="88"/>
      <c r="Z672" s="88"/>
      <c r="AA672" s="88"/>
      <c r="AB672" s="88"/>
    </row>
    <row r="673" spans="1:28">
      <c r="A673" s="38">
        <v>672</v>
      </c>
      <c r="B673" s="39" t="s">
        <v>497</v>
      </c>
      <c r="C673" s="40"/>
      <c r="D673" s="42" t="s">
        <v>139</v>
      </c>
      <c r="E673" s="38" t="s">
        <v>2579</v>
      </c>
      <c r="F673" s="43" t="s">
        <v>2580</v>
      </c>
      <c r="G673" s="44"/>
      <c r="H673" s="45"/>
      <c r="I673" s="38"/>
      <c r="J673" s="38">
        <f>27*1000</f>
        <v>27000</v>
      </c>
      <c r="K673" s="46">
        <v>2.4826388888888887E-2</v>
      </c>
      <c r="L673" s="47" t="s">
        <v>2574</v>
      </c>
      <c r="M673" s="48"/>
      <c r="N673" s="48"/>
      <c r="O673" s="48">
        <f t="shared" si="0"/>
        <v>0</v>
      </c>
      <c r="P673" s="38"/>
      <c r="Q673" s="14" t="str">
        <f t="shared" ca="1" si="1"/>
        <v/>
      </c>
      <c r="R673" s="51"/>
      <c r="S673" s="51"/>
      <c r="T673" s="51"/>
      <c r="U673" s="40"/>
      <c r="V673" s="54"/>
      <c r="W673" s="55"/>
      <c r="X673" s="56"/>
      <c r="Y673" s="88"/>
      <c r="Z673" s="88"/>
      <c r="AA673" s="88"/>
      <c r="AB673" s="88"/>
    </row>
    <row r="674" spans="1:28">
      <c r="A674" s="38">
        <v>673</v>
      </c>
      <c r="B674" s="39" t="s">
        <v>497</v>
      </c>
      <c r="C674" s="40"/>
      <c r="D674" s="42" t="s">
        <v>142</v>
      </c>
      <c r="E674" s="38" t="s">
        <v>2581</v>
      </c>
      <c r="F674" s="43" t="s">
        <v>2582</v>
      </c>
      <c r="G674" s="44"/>
      <c r="H674" s="45"/>
      <c r="I674" s="38"/>
      <c r="J674" s="38">
        <f>10*1000</f>
        <v>10000</v>
      </c>
      <c r="K674" s="46">
        <v>2.8564814814814817E-2</v>
      </c>
      <c r="L674" s="47" t="s">
        <v>2583</v>
      </c>
      <c r="M674" s="48"/>
      <c r="N674" s="48"/>
      <c r="O674" s="48">
        <f t="shared" si="0"/>
        <v>0</v>
      </c>
      <c r="P674" s="38"/>
      <c r="Q674" s="14" t="str">
        <f t="shared" ca="1" si="1"/>
        <v/>
      </c>
      <c r="R674" s="51"/>
      <c r="S674" s="51"/>
      <c r="T674" s="51"/>
      <c r="U674" s="40"/>
      <c r="V674" s="54"/>
      <c r="W674" s="55"/>
      <c r="X674" s="56"/>
      <c r="Y674" s="88"/>
      <c r="Z674" s="88"/>
      <c r="AA674" s="88"/>
      <c r="AB674" s="88"/>
    </row>
    <row r="675" spans="1:28">
      <c r="A675" s="38">
        <v>674</v>
      </c>
      <c r="B675" s="51"/>
      <c r="C675" s="40"/>
      <c r="D675" s="38"/>
      <c r="E675" s="38" t="s">
        <v>2584</v>
      </c>
      <c r="F675" s="43" t="s">
        <v>2585</v>
      </c>
      <c r="G675" s="44"/>
      <c r="H675" s="45"/>
      <c r="I675" s="38"/>
      <c r="J675" s="38">
        <f>1.8*1000</f>
        <v>1800</v>
      </c>
      <c r="K675" s="46">
        <v>3.9583333333333337E-3</v>
      </c>
      <c r="L675" s="47" t="s">
        <v>2583</v>
      </c>
      <c r="M675" s="48"/>
      <c r="N675" s="48"/>
      <c r="O675" s="48">
        <f t="shared" si="0"/>
        <v>0</v>
      </c>
      <c r="P675" s="38"/>
      <c r="Q675" s="14" t="str">
        <f t="shared" ca="1" si="1"/>
        <v/>
      </c>
      <c r="R675" s="51"/>
      <c r="S675" s="51"/>
      <c r="T675" s="51"/>
      <c r="U675" s="40"/>
      <c r="V675" s="54"/>
      <c r="W675" s="55"/>
      <c r="X675" s="56"/>
      <c r="Y675" s="88"/>
      <c r="Z675" s="88"/>
      <c r="AA675" s="88"/>
      <c r="AB675" s="88"/>
    </row>
    <row r="676" spans="1:28">
      <c r="A676" s="38">
        <v>675</v>
      </c>
      <c r="B676" s="51"/>
      <c r="C676" s="40"/>
      <c r="D676" s="38"/>
      <c r="E676" s="38" t="s">
        <v>2586</v>
      </c>
      <c r="F676" s="43" t="s">
        <v>2587</v>
      </c>
      <c r="G676" s="44"/>
      <c r="H676" s="45"/>
      <c r="I676" s="38"/>
      <c r="J676" s="38">
        <f>2.3*1000</f>
        <v>2300</v>
      </c>
      <c r="K676" s="46">
        <v>6.3078703703703706E-2</v>
      </c>
      <c r="L676" s="47" t="s">
        <v>2583</v>
      </c>
      <c r="M676" s="48"/>
      <c r="N676" s="48"/>
      <c r="O676" s="48">
        <f t="shared" si="0"/>
        <v>0</v>
      </c>
      <c r="P676" s="38"/>
      <c r="Q676" s="14" t="str">
        <f t="shared" ca="1" si="1"/>
        <v/>
      </c>
      <c r="R676" s="51"/>
      <c r="S676" s="51"/>
      <c r="T676" s="51"/>
      <c r="U676" s="40"/>
      <c r="V676" s="54"/>
      <c r="W676" s="55"/>
      <c r="X676" s="56"/>
      <c r="Y676" s="88"/>
      <c r="Z676" s="88"/>
      <c r="AA676" s="88"/>
      <c r="AB676" s="88"/>
    </row>
    <row r="677" spans="1:28">
      <c r="A677" s="38">
        <v>676</v>
      </c>
      <c r="B677" s="51"/>
      <c r="C677" s="40"/>
      <c r="D677" s="38"/>
      <c r="E677" s="38" t="s">
        <v>2588</v>
      </c>
      <c r="F677" s="43" t="s">
        <v>2589</v>
      </c>
      <c r="G677" s="44"/>
      <c r="H677" s="45"/>
      <c r="I677" s="38"/>
      <c r="J677" s="38">
        <f>1.2*1000</f>
        <v>1200</v>
      </c>
      <c r="K677" s="46">
        <v>6.5277777777777782E-2</v>
      </c>
      <c r="L677" s="47" t="s">
        <v>2583</v>
      </c>
      <c r="M677" s="48"/>
      <c r="N677" s="48"/>
      <c r="O677" s="48">
        <f t="shared" si="0"/>
        <v>0</v>
      </c>
      <c r="P677" s="38"/>
      <c r="Q677" s="14" t="str">
        <f t="shared" ca="1" si="1"/>
        <v/>
      </c>
      <c r="R677" s="51"/>
      <c r="S677" s="51"/>
      <c r="T677" s="51"/>
      <c r="U677" s="40"/>
      <c r="V677" s="54"/>
      <c r="W677" s="55"/>
      <c r="X677" s="56"/>
      <c r="Y677" s="88"/>
      <c r="Z677" s="88"/>
      <c r="AA677" s="88"/>
      <c r="AB677" s="88"/>
    </row>
    <row r="678" spans="1:28">
      <c r="A678" s="38">
        <v>677</v>
      </c>
      <c r="B678" s="51"/>
      <c r="C678" s="40"/>
      <c r="D678" s="38"/>
      <c r="E678" s="38" t="s">
        <v>2590</v>
      </c>
      <c r="F678" s="43" t="s">
        <v>2591</v>
      </c>
      <c r="G678" s="44"/>
      <c r="H678" s="45"/>
      <c r="I678" s="38"/>
      <c r="J678" s="38">
        <f>3.7*1000</f>
        <v>3700</v>
      </c>
      <c r="K678" s="46">
        <v>3.770833333333333E-2</v>
      </c>
      <c r="L678" s="47" t="s">
        <v>2583</v>
      </c>
      <c r="M678" s="48"/>
      <c r="N678" s="48"/>
      <c r="O678" s="48">
        <f t="shared" si="0"/>
        <v>0</v>
      </c>
      <c r="P678" s="38"/>
      <c r="Q678" s="14" t="str">
        <f t="shared" ca="1" si="1"/>
        <v/>
      </c>
      <c r="R678" s="51"/>
      <c r="S678" s="51"/>
      <c r="T678" s="51"/>
      <c r="U678" s="40"/>
      <c r="V678" s="54"/>
      <c r="W678" s="55"/>
      <c r="X678" s="56"/>
      <c r="Y678" s="88"/>
      <c r="Z678" s="88"/>
      <c r="AA678" s="88"/>
      <c r="AB678" s="88"/>
    </row>
    <row r="679" spans="1:28">
      <c r="A679" s="38">
        <v>678</v>
      </c>
      <c r="B679" s="51"/>
      <c r="C679" s="40"/>
      <c r="D679" s="38"/>
      <c r="E679" s="38" t="s">
        <v>2592</v>
      </c>
      <c r="F679" s="43" t="s">
        <v>2593</v>
      </c>
      <c r="G679" s="44"/>
      <c r="H679" s="45"/>
      <c r="I679" s="38"/>
      <c r="J679" s="38">
        <f>6.7*1000</f>
        <v>6700</v>
      </c>
      <c r="K679" s="46">
        <v>2.7349537037037037E-2</v>
      </c>
      <c r="L679" s="47" t="s">
        <v>2583</v>
      </c>
      <c r="M679" s="48"/>
      <c r="N679" s="48"/>
      <c r="O679" s="48">
        <f t="shared" si="0"/>
        <v>0</v>
      </c>
      <c r="P679" s="38"/>
      <c r="Q679" s="14" t="str">
        <f t="shared" ca="1" si="1"/>
        <v/>
      </c>
      <c r="R679" s="51"/>
      <c r="S679" s="51"/>
      <c r="T679" s="51"/>
      <c r="U679" s="40"/>
      <c r="V679" s="54"/>
      <c r="W679" s="55"/>
      <c r="X679" s="56"/>
      <c r="Y679" s="88"/>
      <c r="Z679" s="88"/>
      <c r="AA679" s="88"/>
      <c r="AB679" s="88"/>
    </row>
    <row r="680" spans="1:28">
      <c r="A680" s="38">
        <v>679</v>
      </c>
      <c r="B680" s="51"/>
      <c r="C680" s="40"/>
      <c r="D680" s="38"/>
      <c r="E680" s="38" t="s">
        <v>2594</v>
      </c>
      <c r="F680" s="43" t="s">
        <v>2595</v>
      </c>
      <c r="G680" s="44"/>
      <c r="H680" s="45"/>
      <c r="I680" s="38"/>
      <c r="J680" s="38">
        <f>3.7*1000</f>
        <v>3700</v>
      </c>
      <c r="K680" s="46">
        <v>2.8599537037037034E-2</v>
      </c>
      <c r="L680" s="47" t="s">
        <v>2583</v>
      </c>
      <c r="M680" s="48"/>
      <c r="N680" s="48"/>
      <c r="O680" s="48">
        <f t="shared" si="0"/>
        <v>0</v>
      </c>
      <c r="P680" s="38"/>
      <c r="Q680" s="14" t="str">
        <f t="shared" ca="1" si="1"/>
        <v/>
      </c>
      <c r="R680" s="51"/>
      <c r="S680" s="51"/>
      <c r="T680" s="51"/>
      <c r="U680" s="40"/>
      <c r="V680" s="54"/>
      <c r="W680" s="55"/>
      <c r="X680" s="56"/>
      <c r="Y680" s="88"/>
      <c r="Z680" s="88"/>
      <c r="AA680" s="88"/>
      <c r="AB680" s="88"/>
    </row>
    <row r="681" spans="1:28">
      <c r="A681" s="38">
        <v>680</v>
      </c>
      <c r="B681" s="51"/>
      <c r="C681" s="40"/>
      <c r="D681" s="38"/>
      <c r="E681" s="38" t="s">
        <v>2596</v>
      </c>
      <c r="F681" s="43" t="s">
        <v>2597</v>
      </c>
      <c r="G681" s="44"/>
      <c r="H681" s="45"/>
      <c r="I681" s="38"/>
      <c r="J681" s="38">
        <f>6.5*1000</f>
        <v>6500</v>
      </c>
      <c r="K681" s="46">
        <v>2.2685185185185183E-2</v>
      </c>
      <c r="L681" s="47" t="s">
        <v>2583</v>
      </c>
      <c r="M681" s="48"/>
      <c r="N681" s="48"/>
      <c r="O681" s="48">
        <f t="shared" si="0"/>
        <v>0</v>
      </c>
      <c r="P681" s="38"/>
      <c r="Q681" s="14" t="str">
        <f t="shared" ca="1" si="1"/>
        <v/>
      </c>
      <c r="R681" s="51"/>
      <c r="S681" s="51"/>
      <c r="T681" s="51"/>
      <c r="U681" s="40"/>
      <c r="V681" s="54"/>
      <c r="W681" s="55"/>
      <c r="X681" s="56"/>
      <c r="Y681" s="88"/>
      <c r="Z681" s="88"/>
      <c r="AA681" s="88"/>
      <c r="AB681" s="88"/>
    </row>
    <row r="682" spans="1:28">
      <c r="A682" s="38">
        <v>681</v>
      </c>
      <c r="B682" s="51"/>
      <c r="C682" s="40"/>
      <c r="D682" s="38"/>
      <c r="E682" s="38" t="s">
        <v>2598</v>
      </c>
      <c r="F682" s="43" t="s">
        <v>2599</v>
      </c>
      <c r="G682" s="44"/>
      <c r="H682" s="45"/>
      <c r="I682" s="38"/>
      <c r="J682" s="38">
        <f>2.9*1000</f>
        <v>2900</v>
      </c>
      <c r="K682" s="46">
        <v>2.8888888888888891E-2</v>
      </c>
      <c r="L682" s="47" t="s">
        <v>2583</v>
      </c>
      <c r="M682" s="48"/>
      <c r="N682" s="48"/>
      <c r="O682" s="48">
        <f t="shared" si="0"/>
        <v>0</v>
      </c>
      <c r="P682" s="38"/>
      <c r="Q682" s="14" t="str">
        <f t="shared" ca="1" si="1"/>
        <v/>
      </c>
      <c r="R682" s="51"/>
      <c r="S682" s="51"/>
      <c r="T682" s="51"/>
      <c r="U682" s="40"/>
      <c r="V682" s="54"/>
      <c r="W682" s="55"/>
      <c r="X682" s="56"/>
      <c r="Y682" s="88"/>
      <c r="Z682" s="88"/>
      <c r="AA682" s="88"/>
      <c r="AB682" s="88"/>
    </row>
    <row r="683" spans="1:28">
      <c r="A683" s="38">
        <v>682</v>
      </c>
      <c r="B683" s="51"/>
      <c r="C683" s="40"/>
      <c r="D683" s="38"/>
      <c r="E683" s="38" t="s">
        <v>2600</v>
      </c>
      <c r="F683" s="43" t="s">
        <v>2601</v>
      </c>
      <c r="G683" s="44"/>
      <c r="H683" s="45"/>
      <c r="I683" s="38"/>
      <c r="J683" s="38">
        <f>2.1*1000</f>
        <v>2100</v>
      </c>
      <c r="K683" s="46">
        <v>2.6261574074074076E-2</v>
      </c>
      <c r="L683" s="47" t="s">
        <v>2583</v>
      </c>
      <c r="M683" s="48"/>
      <c r="N683" s="48"/>
      <c r="O683" s="48">
        <f t="shared" si="0"/>
        <v>0</v>
      </c>
      <c r="P683" s="38"/>
      <c r="Q683" s="14" t="str">
        <f t="shared" ca="1" si="1"/>
        <v/>
      </c>
      <c r="R683" s="51"/>
      <c r="S683" s="51"/>
      <c r="T683" s="51"/>
      <c r="U683" s="40"/>
      <c r="V683" s="54"/>
      <c r="W683" s="55"/>
      <c r="X683" s="56"/>
      <c r="Y683" s="88"/>
      <c r="Z683" s="88"/>
      <c r="AA683" s="88"/>
      <c r="AB683" s="88"/>
    </row>
    <row r="684" spans="1:28">
      <c r="A684" s="38">
        <v>683</v>
      </c>
      <c r="B684" s="51"/>
      <c r="C684" s="40"/>
      <c r="D684" s="38"/>
      <c r="E684" s="38" t="s">
        <v>2602</v>
      </c>
      <c r="F684" s="43" t="s">
        <v>2603</v>
      </c>
      <c r="G684" s="44"/>
      <c r="H684" s="45"/>
      <c r="I684" s="38"/>
      <c r="J684" s="38">
        <f>3*1000</f>
        <v>3000</v>
      </c>
      <c r="K684" s="46">
        <v>1.5324074074074073E-2</v>
      </c>
      <c r="L684" s="47" t="s">
        <v>2583</v>
      </c>
      <c r="M684" s="48"/>
      <c r="N684" s="48"/>
      <c r="O684" s="48">
        <f t="shared" si="0"/>
        <v>0</v>
      </c>
      <c r="P684" s="38"/>
      <c r="Q684" s="14" t="str">
        <f t="shared" ca="1" si="1"/>
        <v/>
      </c>
      <c r="R684" s="51"/>
      <c r="S684" s="51"/>
      <c r="T684" s="51"/>
      <c r="U684" s="40"/>
      <c r="V684" s="54"/>
      <c r="W684" s="55"/>
      <c r="X684" s="56"/>
      <c r="Y684" s="88"/>
      <c r="Z684" s="88"/>
      <c r="AA684" s="88"/>
      <c r="AB684" s="88"/>
    </row>
    <row r="685" spans="1:28">
      <c r="A685" s="38">
        <v>684</v>
      </c>
      <c r="B685" s="51"/>
      <c r="C685" s="40"/>
      <c r="D685" s="38"/>
      <c r="E685" s="38" t="s">
        <v>2604</v>
      </c>
      <c r="F685" s="43" t="s">
        <v>2605</v>
      </c>
      <c r="G685" s="44"/>
      <c r="H685" s="45"/>
      <c r="I685" s="38"/>
      <c r="J685" s="38">
        <f>5.4*1000</f>
        <v>5400</v>
      </c>
      <c r="K685" s="46">
        <v>1.9583333333333331E-2</v>
      </c>
      <c r="L685" s="47" t="s">
        <v>2583</v>
      </c>
      <c r="M685" s="48"/>
      <c r="N685" s="48"/>
      <c r="O685" s="48">
        <f t="shared" si="0"/>
        <v>0</v>
      </c>
      <c r="P685" s="38"/>
      <c r="Q685" s="14" t="str">
        <f t="shared" ca="1" si="1"/>
        <v/>
      </c>
      <c r="R685" s="51"/>
      <c r="S685" s="51"/>
      <c r="T685" s="51"/>
      <c r="U685" s="40"/>
      <c r="V685" s="54"/>
      <c r="W685" s="55"/>
      <c r="X685" s="56"/>
      <c r="Y685" s="88"/>
      <c r="Z685" s="88"/>
      <c r="AA685" s="88"/>
      <c r="AB685" s="88"/>
    </row>
    <row r="686" spans="1:28">
      <c r="A686" s="38">
        <v>685</v>
      </c>
      <c r="B686" s="51"/>
      <c r="C686" s="40"/>
      <c r="D686" s="38"/>
      <c r="E686" s="38" t="s">
        <v>2606</v>
      </c>
      <c r="F686" s="43" t="s">
        <v>2607</v>
      </c>
      <c r="G686" s="44"/>
      <c r="H686" s="45"/>
      <c r="I686" s="38"/>
      <c r="J686" s="38">
        <f>3.3*1000</f>
        <v>3300</v>
      </c>
      <c r="K686" s="46">
        <v>1.6331018518518519E-2</v>
      </c>
      <c r="L686" s="47" t="s">
        <v>2583</v>
      </c>
      <c r="M686" s="48"/>
      <c r="N686" s="48"/>
      <c r="O686" s="48">
        <f t="shared" si="0"/>
        <v>0</v>
      </c>
      <c r="P686" s="38"/>
      <c r="Q686" s="14" t="str">
        <f t="shared" ca="1" si="1"/>
        <v/>
      </c>
      <c r="R686" s="51"/>
      <c r="S686" s="51"/>
      <c r="T686" s="51"/>
      <c r="U686" s="40"/>
      <c r="V686" s="54"/>
      <c r="W686" s="55"/>
      <c r="X686" s="56"/>
      <c r="Y686" s="88"/>
      <c r="Z686" s="88"/>
      <c r="AA686" s="88"/>
      <c r="AB686" s="88"/>
    </row>
    <row r="687" spans="1:28">
      <c r="A687" s="38">
        <v>686</v>
      </c>
      <c r="B687" s="51"/>
      <c r="C687" s="40"/>
      <c r="D687" s="38"/>
      <c r="E687" s="38" t="s">
        <v>2608</v>
      </c>
      <c r="F687" s="43" t="s">
        <v>2609</v>
      </c>
      <c r="G687" s="44"/>
      <c r="H687" s="45"/>
      <c r="I687" s="38"/>
      <c r="J687" s="38">
        <f>2.6*1000</f>
        <v>2600</v>
      </c>
      <c r="K687" s="46">
        <v>2.1944444444444447E-2</v>
      </c>
      <c r="L687" s="47" t="s">
        <v>2583</v>
      </c>
      <c r="M687" s="48"/>
      <c r="N687" s="48"/>
      <c r="O687" s="48">
        <f t="shared" si="0"/>
        <v>0</v>
      </c>
      <c r="P687" s="38"/>
      <c r="Q687" s="14" t="str">
        <f t="shared" ca="1" si="1"/>
        <v/>
      </c>
      <c r="R687" s="51"/>
      <c r="S687" s="51"/>
      <c r="T687" s="51"/>
      <c r="U687" s="40"/>
      <c r="V687" s="54"/>
      <c r="W687" s="55"/>
      <c r="X687" s="56"/>
      <c r="Y687" s="88"/>
      <c r="Z687" s="88"/>
      <c r="AA687" s="88"/>
      <c r="AB687" s="88"/>
    </row>
    <row r="688" spans="1:28">
      <c r="A688" s="38">
        <v>687</v>
      </c>
      <c r="B688" s="51"/>
      <c r="C688" s="40"/>
      <c r="D688" s="38"/>
      <c r="E688" s="38" t="s">
        <v>2610</v>
      </c>
      <c r="F688" s="43" t="s">
        <v>2611</v>
      </c>
      <c r="G688" s="44"/>
      <c r="H688" s="45"/>
      <c r="I688" s="38"/>
      <c r="J688" s="38">
        <f>5.8*1000</f>
        <v>5800</v>
      </c>
      <c r="K688" s="46">
        <v>6.122685185185185E-3</v>
      </c>
      <c r="L688" s="47" t="s">
        <v>2583</v>
      </c>
      <c r="M688" s="48"/>
      <c r="N688" s="48"/>
      <c r="O688" s="48">
        <f t="shared" si="0"/>
        <v>0</v>
      </c>
      <c r="P688" s="38"/>
      <c r="Q688" s="14" t="str">
        <f t="shared" ca="1" si="1"/>
        <v/>
      </c>
      <c r="R688" s="51"/>
      <c r="S688" s="51"/>
      <c r="T688" s="51"/>
      <c r="U688" s="40"/>
      <c r="V688" s="54"/>
      <c r="W688" s="55"/>
      <c r="X688" s="56"/>
      <c r="Y688" s="88"/>
      <c r="Z688" s="88"/>
      <c r="AA688" s="88"/>
      <c r="AB688" s="88"/>
    </row>
    <row r="689" spans="1:28">
      <c r="A689" s="38">
        <v>688</v>
      </c>
      <c r="B689" s="51"/>
      <c r="C689" s="40"/>
      <c r="D689" s="38"/>
      <c r="E689" s="38" t="s">
        <v>2612</v>
      </c>
      <c r="F689" s="43" t="s">
        <v>2613</v>
      </c>
      <c r="G689" s="44"/>
      <c r="H689" s="45"/>
      <c r="I689" s="38"/>
      <c r="J689" s="38">
        <f>12*1000</f>
        <v>12000</v>
      </c>
      <c r="K689" s="46">
        <v>7.905092592592592E-3</v>
      </c>
      <c r="L689" s="47" t="s">
        <v>2583</v>
      </c>
      <c r="M689" s="48"/>
      <c r="N689" s="48"/>
      <c r="O689" s="48">
        <f t="shared" si="0"/>
        <v>0</v>
      </c>
      <c r="P689" s="38"/>
      <c r="Q689" s="14" t="str">
        <f t="shared" ca="1" si="1"/>
        <v/>
      </c>
      <c r="R689" s="51"/>
      <c r="S689" s="51"/>
      <c r="T689" s="51"/>
      <c r="U689" s="40"/>
      <c r="V689" s="54"/>
      <c r="W689" s="55"/>
      <c r="X689" s="56"/>
      <c r="Y689" s="88"/>
      <c r="Z689" s="88"/>
      <c r="AA689" s="88"/>
      <c r="AB689" s="88"/>
    </row>
    <row r="690" spans="1:28">
      <c r="A690" s="38">
        <v>689</v>
      </c>
      <c r="B690" s="51"/>
      <c r="C690" s="40"/>
      <c r="D690" s="38"/>
      <c r="E690" s="38" t="s">
        <v>2614</v>
      </c>
      <c r="F690" s="43" t="s">
        <v>2615</v>
      </c>
      <c r="G690" s="44"/>
      <c r="H690" s="45"/>
      <c r="I690" s="38"/>
      <c r="J690" s="38">
        <f>4.8*1000</f>
        <v>4800</v>
      </c>
      <c r="K690" s="46">
        <v>3.1134259259259257E-3</v>
      </c>
      <c r="L690" s="47" t="s">
        <v>2583</v>
      </c>
      <c r="M690" s="48"/>
      <c r="N690" s="48"/>
      <c r="O690" s="48">
        <f t="shared" si="0"/>
        <v>0</v>
      </c>
      <c r="P690" s="38"/>
      <c r="Q690" s="14" t="str">
        <f t="shared" ca="1" si="1"/>
        <v/>
      </c>
      <c r="R690" s="51"/>
      <c r="S690" s="51"/>
      <c r="T690" s="51"/>
      <c r="U690" s="40"/>
      <c r="V690" s="54"/>
      <c r="W690" s="55"/>
      <c r="X690" s="56"/>
      <c r="Y690" s="88"/>
      <c r="Z690" s="88"/>
      <c r="AA690" s="88"/>
      <c r="AB690" s="88"/>
    </row>
    <row r="691" spans="1:28">
      <c r="A691" s="38">
        <v>690</v>
      </c>
      <c r="B691" s="51"/>
      <c r="C691" s="40"/>
      <c r="D691" s="38"/>
      <c r="E691" s="38" t="s">
        <v>2616</v>
      </c>
      <c r="F691" s="43" t="s">
        <v>2617</v>
      </c>
      <c r="G691" s="44"/>
      <c r="H691" s="45"/>
      <c r="I691" s="38"/>
      <c r="J691" s="38">
        <f>9.1*1000</f>
        <v>9100</v>
      </c>
      <c r="K691" s="46">
        <v>3.2106481481481479E-2</v>
      </c>
      <c r="L691" s="47" t="s">
        <v>2583</v>
      </c>
      <c r="M691" s="48"/>
      <c r="N691" s="48"/>
      <c r="O691" s="48">
        <f t="shared" si="0"/>
        <v>0</v>
      </c>
      <c r="P691" s="38"/>
      <c r="Q691" s="14" t="str">
        <f t="shared" ca="1" si="1"/>
        <v/>
      </c>
      <c r="R691" s="51"/>
      <c r="S691" s="51"/>
      <c r="T691" s="51"/>
      <c r="U691" s="40"/>
      <c r="V691" s="54"/>
      <c r="W691" s="55"/>
      <c r="X691" s="56"/>
      <c r="Y691" s="88"/>
      <c r="Z691" s="88"/>
      <c r="AA691" s="88"/>
      <c r="AB691" s="88"/>
    </row>
    <row r="692" spans="1:28">
      <c r="A692" s="38">
        <v>691</v>
      </c>
      <c r="B692" s="51"/>
      <c r="C692" s="40"/>
      <c r="D692" s="38"/>
      <c r="E692" s="38" t="s">
        <v>2618</v>
      </c>
      <c r="F692" s="43" t="s">
        <v>2619</v>
      </c>
      <c r="G692" s="44"/>
      <c r="H692" s="45"/>
      <c r="I692" s="38"/>
      <c r="J692" s="38">
        <f>24*1000</f>
        <v>24000</v>
      </c>
      <c r="K692" s="46">
        <v>4.4583333333333336E-2</v>
      </c>
      <c r="L692" s="47" t="s">
        <v>2583</v>
      </c>
      <c r="M692" s="48"/>
      <c r="N692" s="48"/>
      <c r="O692" s="48">
        <f t="shared" si="0"/>
        <v>0</v>
      </c>
      <c r="P692" s="38"/>
      <c r="Q692" s="14" t="str">
        <f t="shared" ca="1" si="1"/>
        <v/>
      </c>
      <c r="R692" s="51"/>
      <c r="S692" s="51"/>
      <c r="T692" s="51"/>
      <c r="U692" s="40"/>
      <c r="V692" s="54"/>
      <c r="W692" s="55"/>
      <c r="X692" s="56"/>
      <c r="Y692" s="88"/>
      <c r="Z692" s="88"/>
      <c r="AA692" s="88"/>
      <c r="AB692" s="88"/>
    </row>
    <row r="693" spans="1:28">
      <c r="A693" s="38">
        <v>692</v>
      </c>
      <c r="B693" s="51"/>
      <c r="C693" s="40"/>
      <c r="D693" s="38"/>
      <c r="E693" s="38" t="s">
        <v>2620</v>
      </c>
      <c r="F693" s="43" t="s">
        <v>2621</v>
      </c>
      <c r="G693" s="44"/>
      <c r="H693" s="45"/>
      <c r="I693" s="38"/>
      <c r="J693" s="38">
        <f>4.9*1000</f>
        <v>4900</v>
      </c>
      <c r="K693" s="46">
        <v>2.8055555555555556E-2</v>
      </c>
      <c r="L693" s="47" t="s">
        <v>2583</v>
      </c>
      <c r="M693" s="48"/>
      <c r="N693" s="48"/>
      <c r="O693" s="48">
        <f t="shared" si="0"/>
        <v>0</v>
      </c>
      <c r="P693" s="38"/>
      <c r="Q693" s="14" t="str">
        <f t="shared" ca="1" si="1"/>
        <v/>
      </c>
      <c r="R693" s="51"/>
      <c r="S693" s="51"/>
      <c r="T693" s="51"/>
      <c r="U693" s="40"/>
      <c r="V693" s="54"/>
      <c r="W693" s="55"/>
      <c r="X693" s="56"/>
      <c r="Y693" s="88"/>
      <c r="Z693" s="88"/>
      <c r="AA693" s="88"/>
      <c r="AB693" s="88"/>
    </row>
    <row r="694" spans="1:28">
      <c r="A694" s="38">
        <v>693</v>
      </c>
      <c r="B694" s="51"/>
      <c r="C694" s="40"/>
      <c r="D694" s="38"/>
      <c r="E694" s="38" t="s">
        <v>2622</v>
      </c>
      <c r="F694" s="43" t="s">
        <v>2623</v>
      </c>
      <c r="G694" s="44"/>
      <c r="H694" s="45"/>
      <c r="I694" s="38"/>
      <c r="J694" s="38">
        <f>5.3*1000</f>
        <v>5300</v>
      </c>
      <c r="K694" s="46">
        <v>1.4733796296296295E-2</v>
      </c>
      <c r="L694" s="47" t="s">
        <v>2583</v>
      </c>
      <c r="M694" s="48"/>
      <c r="N694" s="48"/>
      <c r="O694" s="48">
        <f t="shared" si="0"/>
        <v>0</v>
      </c>
      <c r="P694" s="38"/>
      <c r="Q694" s="14" t="str">
        <f t="shared" ca="1" si="1"/>
        <v/>
      </c>
      <c r="R694" s="51"/>
      <c r="S694" s="51"/>
      <c r="T694" s="51"/>
      <c r="U694" s="40"/>
      <c r="V694" s="54"/>
      <c r="W694" s="55"/>
      <c r="X694" s="56"/>
      <c r="Y694" s="88"/>
      <c r="Z694" s="88"/>
      <c r="AA694" s="88"/>
      <c r="AB694" s="88"/>
    </row>
    <row r="695" spans="1:28">
      <c r="A695" s="38">
        <v>694</v>
      </c>
      <c r="B695" s="51"/>
      <c r="C695" s="40"/>
      <c r="D695" s="38"/>
      <c r="E695" s="38" t="s">
        <v>2624</v>
      </c>
      <c r="F695" s="43" t="s">
        <v>2625</v>
      </c>
      <c r="G695" s="44"/>
      <c r="H695" s="45"/>
      <c r="I695" s="38"/>
      <c r="J695" s="38">
        <f>18*1000</f>
        <v>18000</v>
      </c>
      <c r="K695" s="46">
        <v>3.3402777777777774E-2</v>
      </c>
      <c r="L695" s="47" t="s">
        <v>811</v>
      </c>
      <c r="M695" s="48"/>
      <c r="N695" s="48"/>
      <c r="O695" s="48">
        <f t="shared" si="0"/>
        <v>0</v>
      </c>
      <c r="P695" s="38"/>
      <c r="Q695" s="14" t="str">
        <f t="shared" ca="1" si="1"/>
        <v/>
      </c>
      <c r="R695" s="51"/>
      <c r="S695" s="51"/>
      <c r="T695" s="51"/>
      <c r="U695" s="40"/>
      <c r="V695" s="54"/>
      <c r="W695" s="55"/>
      <c r="X695" s="56"/>
      <c r="Y695" s="88"/>
      <c r="Z695" s="88"/>
      <c r="AA695" s="88"/>
      <c r="AB695" s="88"/>
    </row>
    <row r="696" spans="1:28">
      <c r="A696" s="38">
        <v>695</v>
      </c>
      <c r="B696" s="39" t="s">
        <v>596</v>
      </c>
      <c r="C696" s="40"/>
      <c r="D696" s="38"/>
      <c r="E696" s="38" t="s">
        <v>2111</v>
      </c>
      <c r="F696" s="43" t="s">
        <v>2112</v>
      </c>
      <c r="G696" s="44"/>
      <c r="H696" s="45"/>
      <c r="I696" s="38"/>
      <c r="J696" s="38">
        <f>9.1*1000</f>
        <v>9100</v>
      </c>
      <c r="K696" s="46">
        <v>4.2349537037037033E-2</v>
      </c>
      <c r="L696" s="47" t="s">
        <v>811</v>
      </c>
      <c r="M696" s="48"/>
      <c r="N696" s="48"/>
      <c r="O696" s="48">
        <f t="shared" si="0"/>
        <v>0</v>
      </c>
      <c r="P696" s="38"/>
      <c r="Q696" s="14" t="str">
        <f t="shared" ca="1" si="1"/>
        <v/>
      </c>
      <c r="R696" s="51"/>
      <c r="S696" s="51"/>
      <c r="T696" s="51"/>
      <c r="U696" s="40"/>
      <c r="V696" s="54"/>
      <c r="W696" s="55"/>
      <c r="X696" s="56"/>
      <c r="Y696" s="88"/>
      <c r="Z696" s="88"/>
      <c r="AA696" s="88"/>
      <c r="AB696" s="88"/>
    </row>
    <row r="697" spans="1:28">
      <c r="A697" s="38">
        <v>696</v>
      </c>
      <c r="B697" s="39" t="s">
        <v>497</v>
      </c>
      <c r="C697" s="40"/>
      <c r="D697" s="38"/>
      <c r="E697" s="38" t="s">
        <v>2626</v>
      </c>
      <c r="F697" s="43" t="s">
        <v>2627</v>
      </c>
      <c r="G697" s="44"/>
      <c r="H697" s="45"/>
      <c r="I697" s="38"/>
      <c r="J697" s="38">
        <f>10*1000</f>
        <v>10000</v>
      </c>
      <c r="K697" s="46">
        <v>2.1979166666666664E-2</v>
      </c>
      <c r="L697" s="47" t="s">
        <v>811</v>
      </c>
      <c r="M697" s="48"/>
      <c r="N697" s="48"/>
      <c r="O697" s="48">
        <f t="shared" si="0"/>
        <v>0</v>
      </c>
      <c r="P697" s="38"/>
      <c r="Q697" s="14" t="str">
        <f t="shared" ca="1" si="1"/>
        <v/>
      </c>
      <c r="R697" s="51"/>
      <c r="S697" s="51"/>
      <c r="T697" s="51"/>
      <c r="U697" s="40"/>
      <c r="V697" s="54"/>
      <c r="W697" s="55"/>
      <c r="X697" s="56"/>
      <c r="Y697" s="88"/>
      <c r="Z697" s="88"/>
      <c r="AA697" s="88"/>
      <c r="AB697" s="88"/>
    </row>
    <row r="698" spans="1:28">
      <c r="A698" s="38">
        <v>697</v>
      </c>
      <c r="B698" s="51"/>
      <c r="C698" s="40"/>
      <c r="D698" s="38"/>
      <c r="E698" s="38" t="s">
        <v>2628</v>
      </c>
      <c r="F698" s="43" t="s">
        <v>2629</v>
      </c>
      <c r="G698" s="44"/>
      <c r="H698" s="45"/>
      <c r="I698" s="38"/>
      <c r="J698" s="38">
        <f>3.7*1000</f>
        <v>3700</v>
      </c>
      <c r="K698" s="46">
        <v>1.7824074074074072E-3</v>
      </c>
      <c r="L698" s="47" t="s">
        <v>811</v>
      </c>
      <c r="M698" s="48"/>
      <c r="N698" s="48"/>
      <c r="O698" s="48">
        <f t="shared" si="0"/>
        <v>0</v>
      </c>
      <c r="P698" s="38"/>
      <c r="Q698" s="14" t="str">
        <f t="shared" ca="1" si="1"/>
        <v/>
      </c>
      <c r="R698" s="51"/>
      <c r="S698" s="51"/>
      <c r="T698" s="51"/>
      <c r="U698" s="40"/>
      <c r="V698" s="54"/>
      <c r="W698" s="55"/>
      <c r="X698" s="56"/>
      <c r="Y698" s="88"/>
      <c r="Z698" s="88"/>
      <c r="AA698" s="88"/>
      <c r="AB698" s="88"/>
    </row>
    <row r="699" spans="1:28">
      <c r="A699" s="38">
        <v>698</v>
      </c>
      <c r="B699" s="39" t="s">
        <v>54</v>
      </c>
      <c r="C699" s="40"/>
      <c r="D699" s="42" t="s">
        <v>139</v>
      </c>
      <c r="E699" s="38" t="s">
        <v>809</v>
      </c>
      <c r="F699" s="43" t="s">
        <v>810</v>
      </c>
      <c r="G699" s="44"/>
      <c r="H699" s="45"/>
      <c r="I699" s="38"/>
      <c r="J699" s="38">
        <f t="shared" ref="J699:J700" si="13">16*1000</f>
        <v>16000</v>
      </c>
      <c r="K699" s="46">
        <v>3.8483796296296294E-2</v>
      </c>
      <c r="L699" s="47" t="s">
        <v>811</v>
      </c>
      <c r="M699" s="48"/>
      <c r="N699" s="48"/>
      <c r="O699" s="48">
        <f t="shared" si="0"/>
        <v>0</v>
      </c>
      <c r="P699" s="38"/>
      <c r="Q699" s="14" t="str">
        <f t="shared" ca="1" si="1"/>
        <v/>
      </c>
      <c r="R699" s="51"/>
      <c r="S699" s="51"/>
      <c r="T699" s="51"/>
      <c r="U699" s="40"/>
      <c r="V699" s="54"/>
      <c r="W699" s="55"/>
      <c r="X699" s="56"/>
      <c r="Y699" s="88"/>
      <c r="Z699" s="88"/>
      <c r="AA699" s="88"/>
      <c r="AB699" s="88"/>
    </row>
    <row r="700" spans="1:28">
      <c r="A700" s="38">
        <v>699</v>
      </c>
      <c r="B700" s="39" t="s">
        <v>596</v>
      </c>
      <c r="C700" s="40"/>
      <c r="D700" s="38"/>
      <c r="E700" s="38" t="s">
        <v>2115</v>
      </c>
      <c r="F700" s="43" t="s">
        <v>2116</v>
      </c>
      <c r="G700" s="44"/>
      <c r="H700" s="45"/>
      <c r="I700" s="38"/>
      <c r="J700" s="38">
        <f t="shared" si="13"/>
        <v>16000</v>
      </c>
      <c r="K700" s="46">
        <v>3.5312500000000004E-2</v>
      </c>
      <c r="L700" s="47" t="s">
        <v>811</v>
      </c>
      <c r="M700" s="48"/>
      <c r="N700" s="48"/>
      <c r="O700" s="48">
        <f t="shared" si="0"/>
        <v>0</v>
      </c>
      <c r="P700" s="38"/>
      <c r="Q700" s="14" t="str">
        <f t="shared" ca="1" si="1"/>
        <v/>
      </c>
      <c r="R700" s="51"/>
      <c r="S700" s="51"/>
      <c r="T700" s="51"/>
      <c r="U700" s="40"/>
      <c r="V700" s="54"/>
      <c r="W700" s="55"/>
      <c r="X700" s="56"/>
      <c r="Y700" s="88"/>
      <c r="Z700" s="88"/>
      <c r="AA700" s="88"/>
      <c r="AB700" s="88"/>
    </row>
    <row r="701" spans="1:28">
      <c r="A701" s="38">
        <v>700</v>
      </c>
      <c r="B701" s="39" t="s">
        <v>596</v>
      </c>
      <c r="C701" s="40"/>
      <c r="D701" s="38"/>
      <c r="E701" s="38" t="s">
        <v>1652</v>
      </c>
      <c r="F701" s="43" t="s">
        <v>1653</v>
      </c>
      <c r="G701" s="44"/>
      <c r="H701" s="45"/>
      <c r="I701" s="38"/>
      <c r="J701" s="38">
        <f>12*1000</f>
        <v>12000</v>
      </c>
      <c r="K701" s="46">
        <v>2.7951388888888887E-2</v>
      </c>
      <c r="L701" s="47" t="s">
        <v>811</v>
      </c>
      <c r="M701" s="48"/>
      <c r="N701" s="48"/>
      <c r="O701" s="48">
        <f t="shared" si="0"/>
        <v>0</v>
      </c>
      <c r="P701" s="38"/>
      <c r="Q701" s="14" t="str">
        <f t="shared" ca="1" si="1"/>
        <v/>
      </c>
      <c r="R701" s="51"/>
      <c r="S701" s="51"/>
      <c r="T701" s="51"/>
      <c r="U701" s="40"/>
      <c r="V701" s="54"/>
      <c r="W701" s="55"/>
      <c r="X701" s="56"/>
      <c r="Y701" s="88"/>
      <c r="Z701" s="88"/>
      <c r="AA701" s="88"/>
      <c r="AB701" s="88"/>
    </row>
    <row r="702" spans="1:28">
      <c r="A702" s="38">
        <v>701</v>
      </c>
      <c r="B702" s="51"/>
      <c r="C702" s="40"/>
      <c r="D702" s="38"/>
      <c r="E702" s="38" t="s">
        <v>2631</v>
      </c>
      <c r="F702" s="43" t="s">
        <v>2632</v>
      </c>
      <c r="G702" s="44"/>
      <c r="H702" s="45"/>
      <c r="I702" s="38"/>
      <c r="J702" s="38">
        <f>895</f>
        <v>895</v>
      </c>
      <c r="K702" s="46">
        <v>1.5902777777777776E-2</v>
      </c>
      <c r="L702" s="47" t="s">
        <v>770</v>
      </c>
      <c r="M702" s="48"/>
      <c r="N702" s="48"/>
      <c r="O702" s="48">
        <f t="shared" si="0"/>
        <v>0</v>
      </c>
      <c r="P702" s="38"/>
      <c r="Q702" s="14" t="str">
        <f t="shared" ca="1" si="1"/>
        <v/>
      </c>
      <c r="R702" s="51"/>
      <c r="S702" s="51"/>
      <c r="T702" s="51"/>
      <c r="U702" s="40"/>
      <c r="V702" s="54"/>
      <c r="W702" s="55"/>
      <c r="X702" s="56"/>
      <c r="Y702" s="88"/>
      <c r="Z702" s="88"/>
      <c r="AA702" s="88"/>
      <c r="AB702" s="88"/>
    </row>
    <row r="703" spans="1:28">
      <c r="A703" s="38">
        <v>702</v>
      </c>
      <c r="B703" s="51"/>
      <c r="C703" s="40"/>
      <c r="D703" s="38"/>
      <c r="E703" s="38" t="s">
        <v>2633</v>
      </c>
      <c r="F703" s="43" t="s">
        <v>2634</v>
      </c>
      <c r="G703" s="44"/>
      <c r="H703" s="45"/>
      <c r="I703" s="38"/>
      <c r="J703" s="38">
        <f>214</f>
        <v>214</v>
      </c>
      <c r="K703" s="46">
        <v>3.0034722222222223E-2</v>
      </c>
      <c r="L703" s="47" t="s">
        <v>770</v>
      </c>
      <c r="M703" s="48"/>
      <c r="N703" s="48"/>
      <c r="O703" s="48">
        <f t="shared" si="0"/>
        <v>0</v>
      </c>
      <c r="P703" s="38"/>
      <c r="Q703" s="14" t="str">
        <f t="shared" ca="1" si="1"/>
        <v/>
      </c>
      <c r="R703" s="51"/>
      <c r="S703" s="51"/>
      <c r="T703" s="51"/>
      <c r="U703" s="40"/>
      <c r="V703" s="54"/>
      <c r="W703" s="55"/>
      <c r="X703" s="56"/>
      <c r="Y703" s="88"/>
      <c r="Z703" s="88"/>
      <c r="AA703" s="88"/>
      <c r="AB703" s="88"/>
    </row>
    <row r="704" spans="1:28">
      <c r="A704" s="38">
        <v>703</v>
      </c>
      <c r="B704" s="51"/>
      <c r="C704" s="40"/>
      <c r="D704" s="38"/>
      <c r="E704" s="38" t="s">
        <v>2635</v>
      </c>
      <c r="F704" s="43" t="s">
        <v>2636</v>
      </c>
      <c r="G704" s="44"/>
      <c r="H704" s="45"/>
      <c r="I704" s="38"/>
      <c r="J704" s="38">
        <f>1.4*1000</f>
        <v>1400</v>
      </c>
      <c r="K704" s="46">
        <v>2.5208333333333333E-2</v>
      </c>
      <c r="L704" s="47" t="s">
        <v>770</v>
      </c>
      <c r="M704" s="48"/>
      <c r="N704" s="48"/>
      <c r="O704" s="48">
        <f t="shared" si="0"/>
        <v>0</v>
      </c>
      <c r="P704" s="38"/>
      <c r="Q704" s="14" t="str">
        <f t="shared" ca="1" si="1"/>
        <v/>
      </c>
      <c r="R704" s="51"/>
      <c r="S704" s="51"/>
      <c r="T704" s="51"/>
      <c r="U704" s="40"/>
      <c r="V704" s="54"/>
      <c r="W704" s="55"/>
      <c r="X704" s="56"/>
      <c r="Y704" s="88"/>
      <c r="Z704" s="88"/>
      <c r="AA704" s="88"/>
      <c r="AB704" s="88"/>
    </row>
    <row r="705" spans="1:28">
      <c r="A705" s="38">
        <v>704</v>
      </c>
      <c r="B705" s="51"/>
      <c r="C705" s="40"/>
      <c r="D705" s="38"/>
      <c r="E705" s="38" t="s">
        <v>2637</v>
      </c>
      <c r="F705" s="43" t="s">
        <v>2638</v>
      </c>
      <c r="G705" s="44"/>
      <c r="H705" s="45"/>
      <c r="I705" s="38"/>
      <c r="J705" s="38">
        <f>159</f>
        <v>159</v>
      </c>
      <c r="K705" s="46">
        <v>1.3703703703703704E-2</v>
      </c>
      <c r="L705" s="47" t="s">
        <v>770</v>
      </c>
      <c r="M705" s="48"/>
      <c r="N705" s="48"/>
      <c r="O705" s="48">
        <f t="shared" si="0"/>
        <v>0</v>
      </c>
      <c r="P705" s="38"/>
      <c r="Q705" s="14" t="str">
        <f t="shared" ca="1" si="1"/>
        <v/>
      </c>
      <c r="R705" s="51"/>
      <c r="S705" s="51"/>
      <c r="T705" s="51"/>
      <c r="U705" s="40"/>
      <c r="V705" s="54"/>
      <c r="W705" s="55"/>
      <c r="X705" s="56"/>
      <c r="Y705" s="88"/>
      <c r="Z705" s="88"/>
      <c r="AA705" s="88"/>
      <c r="AB705" s="88"/>
    </row>
    <row r="706" spans="1:28">
      <c r="A706" s="38">
        <v>705</v>
      </c>
      <c r="B706" s="51"/>
      <c r="C706" s="40"/>
      <c r="D706" s="38"/>
      <c r="E706" s="38" t="s">
        <v>2639</v>
      </c>
      <c r="F706" s="43" t="s">
        <v>2640</v>
      </c>
      <c r="G706" s="44"/>
      <c r="H706" s="45"/>
      <c r="I706" s="38"/>
      <c r="J706" s="38">
        <f>1.7*1000</f>
        <v>1700</v>
      </c>
      <c r="K706" s="46">
        <v>2.1979166666666664E-2</v>
      </c>
      <c r="L706" s="47" t="s">
        <v>770</v>
      </c>
      <c r="M706" s="48"/>
      <c r="N706" s="48"/>
      <c r="O706" s="48">
        <f t="shared" si="0"/>
        <v>0</v>
      </c>
      <c r="P706" s="38"/>
      <c r="Q706" s="14" t="str">
        <f t="shared" ca="1" si="1"/>
        <v/>
      </c>
      <c r="R706" s="51"/>
      <c r="S706" s="51"/>
      <c r="T706" s="51"/>
      <c r="U706" s="40"/>
      <c r="V706" s="54"/>
      <c r="W706" s="55"/>
      <c r="X706" s="56"/>
      <c r="Y706" s="88"/>
      <c r="Z706" s="88"/>
      <c r="AA706" s="88"/>
      <c r="AB706" s="88"/>
    </row>
    <row r="707" spans="1:28">
      <c r="A707" s="38">
        <v>706</v>
      </c>
      <c r="B707" s="51"/>
      <c r="C707" s="40"/>
      <c r="D707" s="38"/>
      <c r="E707" s="38" t="s">
        <v>2641</v>
      </c>
      <c r="F707" s="43" t="s">
        <v>2642</v>
      </c>
      <c r="G707" s="44"/>
      <c r="H707" s="45"/>
      <c r="I707" s="38"/>
      <c r="J707" s="38">
        <f>395</f>
        <v>395</v>
      </c>
      <c r="K707" s="46">
        <v>1.0601851851851854E-2</v>
      </c>
      <c r="L707" s="47" t="s">
        <v>770</v>
      </c>
      <c r="M707" s="48"/>
      <c r="N707" s="48"/>
      <c r="O707" s="48">
        <f t="shared" si="0"/>
        <v>0</v>
      </c>
      <c r="P707" s="38"/>
      <c r="Q707" s="14" t="str">
        <f t="shared" ca="1" si="1"/>
        <v/>
      </c>
      <c r="R707" s="51"/>
      <c r="S707" s="51"/>
      <c r="T707" s="51"/>
      <c r="U707" s="40"/>
      <c r="V707" s="54"/>
      <c r="W707" s="55"/>
      <c r="X707" s="56"/>
      <c r="Y707" s="88"/>
      <c r="Z707" s="88"/>
      <c r="AA707" s="88"/>
      <c r="AB707" s="88"/>
    </row>
    <row r="708" spans="1:28">
      <c r="A708" s="38">
        <v>707</v>
      </c>
      <c r="B708" s="51"/>
      <c r="C708" s="40"/>
      <c r="D708" s="38"/>
      <c r="E708" s="38" t="s">
        <v>2643</v>
      </c>
      <c r="F708" s="43" t="s">
        <v>2644</v>
      </c>
      <c r="G708" s="44"/>
      <c r="H708" s="45"/>
      <c r="I708" s="38"/>
      <c r="J708" s="38">
        <f>4.2*1000</f>
        <v>4200</v>
      </c>
      <c r="K708" s="46">
        <v>2.4050925925925924E-2</v>
      </c>
      <c r="L708" s="47" t="s">
        <v>770</v>
      </c>
      <c r="M708" s="48"/>
      <c r="N708" s="48"/>
      <c r="O708" s="48">
        <f t="shared" si="0"/>
        <v>0</v>
      </c>
      <c r="P708" s="38"/>
      <c r="Q708" s="14" t="str">
        <f t="shared" ca="1" si="1"/>
        <v/>
      </c>
      <c r="R708" s="51"/>
      <c r="S708" s="51"/>
      <c r="T708" s="51"/>
      <c r="U708" s="40"/>
      <c r="V708" s="54"/>
      <c r="W708" s="55"/>
      <c r="X708" s="56"/>
      <c r="Y708" s="88"/>
      <c r="Z708" s="88"/>
      <c r="AA708" s="88"/>
      <c r="AB708" s="88"/>
    </row>
    <row r="709" spans="1:28">
      <c r="A709" s="38">
        <v>708</v>
      </c>
      <c r="B709" s="51"/>
      <c r="C709" s="40"/>
      <c r="D709" s="38"/>
      <c r="E709" s="38" t="s">
        <v>2645</v>
      </c>
      <c r="F709" s="43" t="s">
        <v>2646</v>
      </c>
      <c r="G709" s="44"/>
      <c r="H709" s="45"/>
      <c r="I709" s="38"/>
      <c r="J709" s="38">
        <f>131</f>
        <v>131</v>
      </c>
      <c r="K709" s="46">
        <v>8.8657407407407417E-3</v>
      </c>
      <c r="L709" s="47" t="s">
        <v>770</v>
      </c>
      <c r="M709" s="48"/>
      <c r="N709" s="48"/>
      <c r="O709" s="48">
        <f t="shared" si="0"/>
        <v>0</v>
      </c>
      <c r="P709" s="38"/>
      <c r="Q709" s="14" t="str">
        <f t="shared" ca="1" si="1"/>
        <v/>
      </c>
      <c r="R709" s="51"/>
      <c r="S709" s="51"/>
      <c r="T709" s="51"/>
      <c r="U709" s="40"/>
      <c r="V709" s="54"/>
      <c r="W709" s="55"/>
      <c r="X709" s="56"/>
      <c r="Y709" s="88"/>
      <c r="Z709" s="88"/>
      <c r="AA709" s="88"/>
      <c r="AB709" s="88"/>
    </row>
    <row r="710" spans="1:28">
      <c r="A710" s="38">
        <v>709</v>
      </c>
      <c r="B710" s="51"/>
      <c r="C710" s="40"/>
      <c r="D710" s="38"/>
      <c r="E710" s="38" t="s">
        <v>2647</v>
      </c>
      <c r="F710" s="43" t="s">
        <v>2648</v>
      </c>
      <c r="G710" s="44"/>
      <c r="H710" s="45"/>
      <c r="I710" s="38"/>
      <c r="J710" s="38">
        <f>420</f>
        <v>420</v>
      </c>
      <c r="K710" s="46">
        <v>5.0000000000000001E-3</v>
      </c>
      <c r="L710" s="47" t="s">
        <v>770</v>
      </c>
      <c r="M710" s="48"/>
      <c r="N710" s="48"/>
      <c r="O710" s="48">
        <f t="shared" si="0"/>
        <v>0</v>
      </c>
      <c r="P710" s="38"/>
      <c r="Q710" s="14" t="str">
        <f t="shared" ca="1" si="1"/>
        <v/>
      </c>
      <c r="R710" s="51"/>
      <c r="S710" s="51"/>
      <c r="T710" s="51"/>
      <c r="U710" s="40"/>
      <c r="V710" s="54"/>
      <c r="W710" s="55"/>
      <c r="X710" s="56"/>
      <c r="Y710" s="88"/>
      <c r="Z710" s="88"/>
      <c r="AA710" s="88"/>
      <c r="AB710" s="88"/>
    </row>
    <row r="711" spans="1:28">
      <c r="A711" s="38">
        <v>710</v>
      </c>
      <c r="B711" s="51"/>
      <c r="C711" s="40"/>
      <c r="D711" s="38"/>
      <c r="E711" s="38" t="s">
        <v>2649</v>
      </c>
      <c r="F711" s="43" t="s">
        <v>2650</v>
      </c>
      <c r="G711" s="44"/>
      <c r="H711" s="45"/>
      <c r="I711" s="38"/>
      <c r="J711" s="38">
        <f>1*1000</f>
        <v>1000</v>
      </c>
      <c r="K711" s="46">
        <v>2.0324074074074074E-2</v>
      </c>
      <c r="L711" s="47" t="s">
        <v>770</v>
      </c>
      <c r="M711" s="48"/>
      <c r="N711" s="48"/>
      <c r="O711" s="48">
        <f t="shared" si="0"/>
        <v>0</v>
      </c>
      <c r="P711" s="38"/>
      <c r="Q711" s="14" t="str">
        <f t="shared" ca="1" si="1"/>
        <v/>
      </c>
      <c r="R711" s="51"/>
      <c r="S711" s="51"/>
      <c r="T711" s="51"/>
      <c r="U711" s="40"/>
      <c r="V711" s="54"/>
      <c r="W711" s="55"/>
      <c r="X711" s="56"/>
      <c r="Y711" s="88"/>
      <c r="Z711" s="88"/>
      <c r="AA711" s="88"/>
      <c r="AB711" s="88"/>
    </row>
    <row r="712" spans="1:28">
      <c r="A712" s="38">
        <v>711</v>
      </c>
      <c r="B712" s="51"/>
      <c r="C712" s="40"/>
      <c r="D712" s="38"/>
      <c r="E712" s="38" t="s">
        <v>2651</v>
      </c>
      <c r="F712" s="43" t="s">
        <v>2652</v>
      </c>
      <c r="G712" s="44"/>
      <c r="H712" s="45"/>
      <c r="I712" s="38"/>
      <c r="J712" s="38">
        <f>508</f>
        <v>508</v>
      </c>
      <c r="K712" s="46">
        <v>1.9409722222222221E-2</v>
      </c>
      <c r="L712" s="47" t="s">
        <v>770</v>
      </c>
      <c r="M712" s="48"/>
      <c r="N712" s="48"/>
      <c r="O712" s="48">
        <f t="shared" si="0"/>
        <v>0</v>
      </c>
      <c r="P712" s="38"/>
      <c r="Q712" s="14" t="str">
        <f t="shared" ca="1" si="1"/>
        <v/>
      </c>
      <c r="R712" s="51"/>
      <c r="S712" s="51"/>
      <c r="T712" s="51"/>
      <c r="U712" s="40"/>
      <c r="V712" s="54"/>
      <c r="W712" s="55"/>
      <c r="X712" s="56"/>
      <c r="Y712" s="88"/>
      <c r="Z712" s="88"/>
      <c r="AA712" s="88"/>
      <c r="AB712" s="88"/>
    </row>
    <row r="713" spans="1:28">
      <c r="A713" s="38">
        <v>712</v>
      </c>
      <c r="B713" s="51"/>
      <c r="C713" s="40"/>
      <c r="D713" s="38"/>
      <c r="E713" s="38" t="s">
        <v>2654</v>
      </c>
      <c r="F713" s="43" t="s">
        <v>2655</v>
      </c>
      <c r="G713" s="44"/>
      <c r="H713" s="45"/>
      <c r="I713" s="38"/>
      <c r="J713" s="38">
        <f>710</f>
        <v>710</v>
      </c>
      <c r="K713" s="46">
        <v>1.2604166666666666E-2</v>
      </c>
      <c r="L713" s="47" t="s">
        <v>770</v>
      </c>
      <c r="M713" s="48"/>
      <c r="N713" s="48"/>
      <c r="O713" s="48">
        <f t="shared" si="0"/>
        <v>0</v>
      </c>
      <c r="P713" s="38"/>
      <c r="Q713" s="14" t="str">
        <f t="shared" ca="1" si="1"/>
        <v/>
      </c>
      <c r="R713" s="51"/>
      <c r="S713" s="51"/>
      <c r="T713" s="51"/>
      <c r="U713" s="40"/>
      <c r="V713" s="54"/>
      <c r="W713" s="55"/>
      <c r="X713" s="56"/>
      <c r="Y713" s="88"/>
      <c r="Z713" s="88"/>
      <c r="AA713" s="88"/>
      <c r="AB713" s="88"/>
    </row>
    <row r="714" spans="1:28">
      <c r="A714" s="38">
        <v>713</v>
      </c>
      <c r="B714" s="39" t="s">
        <v>54</v>
      </c>
      <c r="C714" s="40"/>
      <c r="D714" s="42" t="s">
        <v>56</v>
      </c>
      <c r="E714" s="38" t="s">
        <v>796</v>
      </c>
      <c r="F714" s="43" t="s">
        <v>797</v>
      </c>
      <c r="G714" s="44"/>
      <c r="H714" s="45"/>
      <c r="I714" s="38"/>
      <c r="J714" s="38">
        <f>1*1000</f>
        <v>1000</v>
      </c>
      <c r="K714" s="46">
        <v>1.5243055555555557E-2</v>
      </c>
      <c r="L714" s="47" t="s">
        <v>770</v>
      </c>
      <c r="M714" s="48"/>
      <c r="N714" s="48"/>
      <c r="O714" s="48">
        <f t="shared" si="0"/>
        <v>0</v>
      </c>
      <c r="P714" s="65">
        <v>43064</v>
      </c>
      <c r="Q714" s="14" t="str">
        <f t="shared" ca="1" si="1"/>
        <v/>
      </c>
      <c r="R714" s="39" t="s">
        <v>63</v>
      </c>
      <c r="S714" s="39" t="s">
        <v>63</v>
      </c>
      <c r="T714" s="39" t="s">
        <v>63</v>
      </c>
      <c r="U714" s="40"/>
      <c r="V714" s="54"/>
      <c r="W714" s="69" t="s">
        <v>64</v>
      </c>
      <c r="X714" s="56"/>
      <c r="Y714" s="88"/>
      <c r="Z714" s="96" t="s">
        <v>2657</v>
      </c>
      <c r="AA714" s="88"/>
      <c r="AB714" s="88"/>
    </row>
    <row r="715" spans="1:28">
      <c r="A715" s="38">
        <v>714</v>
      </c>
      <c r="B715" s="51"/>
      <c r="C715" s="40"/>
      <c r="D715" s="38"/>
      <c r="E715" s="38" t="s">
        <v>2658</v>
      </c>
      <c r="F715" s="43" t="s">
        <v>2659</v>
      </c>
      <c r="G715" s="44"/>
      <c r="H715" s="45"/>
      <c r="I715" s="38"/>
      <c r="J715" s="38">
        <f>878</f>
        <v>878</v>
      </c>
      <c r="K715" s="46">
        <v>1.892361111111111E-2</v>
      </c>
      <c r="L715" s="47" t="s">
        <v>770</v>
      </c>
      <c r="M715" s="48"/>
      <c r="N715" s="48"/>
      <c r="O715" s="48">
        <f t="shared" si="0"/>
        <v>0</v>
      </c>
      <c r="P715" s="38"/>
      <c r="Q715" s="14" t="str">
        <f t="shared" ca="1" si="1"/>
        <v/>
      </c>
      <c r="R715" s="51"/>
      <c r="S715" s="51"/>
      <c r="T715" s="51"/>
      <c r="U715" s="40"/>
      <c r="V715" s="54"/>
      <c r="W715" s="55"/>
      <c r="X715" s="56"/>
      <c r="Y715" s="88"/>
      <c r="Z715" s="88"/>
      <c r="AA715" s="88"/>
      <c r="AB715" s="88"/>
    </row>
    <row r="716" spans="1:28">
      <c r="A716" s="38">
        <v>715</v>
      </c>
      <c r="B716" s="51"/>
      <c r="C716" s="40"/>
      <c r="D716" s="38"/>
      <c r="E716" s="38" t="s">
        <v>2663</v>
      </c>
      <c r="F716" s="43" t="s">
        <v>2664</v>
      </c>
      <c r="G716" s="44"/>
      <c r="H716" s="45"/>
      <c r="I716" s="38"/>
      <c r="J716" s="38">
        <f>1.1*1000</f>
        <v>1100</v>
      </c>
      <c r="K716" s="46">
        <v>1.4074074074074074E-2</v>
      </c>
      <c r="L716" s="47" t="s">
        <v>770</v>
      </c>
      <c r="M716" s="48"/>
      <c r="N716" s="48"/>
      <c r="O716" s="48">
        <f t="shared" si="0"/>
        <v>0</v>
      </c>
      <c r="P716" s="38"/>
      <c r="Q716" s="14" t="str">
        <f t="shared" ca="1" si="1"/>
        <v/>
      </c>
      <c r="R716" s="51"/>
      <c r="S716" s="51"/>
      <c r="T716" s="51"/>
      <c r="U716" s="40"/>
      <c r="V716" s="54"/>
      <c r="W716" s="55"/>
      <c r="X716" s="56"/>
      <c r="Y716" s="88"/>
      <c r="Z716" s="88"/>
      <c r="AA716" s="88"/>
      <c r="AB716" s="88"/>
    </row>
    <row r="717" spans="1:28">
      <c r="A717" s="38">
        <v>716</v>
      </c>
      <c r="B717" s="51"/>
      <c r="C717" s="40"/>
      <c r="D717" s="38"/>
      <c r="E717" s="38" t="s">
        <v>2669</v>
      </c>
      <c r="F717" s="43" t="s">
        <v>2670</v>
      </c>
      <c r="G717" s="44"/>
      <c r="H717" s="45"/>
      <c r="I717" s="38"/>
      <c r="J717" s="38">
        <f>347</f>
        <v>347</v>
      </c>
      <c r="K717" s="46">
        <v>1.9259259259259261E-2</v>
      </c>
      <c r="L717" s="47" t="s">
        <v>770</v>
      </c>
      <c r="M717" s="48"/>
      <c r="N717" s="48"/>
      <c r="O717" s="48">
        <f t="shared" si="0"/>
        <v>0</v>
      </c>
      <c r="P717" s="38"/>
      <c r="Q717" s="14" t="str">
        <f t="shared" ca="1" si="1"/>
        <v/>
      </c>
      <c r="R717" s="51"/>
      <c r="S717" s="51"/>
      <c r="T717" s="51"/>
      <c r="U717" s="40"/>
      <c r="V717" s="54"/>
      <c r="W717" s="55"/>
      <c r="X717" s="56"/>
      <c r="Y717" s="88"/>
      <c r="Z717" s="88"/>
      <c r="AA717" s="88"/>
      <c r="AB717" s="88"/>
    </row>
    <row r="718" spans="1:28">
      <c r="A718" s="38">
        <v>717</v>
      </c>
      <c r="B718" s="51"/>
      <c r="C718" s="40"/>
      <c r="D718" s="38"/>
      <c r="E718" s="38" t="s">
        <v>2673</v>
      </c>
      <c r="F718" s="43" t="s">
        <v>2674</v>
      </c>
      <c r="G718" s="44"/>
      <c r="H718" s="45"/>
      <c r="I718" s="38"/>
      <c r="J718" s="38">
        <f>465</f>
        <v>465</v>
      </c>
      <c r="K718" s="46">
        <v>1.4363425925925925E-2</v>
      </c>
      <c r="L718" s="47" t="s">
        <v>770</v>
      </c>
      <c r="M718" s="48"/>
      <c r="N718" s="48"/>
      <c r="O718" s="48">
        <f t="shared" si="0"/>
        <v>0</v>
      </c>
      <c r="P718" s="38"/>
      <c r="Q718" s="14" t="str">
        <f t="shared" ca="1" si="1"/>
        <v/>
      </c>
      <c r="R718" s="51"/>
      <c r="S718" s="51"/>
      <c r="T718" s="51"/>
      <c r="U718" s="40"/>
      <c r="V718" s="54"/>
      <c r="W718" s="55"/>
      <c r="X718" s="56"/>
      <c r="Y718" s="88"/>
      <c r="Z718" s="88"/>
      <c r="AA718" s="88"/>
      <c r="AB718" s="88"/>
    </row>
    <row r="719" spans="1:28">
      <c r="A719" s="38">
        <v>718</v>
      </c>
      <c r="B719" s="51"/>
      <c r="C719" s="40"/>
      <c r="D719" s="38"/>
      <c r="E719" s="38" t="s">
        <v>2677</v>
      </c>
      <c r="F719" s="43" t="s">
        <v>2678</v>
      </c>
      <c r="G719" s="44"/>
      <c r="H719" s="45"/>
      <c r="I719" s="38"/>
      <c r="J719" s="38">
        <f>1.1*1000</f>
        <v>1100</v>
      </c>
      <c r="K719" s="46">
        <v>3.1249999999999997E-3</v>
      </c>
      <c r="L719" s="47" t="s">
        <v>770</v>
      </c>
      <c r="M719" s="48"/>
      <c r="N719" s="48"/>
      <c r="O719" s="48">
        <f t="shared" si="0"/>
        <v>0</v>
      </c>
      <c r="P719" s="38"/>
      <c r="Q719" s="14" t="str">
        <f t="shared" ca="1" si="1"/>
        <v/>
      </c>
      <c r="R719" s="51"/>
      <c r="S719" s="51"/>
      <c r="T719" s="51"/>
      <c r="U719" s="40"/>
      <c r="V719" s="54"/>
      <c r="W719" s="55"/>
      <c r="X719" s="56"/>
      <c r="Y719" s="88"/>
      <c r="Z719" s="88"/>
      <c r="AA719" s="88"/>
      <c r="AB719" s="88"/>
    </row>
    <row r="720" spans="1:28">
      <c r="A720" s="38">
        <v>719</v>
      </c>
      <c r="B720" s="51"/>
      <c r="C720" s="40"/>
      <c r="D720" s="38"/>
      <c r="E720" s="38" t="s">
        <v>2679</v>
      </c>
      <c r="F720" s="43" t="s">
        <v>2680</v>
      </c>
      <c r="G720" s="44"/>
      <c r="H720" s="45"/>
      <c r="I720" s="38"/>
      <c r="J720" s="38">
        <f>690</f>
        <v>690</v>
      </c>
      <c r="K720" s="46">
        <v>5.8217592592592592E-3</v>
      </c>
      <c r="L720" s="47" t="s">
        <v>770</v>
      </c>
      <c r="M720" s="48"/>
      <c r="N720" s="48"/>
      <c r="O720" s="48">
        <f t="shared" si="0"/>
        <v>0</v>
      </c>
      <c r="P720" s="38"/>
      <c r="Q720" s="14" t="str">
        <f t="shared" ca="1" si="1"/>
        <v/>
      </c>
      <c r="R720" s="51"/>
      <c r="S720" s="51"/>
      <c r="T720" s="51"/>
      <c r="U720" s="40"/>
      <c r="V720" s="54"/>
      <c r="W720" s="55"/>
      <c r="X720" s="56"/>
      <c r="Y720" s="88"/>
      <c r="Z720" s="88"/>
      <c r="AA720" s="88"/>
      <c r="AB720" s="88"/>
    </row>
    <row r="721" spans="1:28">
      <c r="A721" s="38">
        <v>720</v>
      </c>
      <c r="B721" s="51"/>
      <c r="C721" s="40"/>
      <c r="D721" s="38"/>
      <c r="E721" s="38" t="s">
        <v>2683</v>
      </c>
      <c r="F721" s="43" t="s">
        <v>2684</v>
      </c>
      <c r="G721" s="44"/>
      <c r="H721" s="45"/>
      <c r="I721" s="38"/>
      <c r="J721" s="38">
        <f>734</f>
        <v>734</v>
      </c>
      <c r="K721" s="46">
        <v>2.3784722222222221E-2</v>
      </c>
      <c r="L721" s="47" t="s">
        <v>770</v>
      </c>
      <c r="M721" s="48"/>
      <c r="N721" s="48"/>
      <c r="O721" s="48">
        <f t="shared" si="0"/>
        <v>0</v>
      </c>
      <c r="P721" s="38"/>
      <c r="Q721" s="14" t="str">
        <f t="shared" ca="1" si="1"/>
        <v/>
      </c>
      <c r="R721" s="51"/>
      <c r="S721" s="51"/>
      <c r="T721" s="51"/>
      <c r="U721" s="40"/>
      <c r="V721" s="54"/>
      <c r="W721" s="55"/>
      <c r="X721" s="56"/>
      <c r="Y721" s="88"/>
      <c r="Z721" s="88"/>
      <c r="AA721" s="88"/>
      <c r="AB721" s="88"/>
    </row>
    <row r="722" spans="1:28">
      <c r="A722" s="38">
        <v>721</v>
      </c>
      <c r="B722" s="51"/>
      <c r="C722" s="40"/>
      <c r="D722" s="38"/>
      <c r="E722" s="38" t="s">
        <v>2688</v>
      </c>
      <c r="F722" s="43" t="s">
        <v>2689</v>
      </c>
      <c r="G722" s="44"/>
      <c r="H722" s="45"/>
      <c r="I722" s="38"/>
      <c r="J722" s="38">
        <f>2.4*1000</f>
        <v>2400</v>
      </c>
      <c r="K722" s="46">
        <v>2.5509259259259259E-2</v>
      </c>
      <c r="L722" s="47" t="s">
        <v>770</v>
      </c>
      <c r="M722" s="48"/>
      <c r="N722" s="48"/>
      <c r="O722" s="48">
        <f t="shared" si="0"/>
        <v>0</v>
      </c>
      <c r="P722" s="38"/>
      <c r="Q722" s="14" t="str">
        <f t="shared" ca="1" si="1"/>
        <v/>
      </c>
      <c r="R722" s="51"/>
      <c r="S722" s="51"/>
      <c r="T722" s="51"/>
      <c r="U722" s="40"/>
      <c r="V722" s="54"/>
      <c r="W722" s="55"/>
      <c r="X722" s="56"/>
      <c r="Y722" s="88"/>
      <c r="Z722" s="88"/>
      <c r="AA722" s="88"/>
      <c r="AB722" s="88"/>
    </row>
    <row r="723" spans="1:28">
      <c r="A723" s="38">
        <v>722</v>
      </c>
      <c r="B723" s="51"/>
      <c r="C723" s="40"/>
      <c r="D723" s="38"/>
      <c r="E723" s="38" t="s">
        <v>2692</v>
      </c>
      <c r="F723" s="43" t="s">
        <v>2693</v>
      </c>
      <c r="G723" s="44"/>
      <c r="H723" s="45"/>
      <c r="I723" s="38"/>
      <c r="J723" s="38">
        <f>698</f>
        <v>698</v>
      </c>
      <c r="K723" s="46">
        <v>1.6608796296296299E-2</v>
      </c>
      <c r="L723" s="47" t="s">
        <v>770</v>
      </c>
      <c r="M723" s="48"/>
      <c r="N723" s="48"/>
      <c r="O723" s="48">
        <f t="shared" si="0"/>
        <v>0</v>
      </c>
      <c r="P723" s="38"/>
      <c r="Q723" s="14" t="str">
        <f t="shared" ca="1" si="1"/>
        <v/>
      </c>
      <c r="R723" s="51"/>
      <c r="S723" s="51"/>
      <c r="T723" s="51"/>
      <c r="U723" s="40"/>
      <c r="V723" s="54"/>
      <c r="W723" s="55"/>
      <c r="X723" s="56"/>
      <c r="Y723" s="88"/>
      <c r="Z723" s="88"/>
      <c r="AA723" s="88"/>
      <c r="AB723" s="88"/>
    </row>
    <row r="724" spans="1:28">
      <c r="A724" s="38">
        <v>723</v>
      </c>
      <c r="B724" s="51"/>
      <c r="C724" s="40"/>
      <c r="D724" s="38"/>
      <c r="E724" s="38" t="s">
        <v>2694</v>
      </c>
      <c r="F724" s="43" t="s">
        <v>2695</v>
      </c>
      <c r="G724" s="44"/>
      <c r="H724" s="45"/>
      <c r="I724" s="38"/>
      <c r="J724" s="38">
        <f>587</f>
        <v>587</v>
      </c>
      <c r="K724" s="46">
        <v>1.3506944444444445E-2</v>
      </c>
      <c r="L724" s="47" t="s">
        <v>770</v>
      </c>
      <c r="M724" s="48"/>
      <c r="N724" s="48"/>
      <c r="O724" s="48">
        <f t="shared" si="0"/>
        <v>0</v>
      </c>
      <c r="P724" s="38"/>
      <c r="Q724" s="14" t="str">
        <f t="shared" ca="1" si="1"/>
        <v/>
      </c>
      <c r="R724" s="51"/>
      <c r="S724" s="51"/>
      <c r="T724" s="51"/>
      <c r="U724" s="40"/>
      <c r="V724" s="54"/>
      <c r="W724" s="55"/>
      <c r="X724" s="56"/>
      <c r="Y724" s="88"/>
      <c r="Z724" s="88"/>
      <c r="AA724" s="88"/>
      <c r="AB724" s="88"/>
    </row>
    <row r="725" spans="1:28">
      <c r="A725" s="38">
        <v>724</v>
      </c>
      <c r="B725" s="39" t="s">
        <v>54</v>
      </c>
      <c r="C725" s="40"/>
      <c r="D725" s="42" t="s">
        <v>56</v>
      </c>
      <c r="E725" s="38" t="s">
        <v>768</v>
      </c>
      <c r="F725" s="43" t="s">
        <v>769</v>
      </c>
      <c r="G725" s="44"/>
      <c r="H725" s="45"/>
      <c r="I725" s="38"/>
      <c r="J725" s="38">
        <f>304</f>
        <v>304</v>
      </c>
      <c r="K725" s="46">
        <v>2.2141203703703705E-2</v>
      </c>
      <c r="L725" s="47" t="s">
        <v>770</v>
      </c>
      <c r="M725" s="48"/>
      <c r="N725" s="48"/>
      <c r="O725" s="48">
        <f t="shared" si="0"/>
        <v>0</v>
      </c>
      <c r="P725" s="65">
        <v>43064</v>
      </c>
      <c r="Q725" s="14" t="str">
        <f t="shared" ca="1" si="1"/>
        <v/>
      </c>
      <c r="R725" s="39" t="s">
        <v>63</v>
      </c>
      <c r="S725" s="39" t="s">
        <v>63</v>
      </c>
      <c r="T725" s="39" t="s">
        <v>63</v>
      </c>
      <c r="U725" s="40"/>
      <c r="V725" s="54"/>
      <c r="W725" s="69" t="s">
        <v>64</v>
      </c>
      <c r="X725" s="56"/>
      <c r="Y725" s="88"/>
      <c r="Z725" s="88"/>
      <c r="AA725" s="88"/>
      <c r="AB725" s="88"/>
    </row>
    <row r="726" spans="1:28">
      <c r="A726" s="38">
        <v>725</v>
      </c>
      <c r="B726" s="51"/>
      <c r="C726" s="40"/>
      <c r="D726" s="38"/>
      <c r="E726" s="38" t="s">
        <v>2700</v>
      </c>
      <c r="F726" s="43" t="s">
        <v>2701</v>
      </c>
      <c r="G726" s="44"/>
      <c r="H726" s="45"/>
      <c r="I726" s="38"/>
      <c r="J726" s="38">
        <f>361</f>
        <v>361</v>
      </c>
      <c r="K726" s="46">
        <v>2.568287037037037E-2</v>
      </c>
      <c r="L726" s="47" t="s">
        <v>770</v>
      </c>
      <c r="M726" s="48"/>
      <c r="N726" s="48"/>
      <c r="O726" s="48">
        <f t="shared" si="0"/>
        <v>0</v>
      </c>
      <c r="P726" s="38"/>
      <c r="Q726" s="14" t="str">
        <f t="shared" ca="1" si="1"/>
        <v/>
      </c>
      <c r="R726" s="51"/>
      <c r="S726" s="51"/>
      <c r="T726" s="51"/>
      <c r="U726" s="40"/>
      <c r="V726" s="54"/>
      <c r="W726" s="55"/>
      <c r="X726" s="56"/>
      <c r="Y726" s="88"/>
      <c r="Z726" s="88"/>
      <c r="AA726" s="88"/>
      <c r="AB726" s="88"/>
    </row>
    <row r="727" spans="1:28">
      <c r="A727" s="38">
        <v>726</v>
      </c>
      <c r="B727" s="51"/>
      <c r="C727" s="40"/>
      <c r="D727" s="38"/>
      <c r="E727" s="38" t="s">
        <v>2702</v>
      </c>
      <c r="F727" s="43" t="s">
        <v>2703</v>
      </c>
      <c r="G727" s="44"/>
      <c r="H727" s="45"/>
      <c r="I727" s="38"/>
      <c r="J727" s="38">
        <f>2.2*1000</f>
        <v>2200</v>
      </c>
      <c r="K727" s="46">
        <v>1.9722222222222221E-2</v>
      </c>
      <c r="L727" s="47" t="s">
        <v>770</v>
      </c>
      <c r="M727" s="48"/>
      <c r="N727" s="48"/>
      <c r="O727" s="48">
        <f t="shared" si="0"/>
        <v>0</v>
      </c>
      <c r="P727" s="38"/>
      <c r="Q727" s="14" t="str">
        <f t="shared" ca="1" si="1"/>
        <v/>
      </c>
      <c r="R727" s="51"/>
      <c r="S727" s="51"/>
      <c r="T727" s="51"/>
      <c r="U727" s="40"/>
      <c r="V727" s="54"/>
      <c r="W727" s="55"/>
      <c r="X727" s="56"/>
      <c r="Y727" s="88"/>
      <c r="Z727" s="88"/>
      <c r="AA727" s="88"/>
      <c r="AB727" s="88"/>
    </row>
    <row r="728" spans="1:28">
      <c r="A728" s="38">
        <v>727</v>
      </c>
      <c r="B728" s="51"/>
      <c r="C728" s="40"/>
      <c r="D728" s="38"/>
      <c r="E728" s="38" t="s">
        <v>2705</v>
      </c>
      <c r="F728" s="43" t="s">
        <v>2706</v>
      </c>
      <c r="G728" s="44"/>
      <c r="H728" s="45"/>
      <c r="I728" s="38"/>
      <c r="J728" s="38">
        <f>1.6*1000</f>
        <v>1600</v>
      </c>
      <c r="K728" s="46">
        <v>3.3888888888888885E-2</v>
      </c>
      <c r="L728" s="47" t="s">
        <v>770</v>
      </c>
      <c r="M728" s="48"/>
      <c r="N728" s="48"/>
      <c r="O728" s="48">
        <f t="shared" si="0"/>
        <v>0</v>
      </c>
      <c r="P728" s="38"/>
      <c r="Q728" s="14" t="str">
        <f t="shared" ca="1" si="1"/>
        <v/>
      </c>
      <c r="R728" s="51"/>
      <c r="S728" s="51"/>
      <c r="T728" s="51"/>
      <c r="U728" s="40"/>
      <c r="V728" s="54"/>
      <c r="W728" s="55"/>
      <c r="X728" s="56"/>
      <c r="Y728" s="88"/>
      <c r="Z728" s="88"/>
      <c r="AA728" s="88"/>
      <c r="AB728" s="88"/>
    </row>
    <row r="729" spans="1:28">
      <c r="A729" s="38">
        <v>728</v>
      </c>
      <c r="B729" s="51"/>
      <c r="C729" s="40"/>
      <c r="D729" s="38"/>
      <c r="E729" s="38" t="s">
        <v>2707</v>
      </c>
      <c r="F729" s="43" t="s">
        <v>2708</v>
      </c>
      <c r="G729" s="44"/>
      <c r="H729" s="45"/>
      <c r="I729" s="38"/>
      <c r="J729" s="38">
        <f>245</f>
        <v>245</v>
      </c>
      <c r="K729" s="46">
        <v>2.344907407407407E-2</v>
      </c>
      <c r="L729" s="47" t="s">
        <v>770</v>
      </c>
      <c r="M729" s="48"/>
      <c r="N729" s="48"/>
      <c r="O729" s="48">
        <f t="shared" si="0"/>
        <v>0</v>
      </c>
      <c r="P729" s="38"/>
      <c r="Q729" s="14" t="str">
        <f t="shared" ca="1" si="1"/>
        <v/>
      </c>
      <c r="R729" s="51"/>
      <c r="S729" s="51"/>
      <c r="T729" s="51"/>
      <c r="U729" s="40"/>
      <c r="V729" s="54"/>
      <c r="W729" s="55"/>
      <c r="X729" s="56"/>
      <c r="Y729" s="88"/>
      <c r="Z729" s="88"/>
      <c r="AA729" s="88"/>
      <c r="AB729" s="88"/>
    </row>
    <row r="730" spans="1:28">
      <c r="A730" s="38">
        <v>729</v>
      </c>
      <c r="B730" s="51"/>
      <c r="C730" s="40"/>
      <c r="D730" s="38"/>
      <c r="E730" s="38" t="s">
        <v>2709</v>
      </c>
      <c r="F730" s="43" t="s">
        <v>2710</v>
      </c>
      <c r="G730" s="44"/>
      <c r="H730" s="45"/>
      <c r="I730" s="38"/>
      <c r="J730" s="38">
        <f>479</f>
        <v>479</v>
      </c>
      <c r="K730" s="46">
        <v>2.9953703703703705E-2</v>
      </c>
      <c r="L730" s="47" t="s">
        <v>770</v>
      </c>
      <c r="M730" s="48"/>
      <c r="N730" s="48"/>
      <c r="O730" s="48">
        <f t="shared" si="0"/>
        <v>0</v>
      </c>
      <c r="P730" s="38"/>
      <c r="Q730" s="14" t="str">
        <f t="shared" ca="1" si="1"/>
        <v/>
      </c>
      <c r="R730" s="51"/>
      <c r="S730" s="51"/>
      <c r="T730" s="51"/>
      <c r="U730" s="40"/>
      <c r="V730" s="54"/>
      <c r="W730" s="55"/>
      <c r="X730" s="56"/>
      <c r="Y730" s="88"/>
      <c r="Z730" s="88"/>
      <c r="AA730" s="88"/>
      <c r="AB730" s="88"/>
    </row>
    <row r="731" spans="1:28">
      <c r="A731" s="38">
        <v>730</v>
      </c>
      <c r="B731" s="51"/>
      <c r="C731" s="40"/>
      <c r="D731" s="38"/>
      <c r="E731" s="38" t="s">
        <v>2711</v>
      </c>
      <c r="F731" s="43" t="s">
        <v>2712</v>
      </c>
      <c r="G731" s="44"/>
      <c r="H731" s="45"/>
      <c r="I731" s="38"/>
      <c r="J731" s="38">
        <f>217</f>
        <v>217</v>
      </c>
      <c r="K731" s="46">
        <v>1.2881944444444446E-2</v>
      </c>
      <c r="L731" s="47" t="s">
        <v>770</v>
      </c>
      <c r="M731" s="48"/>
      <c r="N731" s="48"/>
      <c r="O731" s="48">
        <f t="shared" si="0"/>
        <v>0</v>
      </c>
      <c r="P731" s="38"/>
      <c r="Q731" s="14" t="str">
        <f t="shared" ca="1" si="1"/>
        <v/>
      </c>
      <c r="R731" s="51"/>
      <c r="S731" s="51"/>
      <c r="T731" s="51"/>
      <c r="U731" s="40"/>
      <c r="V731" s="54"/>
      <c r="W731" s="55"/>
      <c r="X731" s="56"/>
      <c r="Y731" s="88"/>
      <c r="Z731" s="88"/>
      <c r="AA731" s="88"/>
      <c r="AB731" s="88"/>
    </row>
    <row r="732" spans="1:28">
      <c r="A732" s="38">
        <v>731</v>
      </c>
      <c r="B732" s="51"/>
      <c r="C732" s="40"/>
      <c r="D732" s="38"/>
      <c r="E732" s="38" t="s">
        <v>2713</v>
      </c>
      <c r="F732" s="43" t="s">
        <v>2714</v>
      </c>
      <c r="G732" s="44"/>
      <c r="H732" s="45"/>
      <c r="I732" s="38"/>
      <c r="J732" s="38">
        <f>5.5*1000</f>
        <v>5500</v>
      </c>
      <c r="K732" s="46">
        <v>1.8912037037037036E-2</v>
      </c>
      <c r="L732" s="47" t="s">
        <v>770</v>
      </c>
      <c r="M732" s="48"/>
      <c r="N732" s="48"/>
      <c r="O732" s="48">
        <f t="shared" si="0"/>
        <v>0</v>
      </c>
      <c r="P732" s="38"/>
      <c r="Q732" s="14" t="str">
        <f t="shared" ca="1" si="1"/>
        <v/>
      </c>
      <c r="R732" s="51"/>
      <c r="S732" s="51"/>
      <c r="T732" s="51"/>
      <c r="U732" s="40"/>
      <c r="V732" s="54"/>
      <c r="W732" s="55"/>
      <c r="X732" s="56"/>
      <c r="Y732" s="88"/>
      <c r="Z732" s="88"/>
      <c r="AA732" s="88"/>
      <c r="AB732" s="88"/>
    </row>
    <row r="733" spans="1:28">
      <c r="A733" s="38">
        <v>732</v>
      </c>
      <c r="B733" s="51"/>
      <c r="C733" s="40"/>
      <c r="D733" s="38"/>
      <c r="E733" s="38" t="s">
        <v>2715</v>
      </c>
      <c r="F733" s="43" t="s">
        <v>2716</v>
      </c>
      <c r="G733" s="44"/>
      <c r="H733" s="45"/>
      <c r="I733" s="38"/>
      <c r="J733" s="38">
        <f>335</f>
        <v>335</v>
      </c>
      <c r="K733" s="46">
        <v>2.3877314814814813E-2</v>
      </c>
      <c r="L733" s="47" t="s">
        <v>770</v>
      </c>
      <c r="M733" s="48"/>
      <c r="N733" s="48"/>
      <c r="O733" s="48">
        <f t="shared" si="0"/>
        <v>0</v>
      </c>
      <c r="P733" s="38"/>
      <c r="Q733" s="14" t="str">
        <f t="shared" ca="1" si="1"/>
        <v/>
      </c>
      <c r="R733" s="51"/>
      <c r="S733" s="51"/>
      <c r="T733" s="51"/>
      <c r="U733" s="40"/>
      <c r="V733" s="54"/>
      <c r="W733" s="55"/>
      <c r="X733" s="56"/>
      <c r="Y733" s="88"/>
      <c r="Z733" s="88"/>
      <c r="AA733" s="88"/>
      <c r="AB733" s="88"/>
    </row>
    <row r="734" spans="1:28">
      <c r="A734" s="38">
        <v>733</v>
      </c>
      <c r="B734" s="51"/>
      <c r="C734" s="40"/>
      <c r="D734" s="38"/>
      <c r="E734" s="38" t="s">
        <v>2717</v>
      </c>
      <c r="F734" s="43" t="s">
        <v>2718</v>
      </c>
      <c r="G734" s="44"/>
      <c r="H734" s="45"/>
      <c r="I734" s="38"/>
      <c r="J734" s="38">
        <f>4.4*1000</f>
        <v>4400</v>
      </c>
      <c r="K734" s="46">
        <v>1.7638888888888888E-2</v>
      </c>
      <c r="L734" s="47" t="s">
        <v>770</v>
      </c>
      <c r="M734" s="48"/>
      <c r="N734" s="48"/>
      <c r="O734" s="48">
        <f t="shared" si="0"/>
        <v>0</v>
      </c>
      <c r="P734" s="38"/>
      <c r="Q734" s="14" t="str">
        <f t="shared" ca="1" si="1"/>
        <v/>
      </c>
      <c r="R734" s="51"/>
      <c r="S734" s="51"/>
      <c r="T734" s="51"/>
      <c r="U734" s="40"/>
      <c r="V734" s="54"/>
      <c r="W734" s="55"/>
      <c r="X734" s="56"/>
      <c r="Y734" s="88"/>
      <c r="Z734" s="88"/>
      <c r="AA734" s="88"/>
      <c r="AB734" s="88"/>
    </row>
    <row r="735" spans="1:28">
      <c r="A735" s="38">
        <v>734</v>
      </c>
      <c r="B735" s="51"/>
      <c r="C735" s="40"/>
      <c r="D735" s="38"/>
      <c r="E735" s="38" t="s">
        <v>2719</v>
      </c>
      <c r="F735" s="43" t="s">
        <v>2720</v>
      </c>
      <c r="G735" s="44"/>
      <c r="H735" s="45"/>
      <c r="I735" s="38"/>
      <c r="J735" s="38">
        <f>1.3*1000</f>
        <v>1300</v>
      </c>
      <c r="K735" s="46">
        <v>1.2222222222222223E-2</v>
      </c>
      <c r="L735" s="47" t="s">
        <v>770</v>
      </c>
      <c r="M735" s="48"/>
      <c r="N735" s="48"/>
      <c r="O735" s="48">
        <f t="shared" si="0"/>
        <v>0</v>
      </c>
      <c r="P735" s="38"/>
      <c r="Q735" s="14" t="str">
        <f t="shared" ca="1" si="1"/>
        <v/>
      </c>
      <c r="R735" s="51"/>
      <c r="S735" s="51"/>
      <c r="T735" s="51"/>
      <c r="U735" s="40"/>
      <c r="V735" s="54"/>
      <c r="W735" s="55"/>
      <c r="X735" s="56"/>
      <c r="Y735" s="88"/>
      <c r="Z735" s="88"/>
      <c r="AA735" s="88"/>
      <c r="AB735" s="88"/>
    </row>
    <row r="736" spans="1:28">
      <c r="A736" s="38">
        <v>735</v>
      </c>
      <c r="B736" s="51"/>
      <c r="C736" s="40"/>
      <c r="D736" s="38"/>
      <c r="E736" s="38" t="s">
        <v>2721</v>
      </c>
      <c r="F736" s="43" t="s">
        <v>2722</v>
      </c>
      <c r="G736" s="44"/>
      <c r="H736" s="45"/>
      <c r="I736" s="38"/>
      <c r="J736" s="38">
        <f>684</f>
        <v>684</v>
      </c>
      <c r="K736" s="46">
        <v>3.0092592592592588E-3</v>
      </c>
      <c r="L736" s="47" t="s">
        <v>770</v>
      </c>
      <c r="M736" s="48"/>
      <c r="N736" s="48"/>
      <c r="O736" s="48">
        <f t="shared" si="0"/>
        <v>0</v>
      </c>
      <c r="P736" s="38"/>
      <c r="Q736" s="14" t="str">
        <f t="shared" ca="1" si="1"/>
        <v/>
      </c>
      <c r="R736" s="51"/>
      <c r="S736" s="51"/>
      <c r="T736" s="51"/>
      <c r="U736" s="40"/>
      <c r="V736" s="54"/>
      <c r="W736" s="55"/>
      <c r="X736" s="56"/>
      <c r="Y736" s="88"/>
      <c r="Z736" s="88"/>
      <c r="AA736" s="88"/>
      <c r="AB736" s="88"/>
    </row>
    <row r="737" spans="1:28">
      <c r="A737" s="38">
        <v>736</v>
      </c>
      <c r="B737" s="51"/>
      <c r="C737" s="40"/>
      <c r="D737" s="38"/>
      <c r="E737" s="38" t="s">
        <v>2723</v>
      </c>
      <c r="F737" s="43" t="s">
        <v>2724</v>
      </c>
      <c r="G737" s="44"/>
      <c r="H737" s="45"/>
      <c r="I737" s="38"/>
      <c r="J737" s="38">
        <f>570</f>
        <v>570</v>
      </c>
      <c r="K737" s="46">
        <v>5.2893518518518515E-3</v>
      </c>
      <c r="L737" s="47" t="s">
        <v>770</v>
      </c>
      <c r="M737" s="48"/>
      <c r="N737" s="48"/>
      <c r="O737" s="48">
        <f t="shared" si="0"/>
        <v>0</v>
      </c>
      <c r="P737" s="38"/>
      <c r="Q737" s="14" t="str">
        <f t="shared" ca="1" si="1"/>
        <v/>
      </c>
      <c r="R737" s="51"/>
      <c r="S737" s="51"/>
      <c r="T737" s="51"/>
      <c r="U737" s="40"/>
      <c r="V737" s="54"/>
      <c r="W737" s="55"/>
      <c r="X737" s="56"/>
      <c r="Y737" s="88"/>
      <c r="Z737" s="88"/>
      <c r="AA737" s="88"/>
      <c r="AB737" s="88"/>
    </row>
    <row r="738" spans="1:28">
      <c r="A738" s="38">
        <v>737</v>
      </c>
      <c r="B738" s="51"/>
      <c r="C738" s="40"/>
      <c r="D738" s="38"/>
      <c r="E738" s="38" t="s">
        <v>2725</v>
      </c>
      <c r="F738" s="43" t="s">
        <v>2726</v>
      </c>
      <c r="G738" s="44"/>
      <c r="H738" s="45"/>
      <c r="I738" s="38"/>
      <c r="J738" s="38">
        <f>431</f>
        <v>431</v>
      </c>
      <c r="K738" s="46">
        <v>5.347222222222222E-3</v>
      </c>
      <c r="L738" s="47" t="s">
        <v>770</v>
      </c>
      <c r="M738" s="48"/>
      <c r="N738" s="48"/>
      <c r="O738" s="48">
        <f t="shared" si="0"/>
        <v>0</v>
      </c>
      <c r="P738" s="38"/>
      <c r="Q738" s="14" t="str">
        <f t="shared" ca="1" si="1"/>
        <v/>
      </c>
      <c r="R738" s="51"/>
      <c r="S738" s="51"/>
      <c r="T738" s="51"/>
      <c r="U738" s="40"/>
      <c r="V738" s="54"/>
      <c r="W738" s="55"/>
      <c r="X738" s="56"/>
      <c r="Y738" s="88"/>
      <c r="Z738" s="88"/>
      <c r="AA738" s="88"/>
      <c r="AB738" s="88"/>
    </row>
    <row r="739" spans="1:28">
      <c r="A739" s="38">
        <v>738</v>
      </c>
      <c r="B739" s="39" t="s">
        <v>54</v>
      </c>
      <c r="C739" s="40"/>
      <c r="D739" s="42" t="s">
        <v>139</v>
      </c>
      <c r="E739" s="38" t="s">
        <v>818</v>
      </c>
      <c r="F739" s="43" t="s">
        <v>819</v>
      </c>
      <c r="G739" s="44"/>
      <c r="H739" s="45"/>
      <c r="I739" s="38"/>
      <c r="J739" s="38">
        <f>1.3*1000</f>
        <v>1300</v>
      </c>
      <c r="K739" s="46">
        <v>2.2812499999999999E-2</v>
      </c>
      <c r="L739" s="47" t="s">
        <v>770</v>
      </c>
      <c r="M739" s="48"/>
      <c r="N739" s="48"/>
      <c r="O739" s="48">
        <f t="shared" si="0"/>
        <v>0</v>
      </c>
      <c r="P739" s="38"/>
      <c r="Q739" s="14" t="str">
        <f t="shared" ca="1" si="1"/>
        <v/>
      </c>
      <c r="R739" s="51"/>
      <c r="S739" s="51"/>
      <c r="T739" s="51"/>
      <c r="U739" s="40"/>
      <c r="V739" s="54"/>
      <c r="W739" s="55"/>
      <c r="X739" s="56"/>
      <c r="Y739" s="88"/>
      <c r="Z739" s="88"/>
      <c r="AA739" s="88"/>
      <c r="AB739" s="88"/>
    </row>
    <row r="740" spans="1:28">
      <c r="A740" s="38">
        <v>739</v>
      </c>
      <c r="B740" s="39" t="s">
        <v>497</v>
      </c>
      <c r="C740" s="40"/>
      <c r="D740" s="42" t="s">
        <v>139</v>
      </c>
      <c r="E740" s="38" t="s">
        <v>2675</v>
      </c>
      <c r="F740" s="43" t="s">
        <v>2676</v>
      </c>
      <c r="G740" s="44"/>
      <c r="H740" s="45"/>
      <c r="I740" s="38"/>
      <c r="J740" s="38">
        <f>14*1000</f>
        <v>14000</v>
      </c>
      <c r="K740" s="46">
        <v>3.953703703703703E-2</v>
      </c>
      <c r="L740" s="47" t="s">
        <v>770</v>
      </c>
      <c r="M740" s="48"/>
      <c r="N740" s="48"/>
      <c r="O740" s="48">
        <f t="shared" si="0"/>
        <v>0</v>
      </c>
      <c r="P740" s="38"/>
      <c r="Q740" s="14" t="str">
        <f t="shared" ca="1" si="1"/>
        <v/>
      </c>
      <c r="R740" s="51"/>
      <c r="S740" s="51"/>
      <c r="T740" s="51"/>
      <c r="U740" s="40"/>
      <c r="V740" s="54"/>
      <c r="W740" s="55"/>
      <c r="X740" s="56"/>
      <c r="Y740" s="88"/>
      <c r="Z740" s="88"/>
      <c r="AA740" s="88"/>
      <c r="AB740" s="88"/>
    </row>
    <row r="741" spans="1:28">
      <c r="A741" s="38">
        <v>740</v>
      </c>
      <c r="B741" s="39" t="s">
        <v>596</v>
      </c>
      <c r="C741" s="40"/>
      <c r="D741" s="42" t="s">
        <v>139</v>
      </c>
      <c r="E741" s="38" t="s">
        <v>1562</v>
      </c>
      <c r="F741" s="43" t="s">
        <v>1563</v>
      </c>
      <c r="G741" s="44"/>
      <c r="H741" s="45"/>
      <c r="I741" s="38"/>
      <c r="J741" s="38">
        <f>8.1*1000</f>
        <v>8100</v>
      </c>
      <c r="K741" s="46">
        <v>7.2326388888888885E-2</v>
      </c>
      <c r="L741" s="47" t="s">
        <v>770</v>
      </c>
      <c r="M741" s="48"/>
      <c r="N741" s="48"/>
      <c r="O741" s="48">
        <f t="shared" si="0"/>
        <v>0</v>
      </c>
      <c r="P741" s="38"/>
      <c r="Q741" s="14" t="str">
        <f t="shared" ca="1" si="1"/>
        <v/>
      </c>
      <c r="R741" s="51"/>
      <c r="S741" s="51"/>
      <c r="T741" s="51"/>
      <c r="U741" s="40"/>
      <c r="V741" s="54"/>
      <c r="W741" s="55"/>
      <c r="X741" s="56"/>
      <c r="Y741" s="88"/>
      <c r="Z741" s="88"/>
      <c r="AA741" s="88"/>
      <c r="AB741" s="88"/>
    </row>
    <row r="742" spans="1:28">
      <c r="A742" s="38">
        <v>741</v>
      </c>
      <c r="B742" s="39" t="s">
        <v>55</v>
      </c>
      <c r="C742" s="40"/>
      <c r="D742" s="42" t="s">
        <v>142</v>
      </c>
      <c r="E742" s="38" t="s">
        <v>2727</v>
      </c>
      <c r="F742" s="43" t="s">
        <v>1563</v>
      </c>
      <c r="G742" s="44"/>
      <c r="H742" s="45"/>
      <c r="I742" s="38"/>
      <c r="J742" s="38"/>
      <c r="K742" s="46"/>
      <c r="L742" s="47"/>
      <c r="M742" s="48"/>
      <c r="N742" s="48"/>
      <c r="O742" s="48">
        <f t="shared" si="0"/>
        <v>0</v>
      </c>
      <c r="P742" s="38"/>
      <c r="Q742" s="14" t="str">
        <f t="shared" ca="1" si="1"/>
        <v/>
      </c>
      <c r="R742" s="51"/>
      <c r="S742" s="51"/>
      <c r="T742" s="51"/>
      <c r="U742" s="40"/>
      <c r="V742" s="54"/>
      <c r="W742" s="55"/>
      <c r="X742" s="56"/>
      <c r="Y742" s="88"/>
      <c r="Z742" s="96" t="s">
        <v>2728</v>
      </c>
      <c r="AA742" s="88"/>
      <c r="AB742" s="88"/>
    </row>
    <row r="743" spans="1:28">
      <c r="A743" s="38">
        <v>742</v>
      </c>
      <c r="B743" s="39" t="s">
        <v>2729</v>
      </c>
      <c r="C743" s="40"/>
      <c r="D743" s="42" t="s">
        <v>139</v>
      </c>
      <c r="E743" s="38" t="s">
        <v>2690</v>
      </c>
      <c r="F743" s="43" t="s">
        <v>2691</v>
      </c>
      <c r="G743" s="44"/>
      <c r="H743" s="45"/>
      <c r="I743" s="38"/>
      <c r="J743" s="38">
        <f>18*1000</f>
        <v>18000</v>
      </c>
      <c r="K743" s="46">
        <v>4.4467592592592593E-2</v>
      </c>
      <c r="L743" s="47" t="s">
        <v>770</v>
      </c>
      <c r="M743" s="48"/>
      <c r="N743" s="48"/>
      <c r="O743" s="48">
        <f t="shared" si="0"/>
        <v>0</v>
      </c>
      <c r="P743" s="65">
        <v>43019</v>
      </c>
      <c r="Q743" s="14" t="str">
        <f t="shared" ca="1" si="1"/>
        <v/>
      </c>
      <c r="R743" s="51"/>
      <c r="S743" s="51"/>
      <c r="T743" s="51"/>
      <c r="U743" s="40"/>
      <c r="V743" s="54"/>
      <c r="W743" s="55"/>
      <c r="X743" s="56"/>
      <c r="Y743" s="88"/>
      <c r="Z743" s="88"/>
      <c r="AA743" s="88"/>
      <c r="AB743" s="88"/>
    </row>
    <row r="744" spans="1:28">
      <c r="A744" s="38">
        <v>743</v>
      </c>
      <c r="B744" s="39" t="s">
        <v>596</v>
      </c>
      <c r="C744" s="40"/>
      <c r="D744" s="42" t="s">
        <v>139</v>
      </c>
      <c r="E744" s="38" t="s">
        <v>2730</v>
      </c>
      <c r="F744" s="43" t="s">
        <v>2731</v>
      </c>
      <c r="G744" s="44"/>
      <c r="H744" s="45"/>
      <c r="I744" s="38"/>
      <c r="J744" s="38">
        <f>10*1000</f>
        <v>10000</v>
      </c>
      <c r="K744" s="46">
        <v>4.5474537037037042E-2</v>
      </c>
      <c r="L744" s="47" t="s">
        <v>770</v>
      </c>
      <c r="M744" s="48"/>
      <c r="N744" s="48"/>
      <c r="O744" s="48">
        <f t="shared" si="0"/>
        <v>0</v>
      </c>
      <c r="P744" s="38"/>
      <c r="Q744" s="14" t="str">
        <f t="shared" ca="1" si="1"/>
        <v/>
      </c>
      <c r="R744" s="51"/>
      <c r="S744" s="51"/>
      <c r="T744" s="51"/>
      <c r="U744" s="40"/>
      <c r="V744" s="54"/>
      <c r="W744" s="55"/>
      <c r="X744" s="56"/>
      <c r="Y744" s="88"/>
      <c r="Z744" s="88"/>
      <c r="AA744" s="88"/>
      <c r="AB744" s="88"/>
    </row>
    <row r="745" spans="1:28">
      <c r="A745" s="38">
        <v>744</v>
      </c>
      <c r="B745" s="39" t="s">
        <v>596</v>
      </c>
      <c r="C745" s="40"/>
      <c r="D745" s="38"/>
      <c r="E745" s="38" t="s">
        <v>2127</v>
      </c>
      <c r="F745" s="43" t="s">
        <v>2128</v>
      </c>
      <c r="G745" s="44"/>
      <c r="H745" s="45"/>
      <c r="I745" s="38"/>
      <c r="J745" s="38">
        <f>114*1000</f>
        <v>114000</v>
      </c>
      <c r="K745" s="46">
        <v>4.2650462962962959E-2</v>
      </c>
      <c r="L745" s="47" t="s">
        <v>2732</v>
      </c>
      <c r="M745" s="48"/>
      <c r="N745" s="48"/>
      <c r="O745" s="48">
        <f t="shared" si="0"/>
        <v>0</v>
      </c>
      <c r="P745" s="38"/>
      <c r="Q745" s="14" t="str">
        <f t="shared" ca="1" si="1"/>
        <v/>
      </c>
      <c r="R745" s="51"/>
      <c r="S745" s="51"/>
      <c r="T745" s="51"/>
      <c r="U745" s="40"/>
      <c r="V745" s="54"/>
      <c r="W745" s="55"/>
      <c r="X745" s="56"/>
      <c r="Y745" s="88"/>
      <c r="Z745" s="88"/>
      <c r="AA745" s="88"/>
      <c r="AB745" s="88"/>
    </row>
    <row r="746" spans="1:28">
      <c r="A746" s="38">
        <v>745</v>
      </c>
      <c r="B746" s="39" t="s">
        <v>497</v>
      </c>
      <c r="C746" s="40"/>
      <c r="D746" s="42" t="s">
        <v>139</v>
      </c>
      <c r="E746" s="38" t="s">
        <v>2733</v>
      </c>
      <c r="F746" s="43" t="s">
        <v>2734</v>
      </c>
      <c r="G746" s="44"/>
      <c r="H746" s="45"/>
      <c r="I746" s="38"/>
      <c r="J746" s="38">
        <f>27*1000</f>
        <v>27000</v>
      </c>
      <c r="K746" s="46">
        <v>4.2083333333333334E-2</v>
      </c>
      <c r="L746" s="47" t="s">
        <v>2732</v>
      </c>
      <c r="M746" s="48"/>
      <c r="N746" s="48"/>
      <c r="O746" s="48">
        <f t="shared" si="0"/>
        <v>0</v>
      </c>
      <c r="P746" s="38"/>
      <c r="Q746" s="14" t="str">
        <f t="shared" ca="1" si="1"/>
        <v/>
      </c>
      <c r="R746" s="51"/>
      <c r="S746" s="51"/>
      <c r="T746" s="51"/>
      <c r="U746" s="40"/>
      <c r="V746" s="54"/>
      <c r="W746" s="55"/>
      <c r="X746" s="56"/>
      <c r="Y746" s="88"/>
      <c r="Z746" s="88"/>
      <c r="AA746" s="88"/>
      <c r="AB746" s="88"/>
    </row>
    <row r="747" spans="1:28">
      <c r="A747" s="38">
        <v>746</v>
      </c>
      <c r="B747" s="51"/>
      <c r="C747" s="40"/>
      <c r="D747" s="38"/>
      <c r="E747" s="38" t="s">
        <v>2735</v>
      </c>
      <c r="F747" s="43" t="s">
        <v>2736</v>
      </c>
      <c r="G747" s="44"/>
      <c r="H747" s="45"/>
      <c r="I747" s="38"/>
      <c r="J747" s="38">
        <f>17*1000</f>
        <v>17000</v>
      </c>
      <c r="K747" s="46">
        <v>3.9560185185185184E-2</v>
      </c>
      <c r="L747" s="47" t="s">
        <v>2732</v>
      </c>
      <c r="M747" s="48"/>
      <c r="N747" s="48"/>
      <c r="O747" s="48">
        <f t="shared" si="0"/>
        <v>0</v>
      </c>
      <c r="P747" s="38"/>
      <c r="Q747" s="14" t="str">
        <f t="shared" ca="1" si="1"/>
        <v/>
      </c>
      <c r="R747" s="51"/>
      <c r="S747" s="51"/>
      <c r="T747" s="51"/>
      <c r="U747" s="40"/>
      <c r="V747" s="54"/>
      <c r="W747" s="55"/>
      <c r="X747" s="56"/>
      <c r="Y747" s="88"/>
      <c r="Z747" s="88"/>
      <c r="AA747" s="88"/>
      <c r="AB747" s="88"/>
    </row>
    <row r="748" spans="1:28">
      <c r="A748" s="38">
        <v>747</v>
      </c>
      <c r="B748" s="39" t="s">
        <v>596</v>
      </c>
      <c r="C748" s="40"/>
      <c r="D748" s="38"/>
      <c r="E748" s="38" t="s">
        <v>2121</v>
      </c>
      <c r="F748" s="43" t="s">
        <v>2122</v>
      </c>
      <c r="G748" s="44"/>
      <c r="H748" s="45"/>
      <c r="I748" s="38"/>
      <c r="J748" s="38">
        <f>24*1000</f>
        <v>24000</v>
      </c>
      <c r="K748" s="46">
        <v>4.5462962962962962E-2</v>
      </c>
      <c r="L748" s="47" t="s">
        <v>2732</v>
      </c>
      <c r="M748" s="48"/>
      <c r="N748" s="48"/>
      <c r="O748" s="48">
        <f t="shared" si="0"/>
        <v>0</v>
      </c>
      <c r="P748" s="38"/>
      <c r="Q748" s="14" t="str">
        <f t="shared" ca="1" si="1"/>
        <v/>
      </c>
      <c r="R748" s="51"/>
      <c r="S748" s="51"/>
      <c r="T748" s="51"/>
      <c r="U748" s="40"/>
      <c r="V748" s="54"/>
      <c r="W748" s="55"/>
      <c r="X748" s="56"/>
      <c r="Y748" s="88"/>
      <c r="Z748" s="88"/>
      <c r="AA748" s="88"/>
      <c r="AB748" s="88"/>
    </row>
    <row r="749" spans="1:28">
      <c r="A749" s="38">
        <v>748</v>
      </c>
      <c r="B749" s="51"/>
      <c r="C749" s="40"/>
      <c r="D749" s="38"/>
      <c r="E749" s="38" t="s">
        <v>2737</v>
      </c>
      <c r="F749" s="43" t="s">
        <v>2738</v>
      </c>
      <c r="G749" s="44"/>
      <c r="H749" s="45"/>
      <c r="I749" s="38"/>
      <c r="J749" s="38">
        <f>22*1000</f>
        <v>22000</v>
      </c>
      <c r="K749" s="46">
        <v>3.2557870370370369E-2</v>
      </c>
      <c r="L749" s="47" t="s">
        <v>2732</v>
      </c>
      <c r="M749" s="48"/>
      <c r="N749" s="48"/>
      <c r="O749" s="48">
        <f t="shared" si="0"/>
        <v>0</v>
      </c>
      <c r="P749" s="38"/>
      <c r="Q749" s="14" t="str">
        <f t="shared" ca="1" si="1"/>
        <v/>
      </c>
      <c r="R749" s="51"/>
      <c r="S749" s="51"/>
      <c r="T749" s="51"/>
      <c r="U749" s="40"/>
      <c r="V749" s="54"/>
      <c r="W749" s="55"/>
      <c r="X749" s="56"/>
      <c r="Y749" s="88"/>
      <c r="Z749" s="88"/>
      <c r="AA749" s="88"/>
      <c r="AB749" s="88"/>
    </row>
    <row r="750" spans="1:28">
      <c r="A750" s="38">
        <v>749</v>
      </c>
      <c r="B750" s="39" t="s">
        <v>2729</v>
      </c>
      <c r="C750" s="40"/>
      <c r="D750" s="42" t="s">
        <v>139</v>
      </c>
      <c r="E750" s="38" t="s">
        <v>2739</v>
      </c>
      <c r="F750" s="43" t="s">
        <v>2740</v>
      </c>
      <c r="G750" s="44"/>
      <c r="H750" s="45"/>
      <c r="I750" s="38"/>
      <c r="J750" s="38">
        <f>27*1000</f>
        <v>27000</v>
      </c>
      <c r="K750" s="46">
        <v>3.3379629629629634E-2</v>
      </c>
      <c r="L750" s="47" t="s">
        <v>1525</v>
      </c>
      <c r="M750" s="48"/>
      <c r="N750" s="48"/>
      <c r="O750" s="48">
        <f t="shared" si="0"/>
        <v>0</v>
      </c>
      <c r="P750" s="38"/>
      <c r="Q750" s="14" t="str">
        <f t="shared" ca="1" si="1"/>
        <v/>
      </c>
      <c r="R750" s="51"/>
      <c r="S750" s="51"/>
      <c r="T750" s="51"/>
      <c r="U750" s="40"/>
      <c r="V750" s="54"/>
      <c r="W750" s="55"/>
      <c r="X750" s="56"/>
      <c r="Y750" s="88"/>
      <c r="Z750" s="88"/>
      <c r="AA750" s="88"/>
      <c r="AB750" s="88"/>
    </row>
    <row r="751" spans="1:28">
      <c r="A751" s="38">
        <v>750</v>
      </c>
      <c r="B751" s="39" t="s">
        <v>596</v>
      </c>
      <c r="C751" s="40"/>
      <c r="D751" s="42" t="s">
        <v>139</v>
      </c>
      <c r="E751" s="38" t="s">
        <v>1523</v>
      </c>
      <c r="F751" s="43" t="s">
        <v>1524</v>
      </c>
      <c r="G751" s="44"/>
      <c r="H751" s="45"/>
      <c r="I751" s="38"/>
      <c r="J751" s="38">
        <f>14*1000</f>
        <v>14000</v>
      </c>
      <c r="K751" s="46">
        <v>4.2465277777777775E-2</v>
      </c>
      <c r="L751" s="47" t="s">
        <v>1525</v>
      </c>
      <c r="M751" s="48"/>
      <c r="N751" s="48"/>
      <c r="O751" s="48">
        <f t="shared" si="0"/>
        <v>0</v>
      </c>
      <c r="P751" s="38"/>
      <c r="Q751" s="14" t="str">
        <f t="shared" ca="1" si="1"/>
        <v/>
      </c>
      <c r="R751" s="51"/>
      <c r="S751" s="51"/>
      <c r="T751" s="51"/>
      <c r="U751" s="40"/>
      <c r="V751" s="54"/>
      <c r="W751" s="55"/>
      <c r="X751" s="56"/>
      <c r="Y751" s="88"/>
      <c r="Z751" s="88"/>
      <c r="AA751" s="88"/>
      <c r="AB751" s="88"/>
    </row>
    <row r="752" spans="1:28">
      <c r="A752" s="38">
        <v>751</v>
      </c>
      <c r="B752" s="39" t="s">
        <v>136</v>
      </c>
      <c r="C752" s="40"/>
      <c r="D752" s="42" t="s">
        <v>139</v>
      </c>
      <c r="E752" s="38" t="s">
        <v>2261</v>
      </c>
      <c r="F752" s="43" t="s">
        <v>2262</v>
      </c>
      <c r="G752" s="44"/>
      <c r="H752" s="45"/>
      <c r="I752" s="38"/>
      <c r="J752" s="38">
        <f>6.7*1000</f>
        <v>6700</v>
      </c>
      <c r="K752" s="46">
        <v>8.1655092592592585E-2</v>
      </c>
      <c r="L752" s="47" t="s">
        <v>1525</v>
      </c>
      <c r="M752" s="48"/>
      <c r="N752" s="48"/>
      <c r="O752" s="48">
        <f t="shared" si="0"/>
        <v>0</v>
      </c>
      <c r="P752" s="38"/>
      <c r="Q752" s="14" t="str">
        <f t="shared" ca="1" si="1"/>
        <v/>
      </c>
      <c r="R752" s="51"/>
      <c r="S752" s="51"/>
      <c r="T752" s="51"/>
      <c r="U752" s="40"/>
      <c r="V752" s="54"/>
      <c r="W752" s="55"/>
      <c r="X752" s="56"/>
      <c r="Y752" s="88"/>
      <c r="Z752" s="88"/>
      <c r="AA752" s="88"/>
      <c r="AB752" s="88"/>
    </row>
    <row r="753" spans="1:28">
      <c r="A753" s="38">
        <v>752</v>
      </c>
      <c r="B753" s="39" t="s">
        <v>497</v>
      </c>
      <c r="C753" s="40"/>
      <c r="D753" s="42" t="s">
        <v>139</v>
      </c>
      <c r="E753" s="38" t="s">
        <v>2741</v>
      </c>
      <c r="F753" s="43" t="s">
        <v>2742</v>
      </c>
      <c r="G753" s="44"/>
      <c r="H753" s="45"/>
      <c r="I753" s="38"/>
      <c r="J753" s="38">
        <f>39*1000</f>
        <v>39000</v>
      </c>
      <c r="K753" s="46">
        <v>2.6944444444444441E-2</v>
      </c>
      <c r="L753" s="47" t="s">
        <v>1525</v>
      </c>
      <c r="M753" s="48"/>
      <c r="N753" s="48"/>
      <c r="O753" s="48">
        <f t="shared" si="0"/>
        <v>0</v>
      </c>
      <c r="P753" s="38"/>
      <c r="Q753" s="14" t="str">
        <f t="shared" ca="1" si="1"/>
        <v/>
      </c>
      <c r="R753" s="51"/>
      <c r="S753" s="51"/>
      <c r="T753" s="51"/>
      <c r="U753" s="40"/>
      <c r="V753" s="54"/>
      <c r="W753" s="55"/>
      <c r="X753" s="56"/>
      <c r="Y753" s="88"/>
      <c r="Z753" s="88"/>
      <c r="AA753" s="88"/>
      <c r="AB753" s="88"/>
    </row>
    <row r="754" spans="1:28">
      <c r="A754" s="38">
        <v>753</v>
      </c>
      <c r="B754" s="39" t="s">
        <v>596</v>
      </c>
      <c r="C754" s="40"/>
      <c r="D754" s="38"/>
      <c r="E754" s="38" t="s">
        <v>2119</v>
      </c>
      <c r="F754" s="43" t="s">
        <v>2120</v>
      </c>
      <c r="G754" s="44"/>
      <c r="H754" s="45"/>
      <c r="I754" s="38"/>
      <c r="J754" s="38">
        <f>10*1000</f>
        <v>10000</v>
      </c>
      <c r="K754" s="46">
        <v>4.3171296296296298E-2</v>
      </c>
      <c r="L754" s="47" t="s">
        <v>1525</v>
      </c>
      <c r="M754" s="48"/>
      <c r="N754" s="48"/>
      <c r="O754" s="48">
        <f t="shared" si="0"/>
        <v>0</v>
      </c>
      <c r="P754" s="38"/>
      <c r="Q754" s="14" t="str">
        <f t="shared" ca="1" si="1"/>
        <v/>
      </c>
      <c r="R754" s="51"/>
      <c r="S754" s="51"/>
      <c r="T754" s="51"/>
      <c r="U754" s="40"/>
      <c r="V754" s="54"/>
      <c r="W754" s="55"/>
      <c r="X754" s="56"/>
      <c r="Y754" s="88"/>
      <c r="Z754" s="88"/>
      <c r="AA754" s="88"/>
      <c r="AB754" s="88"/>
    </row>
    <row r="755" spans="1:28">
      <c r="A755" s="38">
        <v>754</v>
      </c>
      <c r="B755" s="39" t="s">
        <v>54</v>
      </c>
      <c r="C755" s="40"/>
      <c r="D755" s="42" t="s">
        <v>56</v>
      </c>
      <c r="E755" s="38" t="s">
        <v>708</v>
      </c>
      <c r="F755" s="43" t="s">
        <v>709</v>
      </c>
      <c r="G755" s="44"/>
      <c r="H755" s="45"/>
      <c r="I755" s="38"/>
      <c r="J755" s="38">
        <f>22*1000</f>
        <v>22000</v>
      </c>
      <c r="K755" s="46">
        <v>5.1331018518518519E-2</v>
      </c>
      <c r="L755" s="47" t="s">
        <v>711</v>
      </c>
      <c r="M755" s="48"/>
      <c r="N755" s="48"/>
      <c r="O755" s="48">
        <f t="shared" si="0"/>
        <v>0</v>
      </c>
      <c r="P755" s="65">
        <v>43062</v>
      </c>
      <c r="Q755" s="14" t="str">
        <f t="shared" ca="1" si="1"/>
        <v/>
      </c>
      <c r="R755" s="39" t="s">
        <v>63</v>
      </c>
      <c r="S755" s="39" t="s">
        <v>63</v>
      </c>
      <c r="T755" s="39" t="s">
        <v>63</v>
      </c>
      <c r="U755" s="40"/>
      <c r="V755" s="54"/>
      <c r="W755" s="69" t="s">
        <v>64</v>
      </c>
      <c r="X755" s="56"/>
      <c r="Y755" s="88"/>
      <c r="Z755" s="88"/>
      <c r="AA755" s="88"/>
      <c r="AB755" s="88"/>
    </row>
    <row r="756" spans="1:28">
      <c r="A756" s="38">
        <v>755</v>
      </c>
      <c r="B756" s="39" t="s">
        <v>596</v>
      </c>
      <c r="C756" s="40"/>
      <c r="D756" s="42"/>
      <c r="E756" s="38" t="s">
        <v>2130</v>
      </c>
      <c r="F756" s="43" t="s">
        <v>2131</v>
      </c>
      <c r="G756" s="44"/>
      <c r="H756" s="45"/>
      <c r="I756" s="38"/>
      <c r="J756" s="38">
        <f>12*1000</f>
        <v>12000</v>
      </c>
      <c r="K756" s="46">
        <v>6.8020833333333336E-2</v>
      </c>
      <c r="L756" s="47" t="s">
        <v>2743</v>
      </c>
      <c r="M756" s="48"/>
      <c r="N756" s="48"/>
      <c r="O756" s="48">
        <f t="shared" si="0"/>
        <v>0</v>
      </c>
      <c r="P756" s="38"/>
      <c r="Q756" s="14" t="str">
        <f t="shared" ca="1" si="1"/>
        <v/>
      </c>
      <c r="R756" s="51"/>
      <c r="S756" s="51"/>
      <c r="T756" s="51"/>
      <c r="U756" s="40"/>
      <c r="V756" s="54"/>
      <c r="W756" s="55"/>
      <c r="X756" s="56"/>
      <c r="Y756" s="88"/>
      <c r="Z756" s="88"/>
      <c r="AA756" s="88"/>
      <c r="AB756" s="88"/>
    </row>
    <row r="757" spans="1:28">
      <c r="A757" s="38">
        <v>756</v>
      </c>
      <c r="B757" s="39" t="s">
        <v>596</v>
      </c>
      <c r="C757" s="40"/>
      <c r="D757" s="38"/>
      <c r="E757" s="38" t="s">
        <v>2135</v>
      </c>
      <c r="F757" s="43" t="s">
        <v>2136</v>
      </c>
      <c r="G757" s="44"/>
      <c r="H757" s="45"/>
      <c r="I757" s="38"/>
      <c r="J757" s="38">
        <f>17*1000</f>
        <v>17000</v>
      </c>
      <c r="K757" s="46">
        <v>3.3888888888888885E-2</v>
      </c>
      <c r="L757" s="47" t="s">
        <v>2744</v>
      </c>
      <c r="M757" s="48"/>
      <c r="N757" s="48"/>
      <c r="O757" s="48">
        <f t="shared" si="0"/>
        <v>0</v>
      </c>
      <c r="P757" s="38"/>
      <c r="Q757" s="14" t="str">
        <f t="shared" ca="1" si="1"/>
        <v/>
      </c>
      <c r="R757" s="51"/>
      <c r="S757" s="51"/>
      <c r="T757" s="51"/>
      <c r="U757" s="40"/>
      <c r="V757" s="54"/>
      <c r="W757" s="55"/>
      <c r="X757" s="56"/>
      <c r="Y757" s="88"/>
      <c r="Z757" s="88"/>
      <c r="AA757" s="88"/>
      <c r="AB757" s="88"/>
    </row>
    <row r="758" spans="1:28">
      <c r="A758" s="38">
        <v>757</v>
      </c>
      <c r="B758" s="39" t="s">
        <v>54</v>
      </c>
      <c r="C758" s="41"/>
      <c r="D758" s="42" t="s">
        <v>56</v>
      </c>
      <c r="E758" s="38" t="s">
        <v>57</v>
      </c>
      <c r="F758" s="43" t="s">
        <v>59</v>
      </c>
      <c r="G758" s="44"/>
      <c r="H758" s="45"/>
      <c r="I758" s="38"/>
      <c r="J758" s="38">
        <f>9.5*1000</f>
        <v>9500</v>
      </c>
      <c r="K758" s="46">
        <v>5.0972222222222224E-2</v>
      </c>
      <c r="L758" s="144" t="s">
        <v>62</v>
      </c>
      <c r="M758" s="93"/>
      <c r="N758" s="48"/>
      <c r="O758" s="48">
        <f t="shared" si="0"/>
        <v>0</v>
      </c>
      <c r="P758" s="198">
        <v>43007</v>
      </c>
      <c r="Q758" s="14" t="str">
        <f t="shared" ca="1" si="1"/>
        <v/>
      </c>
      <c r="R758" s="51"/>
      <c r="S758" s="51"/>
      <c r="T758" s="51"/>
      <c r="U758" s="40"/>
      <c r="V758" s="54"/>
      <c r="W758" s="55"/>
      <c r="X758" s="56"/>
      <c r="Y758" s="88"/>
      <c r="Z758" s="88"/>
      <c r="AA758" s="88"/>
      <c r="AB758" s="88"/>
    </row>
    <row r="759" spans="1:28">
      <c r="A759" s="38"/>
      <c r="B759" s="51"/>
      <c r="C759" s="40"/>
      <c r="D759" s="38"/>
      <c r="E759" s="38"/>
      <c r="F759" s="44"/>
      <c r="G759" s="38"/>
      <c r="H759" s="14"/>
      <c r="I759" s="38"/>
      <c r="J759" s="38"/>
      <c r="K759" s="46"/>
      <c r="L759" s="47"/>
      <c r="M759" s="289"/>
      <c r="N759" s="289"/>
      <c r="O759" s="88"/>
      <c r="P759" s="88"/>
      <c r="Q759" s="88"/>
      <c r="R759" s="290"/>
      <c r="S759" s="290"/>
      <c r="T759" s="291"/>
      <c r="U759" s="292"/>
      <c r="V759" s="293"/>
      <c r="W759" s="294"/>
      <c r="X759" s="295"/>
      <c r="Y759" s="88"/>
      <c r="Z759" s="88"/>
      <c r="AA759" s="88"/>
      <c r="AB759" s="88"/>
    </row>
    <row r="760" spans="1:28">
      <c r="A760" s="38"/>
      <c r="B760" s="51"/>
      <c r="C760" s="40"/>
      <c r="D760" s="38"/>
      <c r="E760" s="38"/>
      <c r="F760" s="44"/>
      <c r="G760" s="38"/>
      <c r="H760" s="14"/>
      <c r="I760" s="38"/>
      <c r="J760" s="38"/>
      <c r="K760" s="46"/>
      <c r="L760" s="47"/>
      <c r="M760" s="289"/>
      <c r="N760" s="289"/>
      <c r="O760" s="88"/>
      <c r="P760" s="88"/>
      <c r="Q760" s="88"/>
      <c r="R760" s="290"/>
      <c r="S760" s="290"/>
      <c r="T760" s="291"/>
      <c r="U760" s="292"/>
      <c r="V760" s="293"/>
      <c r="W760" s="294"/>
      <c r="X760" s="295"/>
      <c r="Y760" s="88"/>
      <c r="Z760" s="88"/>
      <c r="AA760" s="88"/>
      <c r="AB760" s="88"/>
    </row>
    <row r="761" spans="1:28">
      <c r="A761" s="38"/>
      <c r="B761" s="51"/>
      <c r="C761" s="40"/>
      <c r="D761" s="38"/>
      <c r="E761" s="38"/>
      <c r="F761" s="44"/>
      <c r="G761" s="38"/>
      <c r="H761" s="14"/>
      <c r="I761" s="38"/>
      <c r="J761" s="38"/>
      <c r="K761" s="46"/>
      <c r="L761" s="47"/>
      <c r="M761" s="289"/>
      <c r="N761" s="289"/>
      <c r="O761" s="88"/>
      <c r="P761" s="88"/>
      <c r="Q761" s="88"/>
      <c r="R761" s="290"/>
      <c r="S761" s="290"/>
      <c r="T761" s="291"/>
      <c r="U761" s="292"/>
      <c r="V761" s="293"/>
      <c r="W761" s="294"/>
      <c r="X761" s="295"/>
      <c r="Y761" s="88"/>
      <c r="Z761" s="88"/>
      <c r="AA761" s="88"/>
      <c r="AB761" s="88"/>
    </row>
    <row r="762" spans="1:28">
      <c r="A762" s="38"/>
      <c r="B762" s="51"/>
      <c r="C762" s="40"/>
      <c r="D762" s="38"/>
      <c r="E762" s="38"/>
      <c r="F762" s="44"/>
      <c r="G762" s="38"/>
      <c r="H762" s="14"/>
      <c r="I762" s="38"/>
      <c r="J762" s="38"/>
      <c r="K762" s="46"/>
      <c r="L762" s="47"/>
      <c r="M762" s="289"/>
      <c r="N762" s="289"/>
      <c r="O762" s="88"/>
      <c r="P762" s="88"/>
      <c r="Q762" s="88"/>
      <c r="R762" s="290"/>
      <c r="S762" s="290"/>
      <c r="T762" s="291"/>
      <c r="U762" s="292"/>
      <c r="V762" s="293"/>
      <c r="W762" s="294"/>
      <c r="X762" s="295"/>
      <c r="Y762" s="88"/>
      <c r="Z762" s="88"/>
      <c r="AA762" s="88"/>
      <c r="AB762" s="88"/>
    </row>
    <row r="763" spans="1:28">
      <c r="A763" s="38"/>
      <c r="B763" s="51"/>
      <c r="C763" s="40"/>
      <c r="D763" s="38"/>
      <c r="E763" s="38"/>
      <c r="F763" s="44"/>
      <c r="G763" s="38"/>
      <c r="H763" s="14"/>
      <c r="I763" s="38"/>
      <c r="J763" s="38"/>
      <c r="K763" s="46"/>
      <c r="L763" s="47"/>
      <c r="M763" s="289"/>
      <c r="N763" s="289"/>
      <c r="O763" s="88"/>
      <c r="P763" s="88"/>
      <c r="Q763" s="88"/>
      <c r="R763" s="290"/>
      <c r="S763" s="290"/>
      <c r="T763" s="291"/>
      <c r="U763" s="292"/>
      <c r="V763" s="293"/>
      <c r="W763" s="294"/>
      <c r="X763" s="295"/>
      <c r="Y763" s="88"/>
      <c r="Z763" s="88"/>
      <c r="AA763" s="88"/>
      <c r="AB763" s="88"/>
    </row>
    <row r="764" spans="1:28">
      <c r="A764" s="38"/>
      <c r="B764" s="51"/>
      <c r="C764" s="40"/>
      <c r="D764" s="38"/>
      <c r="E764" s="38"/>
      <c r="F764" s="44"/>
      <c r="G764" s="38"/>
      <c r="H764" s="14"/>
      <c r="I764" s="38"/>
      <c r="J764" s="38"/>
      <c r="K764" s="46"/>
      <c r="L764" s="47"/>
      <c r="M764" s="289"/>
      <c r="N764" s="289"/>
      <c r="O764" s="88"/>
      <c r="P764" s="88"/>
      <c r="Q764" s="88"/>
      <c r="R764" s="290"/>
      <c r="S764" s="290"/>
      <c r="T764" s="291"/>
      <c r="U764" s="292"/>
      <c r="V764" s="293"/>
      <c r="W764" s="294"/>
      <c r="X764" s="295"/>
      <c r="Y764" s="88"/>
      <c r="Z764" s="88"/>
      <c r="AA764" s="88"/>
      <c r="AB764" s="88"/>
    </row>
    <row r="765" spans="1:28">
      <c r="A765" s="38"/>
      <c r="B765" s="51"/>
      <c r="C765" s="40"/>
      <c r="D765" s="38"/>
      <c r="E765" s="38"/>
      <c r="F765" s="44"/>
      <c r="G765" s="38"/>
      <c r="H765" s="14"/>
      <c r="I765" s="38"/>
      <c r="J765" s="38"/>
      <c r="K765" s="46"/>
      <c r="L765" s="47"/>
      <c r="M765" s="289"/>
      <c r="N765" s="289"/>
      <c r="O765" s="88"/>
      <c r="P765" s="88"/>
      <c r="Q765" s="88"/>
      <c r="R765" s="290"/>
      <c r="S765" s="290"/>
      <c r="T765" s="291"/>
      <c r="U765" s="292"/>
      <c r="V765" s="293"/>
      <c r="W765" s="294"/>
      <c r="X765" s="295"/>
      <c r="Y765" s="88"/>
      <c r="Z765" s="88"/>
      <c r="AA765" s="88"/>
      <c r="AB765" s="88"/>
    </row>
    <row r="766" spans="1:28">
      <c r="A766" s="38"/>
      <c r="B766" s="51"/>
      <c r="C766" s="40"/>
      <c r="D766" s="38"/>
      <c r="E766" s="38"/>
      <c r="F766" s="44"/>
      <c r="G766" s="38"/>
      <c r="H766" s="14"/>
      <c r="I766" s="38"/>
      <c r="J766" s="38"/>
      <c r="K766" s="46"/>
      <c r="L766" s="47"/>
      <c r="M766" s="289"/>
      <c r="N766" s="289"/>
      <c r="O766" s="88"/>
      <c r="P766" s="88"/>
      <c r="Q766" s="88"/>
      <c r="R766" s="290"/>
      <c r="S766" s="290"/>
      <c r="T766" s="291"/>
      <c r="U766" s="292"/>
      <c r="V766" s="293"/>
      <c r="W766" s="294"/>
      <c r="X766" s="295"/>
      <c r="Y766" s="88"/>
      <c r="Z766" s="88"/>
      <c r="AA766" s="88"/>
      <c r="AB766" s="88"/>
    </row>
    <row r="767" spans="1:28">
      <c r="A767" s="38"/>
      <c r="B767" s="51"/>
      <c r="C767" s="40"/>
      <c r="D767" s="38"/>
      <c r="E767" s="38"/>
      <c r="F767" s="44"/>
      <c r="G767" s="38"/>
      <c r="H767" s="14"/>
      <c r="I767" s="38"/>
      <c r="J767" s="38"/>
      <c r="K767" s="46"/>
      <c r="L767" s="47"/>
      <c r="M767" s="289"/>
      <c r="N767" s="289"/>
      <c r="O767" s="88"/>
      <c r="P767" s="88"/>
      <c r="Q767" s="88"/>
      <c r="R767" s="290"/>
      <c r="S767" s="290"/>
      <c r="T767" s="291"/>
      <c r="U767" s="292"/>
      <c r="V767" s="293"/>
      <c r="W767" s="294"/>
      <c r="X767" s="295"/>
      <c r="Y767" s="88"/>
      <c r="Z767" s="88"/>
      <c r="AA767" s="88"/>
      <c r="AB767" s="88"/>
    </row>
    <row r="768" spans="1:28">
      <c r="A768" s="38"/>
      <c r="B768" s="51"/>
      <c r="C768" s="40"/>
      <c r="D768" s="38"/>
      <c r="E768" s="38"/>
      <c r="F768" s="44"/>
      <c r="G768" s="38"/>
      <c r="H768" s="14"/>
      <c r="I768" s="38"/>
      <c r="J768" s="38"/>
      <c r="K768" s="46"/>
      <c r="L768" s="47"/>
      <c r="M768" s="289"/>
      <c r="N768" s="289"/>
      <c r="O768" s="88"/>
      <c r="P768" s="88"/>
      <c r="Q768" s="88"/>
      <c r="R768" s="290"/>
      <c r="S768" s="290"/>
      <c r="T768" s="291"/>
      <c r="U768" s="292"/>
      <c r="V768" s="293"/>
      <c r="W768" s="294"/>
      <c r="X768" s="295"/>
      <c r="Y768" s="88"/>
      <c r="Z768" s="88"/>
      <c r="AA768" s="88"/>
      <c r="AB768" s="88"/>
    </row>
    <row r="769" spans="1:28">
      <c r="A769" s="38"/>
      <c r="B769" s="51"/>
      <c r="C769" s="40"/>
      <c r="D769" s="38"/>
      <c r="E769" s="38"/>
      <c r="F769" s="44"/>
      <c r="G769" s="38"/>
      <c r="H769" s="14"/>
      <c r="I769" s="38"/>
      <c r="J769" s="38"/>
      <c r="K769" s="46"/>
      <c r="L769" s="47"/>
      <c r="M769" s="289"/>
      <c r="N769" s="289"/>
      <c r="O769" s="88"/>
      <c r="P769" s="88"/>
      <c r="Q769" s="88"/>
      <c r="R769" s="290"/>
      <c r="S769" s="290"/>
      <c r="T769" s="291"/>
      <c r="U769" s="292"/>
      <c r="V769" s="293"/>
      <c r="W769" s="294"/>
      <c r="X769" s="295"/>
      <c r="Y769" s="88"/>
      <c r="Z769" s="88"/>
      <c r="AA769" s="88"/>
      <c r="AB769" s="88"/>
    </row>
    <row r="770" spans="1:28">
      <c r="A770" s="38"/>
      <c r="B770" s="51"/>
      <c r="C770" s="40"/>
      <c r="D770" s="38"/>
      <c r="E770" s="38"/>
      <c r="F770" s="44"/>
      <c r="G770" s="38"/>
      <c r="H770" s="14"/>
      <c r="I770" s="38"/>
      <c r="J770" s="38"/>
      <c r="K770" s="46"/>
      <c r="L770" s="47"/>
      <c r="M770" s="289"/>
      <c r="N770" s="289"/>
      <c r="O770" s="88"/>
      <c r="P770" s="88"/>
      <c r="Q770" s="88"/>
      <c r="R770" s="290"/>
      <c r="S770" s="290"/>
      <c r="T770" s="291"/>
      <c r="U770" s="292"/>
      <c r="V770" s="293"/>
      <c r="W770" s="294"/>
      <c r="X770" s="295"/>
      <c r="Y770" s="88"/>
      <c r="Z770" s="88"/>
      <c r="AA770" s="88"/>
      <c r="AB770" s="88"/>
    </row>
    <row r="771" spans="1:28">
      <c r="A771" s="38"/>
      <c r="B771" s="51"/>
      <c r="C771" s="40"/>
      <c r="D771" s="38"/>
      <c r="E771" s="38"/>
      <c r="F771" s="44"/>
      <c r="G771" s="38"/>
      <c r="H771" s="14"/>
      <c r="I771" s="38"/>
      <c r="J771" s="38"/>
      <c r="K771" s="46"/>
      <c r="L771" s="47"/>
      <c r="M771" s="289"/>
      <c r="N771" s="289"/>
      <c r="O771" s="88"/>
      <c r="P771" s="88"/>
      <c r="Q771" s="88"/>
      <c r="R771" s="290"/>
      <c r="S771" s="290"/>
      <c r="T771" s="291"/>
      <c r="U771" s="292"/>
      <c r="V771" s="293"/>
      <c r="W771" s="294"/>
      <c r="X771" s="295"/>
      <c r="Y771" s="88"/>
      <c r="Z771" s="88"/>
      <c r="AA771" s="88"/>
      <c r="AB771" s="88"/>
    </row>
    <row r="772" spans="1:28">
      <c r="A772" s="38"/>
      <c r="B772" s="51"/>
      <c r="C772" s="40"/>
      <c r="D772" s="38"/>
      <c r="E772" s="38"/>
      <c r="F772" s="44"/>
      <c r="G772" s="38"/>
      <c r="H772" s="14"/>
      <c r="I772" s="38"/>
      <c r="J772" s="38"/>
      <c r="K772" s="46"/>
      <c r="L772" s="47"/>
      <c r="M772" s="289"/>
      <c r="N772" s="289"/>
      <c r="O772" s="88"/>
      <c r="P772" s="88"/>
      <c r="Q772" s="88"/>
      <c r="R772" s="290"/>
      <c r="S772" s="290"/>
      <c r="T772" s="291"/>
      <c r="U772" s="292"/>
      <c r="V772" s="293"/>
      <c r="W772" s="294"/>
      <c r="X772" s="295"/>
      <c r="Y772" s="88"/>
      <c r="Z772" s="88"/>
      <c r="AA772" s="88"/>
      <c r="AB772" s="88"/>
    </row>
    <row r="773" spans="1:28">
      <c r="A773" s="38"/>
      <c r="B773" s="51"/>
      <c r="C773" s="40"/>
      <c r="D773" s="38"/>
      <c r="E773" s="38"/>
      <c r="F773" s="44"/>
      <c r="G773" s="38"/>
      <c r="H773" s="14"/>
      <c r="I773" s="38"/>
      <c r="J773" s="38"/>
      <c r="K773" s="46"/>
      <c r="L773" s="47"/>
      <c r="M773" s="289"/>
      <c r="N773" s="289"/>
      <c r="O773" s="88"/>
      <c r="P773" s="88"/>
      <c r="Q773" s="88"/>
      <c r="R773" s="290"/>
      <c r="S773" s="290"/>
      <c r="T773" s="291"/>
      <c r="U773" s="292"/>
      <c r="V773" s="293"/>
      <c r="W773" s="294"/>
      <c r="X773" s="295"/>
      <c r="Y773" s="88"/>
      <c r="Z773" s="88"/>
      <c r="AA773" s="88"/>
      <c r="AB773" s="88"/>
    </row>
    <row r="774" spans="1:28">
      <c r="A774" s="38"/>
      <c r="B774" s="51"/>
      <c r="C774" s="40"/>
      <c r="D774" s="38"/>
      <c r="E774" s="38"/>
      <c r="F774" s="44"/>
      <c r="G774" s="38"/>
      <c r="H774" s="14"/>
      <c r="I774" s="38"/>
      <c r="J774" s="38"/>
      <c r="K774" s="46"/>
      <c r="L774" s="47"/>
      <c r="M774" s="289"/>
      <c r="N774" s="289"/>
      <c r="O774" s="88"/>
      <c r="P774" s="88"/>
      <c r="Q774" s="88"/>
      <c r="R774" s="290"/>
      <c r="S774" s="290"/>
      <c r="T774" s="291"/>
      <c r="U774" s="292"/>
      <c r="V774" s="293"/>
      <c r="W774" s="294"/>
      <c r="X774" s="295"/>
      <c r="Y774" s="88"/>
      <c r="Z774" s="88"/>
      <c r="AA774" s="88"/>
      <c r="AB774" s="88"/>
    </row>
    <row r="775" spans="1:28">
      <c r="A775" s="38"/>
      <c r="B775" s="51"/>
      <c r="C775" s="40"/>
      <c r="D775" s="38"/>
      <c r="E775" s="38"/>
      <c r="F775" s="44"/>
      <c r="G775" s="38"/>
      <c r="H775" s="14"/>
      <c r="I775" s="38"/>
      <c r="J775" s="38"/>
      <c r="K775" s="46"/>
      <c r="L775" s="47"/>
      <c r="M775" s="289"/>
      <c r="N775" s="289"/>
      <c r="O775" s="88"/>
      <c r="P775" s="88"/>
      <c r="Q775" s="88"/>
      <c r="R775" s="290"/>
      <c r="S775" s="290"/>
      <c r="T775" s="291"/>
      <c r="U775" s="292"/>
      <c r="V775" s="293"/>
      <c r="W775" s="294"/>
      <c r="X775" s="295"/>
      <c r="Y775" s="88"/>
      <c r="Z775" s="88"/>
      <c r="AA775" s="88"/>
      <c r="AB775" s="88"/>
    </row>
    <row r="776" spans="1:28">
      <c r="A776" s="38"/>
      <c r="B776" s="51"/>
      <c r="C776" s="40"/>
      <c r="D776" s="38"/>
      <c r="E776" s="38"/>
      <c r="F776" s="44"/>
      <c r="G776" s="38"/>
      <c r="H776" s="14"/>
      <c r="I776" s="38"/>
      <c r="J776" s="38"/>
      <c r="K776" s="46"/>
      <c r="L776" s="47"/>
      <c r="M776" s="289"/>
      <c r="N776" s="289"/>
      <c r="O776" s="88"/>
      <c r="P776" s="88"/>
      <c r="Q776" s="88"/>
      <c r="R776" s="290"/>
      <c r="S776" s="290"/>
      <c r="T776" s="291"/>
      <c r="U776" s="292"/>
      <c r="V776" s="293"/>
      <c r="W776" s="294"/>
      <c r="X776" s="295"/>
      <c r="Y776" s="88"/>
      <c r="Z776" s="88"/>
      <c r="AA776" s="88"/>
      <c r="AB776" s="88"/>
    </row>
    <row r="777" spans="1:28">
      <c r="A777" s="38"/>
      <c r="B777" s="51"/>
      <c r="C777" s="40"/>
      <c r="D777" s="38"/>
      <c r="E777" s="38"/>
      <c r="F777" s="38"/>
      <c r="G777" s="38"/>
      <c r="H777" s="14"/>
      <c r="I777" s="38"/>
      <c r="J777" s="38"/>
      <c r="K777" s="46"/>
      <c r="L777" s="47"/>
      <c r="M777" s="289"/>
      <c r="N777" s="289"/>
      <c r="O777" s="88"/>
      <c r="P777" s="88"/>
      <c r="Q777" s="88"/>
      <c r="R777" s="290"/>
      <c r="S777" s="290"/>
      <c r="T777" s="291"/>
      <c r="U777" s="292"/>
      <c r="V777" s="293"/>
      <c r="W777" s="294"/>
      <c r="X777" s="295"/>
      <c r="Y777" s="88"/>
      <c r="Z777" s="88"/>
      <c r="AA777" s="88"/>
      <c r="AB777" s="88"/>
    </row>
    <row r="778" spans="1:28">
      <c r="A778" s="6"/>
      <c r="B778" s="291"/>
      <c r="C778" s="292"/>
      <c r="D778" s="6"/>
      <c r="E778" s="6"/>
      <c r="F778" s="6"/>
      <c r="G778" s="6"/>
      <c r="H778" s="6"/>
      <c r="I778" s="6"/>
      <c r="J778" s="6"/>
      <c r="K778" s="197"/>
      <c r="L778" s="6"/>
      <c r="M778" s="296"/>
      <c r="N778" s="296"/>
      <c r="O778" s="6"/>
      <c r="P778" s="6"/>
      <c r="Q778" s="6"/>
      <c r="R778" s="291"/>
      <c r="S778" s="291"/>
      <c r="T778" s="291"/>
      <c r="U778" s="292"/>
      <c r="V778" s="297"/>
      <c r="W778" s="294"/>
      <c r="X778" s="295"/>
      <c r="Y778" s="6"/>
      <c r="Z778" s="6"/>
      <c r="AA778" s="6"/>
      <c r="AB778" s="6"/>
    </row>
    <row r="779" spans="1:28">
      <c r="A779" s="6"/>
      <c r="B779" s="291"/>
      <c r="C779" s="292"/>
      <c r="D779" s="6"/>
      <c r="E779" s="6"/>
      <c r="F779" s="6"/>
      <c r="G779" s="6"/>
      <c r="H779" s="6"/>
      <c r="I779" s="6"/>
      <c r="J779" s="6"/>
      <c r="K779" s="197"/>
      <c r="L779" s="6"/>
      <c r="M779" s="296"/>
      <c r="N779" s="296"/>
      <c r="O779" s="6"/>
      <c r="P779" s="6"/>
      <c r="Q779" s="6"/>
      <c r="R779" s="291"/>
      <c r="S779" s="291"/>
      <c r="T779" s="291"/>
      <c r="U779" s="292"/>
      <c r="V779" s="297"/>
      <c r="W779" s="294"/>
      <c r="X779" s="295"/>
      <c r="Y779" s="6"/>
      <c r="Z779" s="6"/>
      <c r="AA779" s="6"/>
      <c r="AB779" s="6"/>
    </row>
    <row r="780" spans="1:28">
      <c r="A780" s="6"/>
      <c r="B780" s="291"/>
      <c r="C780" s="292"/>
      <c r="D780" s="6"/>
      <c r="E780" s="6"/>
      <c r="F780" s="6"/>
      <c r="G780" s="6"/>
      <c r="H780" s="6"/>
      <c r="I780" s="6"/>
      <c r="J780" s="6"/>
      <c r="K780" s="197"/>
      <c r="L780" s="6"/>
      <c r="M780" s="296"/>
      <c r="N780" s="296"/>
      <c r="O780" s="6"/>
      <c r="P780" s="6"/>
      <c r="Q780" s="6"/>
      <c r="R780" s="291"/>
      <c r="S780" s="291"/>
      <c r="T780" s="291"/>
      <c r="U780" s="292"/>
      <c r="V780" s="297"/>
      <c r="W780" s="294"/>
      <c r="X780" s="295"/>
      <c r="Y780" s="6"/>
      <c r="Z780" s="6"/>
      <c r="AA780" s="6"/>
      <c r="AB780" s="6"/>
    </row>
    <row r="781" spans="1:28">
      <c r="A781" s="6"/>
      <c r="B781" s="291"/>
      <c r="C781" s="292"/>
      <c r="D781" s="6"/>
      <c r="E781" s="6"/>
      <c r="F781" s="6"/>
      <c r="G781" s="6"/>
      <c r="H781" s="6"/>
      <c r="I781" s="6"/>
      <c r="J781" s="6"/>
      <c r="K781" s="197"/>
      <c r="L781" s="6"/>
      <c r="M781" s="296"/>
      <c r="N781" s="296"/>
      <c r="O781" s="6"/>
      <c r="P781" s="6"/>
      <c r="Q781" s="6"/>
      <c r="R781" s="291"/>
      <c r="S781" s="291"/>
      <c r="T781" s="291"/>
      <c r="U781" s="292"/>
      <c r="V781" s="297"/>
      <c r="W781" s="294"/>
      <c r="X781" s="295"/>
      <c r="Y781" s="6"/>
      <c r="Z781" s="6"/>
      <c r="AA781" s="6"/>
      <c r="AB781" s="6"/>
    </row>
    <row r="782" spans="1:28">
      <c r="A782" s="6"/>
      <c r="B782" s="291"/>
      <c r="C782" s="292"/>
      <c r="D782" s="6"/>
      <c r="E782" s="6"/>
      <c r="F782" s="6"/>
      <c r="G782" s="6"/>
      <c r="H782" s="6"/>
      <c r="I782" s="6"/>
      <c r="J782" s="6"/>
      <c r="K782" s="197"/>
      <c r="L782" s="6"/>
      <c r="M782" s="296"/>
      <c r="N782" s="296"/>
      <c r="O782" s="6"/>
      <c r="P782" s="6"/>
      <c r="Q782" s="6"/>
      <c r="R782" s="291"/>
      <c r="S782" s="291"/>
      <c r="T782" s="291"/>
      <c r="U782" s="292"/>
      <c r="V782" s="297"/>
      <c r="W782" s="294"/>
      <c r="X782" s="295"/>
      <c r="Y782" s="6"/>
      <c r="Z782" s="6"/>
      <c r="AA782" s="6"/>
      <c r="AB782" s="6"/>
    </row>
    <row r="783" spans="1:28">
      <c r="A783" s="6"/>
      <c r="B783" s="291"/>
      <c r="C783" s="292"/>
      <c r="D783" s="6"/>
      <c r="E783" s="6"/>
      <c r="F783" s="6"/>
      <c r="G783" s="6"/>
      <c r="H783" s="6"/>
      <c r="I783" s="6"/>
      <c r="J783" s="6"/>
      <c r="K783" s="197"/>
      <c r="L783" s="6"/>
      <c r="M783" s="296"/>
      <c r="N783" s="296"/>
      <c r="O783" s="6"/>
      <c r="P783" s="6"/>
      <c r="Q783" s="6"/>
      <c r="R783" s="291"/>
      <c r="S783" s="291"/>
      <c r="T783" s="291"/>
      <c r="U783" s="292"/>
      <c r="V783" s="297"/>
      <c r="W783" s="294"/>
      <c r="X783" s="295"/>
      <c r="Y783" s="6"/>
      <c r="Z783" s="6"/>
      <c r="AA783" s="6"/>
      <c r="AB783" s="6"/>
    </row>
    <row r="784" spans="1:28">
      <c r="A784" s="6"/>
      <c r="B784" s="291"/>
      <c r="C784" s="292"/>
      <c r="D784" s="6"/>
      <c r="E784" s="6"/>
      <c r="F784" s="6"/>
      <c r="G784" s="6"/>
      <c r="H784" s="6"/>
      <c r="I784" s="6"/>
      <c r="J784" s="6"/>
      <c r="K784" s="197"/>
      <c r="L784" s="6"/>
      <c r="M784" s="296"/>
      <c r="N784" s="296"/>
      <c r="O784" s="6"/>
      <c r="P784" s="6"/>
      <c r="Q784" s="6"/>
      <c r="R784" s="291"/>
      <c r="S784" s="291"/>
      <c r="T784" s="291"/>
      <c r="U784" s="292"/>
      <c r="V784" s="297"/>
      <c r="W784" s="294"/>
      <c r="X784" s="295"/>
      <c r="Y784" s="6"/>
      <c r="Z784" s="6"/>
      <c r="AA784" s="6"/>
      <c r="AB784" s="6"/>
    </row>
    <row r="785" spans="1:28">
      <c r="A785" s="6"/>
      <c r="B785" s="291"/>
      <c r="C785" s="292"/>
      <c r="D785" s="6"/>
      <c r="E785" s="6"/>
      <c r="F785" s="6"/>
      <c r="G785" s="6"/>
      <c r="H785" s="6"/>
      <c r="I785" s="6"/>
      <c r="J785" s="6"/>
      <c r="K785" s="197"/>
      <c r="L785" s="6"/>
      <c r="M785" s="296"/>
      <c r="N785" s="296"/>
      <c r="O785" s="6"/>
      <c r="P785" s="6"/>
      <c r="Q785" s="6"/>
      <c r="R785" s="291"/>
      <c r="S785" s="291"/>
      <c r="T785" s="291"/>
      <c r="U785" s="292"/>
      <c r="V785" s="297"/>
      <c r="W785" s="294"/>
      <c r="X785" s="295"/>
      <c r="Y785" s="6"/>
      <c r="Z785" s="6"/>
      <c r="AA785" s="6"/>
      <c r="AB785" s="6"/>
    </row>
    <row r="786" spans="1:28">
      <c r="A786" s="6"/>
      <c r="B786" s="291"/>
      <c r="C786" s="292"/>
      <c r="D786" s="6"/>
      <c r="E786" s="6"/>
      <c r="F786" s="6"/>
      <c r="G786" s="6"/>
      <c r="H786" s="6"/>
      <c r="I786" s="6"/>
      <c r="J786" s="6"/>
      <c r="K786" s="197"/>
      <c r="L786" s="6"/>
      <c r="M786" s="296"/>
      <c r="N786" s="296"/>
      <c r="O786" s="6"/>
      <c r="P786" s="6"/>
      <c r="Q786" s="6"/>
      <c r="R786" s="291"/>
      <c r="S786" s="291"/>
      <c r="T786" s="291"/>
      <c r="U786" s="292"/>
      <c r="V786" s="297"/>
      <c r="W786" s="294"/>
      <c r="X786" s="295"/>
      <c r="Y786" s="6"/>
      <c r="Z786" s="6"/>
      <c r="AA786" s="6"/>
      <c r="AB786" s="6"/>
    </row>
    <row r="787" spans="1:28">
      <c r="A787" s="6"/>
      <c r="B787" s="291"/>
      <c r="C787" s="292"/>
      <c r="D787" s="6"/>
      <c r="E787" s="6"/>
      <c r="F787" s="6"/>
      <c r="G787" s="6"/>
      <c r="H787" s="6"/>
      <c r="I787" s="6"/>
      <c r="J787" s="6"/>
      <c r="K787" s="197"/>
      <c r="L787" s="6"/>
      <c r="M787" s="296"/>
      <c r="N787" s="296"/>
      <c r="O787" s="6"/>
      <c r="P787" s="6"/>
      <c r="Q787" s="6"/>
      <c r="R787" s="291"/>
      <c r="S787" s="291"/>
      <c r="T787" s="291"/>
      <c r="U787" s="292"/>
      <c r="V787" s="297"/>
      <c r="W787" s="294"/>
      <c r="X787" s="295"/>
      <c r="Y787" s="6"/>
      <c r="Z787" s="6"/>
      <c r="AA787" s="6"/>
      <c r="AB787" s="6"/>
    </row>
    <row r="788" spans="1:28">
      <c r="A788" s="6"/>
      <c r="B788" s="291"/>
      <c r="C788" s="292"/>
      <c r="D788" s="6"/>
      <c r="E788" s="6"/>
      <c r="F788" s="6"/>
      <c r="G788" s="6"/>
      <c r="H788" s="6"/>
      <c r="I788" s="6"/>
      <c r="J788" s="6"/>
      <c r="K788" s="197"/>
      <c r="L788" s="6"/>
      <c r="M788" s="296"/>
      <c r="N788" s="296"/>
      <c r="O788" s="6"/>
      <c r="P788" s="6"/>
      <c r="Q788" s="6"/>
      <c r="R788" s="291"/>
      <c r="S788" s="291"/>
      <c r="T788" s="291"/>
      <c r="U788" s="292"/>
      <c r="V788" s="297"/>
      <c r="W788" s="294"/>
      <c r="X788" s="295"/>
      <c r="Y788" s="6"/>
      <c r="Z788" s="6"/>
      <c r="AA788" s="6"/>
      <c r="AB788" s="6"/>
    </row>
    <row r="789" spans="1:28">
      <c r="A789" s="6"/>
      <c r="B789" s="291"/>
      <c r="C789" s="292"/>
      <c r="D789" s="6"/>
      <c r="E789" s="6"/>
      <c r="F789" s="6"/>
      <c r="G789" s="6"/>
      <c r="H789" s="6"/>
      <c r="I789" s="6"/>
      <c r="J789" s="6"/>
      <c r="K789" s="197"/>
      <c r="L789" s="6"/>
      <c r="M789" s="296"/>
      <c r="N789" s="296"/>
      <c r="O789" s="6"/>
      <c r="P789" s="6"/>
      <c r="Q789" s="6"/>
      <c r="R789" s="291"/>
      <c r="S789" s="291"/>
      <c r="T789" s="291"/>
      <c r="U789" s="292"/>
      <c r="V789" s="297"/>
      <c r="W789" s="294"/>
      <c r="X789" s="295"/>
      <c r="Y789" s="6"/>
      <c r="Z789" s="6"/>
      <c r="AA789" s="6"/>
      <c r="AB789" s="6"/>
    </row>
    <row r="790" spans="1:28">
      <c r="A790" s="6"/>
      <c r="B790" s="291"/>
      <c r="C790" s="292"/>
      <c r="D790" s="6"/>
      <c r="E790" s="6"/>
      <c r="F790" s="6"/>
      <c r="G790" s="6"/>
      <c r="H790" s="6"/>
      <c r="I790" s="6"/>
      <c r="J790" s="6"/>
      <c r="K790" s="197"/>
      <c r="L790" s="6"/>
      <c r="M790" s="296"/>
      <c r="N790" s="296"/>
      <c r="O790" s="6"/>
      <c r="P790" s="6"/>
      <c r="Q790" s="6"/>
      <c r="R790" s="291"/>
      <c r="S790" s="291"/>
      <c r="T790" s="291"/>
      <c r="U790" s="292"/>
      <c r="V790" s="297"/>
      <c r="W790" s="294"/>
      <c r="X790" s="295"/>
      <c r="Y790" s="6"/>
      <c r="Z790" s="6"/>
      <c r="AA790" s="6"/>
      <c r="AB790" s="6"/>
    </row>
    <row r="791" spans="1:28">
      <c r="A791" s="6"/>
      <c r="B791" s="291"/>
      <c r="C791" s="292"/>
      <c r="D791" s="6"/>
      <c r="E791" s="6"/>
      <c r="F791" s="6"/>
      <c r="G791" s="6"/>
      <c r="H791" s="6"/>
      <c r="I791" s="6"/>
      <c r="J791" s="6"/>
      <c r="K791" s="197"/>
      <c r="L791" s="6"/>
      <c r="M791" s="296"/>
      <c r="N791" s="296"/>
      <c r="O791" s="6"/>
      <c r="P791" s="6"/>
      <c r="Q791" s="6"/>
      <c r="R791" s="291"/>
      <c r="S791" s="291"/>
      <c r="T791" s="291"/>
      <c r="U791" s="292"/>
      <c r="V791" s="297"/>
      <c r="W791" s="294"/>
      <c r="X791" s="295"/>
      <c r="Y791" s="6"/>
      <c r="Z791" s="6"/>
      <c r="AA791" s="6"/>
      <c r="AB791" s="6"/>
    </row>
    <row r="792" spans="1:28">
      <c r="A792" s="6"/>
      <c r="B792" s="291"/>
      <c r="C792" s="292"/>
      <c r="D792" s="6"/>
      <c r="E792" s="6"/>
      <c r="F792" s="6"/>
      <c r="G792" s="6"/>
      <c r="H792" s="6"/>
      <c r="I792" s="6"/>
      <c r="J792" s="6"/>
      <c r="K792" s="197"/>
      <c r="L792" s="6"/>
      <c r="M792" s="296"/>
      <c r="N792" s="296"/>
      <c r="O792" s="6"/>
      <c r="P792" s="6"/>
      <c r="Q792" s="6"/>
      <c r="R792" s="291"/>
      <c r="S792" s="291"/>
      <c r="T792" s="291"/>
      <c r="U792" s="292"/>
      <c r="V792" s="297"/>
      <c r="W792" s="294"/>
      <c r="X792" s="295"/>
      <c r="Y792" s="6"/>
      <c r="Z792" s="6"/>
      <c r="AA792" s="6"/>
      <c r="AB792" s="6"/>
    </row>
    <row r="793" spans="1:28">
      <c r="A793" s="6"/>
      <c r="B793" s="291"/>
      <c r="C793" s="292"/>
      <c r="D793" s="6"/>
      <c r="E793" s="6"/>
      <c r="F793" s="6"/>
      <c r="G793" s="6"/>
      <c r="H793" s="6"/>
      <c r="I793" s="6"/>
      <c r="J793" s="6"/>
      <c r="K793" s="197"/>
      <c r="L793" s="6"/>
      <c r="M793" s="296"/>
      <c r="N793" s="296"/>
      <c r="O793" s="6"/>
      <c r="P793" s="6"/>
      <c r="Q793" s="6"/>
      <c r="R793" s="291"/>
      <c r="S793" s="291"/>
      <c r="T793" s="291"/>
      <c r="U793" s="292"/>
      <c r="V793" s="297"/>
      <c r="W793" s="294"/>
      <c r="X793" s="295"/>
      <c r="Y793" s="6"/>
      <c r="Z793" s="6"/>
      <c r="AA793" s="6"/>
      <c r="AB793" s="6"/>
    </row>
    <row r="794" spans="1:28">
      <c r="A794" s="6"/>
      <c r="B794" s="291"/>
      <c r="C794" s="292"/>
      <c r="D794" s="6"/>
      <c r="E794" s="6"/>
      <c r="F794" s="6"/>
      <c r="G794" s="6"/>
      <c r="H794" s="6"/>
      <c r="I794" s="6"/>
      <c r="J794" s="6"/>
      <c r="K794" s="197"/>
      <c r="L794" s="6"/>
      <c r="M794" s="296"/>
      <c r="N794" s="296"/>
      <c r="O794" s="6"/>
      <c r="P794" s="6"/>
      <c r="Q794" s="6"/>
      <c r="R794" s="291"/>
      <c r="S794" s="291"/>
      <c r="T794" s="291"/>
      <c r="U794" s="292"/>
      <c r="V794" s="297"/>
      <c r="W794" s="294"/>
      <c r="X794" s="295"/>
      <c r="Y794" s="6"/>
      <c r="Z794" s="6"/>
      <c r="AA794" s="6"/>
      <c r="AB794" s="6"/>
    </row>
    <row r="795" spans="1:28">
      <c r="A795" s="6"/>
      <c r="B795" s="291"/>
      <c r="C795" s="292"/>
      <c r="D795" s="6"/>
      <c r="E795" s="6"/>
      <c r="F795" s="6"/>
      <c r="G795" s="6"/>
      <c r="H795" s="6"/>
      <c r="I795" s="6"/>
      <c r="J795" s="6"/>
      <c r="K795" s="197"/>
      <c r="L795" s="6"/>
      <c r="M795" s="296"/>
      <c r="N795" s="296"/>
      <c r="O795" s="6"/>
      <c r="P795" s="6"/>
      <c r="Q795" s="6"/>
      <c r="R795" s="291"/>
      <c r="S795" s="291"/>
      <c r="T795" s="291"/>
      <c r="U795" s="292"/>
      <c r="V795" s="297"/>
      <c r="W795" s="294"/>
      <c r="X795" s="295"/>
      <c r="Y795" s="6"/>
      <c r="Z795" s="6"/>
      <c r="AA795" s="6"/>
      <c r="AB795" s="6"/>
    </row>
    <row r="796" spans="1:28">
      <c r="A796" s="6"/>
      <c r="B796" s="291"/>
      <c r="C796" s="292"/>
      <c r="D796" s="6"/>
      <c r="E796" s="6"/>
      <c r="F796" s="6"/>
      <c r="G796" s="6"/>
      <c r="H796" s="6"/>
      <c r="I796" s="6"/>
      <c r="J796" s="6"/>
      <c r="K796" s="197"/>
      <c r="L796" s="6"/>
      <c r="M796" s="296"/>
      <c r="N796" s="296"/>
      <c r="O796" s="6"/>
      <c r="P796" s="6"/>
      <c r="Q796" s="6"/>
      <c r="R796" s="291"/>
      <c r="S796" s="291"/>
      <c r="T796" s="291"/>
      <c r="U796" s="292"/>
      <c r="V796" s="297"/>
      <c r="W796" s="294"/>
      <c r="X796" s="295"/>
      <c r="Y796" s="6"/>
      <c r="Z796" s="6"/>
      <c r="AA796" s="6"/>
      <c r="AB796" s="6"/>
    </row>
    <row r="797" spans="1:28">
      <c r="A797" s="6"/>
      <c r="B797" s="291"/>
      <c r="C797" s="292"/>
      <c r="D797" s="6"/>
      <c r="E797" s="6"/>
      <c r="F797" s="6"/>
      <c r="G797" s="6"/>
      <c r="H797" s="6"/>
      <c r="I797" s="6"/>
      <c r="J797" s="6"/>
      <c r="K797" s="197"/>
      <c r="L797" s="6"/>
      <c r="M797" s="296"/>
      <c r="N797" s="296"/>
      <c r="O797" s="6"/>
      <c r="P797" s="6"/>
      <c r="Q797" s="6"/>
      <c r="R797" s="291"/>
      <c r="S797" s="291"/>
      <c r="T797" s="291"/>
      <c r="U797" s="292"/>
      <c r="V797" s="297"/>
      <c r="W797" s="294"/>
      <c r="X797" s="295"/>
      <c r="Y797" s="6"/>
      <c r="Z797" s="6"/>
      <c r="AA797" s="6"/>
      <c r="AB797" s="6"/>
    </row>
    <row r="798" spans="1:28">
      <c r="A798" s="6"/>
      <c r="B798" s="291"/>
      <c r="C798" s="292"/>
      <c r="D798" s="6"/>
      <c r="E798" s="6"/>
      <c r="F798" s="6"/>
      <c r="G798" s="6"/>
      <c r="H798" s="6"/>
      <c r="I798" s="6"/>
      <c r="J798" s="6"/>
      <c r="K798" s="197"/>
      <c r="L798" s="6"/>
      <c r="M798" s="296"/>
      <c r="N798" s="296"/>
      <c r="O798" s="6"/>
      <c r="P798" s="6"/>
      <c r="Q798" s="6"/>
      <c r="R798" s="291"/>
      <c r="S798" s="291"/>
      <c r="T798" s="291"/>
      <c r="U798" s="292"/>
      <c r="V798" s="297"/>
      <c r="W798" s="294"/>
      <c r="X798" s="295"/>
      <c r="Y798" s="6"/>
      <c r="Z798" s="6"/>
      <c r="AA798" s="6"/>
      <c r="AB798" s="6"/>
    </row>
    <row r="799" spans="1:28">
      <c r="A799" s="6"/>
      <c r="B799" s="291"/>
      <c r="C799" s="292"/>
      <c r="D799" s="6"/>
      <c r="E799" s="6"/>
      <c r="F799" s="6"/>
      <c r="G799" s="6"/>
      <c r="H799" s="6"/>
      <c r="I799" s="6"/>
      <c r="J799" s="6"/>
      <c r="K799" s="197"/>
      <c r="L799" s="6"/>
      <c r="M799" s="296"/>
      <c r="N799" s="296"/>
      <c r="O799" s="6"/>
      <c r="P799" s="6"/>
      <c r="Q799" s="6"/>
      <c r="R799" s="291"/>
      <c r="S799" s="291"/>
      <c r="T799" s="291"/>
      <c r="U799" s="292"/>
      <c r="V799" s="297"/>
      <c r="W799" s="294"/>
      <c r="X799" s="295"/>
      <c r="Y799" s="6"/>
      <c r="Z799" s="6"/>
      <c r="AA799" s="6"/>
      <c r="AB799" s="6"/>
    </row>
    <row r="800" spans="1:28">
      <c r="A800" s="6"/>
      <c r="B800" s="291"/>
      <c r="C800" s="292"/>
      <c r="D800" s="6"/>
      <c r="E800" s="6"/>
      <c r="F800" s="6"/>
      <c r="G800" s="6"/>
      <c r="H800" s="6"/>
      <c r="I800" s="6"/>
      <c r="J800" s="6"/>
      <c r="K800" s="197"/>
      <c r="L800" s="6"/>
      <c r="M800" s="296"/>
      <c r="N800" s="296"/>
      <c r="O800" s="6"/>
      <c r="P800" s="6"/>
      <c r="Q800" s="6"/>
      <c r="R800" s="291"/>
      <c r="S800" s="291"/>
      <c r="T800" s="291"/>
      <c r="U800" s="292"/>
      <c r="V800" s="297"/>
      <c r="W800" s="294"/>
      <c r="X800" s="295"/>
      <c r="Y800" s="6"/>
      <c r="Z800" s="6"/>
      <c r="AA800" s="6"/>
      <c r="AB800" s="6"/>
    </row>
  </sheetData>
  <hyperlinks>
    <hyperlink ref="F2" r:id="rId1" xr:uid="{00000000-0004-0000-0100-000000000000}"/>
    <hyperlink ref="F3" r:id="rId2" xr:uid="{00000000-0004-0000-0100-000001000000}"/>
    <hyperlink ref="F4" r:id="rId3" xr:uid="{00000000-0004-0000-0100-000002000000}"/>
    <hyperlink ref="F5" r:id="rId4" xr:uid="{00000000-0004-0000-0100-000003000000}"/>
    <hyperlink ref="F6" r:id="rId5" xr:uid="{00000000-0004-0000-0100-000004000000}"/>
    <hyperlink ref="F7" r:id="rId6" xr:uid="{00000000-0004-0000-0100-000005000000}"/>
    <hyperlink ref="F8" r:id="rId7" xr:uid="{00000000-0004-0000-0100-000006000000}"/>
    <hyperlink ref="F9" r:id="rId8" xr:uid="{00000000-0004-0000-0100-000007000000}"/>
    <hyperlink ref="F10" r:id="rId9" xr:uid="{00000000-0004-0000-0100-000008000000}"/>
    <hyperlink ref="F11" r:id="rId10" xr:uid="{00000000-0004-0000-0100-000009000000}"/>
    <hyperlink ref="F12" r:id="rId11" xr:uid="{00000000-0004-0000-0100-00000A000000}"/>
    <hyperlink ref="F13" r:id="rId12" xr:uid="{00000000-0004-0000-0100-00000B000000}"/>
    <hyperlink ref="F14" r:id="rId13" xr:uid="{00000000-0004-0000-0100-00000C000000}"/>
    <hyperlink ref="F15" r:id="rId14" xr:uid="{00000000-0004-0000-0100-00000D000000}"/>
    <hyperlink ref="F16" r:id="rId15" xr:uid="{00000000-0004-0000-0100-00000E000000}"/>
    <hyperlink ref="F17" r:id="rId16" xr:uid="{00000000-0004-0000-0100-00000F000000}"/>
    <hyperlink ref="F18" r:id="rId17" xr:uid="{00000000-0004-0000-0100-000010000000}"/>
    <hyperlink ref="F19" r:id="rId18" xr:uid="{00000000-0004-0000-0100-000011000000}"/>
    <hyperlink ref="F20" r:id="rId19" xr:uid="{00000000-0004-0000-0100-000012000000}"/>
    <hyperlink ref="F21" r:id="rId20" xr:uid="{00000000-0004-0000-0100-000013000000}"/>
    <hyperlink ref="F22" r:id="rId21" xr:uid="{00000000-0004-0000-0100-000014000000}"/>
    <hyperlink ref="F23" r:id="rId22" xr:uid="{00000000-0004-0000-0100-000015000000}"/>
    <hyperlink ref="F24" r:id="rId23" xr:uid="{00000000-0004-0000-0100-000016000000}"/>
    <hyperlink ref="F25" r:id="rId24" xr:uid="{00000000-0004-0000-0100-000017000000}"/>
    <hyperlink ref="F26" r:id="rId25" xr:uid="{00000000-0004-0000-0100-000018000000}"/>
    <hyperlink ref="F27" r:id="rId26" xr:uid="{00000000-0004-0000-0100-000019000000}"/>
    <hyperlink ref="F28" r:id="rId27" xr:uid="{00000000-0004-0000-0100-00001A000000}"/>
    <hyperlink ref="F29" r:id="rId28" xr:uid="{00000000-0004-0000-0100-00001B000000}"/>
    <hyperlink ref="F30" r:id="rId29" xr:uid="{00000000-0004-0000-0100-00001C000000}"/>
    <hyperlink ref="F31" r:id="rId30" xr:uid="{00000000-0004-0000-0100-00001D000000}"/>
    <hyperlink ref="F32" r:id="rId31" xr:uid="{00000000-0004-0000-0100-00001E000000}"/>
    <hyperlink ref="F33" r:id="rId32" xr:uid="{00000000-0004-0000-0100-00001F000000}"/>
    <hyperlink ref="F34" r:id="rId33" xr:uid="{00000000-0004-0000-0100-000020000000}"/>
    <hyperlink ref="F35" r:id="rId34" xr:uid="{00000000-0004-0000-0100-000021000000}"/>
    <hyperlink ref="F36" r:id="rId35" xr:uid="{00000000-0004-0000-0100-000022000000}"/>
    <hyperlink ref="F37" r:id="rId36" xr:uid="{00000000-0004-0000-0100-000023000000}"/>
    <hyperlink ref="F38" r:id="rId37" xr:uid="{00000000-0004-0000-0100-000024000000}"/>
    <hyperlink ref="F39" r:id="rId38" xr:uid="{00000000-0004-0000-0100-000025000000}"/>
    <hyperlink ref="F40" r:id="rId39" xr:uid="{00000000-0004-0000-0100-000026000000}"/>
    <hyperlink ref="F41" r:id="rId40" xr:uid="{00000000-0004-0000-0100-000027000000}"/>
    <hyperlink ref="F42" r:id="rId41" xr:uid="{00000000-0004-0000-0100-000028000000}"/>
    <hyperlink ref="F43" r:id="rId42" xr:uid="{00000000-0004-0000-0100-000029000000}"/>
    <hyperlink ref="F44" r:id="rId43" xr:uid="{00000000-0004-0000-0100-00002A000000}"/>
    <hyperlink ref="F45" r:id="rId44" xr:uid="{00000000-0004-0000-0100-00002B000000}"/>
    <hyperlink ref="F46" r:id="rId45" xr:uid="{00000000-0004-0000-0100-00002C000000}"/>
    <hyperlink ref="F47" r:id="rId46" xr:uid="{00000000-0004-0000-0100-00002D000000}"/>
    <hyperlink ref="F48" r:id="rId47" xr:uid="{00000000-0004-0000-0100-00002E000000}"/>
    <hyperlink ref="F49" r:id="rId48" xr:uid="{00000000-0004-0000-0100-00002F000000}"/>
    <hyperlink ref="F50" r:id="rId49" xr:uid="{00000000-0004-0000-0100-000030000000}"/>
    <hyperlink ref="F51" r:id="rId50" xr:uid="{00000000-0004-0000-0100-000031000000}"/>
    <hyperlink ref="F52" r:id="rId51" xr:uid="{00000000-0004-0000-0100-000032000000}"/>
    <hyperlink ref="F53" r:id="rId52" xr:uid="{00000000-0004-0000-0100-000033000000}"/>
    <hyperlink ref="F54" r:id="rId53" xr:uid="{00000000-0004-0000-0100-000034000000}"/>
    <hyperlink ref="F55" r:id="rId54" xr:uid="{00000000-0004-0000-0100-000035000000}"/>
    <hyperlink ref="F56" r:id="rId55" xr:uid="{00000000-0004-0000-0100-000036000000}"/>
    <hyperlink ref="F57" r:id="rId56" xr:uid="{00000000-0004-0000-0100-000037000000}"/>
    <hyperlink ref="F58" r:id="rId57" xr:uid="{00000000-0004-0000-0100-000038000000}"/>
    <hyperlink ref="F59" r:id="rId58" xr:uid="{00000000-0004-0000-0100-000039000000}"/>
    <hyperlink ref="F60" r:id="rId59" xr:uid="{00000000-0004-0000-0100-00003A000000}"/>
    <hyperlink ref="F61" r:id="rId60" xr:uid="{00000000-0004-0000-0100-00003B000000}"/>
    <hyperlink ref="F62" r:id="rId61" xr:uid="{00000000-0004-0000-0100-00003C000000}"/>
    <hyperlink ref="F63" r:id="rId62" xr:uid="{00000000-0004-0000-0100-00003D000000}"/>
    <hyperlink ref="F64" r:id="rId63" xr:uid="{00000000-0004-0000-0100-00003E000000}"/>
    <hyperlink ref="F65" r:id="rId64" xr:uid="{00000000-0004-0000-0100-00003F000000}"/>
    <hyperlink ref="F66" r:id="rId65" xr:uid="{00000000-0004-0000-0100-000040000000}"/>
    <hyperlink ref="F67" r:id="rId66" xr:uid="{00000000-0004-0000-0100-000041000000}"/>
    <hyperlink ref="F68" r:id="rId67" xr:uid="{00000000-0004-0000-0100-000042000000}"/>
    <hyperlink ref="F69" r:id="rId68" xr:uid="{00000000-0004-0000-0100-000043000000}"/>
    <hyperlink ref="F70" r:id="rId69" xr:uid="{00000000-0004-0000-0100-000044000000}"/>
    <hyperlink ref="F71" r:id="rId70" xr:uid="{00000000-0004-0000-0100-000045000000}"/>
    <hyperlink ref="F72" r:id="rId71" xr:uid="{00000000-0004-0000-0100-000046000000}"/>
    <hyperlink ref="F73" r:id="rId72" xr:uid="{00000000-0004-0000-0100-000047000000}"/>
    <hyperlink ref="F74" r:id="rId73" xr:uid="{00000000-0004-0000-0100-000048000000}"/>
    <hyperlink ref="F75" r:id="rId74" xr:uid="{00000000-0004-0000-0100-000049000000}"/>
    <hyperlink ref="F76" r:id="rId75" xr:uid="{00000000-0004-0000-0100-00004A000000}"/>
    <hyperlink ref="F77" r:id="rId76" xr:uid="{00000000-0004-0000-0100-00004B000000}"/>
    <hyperlink ref="F78" r:id="rId77" xr:uid="{00000000-0004-0000-0100-00004C000000}"/>
    <hyperlink ref="F79" r:id="rId78" xr:uid="{00000000-0004-0000-0100-00004D000000}"/>
    <hyperlink ref="F80" r:id="rId79" xr:uid="{00000000-0004-0000-0100-00004E000000}"/>
    <hyperlink ref="F81" r:id="rId80" xr:uid="{00000000-0004-0000-0100-00004F000000}"/>
    <hyperlink ref="F82" r:id="rId81" xr:uid="{00000000-0004-0000-0100-000050000000}"/>
    <hyperlink ref="F83" r:id="rId82" xr:uid="{00000000-0004-0000-0100-000051000000}"/>
    <hyperlink ref="F84" r:id="rId83" xr:uid="{00000000-0004-0000-0100-000052000000}"/>
    <hyperlink ref="F85" r:id="rId84" xr:uid="{00000000-0004-0000-0100-000053000000}"/>
    <hyperlink ref="F86" r:id="rId85" xr:uid="{00000000-0004-0000-0100-000054000000}"/>
    <hyperlink ref="F87" r:id="rId86" xr:uid="{00000000-0004-0000-0100-000055000000}"/>
    <hyperlink ref="F88" r:id="rId87" xr:uid="{00000000-0004-0000-0100-000056000000}"/>
    <hyperlink ref="F89" r:id="rId88" xr:uid="{00000000-0004-0000-0100-000057000000}"/>
    <hyperlink ref="F90" r:id="rId89" xr:uid="{00000000-0004-0000-0100-000058000000}"/>
    <hyperlink ref="F91" r:id="rId90" xr:uid="{00000000-0004-0000-0100-000059000000}"/>
    <hyperlink ref="F92" r:id="rId91" xr:uid="{00000000-0004-0000-0100-00005A000000}"/>
    <hyperlink ref="F93" r:id="rId92" xr:uid="{00000000-0004-0000-0100-00005B000000}"/>
    <hyperlink ref="F94" r:id="rId93" xr:uid="{00000000-0004-0000-0100-00005C000000}"/>
    <hyperlink ref="F95" r:id="rId94" xr:uid="{00000000-0004-0000-0100-00005D000000}"/>
    <hyperlink ref="F96" r:id="rId95" xr:uid="{00000000-0004-0000-0100-00005E000000}"/>
    <hyperlink ref="F97" r:id="rId96" xr:uid="{00000000-0004-0000-0100-00005F000000}"/>
    <hyperlink ref="F98" r:id="rId97" xr:uid="{00000000-0004-0000-0100-000060000000}"/>
    <hyperlink ref="F99" r:id="rId98" xr:uid="{00000000-0004-0000-0100-000061000000}"/>
    <hyperlink ref="F100" r:id="rId99" xr:uid="{00000000-0004-0000-0100-000062000000}"/>
    <hyperlink ref="F101" r:id="rId100" xr:uid="{00000000-0004-0000-0100-000063000000}"/>
    <hyperlink ref="F102" r:id="rId101" xr:uid="{00000000-0004-0000-0100-000064000000}"/>
    <hyperlink ref="F103" r:id="rId102" xr:uid="{00000000-0004-0000-0100-000065000000}"/>
    <hyperlink ref="F104" r:id="rId103" xr:uid="{00000000-0004-0000-0100-000066000000}"/>
    <hyperlink ref="F105" r:id="rId104" xr:uid="{00000000-0004-0000-0100-000067000000}"/>
    <hyperlink ref="F106" r:id="rId105" xr:uid="{00000000-0004-0000-0100-000068000000}"/>
    <hyperlink ref="F107" r:id="rId106" xr:uid="{00000000-0004-0000-0100-000069000000}"/>
    <hyperlink ref="F108" r:id="rId107" xr:uid="{00000000-0004-0000-0100-00006A000000}"/>
    <hyperlink ref="F109" r:id="rId108" xr:uid="{00000000-0004-0000-0100-00006B000000}"/>
    <hyperlink ref="F110" r:id="rId109" xr:uid="{00000000-0004-0000-0100-00006C000000}"/>
    <hyperlink ref="F111" r:id="rId110" xr:uid="{00000000-0004-0000-0100-00006D000000}"/>
    <hyperlink ref="F112" r:id="rId111" xr:uid="{00000000-0004-0000-0100-00006E000000}"/>
    <hyperlink ref="F113" r:id="rId112" xr:uid="{00000000-0004-0000-0100-00006F000000}"/>
    <hyperlink ref="F114" r:id="rId113" xr:uid="{00000000-0004-0000-0100-000070000000}"/>
    <hyperlink ref="F115" r:id="rId114" xr:uid="{00000000-0004-0000-0100-000071000000}"/>
    <hyperlink ref="F116" r:id="rId115" xr:uid="{00000000-0004-0000-0100-000072000000}"/>
    <hyperlink ref="F117" r:id="rId116" xr:uid="{00000000-0004-0000-0100-000073000000}"/>
    <hyperlink ref="F118" r:id="rId117" xr:uid="{00000000-0004-0000-0100-000074000000}"/>
    <hyperlink ref="F119" r:id="rId118" xr:uid="{00000000-0004-0000-0100-000075000000}"/>
    <hyperlink ref="F120" r:id="rId119" xr:uid="{00000000-0004-0000-0100-000076000000}"/>
    <hyperlink ref="F121" r:id="rId120" xr:uid="{00000000-0004-0000-0100-000077000000}"/>
    <hyperlink ref="F122" r:id="rId121" xr:uid="{00000000-0004-0000-0100-000078000000}"/>
    <hyperlink ref="F123" r:id="rId122" xr:uid="{00000000-0004-0000-0100-000079000000}"/>
    <hyperlink ref="F124" r:id="rId123" xr:uid="{00000000-0004-0000-0100-00007A000000}"/>
    <hyperlink ref="F125" r:id="rId124" xr:uid="{00000000-0004-0000-0100-00007B000000}"/>
    <hyperlink ref="F126" r:id="rId125" xr:uid="{00000000-0004-0000-0100-00007C000000}"/>
    <hyperlink ref="F127" r:id="rId126" xr:uid="{00000000-0004-0000-0100-00007D000000}"/>
    <hyperlink ref="F128" r:id="rId127" xr:uid="{00000000-0004-0000-0100-00007E000000}"/>
    <hyperlink ref="F129" r:id="rId128" xr:uid="{00000000-0004-0000-0100-00007F000000}"/>
    <hyperlink ref="F130" r:id="rId129" xr:uid="{00000000-0004-0000-0100-000080000000}"/>
    <hyperlink ref="F131" r:id="rId130" xr:uid="{00000000-0004-0000-0100-000081000000}"/>
    <hyperlink ref="F132" r:id="rId131" xr:uid="{00000000-0004-0000-0100-000082000000}"/>
    <hyperlink ref="F133" r:id="rId132" xr:uid="{00000000-0004-0000-0100-000083000000}"/>
    <hyperlink ref="F134" r:id="rId133" xr:uid="{00000000-0004-0000-0100-000084000000}"/>
    <hyperlink ref="F135" r:id="rId134" xr:uid="{00000000-0004-0000-0100-000085000000}"/>
    <hyperlink ref="F136" r:id="rId135" xr:uid="{00000000-0004-0000-0100-000086000000}"/>
    <hyperlink ref="F137" r:id="rId136" xr:uid="{00000000-0004-0000-0100-000087000000}"/>
    <hyperlink ref="F138" r:id="rId137" xr:uid="{00000000-0004-0000-0100-000088000000}"/>
    <hyperlink ref="F139" r:id="rId138" xr:uid="{00000000-0004-0000-0100-000089000000}"/>
    <hyperlink ref="F140" r:id="rId139" xr:uid="{00000000-0004-0000-0100-00008A000000}"/>
    <hyperlink ref="F141" r:id="rId140" xr:uid="{00000000-0004-0000-0100-00008B000000}"/>
    <hyperlink ref="F142" r:id="rId141" xr:uid="{00000000-0004-0000-0100-00008C000000}"/>
    <hyperlink ref="F143" r:id="rId142" xr:uid="{00000000-0004-0000-0100-00008D000000}"/>
    <hyperlink ref="F144" r:id="rId143" xr:uid="{00000000-0004-0000-0100-00008E000000}"/>
    <hyperlink ref="F145" r:id="rId144" xr:uid="{00000000-0004-0000-0100-00008F000000}"/>
    <hyperlink ref="F146" r:id="rId145" xr:uid="{00000000-0004-0000-0100-000090000000}"/>
    <hyperlink ref="F147" r:id="rId146" xr:uid="{00000000-0004-0000-0100-000091000000}"/>
    <hyperlink ref="F148" r:id="rId147" xr:uid="{00000000-0004-0000-0100-000092000000}"/>
    <hyperlink ref="F149" r:id="rId148" xr:uid="{00000000-0004-0000-0100-000093000000}"/>
    <hyperlink ref="F150" r:id="rId149" xr:uid="{00000000-0004-0000-0100-000094000000}"/>
    <hyperlink ref="F151" r:id="rId150" xr:uid="{00000000-0004-0000-0100-000095000000}"/>
    <hyperlink ref="F152" r:id="rId151" xr:uid="{00000000-0004-0000-0100-000096000000}"/>
    <hyperlink ref="F153" r:id="rId152" xr:uid="{00000000-0004-0000-0100-000097000000}"/>
    <hyperlink ref="F154" r:id="rId153" xr:uid="{00000000-0004-0000-0100-000098000000}"/>
    <hyperlink ref="F155" r:id="rId154" xr:uid="{00000000-0004-0000-0100-000099000000}"/>
    <hyperlink ref="F156" r:id="rId155" xr:uid="{00000000-0004-0000-0100-00009A000000}"/>
    <hyperlink ref="F157" r:id="rId156" xr:uid="{00000000-0004-0000-0100-00009B000000}"/>
    <hyperlink ref="F158" r:id="rId157" xr:uid="{00000000-0004-0000-0100-00009C000000}"/>
    <hyperlink ref="F159" r:id="rId158" xr:uid="{00000000-0004-0000-0100-00009D000000}"/>
    <hyperlink ref="F160" r:id="rId159" xr:uid="{00000000-0004-0000-0100-00009E000000}"/>
    <hyperlink ref="F161" r:id="rId160" xr:uid="{00000000-0004-0000-0100-00009F000000}"/>
    <hyperlink ref="F162" r:id="rId161" xr:uid="{00000000-0004-0000-0100-0000A0000000}"/>
    <hyperlink ref="F163" r:id="rId162" xr:uid="{00000000-0004-0000-0100-0000A1000000}"/>
    <hyperlink ref="F164" r:id="rId163" xr:uid="{00000000-0004-0000-0100-0000A2000000}"/>
    <hyperlink ref="F165" r:id="rId164" xr:uid="{00000000-0004-0000-0100-0000A3000000}"/>
    <hyperlink ref="F166" r:id="rId165" xr:uid="{00000000-0004-0000-0100-0000A4000000}"/>
    <hyperlink ref="F167" r:id="rId166" xr:uid="{00000000-0004-0000-0100-0000A5000000}"/>
    <hyperlink ref="F168" r:id="rId167" xr:uid="{00000000-0004-0000-0100-0000A6000000}"/>
    <hyperlink ref="F169" r:id="rId168" xr:uid="{00000000-0004-0000-0100-0000A7000000}"/>
    <hyperlink ref="F170" r:id="rId169" xr:uid="{00000000-0004-0000-0100-0000A8000000}"/>
    <hyperlink ref="F171" r:id="rId170" xr:uid="{00000000-0004-0000-0100-0000A9000000}"/>
    <hyperlink ref="F172" r:id="rId171" xr:uid="{00000000-0004-0000-0100-0000AA000000}"/>
    <hyperlink ref="F173" r:id="rId172" xr:uid="{00000000-0004-0000-0100-0000AB000000}"/>
    <hyperlink ref="F174" r:id="rId173" xr:uid="{00000000-0004-0000-0100-0000AC000000}"/>
    <hyperlink ref="F175" r:id="rId174" xr:uid="{00000000-0004-0000-0100-0000AD000000}"/>
    <hyperlink ref="F176" r:id="rId175" xr:uid="{00000000-0004-0000-0100-0000AE000000}"/>
    <hyperlink ref="F177" r:id="rId176" xr:uid="{00000000-0004-0000-0100-0000AF000000}"/>
    <hyperlink ref="F178" r:id="rId177" xr:uid="{00000000-0004-0000-0100-0000B0000000}"/>
    <hyperlink ref="F179" r:id="rId178" xr:uid="{00000000-0004-0000-0100-0000B1000000}"/>
    <hyperlink ref="F180" r:id="rId179" xr:uid="{00000000-0004-0000-0100-0000B2000000}"/>
    <hyperlink ref="F181" r:id="rId180" xr:uid="{00000000-0004-0000-0100-0000B3000000}"/>
    <hyperlink ref="F182" r:id="rId181" xr:uid="{00000000-0004-0000-0100-0000B4000000}"/>
    <hyperlink ref="F183" r:id="rId182" xr:uid="{00000000-0004-0000-0100-0000B5000000}"/>
    <hyperlink ref="F184" r:id="rId183" xr:uid="{00000000-0004-0000-0100-0000B6000000}"/>
    <hyperlink ref="F185" r:id="rId184" xr:uid="{00000000-0004-0000-0100-0000B7000000}"/>
    <hyperlink ref="F186" r:id="rId185" xr:uid="{00000000-0004-0000-0100-0000B8000000}"/>
    <hyperlink ref="F187" r:id="rId186" xr:uid="{00000000-0004-0000-0100-0000B9000000}"/>
    <hyperlink ref="F188" r:id="rId187" xr:uid="{00000000-0004-0000-0100-0000BA000000}"/>
    <hyperlink ref="F189" r:id="rId188" xr:uid="{00000000-0004-0000-0100-0000BB000000}"/>
    <hyperlink ref="F190" r:id="rId189" xr:uid="{00000000-0004-0000-0100-0000BC000000}"/>
    <hyperlink ref="F191" r:id="rId190" xr:uid="{00000000-0004-0000-0100-0000BD000000}"/>
    <hyperlink ref="F192" r:id="rId191" xr:uid="{00000000-0004-0000-0100-0000BE000000}"/>
    <hyperlink ref="F193" r:id="rId192" xr:uid="{00000000-0004-0000-0100-0000BF000000}"/>
    <hyperlink ref="F194" r:id="rId193" xr:uid="{00000000-0004-0000-0100-0000C0000000}"/>
    <hyperlink ref="F195" r:id="rId194" xr:uid="{00000000-0004-0000-0100-0000C1000000}"/>
    <hyperlink ref="F196" r:id="rId195" xr:uid="{00000000-0004-0000-0100-0000C2000000}"/>
    <hyperlink ref="F197" r:id="rId196" xr:uid="{00000000-0004-0000-0100-0000C3000000}"/>
    <hyperlink ref="F198" r:id="rId197" xr:uid="{00000000-0004-0000-0100-0000C4000000}"/>
    <hyperlink ref="F199" r:id="rId198" xr:uid="{00000000-0004-0000-0100-0000C5000000}"/>
    <hyperlink ref="F200" r:id="rId199" xr:uid="{00000000-0004-0000-0100-0000C6000000}"/>
    <hyperlink ref="F201" r:id="rId200" xr:uid="{00000000-0004-0000-0100-0000C7000000}"/>
    <hyperlink ref="F202" r:id="rId201" xr:uid="{00000000-0004-0000-0100-0000C8000000}"/>
    <hyperlink ref="F203" r:id="rId202" xr:uid="{00000000-0004-0000-0100-0000C9000000}"/>
    <hyperlink ref="F204" r:id="rId203" xr:uid="{00000000-0004-0000-0100-0000CA000000}"/>
    <hyperlink ref="F205" r:id="rId204" xr:uid="{00000000-0004-0000-0100-0000CB000000}"/>
    <hyperlink ref="F206" r:id="rId205" xr:uid="{00000000-0004-0000-0100-0000CC000000}"/>
    <hyperlink ref="F207" r:id="rId206" xr:uid="{00000000-0004-0000-0100-0000CD000000}"/>
    <hyperlink ref="F208" r:id="rId207" xr:uid="{00000000-0004-0000-0100-0000CE000000}"/>
    <hyperlink ref="F209" r:id="rId208" xr:uid="{00000000-0004-0000-0100-0000CF000000}"/>
    <hyperlink ref="F210" r:id="rId209" xr:uid="{00000000-0004-0000-0100-0000D0000000}"/>
    <hyperlink ref="F211" r:id="rId210" xr:uid="{00000000-0004-0000-0100-0000D1000000}"/>
    <hyperlink ref="F212" r:id="rId211" xr:uid="{00000000-0004-0000-0100-0000D2000000}"/>
    <hyperlink ref="F213" r:id="rId212" xr:uid="{00000000-0004-0000-0100-0000D3000000}"/>
    <hyperlink ref="F214" r:id="rId213" xr:uid="{00000000-0004-0000-0100-0000D4000000}"/>
    <hyperlink ref="F215" r:id="rId214" xr:uid="{00000000-0004-0000-0100-0000D5000000}"/>
    <hyperlink ref="F216" r:id="rId215" xr:uid="{00000000-0004-0000-0100-0000D6000000}"/>
    <hyperlink ref="F217" r:id="rId216" xr:uid="{00000000-0004-0000-0100-0000D7000000}"/>
    <hyperlink ref="F218" r:id="rId217" xr:uid="{00000000-0004-0000-0100-0000D8000000}"/>
    <hyperlink ref="F219" r:id="rId218" xr:uid="{00000000-0004-0000-0100-0000D9000000}"/>
    <hyperlink ref="F220" r:id="rId219" xr:uid="{00000000-0004-0000-0100-0000DA000000}"/>
    <hyperlink ref="F221" r:id="rId220" xr:uid="{00000000-0004-0000-0100-0000DB000000}"/>
    <hyperlink ref="F222" r:id="rId221" xr:uid="{00000000-0004-0000-0100-0000DC000000}"/>
    <hyperlink ref="F223" r:id="rId222" xr:uid="{00000000-0004-0000-0100-0000DD000000}"/>
    <hyperlink ref="F224" r:id="rId223" xr:uid="{00000000-0004-0000-0100-0000DE000000}"/>
    <hyperlink ref="F225" r:id="rId224" xr:uid="{00000000-0004-0000-0100-0000DF000000}"/>
    <hyperlink ref="F226" r:id="rId225" xr:uid="{00000000-0004-0000-0100-0000E0000000}"/>
    <hyperlink ref="F227" r:id="rId226" xr:uid="{00000000-0004-0000-0100-0000E1000000}"/>
    <hyperlink ref="F228" r:id="rId227" xr:uid="{00000000-0004-0000-0100-0000E2000000}"/>
    <hyperlink ref="F229" r:id="rId228" xr:uid="{00000000-0004-0000-0100-0000E3000000}"/>
    <hyperlink ref="F230" r:id="rId229" xr:uid="{00000000-0004-0000-0100-0000E4000000}"/>
    <hyperlink ref="F231" r:id="rId230" xr:uid="{00000000-0004-0000-0100-0000E5000000}"/>
    <hyperlink ref="F232" r:id="rId231" xr:uid="{00000000-0004-0000-0100-0000E6000000}"/>
    <hyperlink ref="F233" r:id="rId232" xr:uid="{00000000-0004-0000-0100-0000E7000000}"/>
    <hyperlink ref="F234" r:id="rId233" xr:uid="{00000000-0004-0000-0100-0000E8000000}"/>
    <hyperlink ref="F235" r:id="rId234" xr:uid="{00000000-0004-0000-0100-0000E9000000}"/>
    <hyperlink ref="F236" r:id="rId235" xr:uid="{00000000-0004-0000-0100-0000EA000000}"/>
    <hyperlink ref="F237" r:id="rId236" xr:uid="{00000000-0004-0000-0100-0000EB000000}"/>
    <hyperlink ref="F238" r:id="rId237" xr:uid="{00000000-0004-0000-0100-0000EC000000}"/>
    <hyperlink ref="F239" r:id="rId238" xr:uid="{00000000-0004-0000-0100-0000ED000000}"/>
    <hyperlink ref="F240" r:id="rId239" xr:uid="{00000000-0004-0000-0100-0000EE000000}"/>
    <hyperlink ref="F241" r:id="rId240" xr:uid="{00000000-0004-0000-0100-0000EF000000}"/>
    <hyperlink ref="F242" r:id="rId241" xr:uid="{00000000-0004-0000-0100-0000F0000000}"/>
    <hyperlink ref="F243" r:id="rId242" xr:uid="{00000000-0004-0000-0100-0000F1000000}"/>
    <hyperlink ref="F244" r:id="rId243" xr:uid="{00000000-0004-0000-0100-0000F2000000}"/>
    <hyperlink ref="F245" r:id="rId244" xr:uid="{00000000-0004-0000-0100-0000F3000000}"/>
    <hyperlink ref="F246" r:id="rId245" xr:uid="{00000000-0004-0000-0100-0000F4000000}"/>
    <hyperlink ref="F247" r:id="rId246" xr:uid="{00000000-0004-0000-0100-0000F5000000}"/>
    <hyperlink ref="F248" r:id="rId247" xr:uid="{00000000-0004-0000-0100-0000F6000000}"/>
    <hyperlink ref="F249" r:id="rId248" xr:uid="{00000000-0004-0000-0100-0000F7000000}"/>
    <hyperlink ref="F250" r:id="rId249" xr:uid="{00000000-0004-0000-0100-0000F8000000}"/>
    <hyperlink ref="F251" r:id="rId250" xr:uid="{00000000-0004-0000-0100-0000F9000000}"/>
    <hyperlink ref="F252" r:id="rId251" xr:uid="{00000000-0004-0000-0100-0000FA000000}"/>
    <hyperlink ref="F253" r:id="rId252" xr:uid="{00000000-0004-0000-0100-0000FB000000}"/>
    <hyperlink ref="F254" r:id="rId253" xr:uid="{00000000-0004-0000-0100-0000FC000000}"/>
    <hyperlink ref="F255" r:id="rId254" xr:uid="{00000000-0004-0000-0100-0000FD000000}"/>
    <hyperlink ref="F256" r:id="rId255" xr:uid="{00000000-0004-0000-0100-0000FE000000}"/>
    <hyperlink ref="F257" r:id="rId256" xr:uid="{00000000-0004-0000-0100-0000FF000000}"/>
    <hyperlink ref="F258" r:id="rId257" xr:uid="{00000000-0004-0000-0100-000000010000}"/>
    <hyperlink ref="F259" r:id="rId258" xr:uid="{00000000-0004-0000-0100-000001010000}"/>
    <hyperlink ref="F260" r:id="rId259" xr:uid="{00000000-0004-0000-0100-000002010000}"/>
    <hyperlink ref="F261" r:id="rId260" xr:uid="{00000000-0004-0000-0100-000003010000}"/>
    <hyperlink ref="F262" r:id="rId261" xr:uid="{00000000-0004-0000-0100-000004010000}"/>
    <hyperlink ref="F263" r:id="rId262" xr:uid="{00000000-0004-0000-0100-000005010000}"/>
    <hyperlink ref="F264" r:id="rId263" xr:uid="{00000000-0004-0000-0100-000006010000}"/>
    <hyperlink ref="F265" r:id="rId264" xr:uid="{00000000-0004-0000-0100-000007010000}"/>
    <hyperlink ref="F266" r:id="rId265" xr:uid="{00000000-0004-0000-0100-000008010000}"/>
    <hyperlink ref="F267" r:id="rId266" xr:uid="{00000000-0004-0000-0100-000009010000}"/>
    <hyperlink ref="F268" r:id="rId267" xr:uid="{00000000-0004-0000-0100-00000A010000}"/>
    <hyperlink ref="F269" r:id="rId268" xr:uid="{00000000-0004-0000-0100-00000B010000}"/>
    <hyperlink ref="F270" r:id="rId269" xr:uid="{00000000-0004-0000-0100-00000C010000}"/>
    <hyperlink ref="F271" r:id="rId270" xr:uid="{00000000-0004-0000-0100-00000D010000}"/>
    <hyperlink ref="F272" r:id="rId271" xr:uid="{00000000-0004-0000-0100-00000E010000}"/>
    <hyperlink ref="F273" r:id="rId272" xr:uid="{00000000-0004-0000-0100-00000F010000}"/>
    <hyperlink ref="F274" r:id="rId273" xr:uid="{00000000-0004-0000-0100-000010010000}"/>
    <hyperlink ref="F275" r:id="rId274" xr:uid="{00000000-0004-0000-0100-000011010000}"/>
    <hyperlink ref="F276" r:id="rId275" xr:uid="{00000000-0004-0000-0100-000012010000}"/>
    <hyperlink ref="F277" r:id="rId276" xr:uid="{00000000-0004-0000-0100-000013010000}"/>
    <hyperlink ref="F278" r:id="rId277" xr:uid="{00000000-0004-0000-0100-000014010000}"/>
    <hyperlink ref="F279" r:id="rId278" xr:uid="{00000000-0004-0000-0100-000015010000}"/>
    <hyperlink ref="F280" r:id="rId279" xr:uid="{00000000-0004-0000-0100-000016010000}"/>
    <hyperlink ref="F281" r:id="rId280" xr:uid="{00000000-0004-0000-0100-000017010000}"/>
    <hyperlink ref="F282" r:id="rId281" xr:uid="{00000000-0004-0000-0100-000018010000}"/>
    <hyperlink ref="F283" r:id="rId282" xr:uid="{00000000-0004-0000-0100-000019010000}"/>
    <hyperlink ref="F284" r:id="rId283" xr:uid="{00000000-0004-0000-0100-00001A010000}"/>
    <hyperlink ref="F285" r:id="rId284" xr:uid="{00000000-0004-0000-0100-00001B010000}"/>
    <hyperlink ref="F286" r:id="rId285" xr:uid="{00000000-0004-0000-0100-00001C010000}"/>
    <hyperlink ref="F287" r:id="rId286" xr:uid="{00000000-0004-0000-0100-00001D010000}"/>
    <hyperlink ref="F288" r:id="rId287" xr:uid="{00000000-0004-0000-0100-00001E010000}"/>
    <hyperlink ref="F289" r:id="rId288" xr:uid="{00000000-0004-0000-0100-00001F010000}"/>
    <hyperlink ref="F290" r:id="rId289" xr:uid="{00000000-0004-0000-0100-000020010000}"/>
    <hyperlink ref="F291" r:id="rId290" xr:uid="{00000000-0004-0000-0100-000021010000}"/>
    <hyperlink ref="F292" r:id="rId291" xr:uid="{00000000-0004-0000-0100-000022010000}"/>
    <hyperlink ref="F293" r:id="rId292" xr:uid="{00000000-0004-0000-0100-000023010000}"/>
    <hyperlink ref="F294" r:id="rId293" xr:uid="{00000000-0004-0000-0100-000024010000}"/>
    <hyperlink ref="F295" r:id="rId294" xr:uid="{00000000-0004-0000-0100-000025010000}"/>
    <hyperlink ref="F296" r:id="rId295" xr:uid="{00000000-0004-0000-0100-000026010000}"/>
    <hyperlink ref="F297" r:id="rId296" xr:uid="{00000000-0004-0000-0100-000027010000}"/>
    <hyperlink ref="F298" r:id="rId297" xr:uid="{00000000-0004-0000-0100-000028010000}"/>
    <hyperlink ref="F299" r:id="rId298" xr:uid="{00000000-0004-0000-0100-000029010000}"/>
    <hyperlink ref="F300" r:id="rId299" xr:uid="{00000000-0004-0000-0100-00002A010000}"/>
    <hyperlink ref="F301" r:id="rId300" xr:uid="{00000000-0004-0000-0100-00002B010000}"/>
    <hyperlink ref="F302" r:id="rId301" xr:uid="{00000000-0004-0000-0100-00002C010000}"/>
    <hyperlink ref="F303" r:id="rId302" xr:uid="{00000000-0004-0000-0100-00002D010000}"/>
    <hyperlink ref="F304" r:id="rId303" xr:uid="{00000000-0004-0000-0100-00002E010000}"/>
    <hyperlink ref="F305" r:id="rId304" xr:uid="{00000000-0004-0000-0100-00002F010000}"/>
    <hyperlink ref="F306" r:id="rId305" xr:uid="{00000000-0004-0000-0100-000030010000}"/>
    <hyperlink ref="F307" r:id="rId306" xr:uid="{00000000-0004-0000-0100-000031010000}"/>
    <hyperlink ref="F308" r:id="rId307" xr:uid="{00000000-0004-0000-0100-000032010000}"/>
    <hyperlink ref="F309" r:id="rId308" xr:uid="{00000000-0004-0000-0100-000033010000}"/>
    <hyperlink ref="F310" r:id="rId309" xr:uid="{00000000-0004-0000-0100-000034010000}"/>
    <hyperlink ref="F311" r:id="rId310" xr:uid="{00000000-0004-0000-0100-000035010000}"/>
    <hyperlink ref="F312" r:id="rId311" xr:uid="{00000000-0004-0000-0100-000036010000}"/>
    <hyperlink ref="F313" r:id="rId312" xr:uid="{00000000-0004-0000-0100-000037010000}"/>
    <hyperlink ref="F314" r:id="rId313" xr:uid="{00000000-0004-0000-0100-000038010000}"/>
    <hyperlink ref="F315" r:id="rId314" xr:uid="{00000000-0004-0000-0100-000039010000}"/>
    <hyperlink ref="F316" r:id="rId315" xr:uid="{00000000-0004-0000-0100-00003A010000}"/>
    <hyperlink ref="F317" r:id="rId316" xr:uid="{00000000-0004-0000-0100-00003B010000}"/>
    <hyperlink ref="F318" r:id="rId317" xr:uid="{00000000-0004-0000-0100-00003C010000}"/>
    <hyperlink ref="F319" r:id="rId318" xr:uid="{00000000-0004-0000-0100-00003D010000}"/>
    <hyperlink ref="F320" r:id="rId319" xr:uid="{00000000-0004-0000-0100-00003E010000}"/>
    <hyperlink ref="F321" r:id="rId320" xr:uid="{00000000-0004-0000-0100-00003F010000}"/>
    <hyperlink ref="F322" r:id="rId321" xr:uid="{00000000-0004-0000-0100-000040010000}"/>
    <hyperlink ref="F323" r:id="rId322" xr:uid="{00000000-0004-0000-0100-000041010000}"/>
    <hyperlink ref="F324" r:id="rId323" xr:uid="{00000000-0004-0000-0100-000042010000}"/>
    <hyperlink ref="F325" r:id="rId324" xr:uid="{00000000-0004-0000-0100-000043010000}"/>
    <hyperlink ref="F326" r:id="rId325" xr:uid="{00000000-0004-0000-0100-000044010000}"/>
    <hyperlink ref="F327" r:id="rId326" xr:uid="{00000000-0004-0000-0100-000045010000}"/>
    <hyperlink ref="F328" r:id="rId327" xr:uid="{00000000-0004-0000-0100-000046010000}"/>
    <hyperlink ref="F329" r:id="rId328" xr:uid="{00000000-0004-0000-0100-000047010000}"/>
    <hyperlink ref="F330" r:id="rId329" xr:uid="{00000000-0004-0000-0100-000048010000}"/>
    <hyperlink ref="F331" r:id="rId330" xr:uid="{00000000-0004-0000-0100-000049010000}"/>
    <hyperlink ref="F332" r:id="rId331" xr:uid="{00000000-0004-0000-0100-00004A010000}"/>
    <hyperlink ref="F333" r:id="rId332" xr:uid="{00000000-0004-0000-0100-00004B010000}"/>
    <hyperlink ref="F334" r:id="rId333" xr:uid="{00000000-0004-0000-0100-00004C010000}"/>
    <hyperlink ref="F335" r:id="rId334" xr:uid="{00000000-0004-0000-0100-00004D010000}"/>
    <hyperlink ref="F336" r:id="rId335" xr:uid="{00000000-0004-0000-0100-00004E010000}"/>
    <hyperlink ref="F337" r:id="rId336" xr:uid="{00000000-0004-0000-0100-00004F010000}"/>
    <hyperlink ref="F338" r:id="rId337" xr:uid="{00000000-0004-0000-0100-000050010000}"/>
    <hyperlink ref="F339" r:id="rId338" xr:uid="{00000000-0004-0000-0100-000051010000}"/>
    <hyperlink ref="F340" r:id="rId339" xr:uid="{00000000-0004-0000-0100-000052010000}"/>
    <hyperlink ref="F341" r:id="rId340" xr:uid="{00000000-0004-0000-0100-000053010000}"/>
    <hyperlink ref="F342" r:id="rId341" xr:uid="{00000000-0004-0000-0100-000054010000}"/>
    <hyperlink ref="F343" r:id="rId342" xr:uid="{00000000-0004-0000-0100-000055010000}"/>
    <hyperlink ref="F344" r:id="rId343" xr:uid="{00000000-0004-0000-0100-000056010000}"/>
    <hyperlink ref="F345" r:id="rId344" xr:uid="{00000000-0004-0000-0100-000057010000}"/>
    <hyperlink ref="F346" r:id="rId345" xr:uid="{00000000-0004-0000-0100-000058010000}"/>
    <hyperlink ref="F347" r:id="rId346" xr:uid="{00000000-0004-0000-0100-000059010000}"/>
    <hyperlink ref="F348" r:id="rId347" xr:uid="{00000000-0004-0000-0100-00005A010000}"/>
    <hyperlink ref="F349" r:id="rId348" xr:uid="{00000000-0004-0000-0100-00005B010000}"/>
    <hyperlink ref="F350" r:id="rId349" xr:uid="{00000000-0004-0000-0100-00005C010000}"/>
    <hyperlink ref="F351" r:id="rId350" xr:uid="{00000000-0004-0000-0100-00005D010000}"/>
    <hyperlink ref="F352" r:id="rId351" xr:uid="{00000000-0004-0000-0100-00005E010000}"/>
    <hyperlink ref="F353" r:id="rId352" xr:uid="{00000000-0004-0000-0100-00005F010000}"/>
    <hyperlink ref="F354" r:id="rId353" xr:uid="{00000000-0004-0000-0100-000060010000}"/>
    <hyperlink ref="F355" r:id="rId354" xr:uid="{00000000-0004-0000-0100-000061010000}"/>
    <hyperlink ref="F356" r:id="rId355" xr:uid="{00000000-0004-0000-0100-000062010000}"/>
    <hyperlink ref="F357" r:id="rId356" xr:uid="{00000000-0004-0000-0100-000063010000}"/>
    <hyperlink ref="F358" r:id="rId357" xr:uid="{00000000-0004-0000-0100-000064010000}"/>
    <hyperlink ref="F359" r:id="rId358" xr:uid="{00000000-0004-0000-0100-000065010000}"/>
    <hyperlink ref="F360" r:id="rId359" xr:uid="{00000000-0004-0000-0100-000066010000}"/>
    <hyperlink ref="F361" r:id="rId360" xr:uid="{00000000-0004-0000-0100-000067010000}"/>
    <hyperlink ref="F362" r:id="rId361" xr:uid="{00000000-0004-0000-0100-000068010000}"/>
    <hyperlink ref="F363" r:id="rId362" xr:uid="{00000000-0004-0000-0100-000069010000}"/>
    <hyperlink ref="F364" r:id="rId363" xr:uid="{00000000-0004-0000-0100-00006A010000}"/>
    <hyperlink ref="F365" r:id="rId364" xr:uid="{00000000-0004-0000-0100-00006B010000}"/>
    <hyperlink ref="F366" r:id="rId365" xr:uid="{00000000-0004-0000-0100-00006C010000}"/>
    <hyperlink ref="F367" r:id="rId366" xr:uid="{00000000-0004-0000-0100-00006D010000}"/>
    <hyperlink ref="F368" r:id="rId367" xr:uid="{00000000-0004-0000-0100-00006E010000}"/>
    <hyperlink ref="F369" r:id="rId368" xr:uid="{00000000-0004-0000-0100-00006F010000}"/>
    <hyperlink ref="F370" r:id="rId369" xr:uid="{00000000-0004-0000-0100-000070010000}"/>
    <hyperlink ref="F371" r:id="rId370" xr:uid="{00000000-0004-0000-0100-000071010000}"/>
    <hyperlink ref="F372" r:id="rId371" xr:uid="{00000000-0004-0000-0100-000072010000}"/>
    <hyperlink ref="F373" r:id="rId372" xr:uid="{00000000-0004-0000-0100-000073010000}"/>
    <hyperlink ref="F374" r:id="rId373" xr:uid="{00000000-0004-0000-0100-000074010000}"/>
    <hyperlink ref="F375" r:id="rId374" xr:uid="{00000000-0004-0000-0100-000075010000}"/>
    <hyperlink ref="F376" r:id="rId375" xr:uid="{00000000-0004-0000-0100-000076010000}"/>
    <hyperlink ref="F377" r:id="rId376" xr:uid="{00000000-0004-0000-0100-000077010000}"/>
    <hyperlink ref="F378" r:id="rId377" xr:uid="{00000000-0004-0000-0100-000078010000}"/>
    <hyperlink ref="F379" r:id="rId378" xr:uid="{00000000-0004-0000-0100-000079010000}"/>
    <hyperlink ref="F380" r:id="rId379" xr:uid="{00000000-0004-0000-0100-00007A010000}"/>
    <hyperlink ref="F381" r:id="rId380" xr:uid="{00000000-0004-0000-0100-00007B010000}"/>
    <hyperlink ref="F382" r:id="rId381" xr:uid="{00000000-0004-0000-0100-00007C010000}"/>
    <hyperlink ref="F383" r:id="rId382" xr:uid="{00000000-0004-0000-0100-00007D010000}"/>
    <hyperlink ref="F384" r:id="rId383" xr:uid="{00000000-0004-0000-0100-00007E010000}"/>
    <hyperlink ref="F385" r:id="rId384" xr:uid="{00000000-0004-0000-0100-00007F010000}"/>
    <hyperlink ref="F386" r:id="rId385" xr:uid="{00000000-0004-0000-0100-000080010000}"/>
    <hyperlink ref="F387" r:id="rId386" xr:uid="{00000000-0004-0000-0100-000081010000}"/>
    <hyperlink ref="F388" r:id="rId387" xr:uid="{00000000-0004-0000-0100-000082010000}"/>
    <hyperlink ref="F389" r:id="rId388" xr:uid="{00000000-0004-0000-0100-000083010000}"/>
    <hyperlink ref="F390" r:id="rId389" xr:uid="{00000000-0004-0000-0100-000084010000}"/>
    <hyperlink ref="F391" r:id="rId390" xr:uid="{00000000-0004-0000-0100-000085010000}"/>
    <hyperlink ref="F392" r:id="rId391" xr:uid="{00000000-0004-0000-0100-000086010000}"/>
    <hyperlink ref="F393" r:id="rId392" xr:uid="{00000000-0004-0000-0100-000087010000}"/>
    <hyperlink ref="F394" r:id="rId393" xr:uid="{00000000-0004-0000-0100-000088010000}"/>
    <hyperlink ref="F395" r:id="rId394" xr:uid="{00000000-0004-0000-0100-000089010000}"/>
    <hyperlink ref="F396" r:id="rId395" xr:uid="{00000000-0004-0000-0100-00008A010000}"/>
    <hyperlink ref="F397" r:id="rId396" xr:uid="{00000000-0004-0000-0100-00008B010000}"/>
    <hyperlink ref="F398" r:id="rId397" xr:uid="{00000000-0004-0000-0100-00008C010000}"/>
    <hyperlink ref="F399" r:id="rId398" xr:uid="{00000000-0004-0000-0100-00008D010000}"/>
    <hyperlink ref="F400" r:id="rId399" xr:uid="{00000000-0004-0000-0100-00008E010000}"/>
    <hyperlink ref="F401" r:id="rId400" xr:uid="{00000000-0004-0000-0100-00008F010000}"/>
    <hyperlink ref="F402" r:id="rId401" xr:uid="{00000000-0004-0000-0100-000090010000}"/>
    <hyperlink ref="F403" r:id="rId402" xr:uid="{00000000-0004-0000-0100-000091010000}"/>
    <hyperlink ref="F404" r:id="rId403" xr:uid="{00000000-0004-0000-0100-000092010000}"/>
    <hyperlink ref="F405" r:id="rId404" xr:uid="{00000000-0004-0000-0100-000093010000}"/>
    <hyperlink ref="F406" r:id="rId405" xr:uid="{00000000-0004-0000-0100-000094010000}"/>
    <hyperlink ref="F407" r:id="rId406" xr:uid="{00000000-0004-0000-0100-000095010000}"/>
    <hyperlink ref="F408" r:id="rId407" xr:uid="{00000000-0004-0000-0100-000096010000}"/>
    <hyperlink ref="F409" r:id="rId408" xr:uid="{00000000-0004-0000-0100-000097010000}"/>
    <hyperlink ref="F410" r:id="rId409" xr:uid="{00000000-0004-0000-0100-000098010000}"/>
    <hyperlink ref="F411" r:id="rId410" xr:uid="{00000000-0004-0000-0100-000099010000}"/>
    <hyperlink ref="F412" r:id="rId411" xr:uid="{00000000-0004-0000-0100-00009A010000}"/>
    <hyperlink ref="F413" r:id="rId412" xr:uid="{00000000-0004-0000-0100-00009B010000}"/>
    <hyperlink ref="F414" r:id="rId413" xr:uid="{00000000-0004-0000-0100-00009C010000}"/>
    <hyperlink ref="F415" r:id="rId414" xr:uid="{00000000-0004-0000-0100-00009D010000}"/>
    <hyperlink ref="F416" r:id="rId415" xr:uid="{00000000-0004-0000-0100-00009E010000}"/>
    <hyperlink ref="F417" r:id="rId416" xr:uid="{00000000-0004-0000-0100-00009F010000}"/>
    <hyperlink ref="F418" r:id="rId417" xr:uid="{00000000-0004-0000-0100-0000A0010000}"/>
    <hyperlink ref="F419" r:id="rId418" xr:uid="{00000000-0004-0000-0100-0000A1010000}"/>
    <hyperlink ref="F420" r:id="rId419" xr:uid="{00000000-0004-0000-0100-0000A2010000}"/>
    <hyperlink ref="F421" r:id="rId420" xr:uid="{00000000-0004-0000-0100-0000A3010000}"/>
    <hyperlink ref="F422" r:id="rId421" xr:uid="{00000000-0004-0000-0100-0000A4010000}"/>
    <hyperlink ref="F423" r:id="rId422" xr:uid="{00000000-0004-0000-0100-0000A5010000}"/>
    <hyperlink ref="F424" r:id="rId423" xr:uid="{00000000-0004-0000-0100-0000A6010000}"/>
    <hyperlink ref="F425" r:id="rId424" xr:uid="{00000000-0004-0000-0100-0000A7010000}"/>
    <hyperlink ref="F426" r:id="rId425" xr:uid="{00000000-0004-0000-0100-0000A8010000}"/>
    <hyperlink ref="F427" r:id="rId426" xr:uid="{00000000-0004-0000-0100-0000A9010000}"/>
    <hyperlink ref="F428" r:id="rId427" xr:uid="{00000000-0004-0000-0100-0000AA010000}"/>
    <hyperlink ref="F429" r:id="rId428" xr:uid="{00000000-0004-0000-0100-0000AB010000}"/>
    <hyperlink ref="F430" r:id="rId429" xr:uid="{00000000-0004-0000-0100-0000AC010000}"/>
    <hyperlink ref="F431" r:id="rId430" xr:uid="{00000000-0004-0000-0100-0000AD010000}"/>
    <hyperlink ref="F432" r:id="rId431" xr:uid="{00000000-0004-0000-0100-0000AE010000}"/>
    <hyperlink ref="F433" r:id="rId432" xr:uid="{00000000-0004-0000-0100-0000AF010000}"/>
    <hyperlink ref="F434" r:id="rId433" xr:uid="{00000000-0004-0000-0100-0000B0010000}"/>
    <hyperlink ref="F435" r:id="rId434" xr:uid="{00000000-0004-0000-0100-0000B1010000}"/>
    <hyperlink ref="F436" r:id="rId435" xr:uid="{00000000-0004-0000-0100-0000B2010000}"/>
    <hyperlink ref="F437" r:id="rId436" xr:uid="{00000000-0004-0000-0100-0000B3010000}"/>
    <hyperlink ref="F438" r:id="rId437" xr:uid="{00000000-0004-0000-0100-0000B4010000}"/>
    <hyperlink ref="F439" r:id="rId438" xr:uid="{00000000-0004-0000-0100-0000B5010000}"/>
    <hyperlink ref="F440" r:id="rId439" xr:uid="{00000000-0004-0000-0100-0000B6010000}"/>
    <hyperlink ref="F441" r:id="rId440" xr:uid="{00000000-0004-0000-0100-0000B7010000}"/>
    <hyperlink ref="F442" r:id="rId441" xr:uid="{00000000-0004-0000-0100-0000B8010000}"/>
    <hyperlink ref="F443" r:id="rId442" xr:uid="{00000000-0004-0000-0100-0000B9010000}"/>
    <hyperlink ref="F444" r:id="rId443" xr:uid="{00000000-0004-0000-0100-0000BA010000}"/>
    <hyperlink ref="F445" r:id="rId444" xr:uid="{00000000-0004-0000-0100-0000BB010000}"/>
    <hyperlink ref="F446" r:id="rId445" xr:uid="{00000000-0004-0000-0100-0000BC010000}"/>
    <hyperlink ref="F447" r:id="rId446" xr:uid="{00000000-0004-0000-0100-0000BD010000}"/>
    <hyperlink ref="F448" r:id="rId447" xr:uid="{00000000-0004-0000-0100-0000BE010000}"/>
    <hyperlink ref="F449" r:id="rId448" xr:uid="{00000000-0004-0000-0100-0000BF010000}"/>
    <hyperlink ref="F450" r:id="rId449" xr:uid="{00000000-0004-0000-0100-0000C0010000}"/>
    <hyperlink ref="F451" r:id="rId450" xr:uid="{00000000-0004-0000-0100-0000C1010000}"/>
    <hyperlink ref="F452" r:id="rId451" xr:uid="{00000000-0004-0000-0100-0000C2010000}"/>
    <hyperlink ref="F453" r:id="rId452" xr:uid="{00000000-0004-0000-0100-0000C3010000}"/>
    <hyperlink ref="F454" r:id="rId453" xr:uid="{00000000-0004-0000-0100-0000C4010000}"/>
    <hyperlink ref="F455" r:id="rId454" xr:uid="{00000000-0004-0000-0100-0000C5010000}"/>
    <hyperlink ref="F456" r:id="rId455" xr:uid="{00000000-0004-0000-0100-0000C6010000}"/>
    <hyperlink ref="F457" r:id="rId456" xr:uid="{00000000-0004-0000-0100-0000C7010000}"/>
    <hyperlink ref="F458" r:id="rId457" xr:uid="{00000000-0004-0000-0100-0000C8010000}"/>
    <hyperlink ref="F459" r:id="rId458" xr:uid="{00000000-0004-0000-0100-0000C9010000}"/>
    <hyperlink ref="F460" r:id="rId459" xr:uid="{00000000-0004-0000-0100-0000CA010000}"/>
    <hyperlink ref="F461" r:id="rId460" xr:uid="{00000000-0004-0000-0100-0000CB010000}"/>
    <hyperlink ref="F462" r:id="rId461" xr:uid="{00000000-0004-0000-0100-0000CC010000}"/>
    <hyperlink ref="F463" r:id="rId462" xr:uid="{00000000-0004-0000-0100-0000CD010000}"/>
    <hyperlink ref="F464" r:id="rId463" xr:uid="{00000000-0004-0000-0100-0000CE010000}"/>
    <hyperlink ref="F465" r:id="rId464" xr:uid="{00000000-0004-0000-0100-0000CF010000}"/>
    <hyperlink ref="F466" r:id="rId465" xr:uid="{00000000-0004-0000-0100-0000D0010000}"/>
    <hyperlink ref="F467" r:id="rId466" xr:uid="{00000000-0004-0000-0100-0000D1010000}"/>
    <hyperlink ref="F468" r:id="rId467" xr:uid="{00000000-0004-0000-0100-0000D2010000}"/>
    <hyperlink ref="F469" r:id="rId468" xr:uid="{00000000-0004-0000-0100-0000D3010000}"/>
    <hyperlink ref="F470" r:id="rId469" xr:uid="{00000000-0004-0000-0100-0000D4010000}"/>
    <hyperlink ref="F471" r:id="rId470" xr:uid="{00000000-0004-0000-0100-0000D5010000}"/>
    <hyperlink ref="F472" r:id="rId471" xr:uid="{00000000-0004-0000-0100-0000D6010000}"/>
    <hyperlink ref="F473" r:id="rId472" xr:uid="{00000000-0004-0000-0100-0000D7010000}"/>
    <hyperlink ref="F474" r:id="rId473" xr:uid="{00000000-0004-0000-0100-0000D8010000}"/>
    <hyperlink ref="F475" r:id="rId474" xr:uid="{00000000-0004-0000-0100-0000D9010000}"/>
    <hyperlink ref="F476" r:id="rId475" xr:uid="{00000000-0004-0000-0100-0000DA010000}"/>
    <hyperlink ref="F477" r:id="rId476" xr:uid="{00000000-0004-0000-0100-0000DB010000}"/>
    <hyperlink ref="F478" r:id="rId477" xr:uid="{00000000-0004-0000-0100-0000DC010000}"/>
    <hyperlink ref="F479" r:id="rId478" xr:uid="{00000000-0004-0000-0100-0000DD010000}"/>
    <hyperlink ref="F480" r:id="rId479" xr:uid="{00000000-0004-0000-0100-0000DE010000}"/>
    <hyperlink ref="F481" r:id="rId480" xr:uid="{00000000-0004-0000-0100-0000DF010000}"/>
    <hyperlink ref="F482" r:id="rId481" xr:uid="{00000000-0004-0000-0100-0000E0010000}"/>
    <hyperlink ref="F483" r:id="rId482" xr:uid="{00000000-0004-0000-0100-0000E1010000}"/>
    <hyperlink ref="F484" r:id="rId483" xr:uid="{00000000-0004-0000-0100-0000E2010000}"/>
    <hyperlink ref="F485" r:id="rId484" xr:uid="{00000000-0004-0000-0100-0000E3010000}"/>
    <hyperlink ref="F486" r:id="rId485" xr:uid="{00000000-0004-0000-0100-0000E4010000}"/>
    <hyperlink ref="F487" r:id="rId486" xr:uid="{00000000-0004-0000-0100-0000E5010000}"/>
    <hyperlink ref="F488" r:id="rId487" xr:uid="{00000000-0004-0000-0100-0000E6010000}"/>
    <hyperlink ref="F489" r:id="rId488" xr:uid="{00000000-0004-0000-0100-0000E7010000}"/>
    <hyperlink ref="F490" r:id="rId489" xr:uid="{00000000-0004-0000-0100-0000E8010000}"/>
    <hyperlink ref="F491" r:id="rId490" xr:uid="{00000000-0004-0000-0100-0000E9010000}"/>
    <hyperlink ref="F492" r:id="rId491" xr:uid="{00000000-0004-0000-0100-0000EA010000}"/>
    <hyperlink ref="F493" r:id="rId492" xr:uid="{00000000-0004-0000-0100-0000EB010000}"/>
    <hyperlink ref="F494" r:id="rId493" xr:uid="{00000000-0004-0000-0100-0000EC010000}"/>
    <hyperlink ref="F495" r:id="rId494" xr:uid="{00000000-0004-0000-0100-0000ED010000}"/>
    <hyperlink ref="F496" r:id="rId495" xr:uid="{00000000-0004-0000-0100-0000EE010000}"/>
    <hyperlink ref="F497" r:id="rId496" xr:uid="{00000000-0004-0000-0100-0000EF010000}"/>
    <hyperlink ref="F498" r:id="rId497" xr:uid="{00000000-0004-0000-0100-0000F0010000}"/>
    <hyperlink ref="F499" r:id="rId498" xr:uid="{00000000-0004-0000-0100-0000F1010000}"/>
    <hyperlink ref="F500" r:id="rId499" xr:uid="{00000000-0004-0000-0100-0000F2010000}"/>
    <hyperlink ref="F501" r:id="rId500" xr:uid="{00000000-0004-0000-0100-0000F3010000}"/>
    <hyperlink ref="F502" r:id="rId501" xr:uid="{00000000-0004-0000-0100-0000F4010000}"/>
    <hyperlink ref="F503" r:id="rId502" xr:uid="{00000000-0004-0000-0100-0000F5010000}"/>
    <hyperlink ref="F504" r:id="rId503" xr:uid="{00000000-0004-0000-0100-0000F6010000}"/>
    <hyperlink ref="F505" r:id="rId504" xr:uid="{00000000-0004-0000-0100-0000F7010000}"/>
    <hyperlink ref="F506" r:id="rId505" xr:uid="{00000000-0004-0000-0100-0000F8010000}"/>
    <hyperlink ref="F507" r:id="rId506" xr:uid="{00000000-0004-0000-0100-0000F9010000}"/>
    <hyperlink ref="F508" r:id="rId507" xr:uid="{00000000-0004-0000-0100-0000FA010000}"/>
    <hyperlink ref="F509" r:id="rId508" xr:uid="{00000000-0004-0000-0100-0000FB010000}"/>
    <hyperlink ref="F510" r:id="rId509" xr:uid="{00000000-0004-0000-0100-0000FC010000}"/>
    <hyperlink ref="F511" r:id="rId510" xr:uid="{00000000-0004-0000-0100-0000FD010000}"/>
    <hyperlink ref="F512" r:id="rId511" xr:uid="{00000000-0004-0000-0100-0000FE010000}"/>
    <hyperlink ref="F513" r:id="rId512" xr:uid="{00000000-0004-0000-0100-0000FF010000}"/>
    <hyperlink ref="F514" r:id="rId513" xr:uid="{00000000-0004-0000-0100-000000020000}"/>
    <hyperlink ref="F515" r:id="rId514" xr:uid="{00000000-0004-0000-0100-000001020000}"/>
    <hyperlink ref="F516" r:id="rId515" xr:uid="{00000000-0004-0000-0100-000002020000}"/>
    <hyperlink ref="F517" r:id="rId516" xr:uid="{00000000-0004-0000-0100-000003020000}"/>
    <hyperlink ref="F518" r:id="rId517" xr:uid="{00000000-0004-0000-0100-000004020000}"/>
    <hyperlink ref="F519" r:id="rId518" xr:uid="{00000000-0004-0000-0100-000005020000}"/>
    <hyperlink ref="F520" r:id="rId519" xr:uid="{00000000-0004-0000-0100-000006020000}"/>
    <hyperlink ref="F521" r:id="rId520" xr:uid="{00000000-0004-0000-0100-000007020000}"/>
    <hyperlink ref="F522" r:id="rId521" xr:uid="{00000000-0004-0000-0100-000008020000}"/>
    <hyperlink ref="F523" r:id="rId522" xr:uid="{00000000-0004-0000-0100-000009020000}"/>
    <hyperlink ref="F524" r:id="rId523" xr:uid="{00000000-0004-0000-0100-00000A020000}"/>
    <hyperlink ref="F525" r:id="rId524" xr:uid="{00000000-0004-0000-0100-00000B020000}"/>
    <hyperlink ref="F526" r:id="rId525" xr:uid="{00000000-0004-0000-0100-00000C020000}"/>
    <hyperlink ref="F527" r:id="rId526" xr:uid="{00000000-0004-0000-0100-00000D020000}"/>
    <hyperlink ref="F528" r:id="rId527" xr:uid="{00000000-0004-0000-0100-00000E020000}"/>
    <hyperlink ref="F529" r:id="rId528" xr:uid="{00000000-0004-0000-0100-00000F020000}"/>
    <hyperlink ref="F530" r:id="rId529" xr:uid="{00000000-0004-0000-0100-000010020000}"/>
    <hyperlink ref="F531" r:id="rId530" xr:uid="{00000000-0004-0000-0100-000011020000}"/>
    <hyperlink ref="F532" r:id="rId531" xr:uid="{00000000-0004-0000-0100-000012020000}"/>
    <hyperlink ref="F533" r:id="rId532" xr:uid="{00000000-0004-0000-0100-000013020000}"/>
    <hyperlink ref="F534" r:id="rId533" xr:uid="{00000000-0004-0000-0100-000014020000}"/>
    <hyperlink ref="F535" r:id="rId534" xr:uid="{00000000-0004-0000-0100-000015020000}"/>
    <hyperlink ref="F536" r:id="rId535" xr:uid="{00000000-0004-0000-0100-000016020000}"/>
    <hyperlink ref="F537" r:id="rId536" xr:uid="{00000000-0004-0000-0100-000017020000}"/>
    <hyperlink ref="F538" r:id="rId537" xr:uid="{00000000-0004-0000-0100-000018020000}"/>
    <hyperlink ref="F539" r:id="rId538" xr:uid="{00000000-0004-0000-0100-000019020000}"/>
    <hyperlink ref="F540" r:id="rId539" xr:uid="{00000000-0004-0000-0100-00001A020000}"/>
    <hyperlink ref="F541" r:id="rId540" xr:uid="{00000000-0004-0000-0100-00001B020000}"/>
    <hyperlink ref="F542" r:id="rId541" xr:uid="{00000000-0004-0000-0100-00001C020000}"/>
    <hyperlink ref="F543" r:id="rId542" xr:uid="{00000000-0004-0000-0100-00001D020000}"/>
    <hyperlink ref="F544" r:id="rId543" xr:uid="{00000000-0004-0000-0100-00001E020000}"/>
    <hyperlink ref="F545" r:id="rId544" xr:uid="{00000000-0004-0000-0100-00001F020000}"/>
    <hyperlink ref="F546" r:id="rId545" xr:uid="{00000000-0004-0000-0100-000020020000}"/>
    <hyperlink ref="F547" r:id="rId546" xr:uid="{00000000-0004-0000-0100-000021020000}"/>
    <hyperlink ref="F548" r:id="rId547" xr:uid="{00000000-0004-0000-0100-000022020000}"/>
    <hyperlink ref="F549" r:id="rId548" xr:uid="{00000000-0004-0000-0100-000023020000}"/>
    <hyperlink ref="F550" r:id="rId549" xr:uid="{00000000-0004-0000-0100-000024020000}"/>
    <hyperlink ref="F551" r:id="rId550" xr:uid="{00000000-0004-0000-0100-000025020000}"/>
    <hyperlink ref="F552" r:id="rId551" xr:uid="{00000000-0004-0000-0100-000026020000}"/>
    <hyperlink ref="F553" r:id="rId552" xr:uid="{00000000-0004-0000-0100-000027020000}"/>
    <hyperlink ref="F554" r:id="rId553" xr:uid="{00000000-0004-0000-0100-000028020000}"/>
    <hyperlink ref="F555" r:id="rId554" xr:uid="{00000000-0004-0000-0100-000029020000}"/>
    <hyperlink ref="F556" r:id="rId555" xr:uid="{00000000-0004-0000-0100-00002A020000}"/>
    <hyperlink ref="F557" r:id="rId556" xr:uid="{00000000-0004-0000-0100-00002B020000}"/>
    <hyperlink ref="F558" r:id="rId557" xr:uid="{00000000-0004-0000-0100-00002C020000}"/>
    <hyperlink ref="F559" r:id="rId558" xr:uid="{00000000-0004-0000-0100-00002D020000}"/>
    <hyperlink ref="F560" r:id="rId559" xr:uid="{00000000-0004-0000-0100-00002E020000}"/>
    <hyperlink ref="F561" r:id="rId560" xr:uid="{00000000-0004-0000-0100-00002F020000}"/>
    <hyperlink ref="F562" r:id="rId561" xr:uid="{00000000-0004-0000-0100-000030020000}"/>
    <hyperlink ref="F563" r:id="rId562" xr:uid="{00000000-0004-0000-0100-000031020000}"/>
    <hyperlink ref="F564" r:id="rId563" xr:uid="{00000000-0004-0000-0100-000032020000}"/>
    <hyperlink ref="F565" r:id="rId564" xr:uid="{00000000-0004-0000-0100-000033020000}"/>
    <hyperlink ref="F566" r:id="rId565" xr:uid="{00000000-0004-0000-0100-000034020000}"/>
    <hyperlink ref="F567" r:id="rId566" xr:uid="{00000000-0004-0000-0100-000035020000}"/>
    <hyperlink ref="F568" r:id="rId567" xr:uid="{00000000-0004-0000-0100-000036020000}"/>
    <hyperlink ref="F569" r:id="rId568" xr:uid="{00000000-0004-0000-0100-000037020000}"/>
    <hyperlink ref="F570" r:id="rId569" xr:uid="{00000000-0004-0000-0100-000038020000}"/>
    <hyperlink ref="F571" r:id="rId570" xr:uid="{00000000-0004-0000-0100-000039020000}"/>
    <hyperlink ref="F572" r:id="rId571" xr:uid="{00000000-0004-0000-0100-00003A020000}"/>
    <hyperlink ref="F573" r:id="rId572" xr:uid="{00000000-0004-0000-0100-00003B020000}"/>
    <hyperlink ref="F574" r:id="rId573" xr:uid="{00000000-0004-0000-0100-00003C020000}"/>
    <hyperlink ref="F575" r:id="rId574" xr:uid="{00000000-0004-0000-0100-00003D020000}"/>
    <hyperlink ref="F576" r:id="rId575" xr:uid="{00000000-0004-0000-0100-00003E020000}"/>
    <hyperlink ref="F577" r:id="rId576" xr:uid="{00000000-0004-0000-0100-00003F020000}"/>
    <hyperlink ref="F578" r:id="rId577" xr:uid="{00000000-0004-0000-0100-000040020000}"/>
    <hyperlink ref="F579" r:id="rId578" xr:uid="{00000000-0004-0000-0100-000041020000}"/>
    <hyperlink ref="F580" r:id="rId579" xr:uid="{00000000-0004-0000-0100-000042020000}"/>
    <hyperlink ref="F581" r:id="rId580" xr:uid="{00000000-0004-0000-0100-000043020000}"/>
    <hyperlink ref="F582" r:id="rId581" xr:uid="{00000000-0004-0000-0100-000044020000}"/>
    <hyperlink ref="F583" r:id="rId582" xr:uid="{00000000-0004-0000-0100-000045020000}"/>
    <hyperlink ref="F584" r:id="rId583" xr:uid="{00000000-0004-0000-0100-000046020000}"/>
    <hyperlink ref="F585" r:id="rId584" xr:uid="{00000000-0004-0000-0100-000047020000}"/>
    <hyperlink ref="F586" r:id="rId585" xr:uid="{00000000-0004-0000-0100-000048020000}"/>
    <hyperlink ref="F587" r:id="rId586" xr:uid="{00000000-0004-0000-0100-000049020000}"/>
    <hyperlink ref="F588" r:id="rId587" xr:uid="{00000000-0004-0000-0100-00004A020000}"/>
    <hyperlink ref="F589" r:id="rId588" xr:uid="{00000000-0004-0000-0100-00004B020000}"/>
    <hyperlink ref="F590" r:id="rId589" xr:uid="{00000000-0004-0000-0100-00004C020000}"/>
    <hyperlink ref="F591" r:id="rId590" xr:uid="{00000000-0004-0000-0100-00004D020000}"/>
    <hyperlink ref="F592" r:id="rId591" xr:uid="{00000000-0004-0000-0100-00004E020000}"/>
    <hyperlink ref="F593" r:id="rId592" xr:uid="{00000000-0004-0000-0100-00004F020000}"/>
    <hyperlink ref="F594" r:id="rId593" xr:uid="{00000000-0004-0000-0100-000050020000}"/>
    <hyperlink ref="F595" r:id="rId594" xr:uid="{00000000-0004-0000-0100-000051020000}"/>
    <hyperlink ref="F596" r:id="rId595" xr:uid="{00000000-0004-0000-0100-000052020000}"/>
    <hyperlink ref="F597" r:id="rId596" xr:uid="{00000000-0004-0000-0100-000053020000}"/>
    <hyperlink ref="F598" r:id="rId597" xr:uid="{00000000-0004-0000-0100-000054020000}"/>
    <hyperlink ref="F599" r:id="rId598" xr:uid="{00000000-0004-0000-0100-000055020000}"/>
    <hyperlink ref="F600" r:id="rId599" xr:uid="{00000000-0004-0000-0100-000056020000}"/>
    <hyperlink ref="F601" r:id="rId600" xr:uid="{00000000-0004-0000-0100-000057020000}"/>
    <hyperlink ref="F602" r:id="rId601" xr:uid="{00000000-0004-0000-0100-000058020000}"/>
    <hyperlink ref="F603" r:id="rId602" xr:uid="{00000000-0004-0000-0100-000059020000}"/>
    <hyperlink ref="F604" r:id="rId603" xr:uid="{00000000-0004-0000-0100-00005A020000}"/>
    <hyperlink ref="F605" r:id="rId604" xr:uid="{00000000-0004-0000-0100-00005B020000}"/>
    <hyperlink ref="F606" r:id="rId605" xr:uid="{00000000-0004-0000-0100-00005C020000}"/>
    <hyperlink ref="F607" r:id="rId606" xr:uid="{00000000-0004-0000-0100-00005D020000}"/>
    <hyperlink ref="F608" r:id="rId607" xr:uid="{00000000-0004-0000-0100-00005E020000}"/>
    <hyperlink ref="F609" r:id="rId608" xr:uid="{00000000-0004-0000-0100-00005F020000}"/>
    <hyperlink ref="F610" r:id="rId609" xr:uid="{00000000-0004-0000-0100-000060020000}"/>
    <hyperlink ref="F611" r:id="rId610" xr:uid="{00000000-0004-0000-0100-000061020000}"/>
    <hyperlink ref="F612" r:id="rId611" xr:uid="{00000000-0004-0000-0100-000062020000}"/>
    <hyperlink ref="F613" r:id="rId612" xr:uid="{00000000-0004-0000-0100-000063020000}"/>
    <hyperlink ref="F614" r:id="rId613" xr:uid="{00000000-0004-0000-0100-000064020000}"/>
    <hyperlink ref="F615" r:id="rId614" xr:uid="{00000000-0004-0000-0100-000065020000}"/>
    <hyperlink ref="F616" r:id="rId615" xr:uid="{00000000-0004-0000-0100-000066020000}"/>
    <hyperlink ref="F617" r:id="rId616" xr:uid="{00000000-0004-0000-0100-000067020000}"/>
    <hyperlink ref="F618" r:id="rId617" xr:uid="{00000000-0004-0000-0100-000068020000}"/>
    <hyperlink ref="F619" r:id="rId618" xr:uid="{00000000-0004-0000-0100-000069020000}"/>
    <hyperlink ref="F620" r:id="rId619" xr:uid="{00000000-0004-0000-0100-00006A020000}"/>
    <hyperlink ref="F621" r:id="rId620" xr:uid="{00000000-0004-0000-0100-00006B020000}"/>
    <hyperlink ref="F622" r:id="rId621" xr:uid="{00000000-0004-0000-0100-00006C020000}"/>
    <hyperlink ref="F623" r:id="rId622" xr:uid="{00000000-0004-0000-0100-00006D020000}"/>
    <hyperlink ref="F624" r:id="rId623" xr:uid="{00000000-0004-0000-0100-00006E020000}"/>
    <hyperlink ref="F625" r:id="rId624" xr:uid="{00000000-0004-0000-0100-00006F020000}"/>
    <hyperlink ref="F626" r:id="rId625" xr:uid="{00000000-0004-0000-0100-000070020000}"/>
    <hyperlink ref="F627" r:id="rId626" xr:uid="{00000000-0004-0000-0100-000071020000}"/>
    <hyperlink ref="F628" r:id="rId627" xr:uid="{00000000-0004-0000-0100-000072020000}"/>
    <hyperlink ref="F629" r:id="rId628" xr:uid="{00000000-0004-0000-0100-000073020000}"/>
    <hyperlink ref="F630" r:id="rId629" xr:uid="{00000000-0004-0000-0100-000074020000}"/>
    <hyperlink ref="F631" r:id="rId630" xr:uid="{00000000-0004-0000-0100-000075020000}"/>
    <hyperlink ref="F632" r:id="rId631" xr:uid="{00000000-0004-0000-0100-000076020000}"/>
    <hyperlink ref="F633" r:id="rId632" xr:uid="{00000000-0004-0000-0100-000077020000}"/>
    <hyperlink ref="F634" r:id="rId633" xr:uid="{00000000-0004-0000-0100-000078020000}"/>
    <hyperlink ref="F635" r:id="rId634" xr:uid="{00000000-0004-0000-0100-000079020000}"/>
    <hyperlink ref="F636" r:id="rId635" xr:uid="{00000000-0004-0000-0100-00007A020000}"/>
    <hyperlink ref="F637" r:id="rId636" xr:uid="{00000000-0004-0000-0100-00007B020000}"/>
    <hyperlink ref="F638" r:id="rId637" xr:uid="{00000000-0004-0000-0100-00007C020000}"/>
    <hyperlink ref="F639" r:id="rId638" xr:uid="{00000000-0004-0000-0100-00007D020000}"/>
    <hyperlink ref="F640" r:id="rId639" xr:uid="{00000000-0004-0000-0100-00007E020000}"/>
    <hyperlink ref="F641" r:id="rId640" xr:uid="{00000000-0004-0000-0100-00007F020000}"/>
    <hyperlink ref="F642" r:id="rId641" xr:uid="{00000000-0004-0000-0100-000080020000}"/>
    <hyperlink ref="F643" r:id="rId642" xr:uid="{00000000-0004-0000-0100-000081020000}"/>
    <hyperlink ref="F644" r:id="rId643" xr:uid="{00000000-0004-0000-0100-000082020000}"/>
    <hyperlink ref="F645" r:id="rId644" xr:uid="{00000000-0004-0000-0100-000083020000}"/>
    <hyperlink ref="F646" r:id="rId645" xr:uid="{00000000-0004-0000-0100-000084020000}"/>
    <hyperlink ref="F647" r:id="rId646" xr:uid="{00000000-0004-0000-0100-000085020000}"/>
    <hyperlink ref="F648" r:id="rId647" xr:uid="{00000000-0004-0000-0100-000086020000}"/>
    <hyperlink ref="F649" r:id="rId648" xr:uid="{00000000-0004-0000-0100-000087020000}"/>
    <hyperlink ref="F650" r:id="rId649" xr:uid="{00000000-0004-0000-0100-000088020000}"/>
    <hyperlink ref="F651" r:id="rId650" xr:uid="{00000000-0004-0000-0100-000089020000}"/>
    <hyperlink ref="F652" r:id="rId651" xr:uid="{00000000-0004-0000-0100-00008A020000}"/>
    <hyperlink ref="F653" r:id="rId652" xr:uid="{00000000-0004-0000-0100-00008B020000}"/>
    <hyperlink ref="F654" r:id="rId653" xr:uid="{00000000-0004-0000-0100-00008C020000}"/>
    <hyperlink ref="F655" r:id="rId654" xr:uid="{00000000-0004-0000-0100-00008D020000}"/>
    <hyperlink ref="F656" r:id="rId655" xr:uid="{00000000-0004-0000-0100-00008E020000}"/>
    <hyperlink ref="F657" r:id="rId656" xr:uid="{00000000-0004-0000-0100-00008F020000}"/>
    <hyperlink ref="F658" r:id="rId657" xr:uid="{00000000-0004-0000-0100-000090020000}"/>
    <hyperlink ref="F659" r:id="rId658" xr:uid="{00000000-0004-0000-0100-000091020000}"/>
    <hyperlink ref="F660" r:id="rId659" xr:uid="{00000000-0004-0000-0100-000092020000}"/>
    <hyperlink ref="F661" r:id="rId660" xr:uid="{00000000-0004-0000-0100-000093020000}"/>
    <hyperlink ref="F662" r:id="rId661" xr:uid="{00000000-0004-0000-0100-000094020000}"/>
    <hyperlink ref="F663" r:id="rId662" xr:uid="{00000000-0004-0000-0100-000095020000}"/>
    <hyperlink ref="F664" r:id="rId663" xr:uid="{00000000-0004-0000-0100-000096020000}"/>
    <hyperlink ref="F665" r:id="rId664" xr:uid="{00000000-0004-0000-0100-000097020000}"/>
    <hyperlink ref="F666" r:id="rId665" xr:uid="{00000000-0004-0000-0100-000098020000}"/>
    <hyperlink ref="F667" r:id="rId666" xr:uid="{00000000-0004-0000-0100-000099020000}"/>
    <hyperlink ref="F668" r:id="rId667" xr:uid="{00000000-0004-0000-0100-00009A020000}"/>
    <hyperlink ref="F669" r:id="rId668" xr:uid="{00000000-0004-0000-0100-00009B020000}"/>
    <hyperlink ref="F670" r:id="rId669" xr:uid="{00000000-0004-0000-0100-00009C020000}"/>
    <hyperlink ref="F671" r:id="rId670" xr:uid="{00000000-0004-0000-0100-00009D020000}"/>
    <hyperlink ref="F672" r:id="rId671" xr:uid="{00000000-0004-0000-0100-00009E020000}"/>
    <hyperlink ref="F673" r:id="rId672" xr:uid="{00000000-0004-0000-0100-00009F020000}"/>
    <hyperlink ref="F674" r:id="rId673" xr:uid="{00000000-0004-0000-0100-0000A0020000}"/>
    <hyperlink ref="F675" r:id="rId674" xr:uid="{00000000-0004-0000-0100-0000A1020000}"/>
    <hyperlink ref="F676" r:id="rId675" xr:uid="{00000000-0004-0000-0100-0000A2020000}"/>
    <hyperlink ref="F677" r:id="rId676" xr:uid="{00000000-0004-0000-0100-0000A3020000}"/>
    <hyperlink ref="F678" r:id="rId677" xr:uid="{00000000-0004-0000-0100-0000A4020000}"/>
    <hyperlink ref="F679" r:id="rId678" xr:uid="{00000000-0004-0000-0100-0000A5020000}"/>
    <hyperlink ref="F680" r:id="rId679" xr:uid="{00000000-0004-0000-0100-0000A6020000}"/>
    <hyperlink ref="F681" r:id="rId680" xr:uid="{00000000-0004-0000-0100-0000A7020000}"/>
    <hyperlink ref="F682" r:id="rId681" xr:uid="{00000000-0004-0000-0100-0000A8020000}"/>
    <hyperlink ref="F683" r:id="rId682" xr:uid="{00000000-0004-0000-0100-0000A9020000}"/>
    <hyperlink ref="F684" r:id="rId683" xr:uid="{00000000-0004-0000-0100-0000AA020000}"/>
    <hyperlink ref="F685" r:id="rId684" xr:uid="{00000000-0004-0000-0100-0000AB020000}"/>
    <hyperlink ref="F686" r:id="rId685" xr:uid="{00000000-0004-0000-0100-0000AC020000}"/>
    <hyperlink ref="F687" r:id="rId686" xr:uid="{00000000-0004-0000-0100-0000AD020000}"/>
    <hyperlink ref="F688" r:id="rId687" xr:uid="{00000000-0004-0000-0100-0000AE020000}"/>
    <hyperlink ref="F689" r:id="rId688" xr:uid="{00000000-0004-0000-0100-0000AF020000}"/>
    <hyperlink ref="F690" r:id="rId689" xr:uid="{00000000-0004-0000-0100-0000B0020000}"/>
    <hyperlink ref="F691" r:id="rId690" xr:uid="{00000000-0004-0000-0100-0000B1020000}"/>
    <hyperlink ref="F692" r:id="rId691" xr:uid="{00000000-0004-0000-0100-0000B2020000}"/>
    <hyperlink ref="F693" r:id="rId692" xr:uid="{00000000-0004-0000-0100-0000B3020000}"/>
    <hyperlink ref="F694" r:id="rId693" xr:uid="{00000000-0004-0000-0100-0000B4020000}"/>
    <hyperlink ref="F695" r:id="rId694" xr:uid="{00000000-0004-0000-0100-0000B5020000}"/>
    <hyperlink ref="F696" r:id="rId695" xr:uid="{00000000-0004-0000-0100-0000B6020000}"/>
    <hyperlink ref="F697" r:id="rId696" xr:uid="{00000000-0004-0000-0100-0000B7020000}"/>
    <hyperlink ref="F698" r:id="rId697" xr:uid="{00000000-0004-0000-0100-0000B8020000}"/>
    <hyperlink ref="F699" r:id="rId698" xr:uid="{00000000-0004-0000-0100-0000B9020000}"/>
    <hyperlink ref="F700" r:id="rId699" xr:uid="{00000000-0004-0000-0100-0000BA020000}"/>
    <hyperlink ref="F701" r:id="rId700" xr:uid="{00000000-0004-0000-0100-0000BB020000}"/>
    <hyperlink ref="F702" r:id="rId701" xr:uid="{00000000-0004-0000-0100-0000BC020000}"/>
    <hyperlink ref="F703" r:id="rId702" xr:uid="{00000000-0004-0000-0100-0000BD020000}"/>
    <hyperlink ref="F704" r:id="rId703" xr:uid="{00000000-0004-0000-0100-0000BE020000}"/>
    <hyperlink ref="F705" r:id="rId704" xr:uid="{00000000-0004-0000-0100-0000BF020000}"/>
    <hyperlink ref="F706" r:id="rId705" xr:uid="{00000000-0004-0000-0100-0000C0020000}"/>
    <hyperlink ref="F707" r:id="rId706" xr:uid="{00000000-0004-0000-0100-0000C1020000}"/>
    <hyperlink ref="F708" r:id="rId707" xr:uid="{00000000-0004-0000-0100-0000C2020000}"/>
    <hyperlink ref="F709" r:id="rId708" xr:uid="{00000000-0004-0000-0100-0000C3020000}"/>
    <hyperlink ref="F710" r:id="rId709" xr:uid="{00000000-0004-0000-0100-0000C4020000}"/>
    <hyperlink ref="F711" r:id="rId710" xr:uid="{00000000-0004-0000-0100-0000C5020000}"/>
    <hyperlink ref="F712" r:id="rId711" xr:uid="{00000000-0004-0000-0100-0000C6020000}"/>
    <hyperlink ref="F713" r:id="rId712" xr:uid="{00000000-0004-0000-0100-0000C7020000}"/>
    <hyperlink ref="F714" r:id="rId713" xr:uid="{00000000-0004-0000-0100-0000C8020000}"/>
    <hyperlink ref="F715" r:id="rId714" xr:uid="{00000000-0004-0000-0100-0000C9020000}"/>
    <hyperlink ref="F716" r:id="rId715" xr:uid="{00000000-0004-0000-0100-0000CA020000}"/>
    <hyperlink ref="F717" r:id="rId716" xr:uid="{00000000-0004-0000-0100-0000CB020000}"/>
    <hyperlink ref="F718" r:id="rId717" xr:uid="{00000000-0004-0000-0100-0000CC020000}"/>
    <hyperlink ref="F719" r:id="rId718" xr:uid="{00000000-0004-0000-0100-0000CD020000}"/>
    <hyperlink ref="F720" r:id="rId719" xr:uid="{00000000-0004-0000-0100-0000CE020000}"/>
    <hyperlink ref="F721" r:id="rId720" xr:uid="{00000000-0004-0000-0100-0000CF020000}"/>
    <hyperlink ref="F722" r:id="rId721" xr:uid="{00000000-0004-0000-0100-0000D0020000}"/>
    <hyperlink ref="F723" r:id="rId722" xr:uid="{00000000-0004-0000-0100-0000D1020000}"/>
    <hyperlink ref="F724" r:id="rId723" xr:uid="{00000000-0004-0000-0100-0000D2020000}"/>
    <hyperlink ref="F725" r:id="rId724" xr:uid="{00000000-0004-0000-0100-0000D3020000}"/>
    <hyperlink ref="F726" r:id="rId725" xr:uid="{00000000-0004-0000-0100-0000D4020000}"/>
    <hyperlink ref="F727" r:id="rId726" xr:uid="{00000000-0004-0000-0100-0000D5020000}"/>
    <hyperlink ref="F728" r:id="rId727" xr:uid="{00000000-0004-0000-0100-0000D6020000}"/>
    <hyperlink ref="F729" r:id="rId728" xr:uid="{00000000-0004-0000-0100-0000D7020000}"/>
    <hyperlink ref="F730" r:id="rId729" xr:uid="{00000000-0004-0000-0100-0000D8020000}"/>
    <hyperlink ref="F731" r:id="rId730" xr:uid="{00000000-0004-0000-0100-0000D9020000}"/>
    <hyperlink ref="F732" r:id="rId731" xr:uid="{00000000-0004-0000-0100-0000DA020000}"/>
    <hyperlink ref="F733" r:id="rId732" xr:uid="{00000000-0004-0000-0100-0000DB020000}"/>
    <hyperlink ref="F734" r:id="rId733" xr:uid="{00000000-0004-0000-0100-0000DC020000}"/>
    <hyperlink ref="F735" r:id="rId734" xr:uid="{00000000-0004-0000-0100-0000DD020000}"/>
    <hyperlink ref="F736" r:id="rId735" xr:uid="{00000000-0004-0000-0100-0000DE020000}"/>
    <hyperlink ref="F737" r:id="rId736" xr:uid="{00000000-0004-0000-0100-0000DF020000}"/>
    <hyperlink ref="F738" r:id="rId737" xr:uid="{00000000-0004-0000-0100-0000E0020000}"/>
    <hyperlink ref="F739" r:id="rId738" xr:uid="{00000000-0004-0000-0100-0000E1020000}"/>
    <hyperlink ref="F740" r:id="rId739" xr:uid="{00000000-0004-0000-0100-0000E2020000}"/>
    <hyperlink ref="F741" r:id="rId740" xr:uid="{00000000-0004-0000-0100-0000E3020000}"/>
    <hyperlink ref="F742" r:id="rId741" xr:uid="{00000000-0004-0000-0100-0000E4020000}"/>
    <hyperlink ref="F743" r:id="rId742" xr:uid="{00000000-0004-0000-0100-0000E5020000}"/>
    <hyperlink ref="F744" r:id="rId743" xr:uid="{00000000-0004-0000-0100-0000E6020000}"/>
    <hyperlink ref="F745" r:id="rId744" xr:uid="{00000000-0004-0000-0100-0000E7020000}"/>
    <hyperlink ref="F746" r:id="rId745" xr:uid="{00000000-0004-0000-0100-0000E8020000}"/>
    <hyperlink ref="F747" r:id="rId746" xr:uid="{00000000-0004-0000-0100-0000E9020000}"/>
    <hyperlink ref="F748" r:id="rId747" xr:uid="{00000000-0004-0000-0100-0000EA020000}"/>
    <hyperlink ref="F749" r:id="rId748" xr:uid="{00000000-0004-0000-0100-0000EB020000}"/>
    <hyperlink ref="F750" r:id="rId749" xr:uid="{00000000-0004-0000-0100-0000EC020000}"/>
    <hyperlink ref="F751" r:id="rId750" xr:uid="{00000000-0004-0000-0100-0000ED020000}"/>
    <hyperlink ref="F752" r:id="rId751" xr:uid="{00000000-0004-0000-0100-0000EE020000}"/>
    <hyperlink ref="F753" r:id="rId752" xr:uid="{00000000-0004-0000-0100-0000EF020000}"/>
    <hyperlink ref="F754" r:id="rId753" xr:uid="{00000000-0004-0000-0100-0000F0020000}"/>
    <hyperlink ref="F755" r:id="rId754" xr:uid="{00000000-0004-0000-0100-0000F1020000}"/>
    <hyperlink ref="F756" r:id="rId755" xr:uid="{00000000-0004-0000-0100-0000F2020000}"/>
    <hyperlink ref="F757" r:id="rId756" xr:uid="{00000000-0004-0000-0100-0000F3020000}"/>
    <hyperlink ref="F758" r:id="rId757" xr:uid="{00000000-0004-0000-0100-0000F4020000}"/>
  </hyperlinks>
  <pageMargins left="0.7" right="0.7" top="0.75" bottom="0.75" header="0.3" footer="0.3"/>
  <drawing r:id="rId758"/>
  <legacyDrawing r:id="rId759"/>
  <extLst>
    <ext xmlns:x14="http://schemas.microsoft.com/office/spreadsheetml/2009/9/main" uri="{CCE6A557-97BC-4b89-ADB6-D9C93CAAB3DF}">
      <x14:dataValidations xmlns:xm="http://schemas.microsoft.com/office/excel/2006/main" count="3">
        <x14:dataValidation type="list" allowBlank="1" xr:uid="{00000000-0002-0000-0100-000000000000}">
          <x14:formula1>
            <xm:f>Fields!$D$2:$D$15</xm:f>
          </x14:formula1>
          <xm:sqref>B2:B758</xm:sqref>
        </x14:dataValidation>
        <x14:dataValidation type="list" allowBlank="1" xr:uid="{00000000-0002-0000-0100-000001000000}">
          <x14:formula1>
            <xm:f>Fields!$F$2:$F$12</xm:f>
          </x14:formula1>
          <xm:sqref>C2:C758</xm:sqref>
        </x14:dataValidation>
        <x14:dataValidation type="list" allowBlank="1" xr:uid="{00000000-0002-0000-0100-000002000000}">
          <x14:formula1>
            <xm:f>Fields!$A$2:$A$8</xm:f>
          </x14:formula1>
          <xm:sqref>D2:D758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9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30.5703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 min="34" max="35" width="36.42578125" customWidth="1"/>
  </cols>
  <sheetData>
    <row r="1" spans="1:35" ht="45" customHeight="1">
      <c r="A1" s="2" t="s">
        <v>1</v>
      </c>
      <c r="B1" s="7" t="str">
        <f>HYPERLINK("#rangeid=2086300674","Content Owner")</f>
        <v>Content Owner</v>
      </c>
      <c r="C1" s="11" t="str">
        <f>HYPERLINK("#rangeid=632369931","Video Owner")</f>
        <v>Video Owner</v>
      </c>
      <c r="D1" s="13" t="s">
        <v>6</v>
      </c>
      <c r="E1" s="14" t="s">
        <v>12</v>
      </c>
      <c r="F1" s="16" t="s">
        <v>16</v>
      </c>
      <c r="G1" s="2" t="s">
        <v>18</v>
      </c>
      <c r="H1" s="26" t="str">
        <f>HYPERLINK("#rangeid=906849400","Description")</f>
        <v>Description</v>
      </c>
      <c r="I1" s="21" t="s">
        <v>22</v>
      </c>
      <c r="J1" s="2" t="s">
        <v>24</v>
      </c>
      <c r="K1" s="23" t="s">
        <v>25</v>
      </c>
      <c r="L1" s="2" t="s">
        <v>27</v>
      </c>
      <c r="M1" s="2" t="s">
        <v>28</v>
      </c>
      <c r="N1" s="2"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c r="AC1" s="37"/>
      <c r="AD1" s="37"/>
      <c r="AE1" s="37"/>
      <c r="AF1" s="37"/>
      <c r="AG1" s="37"/>
      <c r="AH1" s="37"/>
      <c r="AI1" s="37"/>
    </row>
    <row r="2" spans="1:35">
      <c r="A2" s="38">
        <v>757</v>
      </c>
      <c r="B2" s="39" t="s">
        <v>54</v>
      </c>
      <c r="C2" s="40"/>
      <c r="D2" s="42" t="s">
        <v>56</v>
      </c>
      <c r="E2" s="38" t="s">
        <v>57</v>
      </c>
      <c r="F2" s="43" t="s">
        <v>59</v>
      </c>
      <c r="G2" s="44"/>
      <c r="H2" s="45"/>
      <c r="I2" s="38"/>
      <c r="J2" s="38">
        <f>11.812*1000</f>
        <v>11812</v>
      </c>
      <c r="K2" s="46">
        <v>5.0972222222222224E-2</v>
      </c>
      <c r="L2" s="47" t="s">
        <v>62</v>
      </c>
      <c r="M2" s="46"/>
      <c r="N2" s="46"/>
      <c r="O2" s="38"/>
      <c r="P2" s="49"/>
      <c r="Q2" s="14" t="str">
        <f t="shared" ref="Q2:Q176" ca="1" si="0">HYPERLINK(IF(INT(A2)-A2=0,"",REPLACE(INDIRECT("MasterList!e"&amp;INT(A2)+1),25,8,"embed/")&amp;"?start="&amp;HOUR(M2)*3600+MINUTE(M2)*60+SECOND(M2)&amp;"&amp;end="&amp;HOUR(N2)*3600+MINUTE(N2)*60+SECOND(N2)&amp;"&amp;autoplay=1"))</f>
        <v/>
      </c>
      <c r="R2" s="50" t="s">
        <v>63</v>
      </c>
      <c r="S2" s="50" t="s">
        <v>63</v>
      </c>
      <c r="T2" s="50" t="s">
        <v>63</v>
      </c>
      <c r="U2" s="52"/>
      <c r="V2" s="53"/>
      <c r="W2" s="57" t="s">
        <v>64</v>
      </c>
      <c r="X2" s="56"/>
      <c r="Y2" s="38"/>
      <c r="Z2" s="38" t="s">
        <v>67</v>
      </c>
      <c r="AH2" s="38"/>
      <c r="AI2" s="38"/>
    </row>
    <row r="3" spans="1:35">
      <c r="A3" s="38">
        <v>757.01</v>
      </c>
      <c r="B3" s="39" t="s">
        <v>54</v>
      </c>
      <c r="C3" s="40"/>
      <c r="D3" s="42" t="s">
        <v>56</v>
      </c>
      <c r="E3" s="38"/>
      <c r="F3" s="43"/>
      <c r="G3" s="44" t="s">
        <v>68</v>
      </c>
      <c r="H3" s="58" t="s">
        <v>69</v>
      </c>
      <c r="I3" s="38"/>
      <c r="J3" s="38"/>
      <c r="K3" s="46"/>
      <c r="L3" s="47"/>
      <c r="M3" s="46">
        <v>6.134259259259259E-4</v>
      </c>
      <c r="N3" s="46">
        <v>1.5740740740740741E-3</v>
      </c>
      <c r="O3" s="46">
        <f t="shared" ref="O3:O14" si="1">N3-M3</f>
        <v>9.6064814814814819E-4</v>
      </c>
      <c r="P3" s="49">
        <v>43007</v>
      </c>
      <c r="Q3" s="59" t="str">
        <f t="shared" ca="1" si="0"/>
        <v>https://www.youtube.com/embed/79r5KYH0nBI?start=53&amp;end=136&amp;autoplay=1</v>
      </c>
      <c r="R3" s="50"/>
      <c r="S3" s="50"/>
      <c r="T3" s="50"/>
      <c r="U3" s="52"/>
      <c r="V3" s="53"/>
      <c r="W3" s="60"/>
      <c r="X3" s="56"/>
      <c r="Y3" s="38"/>
      <c r="Z3" s="38"/>
      <c r="AH3" s="38"/>
      <c r="AI3" s="38"/>
    </row>
    <row r="4" spans="1:35">
      <c r="A4" s="38">
        <v>757.02</v>
      </c>
      <c r="B4" s="39" t="s">
        <v>54</v>
      </c>
      <c r="C4" s="40"/>
      <c r="D4" s="42" t="s">
        <v>56</v>
      </c>
      <c r="E4" s="38"/>
      <c r="F4" s="43"/>
      <c r="G4" s="44" t="s">
        <v>72</v>
      </c>
      <c r="H4" s="45" t="s">
        <v>73</v>
      </c>
      <c r="I4" s="38"/>
      <c r="J4" s="38"/>
      <c r="K4" s="46"/>
      <c r="L4" s="47"/>
      <c r="M4" s="46">
        <v>2.8703703703703703E-3</v>
      </c>
      <c r="N4" s="46">
        <v>4.6296296296296294E-3</v>
      </c>
      <c r="O4" s="46">
        <f t="shared" si="1"/>
        <v>1.759259259259259E-3</v>
      </c>
      <c r="P4" s="49">
        <v>43007</v>
      </c>
      <c r="Q4" s="59" t="str">
        <f t="shared" ca="1" si="0"/>
        <v>https://www.youtube.com/embed/79r5KYH0nBI?start=248&amp;end=400&amp;autoplay=1</v>
      </c>
      <c r="R4" s="50" t="s">
        <v>63</v>
      </c>
      <c r="S4" s="50" t="s">
        <v>63</v>
      </c>
      <c r="T4" s="50" t="s">
        <v>63</v>
      </c>
      <c r="U4" s="52"/>
      <c r="V4" s="53"/>
      <c r="W4" s="57" t="s">
        <v>64</v>
      </c>
      <c r="X4" s="56"/>
      <c r="Y4" s="38"/>
      <c r="Z4" s="38" t="s">
        <v>76</v>
      </c>
      <c r="AH4" s="38"/>
      <c r="AI4" s="38"/>
    </row>
    <row r="5" spans="1:35">
      <c r="A5" s="38">
        <v>757.03</v>
      </c>
      <c r="B5" s="39" t="s">
        <v>54</v>
      </c>
      <c r="C5" s="40"/>
      <c r="D5" s="42" t="s">
        <v>56</v>
      </c>
      <c r="E5" s="38"/>
      <c r="F5" s="43"/>
      <c r="G5" s="44" t="s">
        <v>77</v>
      </c>
      <c r="H5" s="45" t="s">
        <v>78</v>
      </c>
      <c r="I5" s="38"/>
      <c r="J5" s="38"/>
      <c r="K5" s="46"/>
      <c r="L5" s="47"/>
      <c r="M5" s="46">
        <v>4.7222222222222223E-3</v>
      </c>
      <c r="N5" s="46">
        <v>5.7291666666666663E-3</v>
      </c>
      <c r="O5" s="46">
        <f t="shared" si="1"/>
        <v>1.006944444444444E-3</v>
      </c>
      <c r="P5" s="49">
        <v>43007</v>
      </c>
      <c r="Q5" s="59" t="str">
        <f t="shared" ca="1" si="0"/>
        <v>https://www.youtube.com/embed/79r5KYH0nBI?start=408&amp;end=495&amp;autoplay=1</v>
      </c>
      <c r="R5" s="50" t="s">
        <v>63</v>
      </c>
      <c r="S5" s="50" t="s">
        <v>63</v>
      </c>
      <c r="T5" s="50" t="s">
        <v>63</v>
      </c>
      <c r="U5" s="52"/>
      <c r="V5" s="53"/>
      <c r="W5" s="57" t="s">
        <v>64</v>
      </c>
      <c r="X5" s="56"/>
      <c r="Y5" s="38"/>
      <c r="Z5" s="38" t="s">
        <v>81</v>
      </c>
      <c r="AH5" s="38"/>
      <c r="AI5" s="38"/>
    </row>
    <row r="6" spans="1:35">
      <c r="A6" s="38">
        <v>757.04</v>
      </c>
      <c r="B6" s="39" t="s">
        <v>54</v>
      </c>
      <c r="C6" s="40"/>
      <c r="D6" s="42" t="s">
        <v>56</v>
      </c>
      <c r="E6" s="38"/>
      <c r="F6" s="43"/>
      <c r="G6" s="44" t="s">
        <v>82</v>
      </c>
      <c r="H6" s="45" t="s">
        <v>83</v>
      </c>
      <c r="I6" s="38"/>
      <c r="J6" s="38"/>
      <c r="K6" s="46"/>
      <c r="L6" s="47"/>
      <c r="M6" s="46">
        <v>5.9606481481481481E-3</v>
      </c>
      <c r="N6" s="46">
        <v>9.2361111111111116E-3</v>
      </c>
      <c r="O6" s="46">
        <f t="shared" si="1"/>
        <v>3.2754629629629635E-3</v>
      </c>
      <c r="P6" s="49">
        <v>43007</v>
      </c>
      <c r="Q6" s="59" t="str">
        <f t="shared" ca="1" si="0"/>
        <v>https://www.youtube.com/embed/79r5KYH0nBI?start=515&amp;end=798&amp;autoplay=1</v>
      </c>
      <c r="R6" s="50" t="s">
        <v>63</v>
      </c>
      <c r="S6" s="50" t="s">
        <v>63</v>
      </c>
      <c r="T6" s="50" t="s">
        <v>63</v>
      </c>
      <c r="U6" s="52"/>
      <c r="V6" s="53"/>
      <c r="W6" s="57" t="s">
        <v>64</v>
      </c>
      <c r="X6" s="56"/>
      <c r="Y6" s="38"/>
      <c r="Z6" s="38" t="s">
        <v>86</v>
      </c>
      <c r="AH6" s="38"/>
      <c r="AI6" s="38"/>
    </row>
    <row r="7" spans="1:35">
      <c r="A7" s="38">
        <v>757.05</v>
      </c>
      <c r="B7" s="39" t="s">
        <v>54</v>
      </c>
      <c r="C7" s="40"/>
      <c r="D7" s="42" t="s">
        <v>56</v>
      </c>
      <c r="E7" s="38"/>
      <c r="F7" s="43"/>
      <c r="G7" s="44" t="s">
        <v>87</v>
      </c>
      <c r="H7" s="45" t="s">
        <v>88</v>
      </c>
      <c r="I7" s="38"/>
      <c r="J7" s="38"/>
      <c r="K7" s="46"/>
      <c r="L7" s="47"/>
      <c r="M7" s="46">
        <v>9.2361111111111116E-3</v>
      </c>
      <c r="N7" s="46">
        <v>1.0416666666666666E-2</v>
      </c>
      <c r="O7" s="46">
        <f t="shared" si="1"/>
        <v>1.1805555555555545E-3</v>
      </c>
      <c r="P7" s="49">
        <v>43007</v>
      </c>
      <c r="Q7" s="59" t="str">
        <f t="shared" ca="1" si="0"/>
        <v>https://www.youtube.com/embed/79r5KYH0nBI?start=798&amp;end=900&amp;autoplay=1</v>
      </c>
      <c r="R7" s="50" t="s">
        <v>63</v>
      </c>
      <c r="S7" s="50" t="s">
        <v>63</v>
      </c>
      <c r="T7" s="50" t="s">
        <v>63</v>
      </c>
      <c r="U7" s="52"/>
      <c r="V7" s="53"/>
      <c r="W7" s="57" t="s">
        <v>64</v>
      </c>
      <c r="X7" s="56"/>
      <c r="Y7" s="38"/>
      <c r="Z7" s="38" t="s">
        <v>89</v>
      </c>
      <c r="AH7" s="38"/>
      <c r="AI7" s="38"/>
    </row>
    <row r="8" spans="1:35">
      <c r="A8" s="38">
        <v>757.06</v>
      </c>
      <c r="B8" s="39" t="s">
        <v>54</v>
      </c>
      <c r="C8" s="40"/>
      <c r="D8" s="42" t="s">
        <v>56</v>
      </c>
      <c r="E8" s="38"/>
      <c r="F8" s="43"/>
      <c r="G8" s="44" t="s">
        <v>92</v>
      </c>
      <c r="H8" s="45" t="s">
        <v>93</v>
      </c>
      <c r="I8" s="38"/>
      <c r="J8" s="38"/>
      <c r="K8" s="46"/>
      <c r="L8" s="47"/>
      <c r="M8" s="46">
        <v>1.0914351851851852E-2</v>
      </c>
      <c r="N8" s="46">
        <v>1.361111111111111E-2</v>
      </c>
      <c r="O8" s="46">
        <f t="shared" si="1"/>
        <v>2.6967592592592581E-3</v>
      </c>
      <c r="P8" s="49">
        <v>43007</v>
      </c>
      <c r="Q8" s="59" t="str">
        <f t="shared" ca="1" si="0"/>
        <v>https://www.youtube.com/embed/79r5KYH0nBI?start=943&amp;end=1176&amp;autoplay=1</v>
      </c>
      <c r="R8" s="50" t="s">
        <v>63</v>
      </c>
      <c r="S8" s="50" t="s">
        <v>63</v>
      </c>
      <c r="T8" s="50" t="s">
        <v>63</v>
      </c>
      <c r="U8" s="52"/>
      <c r="V8" s="53"/>
      <c r="W8" s="57" t="s">
        <v>64</v>
      </c>
      <c r="X8" s="56"/>
      <c r="Y8" s="38"/>
      <c r="Z8" s="38" t="s">
        <v>94</v>
      </c>
      <c r="AH8" s="38"/>
      <c r="AI8" s="38"/>
    </row>
    <row r="9" spans="1:35">
      <c r="A9" s="38">
        <v>757.07</v>
      </c>
      <c r="B9" s="39" t="s">
        <v>54</v>
      </c>
      <c r="C9" s="40"/>
      <c r="D9" s="42" t="s">
        <v>56</v>
      </c>
      <c r="E9" s="38"/>
      <c r="F9" s="43"/>
      <c r="G9" s="44" t="s">
        <v>95</v>
      </c>
      <c r="H9" s="58"/>
      <c r="I9" s="38"/>
      <c r="J9" s="38"/>
      <c r="K9" s="46"/>
      <c r="L9" s="47"/>
      <c r="M9" s="46">
        <v>1.6006944444444445E-2</v>
      </c>
      <c r="N9" s="46">
        <v>1.9351851851851853E-2</v>
      </c>
      <c r="O9" s="46">
        <f t="shared" si="1"/>
        <v>3.3449074074074076E-3</v>
      </c>
      <c r="P9" s="49">
        <v>43007</v>
      </c>
      <c r="Q9" s="59" t="str">
        <f t="shared" ca="1" si="0"/>
        <v>https://www.youtube.com/embed/79r5KYH0nBI?start=1383&amp;end=1672&amp;autoplay=1</v>
      </c>
      <c r="R9" s="50" t="s">
        <v>63</v>
      </c>
      <c r="S9" s="50" t="s">
        <v>63</v>
      </c>
      <c r="T9" s="50" t="s">
        <v>63</v>
      </c>
      <c r="U9" s="52"/>
      <c r="V9" s="53"/>
      <c r="W9" s="57" t="s">
        <v>64</v>
      </c>
      <c r="X9" s="56"/>
      <c r="Y9" s="38"/>
      <c r="Z9" s="38" t="s">
        <v>94</v>
      </c>
      <c r="AH9" s="38"/>
      <c r="AI9" s="38"/>
    </row>
    <row r="10" spans="1:35">
      <c r="A10" s="42">
        <v>757.08</v>
      </c>
      <c r="B10" s="39" t="s">
        <v>54</v>
      </c>
      <c r="C10" s="40"/>
      <c r="D10" s="42" t="s">
        <v>56</v>
      </c>
      <c r="E10" s="38"/>
      <c r="F10" s="43"/>
      <c r="G10" s="44" t="s">
        <v>98</v>
      </c>
      <c r="H10" s="45" t="s">
        <v>99</v>
      </c>
      <c r="I10" s="38"/>
      <c r="J10" s="38"/>
      <c r="K10" s="46"/>
      <c r="L10" s="47"/>
      <c r="M10" s="46">
        <v>2.0196759259259258E-2</v>
      </c>
      <c r="N10" s="46">
        <v>2.329861111111111E-2</v>
      </c>
      <c r="O10" s="62">
        <f t="shared" si="1"/>
        <v>3.1018518518518522E-3</v>
      </c>
      <c r="P10" s="49">
        <v>43007</v>
      </c>
      <c r="Q10" s="59" t="str">
        <f t="shared" ca="1" si="0"/>
        <v>https://www.youtube.com/embed/79r5KYH0nBI?start=1745&amp;end=2013&amp;autoplay=1</v>
      </c>
      <c r="R10" s="50" t="s">
        <v>63</v>
      </c>
      <c r="S10" s="50" t="s">
        <v>63</v>
      </c>
      <c r="T10" s="50" t="s">
        <v>63</v>
      </c>
      <c r="U10" s="52"/>
      <c r="V10" s="53"/>
      <c r="W10" s="57" t="s">
        <v>64</v>
      </c>
      <c r="X10" s="56"/>
      <c r="Y10" s="38"/>
      <c r="Z10" s="38" t="s">
        <v>102</v>
      </c>
      <c r="AH10" s="38"/>
      <c r="AI10" s="38"/>
    </row>
    <row r="11" spans="1:35">
      <c r="A11" s="38">
        <v>757.09</v>
      </c>
      <c r="B11" s="39" t="s">
        <v>54</v>
      </c>
      <c r="C11" s="40"/>
      <c r="D11" s="42" t="s">
        <v>56</v>
      </c>
      <c r="E11" s="38"/>
      <c r="F11" s="43"/>
      <c r="G11" s="44" t="s">
        <v>103</v>
      </c>
      <c r="H11" s="45" t="s">
        <v>104</v>
      </c>
      <c r="I11" s="38"/>
      <c r="J11" s="38"/>
      <c r="K11" s="46"/>
      <c r="L11" s="47"/>
      <c r="M11" s="46">
        <v>2.4305555555555556E-2</v>
      </c>
      <c r="N11" s="46">
        <v>2.6388888888888889E-2</v>
      </c>
      <c r="O11" s="46">
        <f t="shared" si="1"/>
        <v>2.0833333333333329E-3</v>
      </c>
      <c r="P11" s="49">
        <v>43007</v>
      </c>
      <c r="Q11" s="59" t="str">
        <f t="shared" ca="1" si="0"/>
        <v>https://www.youtube.com/embed/79r5KYH0nBI?start=2100&amp;end=2280&amp;autoplay=1</v>
      </c>
      <c r="R11" s="50" t="s">
        <v>63</v>
      </c>
      <c r="S11" s="50" t="s">
        <v>63</v>
      </c>
      <c r="T11" s="50" t="s">
        <v>63</v>
      </c>
      <c r="U11" s="52"/>
      <c r="V11" s="53"/>
      <c r="W11" s="57" t="s">
        <v>64</v>
      </c>
      <c r="X11" s="56"/>
      <c r="Y11" s="38"/>
      <c r="Z11" s="38" t="s">
        <v>107</v>
      </c>
      <c r="AH11" s="38"/>
      <c r="AI11" s="38"/>
    </row>
    <row r="12" spans="1:35">
      <c r="A12" s="38">
        <v>757.1</v>
      </c>
      <c r="B12" s="39" t="s">
        <v>54</v>
      </c>
      <c r="C12" s="40"/>
      <c r="D12" s="42" t="s">
        <v>56</v>
      </c>
      <c r="E12" s="38"/>
      <c r="F12" s="43"/>
      <c r="G12" s="44" t="s">
        <v>108</v>
      </c>
      <c r="H12" s="45"/>
      <c r="I12" s="38"/>
      <c r="J12" s="38"/>
      <c r="K12" s="46"/>
      <c r="L12" s="47"/>
      <c r="M12" s="46">
        <v>2.6412037037037036E-2</v>
      </c>
      <c r="N12" s="46">
        <v>2.9085648148148149E-2</v>
      </c>
      <c r="O12" s="46">
        <f t="shared" si="1"/>
        <v>2.6736111111111127E-3</v>
      </c>
      <c r="P12" s="49">
        <v>43007</v>
      </c>
      <c r="Q12" s="59" t="str">
        <f t="shared" ca="1" si="0"/>
        <v>https://www.youtube.com/embed/79r5KYH0nBI?start=2282&amp;end=2513&amp;autoplay=1</v>
      </c>
      <c r="R12" s="50" t="s">
        <v>63</v>
      </c>
      <c r="S12" s="50" t="s">
        <v>63</v>
      </c>
      <c r="T12" s="50" t="s">
        <v>63</v>
      </c>
      <c r="U12" s="52"/>
      <c r="V12" s="53"/>
      <c r="W12" s="57" t="s">
        <v>64</v>
      </c>
      <c r="X12" s="56"/>
      <c r="Y12" s="38"/>
      <c r="Z12" s="38"/>
      <c r="AH12" s="38"/>
      <c r="AI12" s="38"/>
    </row>
    <row r="13" spans="1:35">
      <c r="A13" s="42">
        <v>757.11</v>
      </c>
      <c r="B13" s="39" t="s">
        <v>54</v>
      </c>
      <c r="C13" s="40"/>
      <c r="D13" s="42" t="s">
        <v>56</v>
      </c>
      <c r="E13" s="38"/>
      <c r="F13" s="43"/>
      <c r="G13" s="44" t="s">
        <v>111</v>
      </c>
      <c r="H13" s="45"/>
      <c r="I13" s="38"/>
      <c r="J13" s="38"/>
      <c r="K13" s="46"/>
      <c r="L13" s="47"/>
      <c r="M13" s="46">
        <v>2.9108796296296296E-2</v>
      </c>
      <c r="N13" s="46">
        <v>3.1226851851851853E-2</v>
      </c>
      <c r="O13" s="62">
        <f t="shared" si="1"/>
        <v>2.1180555555555571E-3</v>
      </c>
      <c r="P13" s="49">
        <v>43007</v>
      </c>
      <c r="Q13" s="59" t="str">
        <f t="shared" ca="1" si="0"/>
        <v>https://www.youtube.com/embed/79r5KYH0nBI?start=2515&amp;end=2698&amp;autoplay=1</v>
      </c>
      <c r="R13" s="50" t="s">
        <v>63</v>
      </c>
      <c r="S13" s="50" t="s">
        <v>63</v>
      </c>
      <c r="T13" s="50" t="s">
        <v>63</v>
      </c>
      <c r="U13" s="52"/>
      <c r="V13" s="53"/>
      <c r="W13" s="57" t="s">
        <v>64</v>
      </c>
      <c r="X13" s="56"/>
      <c r="Y13" s="38"/>
      <c r="Z13" s="38"/>
      <c r="AH13" s="38"/>
      <c r="AI13" s="38"/>
    </row>
    <row r="14" spans="1:35">
      <c r="A14" s="38">
        <v>757.12</v>
      </c>
      <c r="B14" s="39" t="s">
        <v>54</v>
      </c>
      <c r="C14" s="40"/>
      <c r="D14" s="42" t="s">
        <v>56</v>
      </c>
      <c r="E14" s="38"/>
      <c r="F14" s="43"/>
      <c r="G14" s="63" t="s">
        <v>113</v>
      </c>
      <c r="H14" s="58" t="s">
        <v>115</v>
      </c>
      <c r="I14" s="38"/>
      <c r="J14" s="38"/>
      <c r="K14" s="46"/>
      <c r="L14" s="47"/>
      <c r="M14" s="46">
        <v>3.125E-2</v>
      </c>
      <c r="N14" s="64">
        <v>3.30787037037037E-2</v>
      </c>
      <c r="O14" s="62">
        <f t="shared" si="1"/>
        <v>1.8287037037037004E-3</v>
      </c>
      <c r="P14" s="49">
        <v>43007</v>
      </c>
      <c r="Q14" s="59" t="str">
        <f t="shared" ca="1" si="0"/>
        <v>https://www.youtube.com/embed/79r5KYH0nBI?start=2700&amp;end=2858&amp;autoplay=1</v>
      </c>
      <c r="R14" s="50" t="s">
        <v>63</v>
      </c>
      <c r="S14" s="50" t="s">
        <v>63</v>
      </c>
      <c r="T14" s="50" t="s">
        <v>63</v>
      </c>
      <c r="U14" s="52"/>
      <c r="V14" s="53"/>
      <c r="W14" s="57" t="s">
        <v>64</v>
      </c>
      <c r="X14" s="56"/>
      <c r="Y14" s="38"/>
      <c r="Z14" s="38"/>
      <c r="AH14" s="38"/>
      <c r="AI14" s="38"/>
    </row>
    <row r="15" spans="1:35">
      <c r="A15" s="38">
        <v>39</v>
      </c>
      <c r="B15" s="39" t="s">
        <v>54</v>
      </c>
      <c r="C15" s="40"/>
      <c r="D15" s="42" t="s">
        <v>56</v>
      </c>
      <c r="E15" s="38" t="s">
        <v>120</v>
      </c>
      <c r="F15" s="43" t="s">
        <v>121</v>
      </c>
      <c r="G15" s="44"/>
      <c r="H15" s="45"/>
      <c r="I15" s="38"/>
      <c r="J15" s="38">
        <f>5.9*1000</f>
        <v>5900</v>
      </c>
      <c r="K15" s="46">
        <v>6.5740740740740733E-3</v>
      </c>
      <c r="L15" s="47" t="s">
        <v>61</v>
      </c>
      <c r="M15" s="62"/>
      <c r="N15" s="62"/>
      <c r="O15" s="38"/>
      <c r="P15" s="65"/>
      <c r="Q15" s="14" t="str">
        <f t="shared" ca="1" si="0"/>
        <v/>
      </c>
      <c r="R15" s="39"/>
      <c r="S15" s="39"/>
      <c r="T15" s="51"/>
      <c r="U15" s="40"/>
      <c r="V15" s="54"/>
      <c r="W15" s="55"/>
      <c r="X15" s="56"/>
      <c r="Y15" s="38"/>
      <c r="Z15" s="38"/>
      <c r="AA15" s="38"/>
      <c r="AB15" s="38"/>
      <c r="AH15" s="38"/>
      <c r="AI15" s="38"/>
    </row>
    <row r="16" spans="1:35">
      <c r="A16" s="42">
        <v>39.01</v>
      </c>
      <c r="B16" s="39" t="s">
        <v>54</v>
      </c>
      <c r="C16" s="40"/>
      <c r="D16" s="42" t="s">
        <v>56</v>
      </c>
      <c r="E16" s="38"/>
      <c r="F16" s="43"/>
      <c r="G16" s="42" t="s">
        <v>124</v>
      </c>
      <c r="H16" s="58" t="s">
        <v>125</v>
      </c>
      <c r="I16" s="38"/>
      <c r="J16" s="38"/>
      <c r="K16" s="46"/>
      <c r="L16" s="47"/>
      <c r="M16" s="64">
        <v>5.6712962962962967E-4</v>
      </c>
      <c r="N16" s="64">
        <v>1.8518518518518519E-3</v>
      </c>
      <c r="O16" s="46">
        <f t="shared" ref="O16:O17" si="2">N16-M16</f>
        <v>1.2847222222222223E-3</v>
      </c>
      <c r="P16" s="66">
        <v>43015</v>
      </c>
      <c r="Q16" s="59" t="str">
        <f t="shared" ca="1" si="0"/>
        <v>https://www.youtube.com/embed/iS7CE9mrtI4?start=49&amp;end=160&amp;autoplay=1</v>
      </c>
      <c r="R16" s="39" t="s">
        <v>63</v>
      </c>
      <c r="S16" s="39" t="s">
        <v>131</v>
      </c>
      <c r="T16" s="67" t="s">
        <v>63</v>
      </c>
      <c r="U16" s="52"/>
      <c r="V16" s="53"/>
      <c r="W16" s="57" t="s">
        <v>64</v>
      </c>
      <c r="X16" s="56"/>
      <c r="Y16" s="38"/>
      <c r="Z16" s="42" t="s">
        <v>133</v>
      </c>
      <c r="AH16" s="38"/>
      <c r="AI16" s="38"/>
    </row>
    <row r="17" spans="1:35">
      <c r="A17" s="42">
        <v>39.020000000000003</v>
      </c>
      <c r="B17" s="39" t="s">
        <v>54</v>
      </c>
      <c r="C17" s="40"/>
      <c r="D17" s="42" t="s">
        <v>56</v>
      </c>
      <c r="E17" s="38"/>
      <c r="F17" s="43"/>
      <c r="G17" s="63" t="s">
        <v>137</v>
      </c>
      <c r="H17" s="58" t="s">
        <v>138</v>
      </c>
      <c r="I17" s="38"/>
      <c r="J17" s="38"/>
      <c r="K17" s="46"/>
      <c r="L17" s="47"/>
      <c r="M17" s="64">
        <v>2.1875000000000002E-3</v>
      </c>
      <c r="N17" s="64">
        <v>6.5509259259259262E-3</v>
      </c>
      <c r="O17" s="46">
        <f t="shared" si="2"/>
        <v>4.363425925925926E-3</v>
      </c>
      <c r="P17" s="66">
        <v>43015</v>
      </c>
      <c r="Q17" s="59" t="str">
        <f t="shared" ca="1" si="0"/>
        <v>https://www.youtube.com/embed/iS7CE9mrtI4?start=189&amp;end=566&amp;autoplay=1</v>
      </c>
      <c r="R17" s="67" t="s">
        <v>63</v>
      </c>
      <c r="S17" s="67" t="s">
        <v>131</v>
      </c>
      <c r="T17" s="50" t="s">
        <v>63</v>
      </c>
      <c r="U17" s="52"/>
      <c r="V17" s="53"/>
      <c r="W17" s="57" t="s">
        <v>64</v>
      </c>
      <c r="X17" s="56"/>
      <c r="Y17" s="38"/>
      <c r="Z17" s="42" t="s">
        <v>133</v>
      </c>
      <c r="AH17" s="38"/>
      <c r="AI17" s="38"/>
    </row>
    <row r="18" spans="1:35">
      <c r="A18" s="38">
        <v>40</v>
      </c>
      <c r="B18" s="39" t="s">
        <v>54</v>
      </c>
      <c r="C18" s="40"/>
      <c r="D18" s="42" t="s">
        <v>56</v>
      </c>
      <c r="E18" s="38" t="s">
        <v>143</v>
      </c>
      <c r="F18" s="43" t="s">
        <v>144</v>
      </c>
      <c r="G18" s="44"/>
      <c r="H18" s="45"/>
      <c r="I18" s="38"/>
      <c r="J18" s="38">
        <f>3*1000</f>
        <v>3000</v>
      </c>
      <c r="K18" s="46">
        <v>3.1944444444444442E-3</v>
      </c>
      <c r="L18" s="47" t="s">
        <v>61</v>
      </c>
      <c r="M18" s="62"/>
      <c r="N18" s="62"/>
      <c r="O18" s="38"/>
      <c r="P18" s="66">
        <v>43015</v>
      </c>
      <c r="Q18" s="14" t="str">
        <f t="shared" ca="1" si="0"/>
        <v/>
      </c>
      <c r="R18" s="51"/>
      <c r="S18" s="51"/>
      <c r="T18" s="51"/>
      <c r="U18" s="40"/>
      <c r="V18" s="54"/>
      <c r="W18" s="55"/>
      <c r="X18" s="56"/>
      <c r="Y18" s="38"/>
      <c r="Z18" s="38"/>
      <c r="AA18" s="38"/>
      <c r="AB18" s="38"/>
      <c r="AH18" s="38"/>
      <c r="AI18" s="38"/>
    </row>
    <row r="19" spans="1:35">
      <c r="A19" s="42">
        <v>40.01</v>
      </c>
      <c r="B19" s="39" t="s">
        <v>54</v>
      </c>
      <c r="C19" s="40"/>
      <c r="D19" s="42" t="s">
        <v>56</v>
      </c>
      <c r="E19" s="38"/>
      <c r="F19" s="43"/>
      <c r="G19" s="63" t="s">
        <v>149</v>
      </c>
      <c r="H19" s="58" t="s">
        <v>150</v>
      </c>
      <c r="I19" s="38"/>
      <c r="J19" s="38"/>
      <c r="K19" s="46"/>
      <c r="L19" s="47"/>
      <c r="M19" s="68">
        <v>0</v>
      </c>
      <c r="N19" s="68">
        <v>3.1944444444444446E-3</v>
      </c>
      <c r="O19" s="62">
        <f>N19-M19</f>
        <v>3.1944444444444446E-3</v>
      </c>
      <c r="P19" s="66">
        <v>43015</v>
      </c>
      <c r="Q19" s="59" t="str">
        <f t="shared" ca="1" si="0"/>
        <v>https://www.youtube.com/embed/THua8SMPtK4?start=0&amp;end=276&amp;autoplay=1</v>
      </c>
      <c r="R19" s="39" t="s">
        <v>63</v>
      </c>
      <c r="S19" s="39" t="s">
        <v>131</v>
      </c>
      <c r="T19" s="39" t="s">
        <v>63</v>
      </c>
      <c r="U19" s="40"/>
      <c r="V19" s="54"/>
      <c r="W19" s="69" t="s">
        <v>64</v>
      </c>
      <c r="X19" s="56"/>
      <c r="Y19" s="38"/>
      <c r="Z19" s="42" t="s">
        <v>156</v>
      </c>
      <c r="AA19" s="38"/>
      <c r="AB19" s="38"/>
      <c r="AH19" s="38"/>
      <c r="AI19" s="38"/>
    </row>
    <row r="20" spans="1:35">
      <c r="A20" s="38">
        <v>41</v>
      </c>
      <c r="B20" s="39" t="s">
        <v>54</v>
      </c>
      <c r="C20" s="40"/>
      <c r="D20" s="42" t="s">
        <v>56</v>
      </c>
      <c r="E20" s="38" t="s">
        <v>160</v>
      </c>
      <c r="F20" s="43" t="s">
        <v>161</v>
      </c>
      <c r="G20" s="44"/>
      <c r="H20" s="45"/>
      <c r="I20" s="38"/>
      <c r="J20" s="38">
        <f>3.3*1000</f>
        <v>3300</v>
      </c>
      <c r="K20" s="46">
        <v>8.8657407407407417E-3</v>
      </c>
      <c r="L20" s="47" t="s">
        <v>61</v>
      </c>
      <c r="M20" s="62"/>
      <c r="N20" s="62"/>
      <c r="O20" s="38"/>
      <c r="P20" s="66">
        <v>43015</v>
      </c>
      <c r="Q20" s="14" t="str">
        <f t="shared" ca="1" si="0"/>
        <v/>
      </c>
      <c r="R20" s="51"/>
      <c r="S20" s="51"/>
      <c r="T20" s="51"/>
      <c r="U20" s="40"/>
      <c r="V20" s="54"/>
      <c r="W20" s="55"/>
      <c r="X20" s="56"/>
      <c r="Y20" s="38"/>
      <c r="Z20" s="38"/>
      <c r="AA20" s="38"/>
      <c r="AB20" s="38"/>
      <c r="AH20" s="38"/>
      <c r="AI20" s="38"/>
    </row>
    <row r="21" spans="1:35">
      <c r="A21" s="42">
        <v>41.01</v>
      </c>
      <c r="B21" s="39" t="s">
        <v>54</v>
      </c>
      <c r="C21" s="40"/>
      <c r="D21" s="42" t="s">
        <v>56</v>
      </c>
      <c r="E21" s="38"/>
      <c r="F21" s="43"/>
      <c r="G21" s="63" t="s">
        <v>163</v>
      </c>
      <c r="H21" s="58" t="s">
        <v>164</v>
      </c>
      <c r="I21" s="38"/>
      <c r="J21" s="38"/>
      <c r="K21" s="46"/>
      <c r="L21" s="47"/>
      <c r="M21" s="68">
        <v>9.9537037037037042E-4</v>
      </c>
      <c r="N21" s="68">
        <v>2.1759259259259258E-3</v>
      </c>
      <c r="O21" s="62">
        <f t="shared" ref="O21:O24" si="3">N21-M21</f>
        <v>1.1805555555555554E-3</v>
      </c>
      <c r="P21" s="66">
        <v>43015</v>
      </c>
      <c r="Q21" s="59" t="str">
        <f t="shared" ca="1" si="0"/>
        <v>https://www.youtube.com/embed/6_9IYK6ZlyY?start=86&amp;end=188&amp;autoplay=1</v>
      </c>
      <c r="R21" s="39" t="s">
        <v>63</v>
      </c>
      <c r="S21" s="39" t="s">
        <v>63</v>
      </c>
      <c r="T21" s="39" t="s">
        <v>63</v>
      </c>
      <c r="U21" s="40"/>
      <c r="V21" s="54"/>
      <c r="W21" s="69" t="s">
        <v>64</v>
      </c>
      <c r="X21" s="56"/>
      <c r="Y21" s="38"/>
      <c r="Z21" s="38"/>
      <c r="AA21" s="38"/>
      <c r="AB21" s="38"/>
      <c r="AH21" s="42"/>
      <c r="AI21" s="42"/>
    </row>
    <row r="22" spans="1:35">
      <c r="A22" s="42">
        <v>41.02</v>
      </c>
      <c r="B22" s="39" t="s">
        <v>54</v>
      </c>
      <c r="C22" s="40"/>
      <c r="D22" s="42" t="s">
        <v>56</v>
      </c>
      <c r="E22" s="38"/>
      <c r="F22" s="43"/>
      <c r="G22" s="63" t="s">
        <v>172</v>
      </c>
      <c r="H22" s="58" t="s">
        <v>173</v>
      </c>
      <c r="I22" s="38"/>
      <c r="J22" s="38"/>
      <c r="K22" s="46"/>
      <c r="L22" s="47"/>
      <c r="M22" s="68">
        <v>2.1875000000000002E-3</v>
      </c>
      <c r="N22" s="68">
        <v>3.6458333333333334E-3</v>
      </c>
      <c r="O22" s="62">
        <f t="shared" si="3"/>
        <v>1.4583333333333332E-3</v>
      </c>
      <c r="P22" s="66">
        <v>43015</v>
      </c>
      <c r="Q22" s="59" t="str">
        <f t="shared" ca="1" si="0"/>
        <v>https://www.youtube.com/embed/6_9IYK6ZlyY?start=189&amp;end=315&amp;autoplay=1</v>
      </c>
      <c r="R22" s="39" t="s">
        <v>63</v>
      </c>
      <c r="S22" s="39" t="s">
        <v>63</v>
      </c>
      <c r="T22" s="39" t="s">
        <v>63</v>
      </c>
      <c r="U22" s="40"/>
      <c r="V22" s="54"/>
      <c r="W22" s="69" t="s">
        <v>64</v>
      </c>
      <c r="X22" s="56"/>
      <c r="Y22" s="38"/>
      <c r="Z22" s="42" t="s">
        <v>176</v>
      </c>
      <c r="AA22" s="38"/>
      <c r="AB22" s="38"/>
      <c r="AH22" s="42"/>
      <c r="AI22" s="42"/>
    </row>
    <row r="23" spans="1:35">
      <c r="A23" s="42">
        <v>41.03</v>
      </c>
      <c r="B23" s="39" t="s">
        <v>54</v>
      </c>
      <c r="C23" s="40"/>
      <c r="D23" s="42" t="s">
        <v>56</v>
      </c>
      <c r="E23" s="38"/>
      <c r="F23" s="43"/>
      <c r="G23" s="63" t="s">
        <v>178</v>
      </c>
      <c r="H23" s="58" t="s">
        <v>180</v>
      </c>
      <c r="I23" s="38"/>
      <c r="J23" s="38"/>
      <c r="K23" s="46"/>
      <c r="L23" s="47"/>
      <c r="M23" s="68">
        <v>3.6574074074074074E-3</v>
      </c>
      <c r="N23" s="68">
        <v>5.5092592592592589E-3</v>
      </c>
      <c r="O23" s="62">
        <f t="shared" si="3"/>
        <v>1.8518518518518515E-3</v>
      </c>
      <c r="P23" s="66">
        <v>43015</v>
      </c>
      <c r="Q23" s="59" t="str">
        <f t="shared" ca="1" si="0"/>
        <v>https://www.youtube.com/embed/6_9IYK6ZlyY?start=316&amp;end=476&amp;autoplay=1</v>
      </c>
      <c r="R23" s="39" t="s">
        <v>63</v>
      </c>
      <c r="S23" s="39" t="s">
        <v>63</v>
      </c>
      <c r="T23" s="39" t="s">
        <v>63</v>
      </c>
      <c r="U23" s="40"/>
      <c r="V23" s="54"/>
      <c r="W23" s="69" t="s">
        <v>64</v>
      </c>
      <c r="X23" s="56"/>
      <c r="Y23" s="38"/>
      <c r="Z23" s="42" t="s">
        <v>176</v>
      </c>
      <c r="AA23" s="38"/>
      <c r="AB23" s="38"/>
      <c r="AH23" s="42"/>
      <c r="AI23" s="42"/>
    </row>
    <row r="24" spans="1:35">
      <c r="A24" s="42">
        <v>41.04</v>
      </c>
      <c r="B24" s="39" t="s">
        <v>54</v>
      </c>
      <c r="C24" s="40"/>
      <c r="D24" s="42" t="s">
        <v>56</v>
      </c>
      <c r="E24" s="38"/>
      <c r="F24" s="43"/>
      <c r="G24" s="63" t="s">
        <v>185</v>
      </c>
      <c r="H24" s="58" t="s">
        <v>187</v>
      </c>
      <c r="I24" s="38"/>
      <c r="J24" s="38"/>
      <c r="K24" s="46"/>
      <c r="L24" s="47"/>
      <c r="M24" s="68">
        <v>5.5208333333333333E-3</v>
      </c>
      <c r="N24" s="68">
        <v>8.8425925925925929E-3</v>
      </c>
      <c r="O24" s="62">
        <f t="shared" si="3"/>
        <v>3.3217592592592595E-3</v>
      </c>
      <c r="P24" s="66">
        <v>43015</v>
      </c>
      <c r="Q24" s="59" t="str">
        <f t="shared" ca="1" si="0"/>
        <v>https://www.youtube.com/embed/6_9IYK6ZlyY?start=477&amp;end=764&amp;autoplay=1</v>
      </c>
      <c r="R24" s="39" t="s">
        <v>63</v>
      </c>
      <c r="S24" s="39" t="s">
        <v>63</v>
      </c>
      <c r="T24" s="39" t="s">
        <v>63</v>
      </c>
      <c r="U24" s="40"/>
      <c r="V24" s="54"/>
      <c r="W24" s="69" t="s">
        <v>64</v>
      </c>
      <c r="X24" s="56"/>
      <c r="Y24" s="38"/>
      <c r="Z24" s="42" t="s">
        <v>176</v>
      </c>
      <c r="AA24" s="38"/>
      <c r="AB24" s="38"/>
      <c r="AH24" s="42"/>
      <c r="AI24" s="42"/>
    </row>
    <row r="25" spans="1:35">
      <c r="A25" s="38">
        <v>42</v>
      </c>
      <c r="B25" s="39" t="s">
        <v>54</v>
      </c>
      <c r="C25" s="40"/>
      <c r="D25" s="42" t="s">
        <v>56</v>
      </c>
      <c r="E25" s="38" t="s">
        <v>191</v>
      </c>
      <c r="F25" s="43" t="s">
        <v>192</v>
      </c>
      <c r="J25" s="38">
        <f>1.7*1000</f>
        <v>1700</v>
      </c>
      <c r="K25" s="46">
        <v>5.1967592592592595E-3</v>
      </c>
      <c r="L25" s="47" t="s">
        <v>61</v>
      </c>
      <c r="P25" s="66">
        <v>43015</v>
      </c>
      <c r="Q25" s="14" t="str">
        <f t="shared" ca="1" si="0"/>
        <v/>
      </c>
      <c r="R25" s="51"/>
      <c r="S25" s="51"/>
      <c r="T25" s="51"/>
      <c r="U25" s="40"/>
      <c r="V25" s="54"/>
      <c r="W25" s="55"/>
      <c r="X25" s="56"/>
      <c r="Y25" s="38"/>
      <c r="Z25" s="38"/>
      <c r="AA25" s="38"/>
      <c r="AB25" s="38"/>
      <c r="AH25" s="42"/>
      <c r="AI25" s="42"/>
    </row>
    <row r="26" spans="1:35">
      <c r="A26" s="42">
        <v>42.1</v>
      </c>
      <c r="B26" s="39" t="s">
        <v>54</v>
      </c>
      <c r="C26" s="40"/>
      <c r="D26" s="42" t="s">
        <v>56</v>
      </c>
      <c r="E26" s="38"/>
      <c r="F26" s="43"/>
      <c r="G26" s="63" t="s">
        <v>196</v>
      </c>
      <c r="H26" s="58" t="s">
        <v>197</v>
      </c>
      <c r="I26" s="38"/>
      <c r="J26" s="38"/>
      <c r="K26" s="46"/>
      <c r="L26" s="47"/>
      <c r="M26" s="68">
        <v>0</v>
      </c>
      <c r="N26" s="68">
        <v>5.1736111111111115E-3</v>
      </c>
      <c r="O26" s="62">
        <f>N26-M26</f>
        <v>5.1736111111111115E-3</v>
      </c>
      <c r="P26" s="66">
        <v>43015</v>
      </c>
      <c r="Q26" s="59" t="str">
        <f t="shared" ca="1" si="0"/>
        <v>https://www.youtube.com/embed/LXrKKz7Mld8?start=0&amp;end=447&amp;autoplay=1</v>
      </c>
      <c r="R26" s="39" t="s">
        <v>63</v>
      </c>
      <c r="S26" s="39" t="s">
        <v>63</v>
      </c>
      <c r="T26" s="39" t="s">
        <v>63</v>
      </c>
      <c r="U26" s="40"/>
      <c r="V26" s="54"/>
      <c r="W26" s="69" t="s">
        <v>64</v>
      </c>
      <c r="X26" s="56"/>
      <c r="Y26" s="38"/>
      <c r="Z26" s="42" t="s">
        <v>202</v>
      </c>
      <c r="AA26" s="38"/>
      <c r="AB26" s="38"/>
      <c r="AH26" s="38"/>
      <c r="AI26" s="38"/>
    </row>
    <row r="27" spans="1:35">
      <c r="A27" s="38">
        <v>43</v>
      </c>
      <c r="B27" s="39" t="s">
        <v>54</v>
      </c>
      <c r="C27" s="40"/>
      <c r="D27" s="42" t="s">
        <v>56</v>
      </c>
      <c r="E27" s="38" t="s">
        <v>203</v>
      </c>
      <c r="F27" s="43" t="s">
        <v>204</v>
      </c>
      <c r="G27" s="44"/>
      <c r="H27" s="45"/>
      <c r="I27" s="38"/>
      <c r="J27" s="38">
        <f>1*1000</f>
        <v>1000</v>
      </c>
      <c r="K27" s="46">
        <v>3.4490740740740745E-3</v>
      </c>
      <c r="L27" s="47" t="s">
        <v>61</v>
      </c>
      <c r="M27" s="62"/>
      <c r="N27" s="62"/>
      <c r="O27" s="38"/>
      <c r="P27" s="66">
        <v>43015</v>
      </c>
      <c r="Q27" s="14" t="str">
        <f t="shared" ca="1" si="0"/>
        <v/>
      </c>
      <c r="R27" s="51"/>
      <c r="S27" s="51"/>
      <c r="T27" s="51"/>
      <c r="U27" s="40"/>
      <c r="V27" s="54"/>
      <c r="W27" s="55"/>
      <c r="X27" s="56"/>
      <c r="Y27" s="38"/>
      <c r="Z27" s="38"/>
      <c r="AA27" s="38"/>
      <c r="AB27" s="38"/>
      <c r="AH27" s="38"/>
      <c r="AI27" s="38"/>
    </row>
    <row r="28" spans="1:35">
      <c r="A28" s="42">
        <v>43.1</v>
      </c>
      <c r="B28" s="39" t="s">
        <v>54</v>
      </c>
      <c r="C28" s="40"/>
      <c r="D28" s="42" t="s">
        <v>56</v>
      </c>
      <c r="E28" s="38"/>
      <c r="F28" s="43"/>
      <c r="G28" s="63" t="s">
        <v>209</v>
      </c>
      <c r="H28" s="58" t="s">
        <v>211</v>
      </c>
      <c r="I28" s="38"/>
      <c r="J28" s="38"/>
      <c r="K28" s="46"/>
      <c r="L28" s="47"/>
      <c r="M28" s="68">
        <v>0</v>
      </c>
      <c r="N28" s="68">
        <v>3.4375E-3</v>
      </c>
      <c r="O28" s="62">
        <f>N28-M28</f>
        <v>3.4375E-3</v>
      </c>
      <c r="P28" s="66">
        <v>43015</v>
      </c>
      <c r="Q28" s="59" t="str">
        <f t="shared" ca="1" si="0"/>
        <v>https://www.youtube.com/embed/ufZ1BZcZzKI?start=0&amp;end=297&amp;autoplay=1</v>
      </c>
      <c r="R28" s="39" t="s">
        <v>63</v>
      </c>
      <c r="S28" s="39" t="s">
        <v>63</v>
      </c>
      <c r="T28" s="39" t="s">
        <v>63</v>
      </c>
      <c r="U28" s="40"/>
      <c r="V28" s="54"/>
      <c r="W28" s="69" t="s">
        <v>64</v>
      </c>
      <c r="X28" s="56"/>
      <c r="Y28" s="38"/>
      <c r="Z28" s="72" t="s">
        <v>176</v>
      </c>
      <c r="AA28" s="38"/>
      <c r="AB28" s="38"/>
      <c r="AH28" s="38"/>
      <c r="AI28" s="38"/>
    </row>
    <row r="29" spans="1:35">
      <c r="A29" s="38">
        <v>44</v>
      </c>
      <c r="B29" s="39" t="s">
        <v>54</v>
      </c>
      <c r="C29" s="40"/>
      <c r="D29" s="42" t="s">
        <v>56</v>
      </c>
      <c r="E29" s="38" t="s">
        <v>217</v>
      </c>
      <c r="F29" s="43" t="s">
        <v>219</v>
      </c>
      <c r="G29" s="44"/>
      <c r="H29" s="45"/>
      <c r="I29" s="38"/>
      <c r="J29" s="38">
        <f>1.3*1000</f>
        <v>1300</v>
      </c>
      <c r="K29" s="46">
        <v>5.3240740740740748E-3</v>
      </c>
      <c r="L29" s="47" t="s">
        <v>61</v>
      </c>
      <c r="M29" s="62"/>
      <c r="N29" s="62"/>
      <c r="O29" s="38"/>
      <c r="P29" s="66">
        <v>43015</v>
      </c>
      <c r="Q29" s="14" t="str">
        <f t="shared" ca="1" si="0"/>
        <v/>
      </c>
      <c r="R29" s="51"/>
      <c r="S29" s="51"/>
      <c r="T29" s="51"/>
      <c r="U29" s="40"/>
      <c r="V29" s="54"/>
      <c r="W29" s="55"/>
      <c r="X29" s="56"/>
      <c r="Y29" s="38"/>
      <c r="Z29" s="38"/>
      <c r="AA29" s="38"/>
      <c r="AB29" s="38"/>
      <c r="AH29" s="38"/>
      <c r="AI29" s="38"/>
    </row>
    <row r="30" spans="1:35">
      <c r="A30" s="42">
        <v>44.1</v>
      </c>
      <c r="B30" s="39" t="s">
        <v>54</v>
      </c>
      <c r="C30" s="40"/>
      <c r="D30" s="42" t="s">
        <v>56</v>
      </c>
      <c r="E30" s="38"/>
      <c r="F30" s="43"/>
      <c r="G30" s="63" t="s">
        <v>222</v>
      </c>
      <c r="H30" s="58" t="s">
        <v>224</v>
      </c>
      <c r="I30" s="38"/>
      <c r="J30" s="38"/>
      <c r="K30" s="46"/>
      <c r="L30" s="47"/>
      <c r="M30" s="68">
        <v>3.0208333333333333E-3</v>
      </c>
      <c r="N30" s="68">
        <v>5.2893518518518515E-3</v>
      </c>
      <c r="O30" s="62">
        <f>N30-M30</f>
        <v>2.2685185185185182E-3</v>
      </c>
      <c r="P30" s="66">
        <v>43015</v>
      </c>
      <c r="Q30" s="59" t="str">
        <f t="shared" ca="1" si="0"/>
        <v>https://www.youtube.com/embed/rNhQIKC2jPM?start=261&amp;end=457&amp;autoplay=1</v>
      </c>
      <c r="R30" s="39" t="s">
        <v>63</v>
      </c>
      <c r="S30" s="39" t="s">
        <v>63</v>
      </c>
      <c r="T30" s="39" t="s">
        <v>63</v>
      </c>
      <c r="U30" s="40"/>
      <c r="V30" s="54"/>
      <c r="W30" s="69" t="s">
        <v>64</v>
      </c>
      <c r="X30" s="56"/>
      <c r="Y30" s="38"/>
      <c r="Z30" s="42" t="s">
        <v>176</v>
      </c>
      <c r="AA30" s="38"/>
      <c r="AB30" s="38"/>
      <c r="AC30" s="73"/>
      <c r="AD30" s="73"/>
      <c r="AE30" s="73"/>
      <c r="AF30" s="73"/>
      <c r="AG30" s="73"/>
      <c r="AH30" s="38"/>
      <c r="AI30" s="38"/>
    </row>
    <row r="31" spans="1:35">
      <c r="A31" s="38">
        <v>45</v>
      </c>
      <c r="B31" s="39" t="s">
        <v>54</v>
      </c>
      <c r="C31" s="40"/>
      <c r="D31" s="42" t="s">
        <v>56</v>
      </c>
      <c r="E31" s="38" t="s">
        <v>229</v>
      </c>
      <c r="F31" s="43" t="s">
        <v>230</v>
      </c>
      <c r="G31" s="44"/>
      <c r="H31" s="45"/>
      <c r="I31" s="38"/>
      <c r="J31" s="38">
        <f>1.3*1000</f>
        <v>1300</v>
      </c>
      <c r="K31" s="46">
        <v>8.2407407407407412E-3</v>
      </c>
      <c r="L31" s="47" t="s">
        <v>61</v>
      </c>
      <c r="M31" s="62"/>
      <c r="N31" s="62"/>
      <c r="O31" s="38"/>
      <c r="P31" s="66">
        <v>43015</v>
      </c>
      <c r="Q31" s="14" t="str">
        <f t="shared" ca="1" si="0"/>
        <v/>
      </c>
      <c r="R31" s="51"/>
      <c r="S31" s="51"/>
      <c r="T31" s="51"/>
      <c r="U31" s="40"/>
      <c r="V31" s="54"/>
      <c r="W31" s="55"/>
      <c r="X31" s="56"/>
      <c r="Y31" s="38"/>
      <c r="Z31" s="38"/>
      <c r="AA31" s="38"/>
      <c r="AB31" s="38"/>
      <c r="AC31" s="73"/>
      <c r="AD31" s="73"/>
      <c r="AE31" s="73"/>
      <c r="AF31" s="73"/>
      <c r="AG31" s="73"/>
      <c r="AH31" s="38"/>
      <c r="AI31" s="38"/>
    </row>
    <row r="32" spans="1:35">
      <c r="A32" s="42">
        <v>45.1</v>
      </c>
      <c r="B32" s="39" t="s">
        <v>54</v>
      </c>
      <c r="C32" s="40"/>
      <c r="D32" s="42" t="s">
        <v>56</v>
      </c>
      <c r="E32" s="38"/>
      <c r="F32" s="43"/>
      <c r="G32" s="63" t="s">
        <v>236</v>
      </c>
      <c r="H32" s="58" t="s">
        <v>237</v>
      </c>
      <c r="I32" s="38"/>
      <c r="J32" s="38"/>
      <c r="K32" s="46"/>
      <c r="L32" s="47"/>
      <c r="M32" s="68">
        <v>0</v>
      </c>
      <c r="N32" s="68">
        <v>4.1666666666666666E-3</v>
      </c>
      <c r="O32" s="62">
        <f>N32-M32</f>
        <v>4.1666666666666666E-3</v>
      </c>
      <c r="P32" s="66">
        <v>43015</v>
      </c>
      <c r="Q32" s="59" t="str">
        <f t="shared" ca="1" si="0"/>
        <v>https://www.youtube.com/embed/FndfcBhZklU?start=0&amp;end=360&amp;autoplay=1</v>
      </c>
      <c r="R32" s="39" t="s">
        <v>131</v>
      </c>
      <c r="S32" s="39" t="s">
        <v>63</v>
      </c>
      <c r="T32" s="39" t="s">
        <v>63</v>
      </c>
      <c r="U32" s="40"/>
      <c r="V32" s="54"/>
      <c r="W32" s="55"/>
      <c r="X32" s="56"/>
      <c r="Y32" s="38"/>
      <c r="Z32" s="42" t="s">
        <v>240</v>
      </c>
      <c r="AA32" s="38"/>
      <c r="AB32" s="38"/>
      <c r="AC32" s="73"/>
      <c r="AD32" s="73"/>
      <c r="AE32" s="73"/>
      <c r="AF32" s="73"/>
      <c r="AG32" s="73"/>
      <c r="AH32" s="38"/>
      <c r="AI32" s="38"/>
    </row>
    <row r="33" spans="1:35">
      <c r="A33" s="38">
        <v>46</v>
      </c>
      <c r="B33" s="39" t="s">
        <v>54</v>
      </c>
      <c r="C33" s="40"/>
      <c r="D33" s="42" t="s">
        <v>56</v>
      </c>
      <c r="E33" s="38" t="s">
        <v>243</v>
      </c>
      <c r="F33" s="43" t="s">
        <v>244</v>
      </c>
      <c r="G33" s="44"/>
      <c r="H33" s="45"/>
      <c r="I33" s="38"/>
      <c r="J33" s="38">
        <f>940</f>
        <v>940</v>
      </c>
      <c r="K33" s="46">
        <v>2.5925925925925925E-3</v>
      </c>
      <c r="L33" s="47" t="s">
        <v>61</v>
      </c>
      <c r="M33" s="62"/>
      <c r="N33" s="62"/>
      <c r="O33" s="38"/>
      <c r="P33" s="66">
        <v>43015</v>
      </c>
      <c r="Q33" s="14" t="str">
        <f t="shared" ca="1" si="0"/>
        <v/>
      </c>
      <c r="R33" s="51"/>
      <c r="S33" s="51"/>
      <c r="T33" s="51"/>
      <c r="U33" s="40"/>
      <c r="V33" s="54"/>
      <c r="W33" s="55"/>
      <c r="X33" s="56"/>
      <c r="Y33" s="38"/>
      <c r="Z33" s="38"/>
      <c r="AA33" s="38"/>
      <c r="AB33" s="38"/>
      <c r="AC33" s="73"/>
      <c r="AD33" s="73"/>
      <c r="AE33" s="73"/>
      <c r="AF33" s="73"/>
      <c r="AG33" s="73"/>
      <c r="AH33" s="38"/>
      <c r="AI33" s="38"/>
    </row>
    <row r="34" spans="1:35">
      <c r="A34" s="42">
        <v>46.1</v>
      </c>
      <c r="B34" s="39" t="s">
        <v>54</v>
      </c>
      <c r="C34" s="40"/>
      <c r="D34" s="42" t="s">
        <v>56</v>
      </c>
      <c r="E34" s="38"/>
      <c r="F34" s="43"/>
      <c r="G34" s="63" t="s">
        <v>249</v>
      </c>
      <c r="H34" s="45"/>
      <c r="I34" s="38"/>
      <c r="J34" s="38"/>
      <c r="K34" s="46"/>
      <c r="L34" s="47"/>
      <c r="M34" s="68">
        <v>0</v>
      </c>
      <c r="N34" s="68">
        <v>2.5694444444444445E-3</v>
      </c>
      <c r="O34" s="62">
        <f>N34-M34</f>
        <v>2.5694444444444445E-3</v>
      </c>
      <c r="P34" s="66">
        <v>43015</v>
      </c>
      <c r="Q34" s="59" t="str">
        <f t="shared" ca="1" si="0"/>
        <v>https://www.youtube.com/embed/20u8yHim1tM?start=0&amp;end=222&amp;autoplay=1</v>
      </c>
      <c r="R34" s="39" t="s">
        <v>63</v>
      </c>
      <c r="S34" s="39" t="s">
        <v>63</v>
      </c>
      <c r="T34" s="39" t="s">
        <v>63</v>
      </c>
      <c r="U34" s="40"/>
      <c r="V34" s="54"/>
      <c r="W34" s="69" t="s">
        <v>64</v>
      </c>
      <c r="X34" s="56"/>
      <c r="Y34" s="38"/>
      <c r="Z34" s="42" t="s">
        <v>254</v>
      </c>
      <c r="AA34" s="38"/>
      <c r="AB34" s="38"/>
      <c r="AC34" s="73"/>
      <c r="AD34" s="73"/>
      <c r="AE34" s="73"/>
      <c r="AF34" s="73"/>
      <c r="AG34" s="73"/>
      <c r="AH34" s="38"/>
      <c r="AI34" s="38"/>
    </row>
    <row r="35" spans="1:35">
      <c r="A35" s="38">
        <v>47</v>
      </c>
      <c r="B35" s="39" t="s">
        <v>54</v>
      </c>
      <c r="C35" s="40"/>
      <c r="D35" s="42" t="s">
        <v>142</v>
      </c>
      <c r="E35" s="38" t="s">
        <v>255</v>
      </c>
      <c r="F35" s="43" t="s">
        <v>256</v>
      </c>
      <c r="G35" s="44"/>
      <c r="H35" s="45"/>
      <c r="I35" s="38"/>
      <c r="J35" s="38">
        <f>864</f>
        <v>864</v>
      </c>
      <c r="K35" s="46">
        <v>4.1898148148148146E-3</v>
      </c>
      <c r="L35" s="47" t="s">
        <v>61</v>
      </c>
      <c r="M35" s="62"/>
      <c r="N35" s="62"/>
      <c r="O35" s="38"/>
      <c r="P35" s="66">
        <v>43015</v>
      </c>
      <c r="Q35" s="14" t="str">
        <f t="shared" ca="1" si="0"/>
        <v/>
      </c>
      <c r="R35" s="39" t="s">
        <v>63</v>
      </c>
      <c r="S35" s="39" t="s">
        <v>63</v>
      </c>
      <c r="T35" s="39" t="s">
        <v>63</v>
      </c>
      <c r="U35" s="40"/>
      <c r="V35" s="54"/>
      <c r="W35" s="69" t="s">
        <v>151</v>
      </c>
      <c r="X35" s="56"/>
      <c r="Y35" s="38"/>
      <c r="Z35" s="42" t="s">
        <v>259</v>
      </c>
      <c r="AA35" s="38"/>
      <c r="AB35" s="38"/>
      <c r="AC35" s="73"/>
      <c r="AD35" s="73"/>
      <c r="AE35" s="73"/>
      <c r="AF35" s="73"/>
      <c r="AG35" s="73"/>
      <c r="AH35" s="38"/>
      <c r="AI35" s="38"/>
    </row>
    <row r="36" spans="1:35">
      <c r="A36" s="38">
        <v>48</v>
      </c>
      <c r="B36" s="39" t="s">
        <v>54</v>
      </c>
      <c r="C36" s="40"/>
      <c r="D36" s="42" t="s">
        <v>56</v>
      </c>
      <c r="E36" s="38" t="s">
        <v>262</v>
      </c>
      <c r="F36" s="43" t="s">
        <v>263</v>
      </c>
      <c r="G36" s="44"/>
      <c r="H36" s="45"/>
      <c r="I36" s="38"/>
      <c r="J36" s="38">
        <f>1.1*1000</f>
        <v>1100</v>
      </c>
      <c r="K36" s="46">
        <v>3.2986111111111111E-3</v>
      </c>
      <c r="L36" s="47" t="s">
        <v>61</v>
      </c>
      <c r="M36" s="62"/>
      <c r="N36" s="62"/>
      <c r="O36" s="38"/>
      <c r="P36" s="66">
        <v>43015</v>
      </c>
      <c r="Q36" s="14" t="str">
        <f t="shared" ca="1" si="0"/>
        <v/>
      </c>
      <c r="R36" s="51"/>
      <c r="S36" s="51"/>
      <c r="T36" s="51"/>
      <c r="U36" s="40"/>
      <c r="V36" s="54"/>
      <c r="W36" s="55"/>
      <c r="X36" s="56"/>
      <c r="Y36" s="38"/>
      <c r="Z36" s="38"/>
      <c r="AA36" s="38"/>
      <c r="AB36" s="38"/>
      <c r="AC36" s="73"/>
      <c r="AD36" s="73"/>
      <c r="AE36" s="73"/>
      <c r="AF36" s="73"/>
      <c r="AG36" s="73"/>
      <c r="AH36" s="38"/>
      <c r="AI36" s="38"/>
    </row>
    <row r="37" spans="1:35">
      <c r="A37" s="42">
        <v>48.1</v>
      </c>
      <c r="B37" s="39" t="s">
        <v>54</v>
      </c>
      <c r="C37" s="40"/>
      <c r="D37" s="42" t="s">
        <v>56</v>
      </c>
      <c r="E37" s="38"/>
      <c r="F37" s="43"/>
      <c r="G37" s="63" t="s">
        <v>266</v>
      </c>
      <c r="H37" s="45"/>
      <c r="I37" s="38"/>
      <c r="J37" s="38"/>
      <c r="K37" s="46"/>
      <c r="L37" s="47"/>
      <c r="M37" s="68">
        <v>0</v>
      </c>
      <c r="N37" s="68">
        <v>3.2870370370370371E-3</v>
      </c>
      <c r="O37" s="62">
        <f>N37-M37</f>
        <v>3.2870370370370371E-3</v>
      </c>
      <c r="P37" s="66">
        <v>43015</v>
      </c>
      <c r="Q37" s="59" t="str">
        <f t="shared" ca="1" si="0"/>
        <v>https://www.youtube.com/embed/QEUeYDEFtsE?start=0&amp;end=284&amp;autoplay=1</v>
      </c>
      <c r="R37" s="39" t="s">
        <v>63</v>
      </c>
      <c r="S37" s="39" t="s">
        <v>131</v>
      </c>
      <c r="T37" s="39" t="s">
        <v>63</v>
      </c>
      <c r="U37" s="40"/>
      <c r="V37" s="54"/>
      <c r="W37" s="69" t="s">
        <v>64</v>
      </c>
      <c r="X37" s="56"/>
      <c r="Y37" s="38"/>
      <c r="Z37" s="42" t="s">
        <v>269</v>
      </c>
      <c r="AA37" s="38"/>
      <c r="AB37" s="38"/>
      <c r="AH37" s="61"/>
      <c r="AI37" s="61"/>
    </row>
    <row r="38" spans="1:35">
      <c r="A38" s="38">
        <v>49</v>
      </c>
      <c r="B38" s="39" t="s">
        <v>54</v>
      </c>
      <c r="C38" s="40"/>
      <c r="D38" s="42" t="s">
        <v>56</v>
      </c>
      <c r="E38" s="38" t="s">
        <v>273</v>
      </c>
      <c r="F38" s="43" t="s">
        <v>274</v>
      </c>
      <c r="G38" s="44"/>
      <c r="H38" s="45"/>
      <c r="I38" s="38"/>
      <c r="J38" s="38">
        <f>1.5*1000</f>
        <v>1500</v>
      </c>
      <c r="K38" s="46">
        <v>8.9467592592592585E-3</v>
      </c>
      <c r="L38" s="47" t="s">
        <v>61</v>
      </c>
      <c r="M38" s="62"/>
      <c r="N38" s="62"/>
      <c r="O38" s="38"/>
      <c r="P38" s="66">
        <v>43015</v>
      </c>
      <c r="Q38" s="14" t="str">
        <f t="shared" ca="1" si="0"/>
        <v/>
      </c>
      <c r="R38" s="51"/>
      <c r="S38" s="51"/>
      <c r="T38" s="51"/>
      <c r="U38" s="40"/>
      <c r="V38" s="54"/>
      <c r="W38" s="55"/>
      <c r="X38" s="56"/>
      <c r="Y38" s="38"/>
      <c r="Z38" s="38"/>
      <c r="AA38" s="38"/>
      <c r="AB38" s="38"/>
      <c r="AH38" s="61"/>
      <c r="AI38" s="61"/>
    </row>
    <row r="39" spans="1:35">
      <c r="A39" s="42">
        <v>49.01</v>
      </c>
      <c r="B39" s="39" t="s">
        <v>54</v>
      </c>
      <c r="C39" s="40"/>
      <c r="D39" s="42" t="s">
        <v>56</v>
      </c>
      <c r="E39" s="38"/>
      <c r="F39" s="43"/>
      <c r="G39" s="63" t="s">
        <v>276</v>
      </c>
      <c r="H39" s="45"/>
      <c r="I39" s="38"/>
      <c r="J39" s="38"/>
      <c r="K39" s="46"/>
      <c r="L39" s="47"/>
      <c r="M39" s="64">
        <v>0</v>
      </c>
      <c r="N39" s="68">
        <v>4.1666666666666666E-3</v>
      </c>
      <c r="O39" s="62">
        <f t="shared" ref="O39:O57" si="4">N39-M39</f>
        <v>4.1666666666666666E-3</v>
      </c>
      <c r="P39" s="66">
        <v>43015</v>
      </c>
      <c r="Q39" s="59" t="str">
        <f t="shared" ca="1" si="0"/>
        <v>https://www.youtube.com/embed/Yhp3rFuo5Cw?start=0&amp;end=360&amp;autoplay=1</v>
      </c>
      <c r="R39" s="67" t="s">
        <v>63</v>
      </c>
      <c r="S39" s="67" t="s">
        <v>63</v>
      </c>
      <c r="T39" s="67" t="s">
        <v>63</v>
      </c>
      <c r="U39" s="52"/>
      <c r="V39" s="53"/>
      <c r="W39" s="57" t="s">
        <v>64</v>
      </c>
      <c r="X39" s="56"/>
      <c r="Y39" s="38"/>
      <c r="Z39" s="42" t="s">
        <v>279</v>
      </c>
      <c r="AA39" s="73"/>
      <c r="AB39" s="73"/>
      <c r="AC39" s="73"/>
      <c r="AD39" s="73"/>
      <c r="AE39" s="73"/>
      <c r="AF39" s="73"/>
      <c r="AG39" s="73"/>
      <c r="AH39" s="38"/>
      <c r="AI39" s="38"/>
    </row>
    <row r="40" spans="1:35">
      <c r="A40" s="42">
        <v>49.02</v>
      </c>
      <c r="B40" s="39" t="s">
        <v>54</v>
      </c>
      <c r="C40" s="40"/>
      <c r="D40" s="42" t="s">
        <v>56</v>
      </c>
      <c r="E40" s="38"/>
      <c r="F40" s="43"/>
      <c r="G40" s="63" t="s">
        <v>280</v>
      </c>
      <c r="H40" s="58"/>
      <c r="I40" s="38"/>
      <c r="J40" s="38"/>
      <c r="K40" s="46"/>
      <c r="L40" s="47"/>
      <c r="M40" s="64">
        <v>4.178240740740741E-3</v>
      </c>
      <c r="N40" s="64">
        <v>8.9236111111111113E-3</v>
      </c>
      <c r="O40" s="46">
        <f t="shared" si="4"/>
        <v>4.7453703703703703E-3</v>
      </c>
      <c r="P40" s="66">
        <v>43015</v>
      </c>
      <c r="Q40" s="59" t="str">
        <f t="shared" ca="1" si="0"/>
        <v>https://www.youtube.com/embed/Yhp3rFuo5Cw?start=361&amp;end=771&amp;autoplay=1</v>
      </c>
      <c r="R40" s="67" t="s">
        <v>63</v>
      </c>
      <c r="S40" s="67" t="s">
        <v>63</v>
      </c>
      <c r="T40" s="67" t="s">
        <v>63</v>
      </c>
      <c r="U40" s="52"/>
      <c r="V40" s="53"/>
      <c r="W40" s="57" t="s">
        <v>64</v>
      </c>
      <c r="X40" s="56"/>
      <c r="Y40" s="38"/>
      <c r="Z40" s="42" t="s">
        <v>279</v>
      </c>
      <c r="AA40" s="73"/>
      <c r="AB40" s="73"/>
      <c r="AC40" s="73"/>
      <c r="AD40" s="73"/>
      <c r="AE40" s="73"/>
      <c r="AF40" s="73"/>
      <c r="AG40" s="73"/>
      <c r="AH40" s="38"/>
      <c r="AI40" s="38"/>
    </row>
    <row r="41" spans="1:35">
      <c r="A41" s="38">
        <v>73</v>
      </c>
      <c r="B41" s="39" t="s">
        <v>54</v>
      </c>
      <c r="C41" s="40"/>
      <c r="D41" s="42" t="s">
        <v>56</v>
      </c>
      <c r="E41" s="38" t="s">
        <v>283</v>
      </c>
      <c r="F41" s="43" t="s">
        <v>284</v>
      </c>
      <c r="G41" s="44"/>
      <c r="H41" s="45"/>
      <c r="I41" s="38"/>
      <c r="J41" s="38">
        <f>28*1000</f>
        <v>28000</v>
      </c>
      <c r="K41" s="46">
        <v>6.7152777777777783E-2</v>
      </c>
      <c r="L41" s="47" t="s">
        <v>286</v>
      </c>
      <c r="M41" s="48"/>
      <c r="N41" s="48"/>
      <c r="O41" s="48">
        <f t="shared" si="4"/>
        <v>0</v>
      </c>
      <c r="P41" s="65">
        <v>43021</v>
      </c>
      <c r="Q41" s="14" t="str">
        <f t="shared" ca="1" si="0"/>
        <v/>
      </c>
      <c r="R41" s="51"/>
      <c r="S41" s="51"/>
      <c r="T41" s="51"/>
      <c r="U41" s="40"/>
      <c r="V41" s="54"/>
      <c r="W41" s="55"/>
      <c r="X41" s="56"/>
      <c r="Y41" s="38"/>
      <c r="Z41" s="38"/>
      <c r="AA41" s="38"/>
      <c r="AB41" s="38"/>
      <c r="AC41" s="73"/>
      <c r="AD41" s="73"/>
      <c r="AE41" s="73"/>
      <c r="AF41" s="73"/>
      <c r="AG41" s="73"/>
      <c r="AH41" s="38"/>
      <c r="AI41" s="38"/>
    </row>
    <row r="42" spans="1:35">
      <c r="A42" s="42">
        <v>73.010000000000005</v>
      </c>
      <c r="B42" s="39" t="s">
        <v>54</v>
      </c>
      <c r="C42" s="40"/>
      <c r="D42" s="42" t="s">
        <v>56</v>
      </c>
      <c r="E42" s="38"/>
      <c r="F42" s="43"/>
      <c r="G42" s="63" t="s">
        <v>287</v>
      </c>
      <c r="H42" s="58" t="s">
        <v>289</v>
      </c>
      <c r="I42" s="38"/>
      <c r="J42" s="38"/>
      <c r="K42" s="46"/>
      <c r="L42" s="47"/>
      <c r="M42" s="64">
        <v>2.5925925925925925E-3</v>
      </c>
      <c r="N42" s="76">
        <v>7.9398148148148145E-3</v>
      </c>
      <c r="O42" s="77">
        <f t="shared" si="4"/>
        <v>5.347222222222222E-3</v>
      </c>
      <c r="P42" s="65">
        <v>43021</v>
      </c>
      <c r="Q42" s="59" t="str">
        <f t="shared" ca="1" si="0"/>
        <v>https://www.youtube.com/embed/4yz6ZL-TC94?start=224&amp;end=686&amp;autoplay=1</v>
      </c>
      <c r="R42" s="67" t="s">
        <v>131</v>
      </c>
      <c r="S42" s="67" t="s">
        <v>131</v>
      </c>
      <c r="T42" s="67" t="s">
        <v>63</v>
      </c>
      <c r="U42" s="52"/>
      <c r="V42" s="53"/>
      <c r="W42" s="57" t="s">
        <v>64</v>
      </c>
      <c r="X42" s="78"/>
      <c r="Y42" s="61"/>
      <c r="Z42" s="42" t="s">
        <v>290</v>
      </c>
      <c r="AA42" s="73"/>
      <c r="AB42" s="73"/>
      <c r="AC42" s="73"/>
      <c r="AD42" s="73"/>
      <c r="AE42" s="73"/>
      <c r="AF42" s="73"/>
      <c r="AG42" s="73"/>
      <c r="AH42" s="38"/>
      <c r="AI42" s="38"/>
    </row>
    <row r="43" spans="1:35">
      <c r="A43" s="42">
        <v>73.02</v>
      </c>
      <c r="B43" s="39" t="s">
        <v>54</v>
      </c>
      <c r="C43" s="40"/>
      <c r="D43" s="42" t="s">
        <v>56</v>
      </c>
      <c r="E43" s="38"/>
      <c r="F43" s="43"/>
      <c r="G43" s="63" t="s">
        <v>292</v>
      </c>
      <c r="H43" s="58"/>
      <c r="I43" s="38"/>
      <c r="J43" s="38"/>
      <c r="K43" s="46"/>
      <c r="L43" s="47"/>
      <c r="M43" s="64">
        <v>1.1631944444444445E-2</v>
      </c>
      <c r="N43" s="64">
        <v>1.5104166666666667E-2</v>
      </c>
      <c r="O43" s="46">
        <f t="shared" si="4"/>
        <v>3.472222222222222E-3</v>
      </c>
      <c r="P43" s="65">
        <v>43021</v>
      </c>
      <c r="Q43" s="59" t="str">
        <f t="shared" ca="1" si="0"/>
        <v>https://www.youtube.com/embed/4yz6ZL-TC94?start=1005&amp;end=1305&amp;autoplay=1</v>
      </c>
      <c r="R43" s="67" t="s">
        <v>63</v>
      </c>
      <c r="S43" s="67" t="s">
        <v>131</v>
      </c>
      <c r="T43" s="67" t="s">
        <v>63</v>
      </c>
      <c r="U43" s="52"/>
      <c r="V43" s="53"/>
      <c r="W43" s="57" t="s">
        <v>64</v>
      </c>
      <c r="X43" s="78"/>
      <c r="Y43" s="61"/>
      <c r="Z43" s="61"/>
      <c r="AA43" s="73"/>
      <c r="AB43" s="73"/>
      <c r="AC43" s="73"/>
      <c r="AD43" s="73"/>
      <c r="AE43" s="73"/>
      <c r="AF43" s="73"/>
      <c r="AG43" s="73"/>
      <c r="AH43" s="38"/>
      <c r="AI43" s="38"/>
    </row>
    <row r="44" spans="1:35">
      <c r="A44" s="42">
        <v>73.03</v>
      </c>
      <c r="B44" s="39" t="s">
        <v>54</v>
      </c>
      <c r="C44" s="40"/>
      <c r="D44" s="42" t="s">
        <v>56</v>
      </c>
      <c r="E44" s="38"/>
      <c r="F44" s="43"/>
      <c r="G44" s="63" t="s">
        <v>293</v>
      </c>
      <c r="H44" s="58"/>
      <c r="I44" s="38"/>
      <c r="J44" s="38"/>
      <c r="K44" s="46"/>
      <c r="L44" s="47"/>
      <c r="M44" s="64">
        <v>1.5474537037037037E-2</v>
      </c>
      <c r="N44" s="64">
        <v>1.7361111111111112E-2</v>
      </c>
      <c r="O44" s="46">
        <f t="shared" si="4"/>
        <v>1.8865740740740752E-3</v>
      </c>
      <c r="P44" s="65">
        <v>43021</v>
      </c>
      <c r="Q44" s="59" t="str">
        <f t="shared" ca="1" si="0"/>
        <v>https://www.youtube.com/embed/4yz6ZL-TC94?start=1337&amp;end=1500&amp;autoplay=1</v>
      </c>
      <c r="R44" s="67" t="s">
        <v>63</v>
      </c>
      <c r="S44" s="67" t="s">
        <v>131</v>
      </c>
      <c r="T44" s="67" t="s">
        <v>63</v>
      </c>
      <c r="U44" s="52"/>
      <c r="V44" s="53"/>
      <c r="W44" s="57" t="s">
        <v>64</v>
      </c>
      <c r="X44" s="78"/>
      <c r="Y44" s="61"/>
      <c r="Z44" s="61"/>
      <c r="AA44" s="73"/>
      <c r="AB44" s="73"/>
      <c r="AC44" s="73"/>
      <c r="AD44" s="73"/>
      <c r="AE44" s="73"/>
      <c r="AF44" s="73"/>
      <c r="AG44" s="73"/>
      <c r="AH44" s="38"/>
      <c r="AI44" s="38"/>
    </row>
    <row r="45" spans="1:35">
      <c r="A45" s="42">
        <v>73.040000000000006</v>
      </c>
      <c r="B45" s="39" t="s">
        <v>54</v>
      </c>
      <c r="C45" s="40"/>
      <c r="D45" s="42" t="s">
        <v>56</v>
      </c>
      <c r="E45" s="38"/>
      <c r="F45" s="43"/>
      <c r="G45" s="63" t="s">
        <v>298</v>
      </c>
      <c r="H45" s="58"/>
      <c r="I45" s="38"/>
      <c r="J45" s="38"/>
      <c r="K45" s="46"/>
      <c r="L45" s="47"/>
      <c r="M45" s="64">
        <v>1.7372685185185185E-2</v>
      </c>
      <c r="N45" s="64">
        <v>1.9965277777777776E-2</v>
      </c>
      <c r="O45" s="46">
        <f t="shared" si="4"/>
        <v>2.5925925925925908E-3</v>
      </c>
      <c r="P45" s="65">
        <v>43021</v>
      </c>
      <c r="Q45" s="59" t="str">
        <f t="shared" ca="1" si="0"/>
        <v>https://www.youtube.com/embed/4yz6ZL-TC94?start=1501&amp;end=1725&amp;autoplay=1</v>
      </c>
      <c r="R45" s="67" t="s">
        <v>63</v>
      </c>
      <c r="S45" s="67" t="s">
        <v>131</v>
      </c>
      <c r="T45" s="67" t="s">
        <v>63</v>
      </c>
      <c r="U45" s="52"/>
      <c r="V45" s="53"/>
      <c r="W45" s="57" t="s">
        <v>64</v>
      </c>
      <c r="X45" s="78"/>
      <c r="Y45" s="61"/>
      <c r="Z45" s="61"/>
      <c r="AA45" s="73"/>
      <c r="AB45" s="73"/>
      <c r="AC45" s="73"/>
      <c r="AD45" s="73"/>
      <c r="AE45" s="73"/>
      <c r="AF45" s="73"/>
      <c r="AG45" s="73"/>
      <c r="AH45" s="38"/>
      <c r="AI45" s="38"/>
    </row>
    <row r="46" spans="1:35">
      <c r="A46" s="42">
        <v>73.05</v>
      </c>
      <c r="B46" s="39" t="s">
        <v>54</v>
      </c>
      <c r="C46" s="40"/>
      <c r="D46" s="42" t="s">
        <v>56</v>
      </c>
      <c r="E46" s="38"/>
      <c r="F46" s="43"/>
      <c r="G46" s="63" t="s">
        <v>301</v>
      </c>
      <c r="H46" s="45"/>
      <c r="I46" s="38"/>
      <c r="J46" s="38"/>
      <c r="K46" s="46"/>
      <c r="L46" s="47"/>
      <c r="M46" s="64">
        <v>2.0104166666666666E-2</v>
      </c>
      <c r="N46" s="64">
        <v>2.4583333333333332E-2</v>
      </c>
      <c r="O46" s="46">
        <f t="shared" si="4"/>
        <v>4.479166666666666E-3</v>
      </c>
      <c r="P46" s="65">
        <v>43021</v>
      </c>
      <c r="Q46" s="59" t="str">
        <f t="shared" ca="1" si="0"/>
        <v>https://www.youtube.com/embed/4yz6ZL-TC94?start=1737&amp;end=2124&amp;autoplay=1</v>
      </c>
      <c r="R46" s="67" t="s">
        <v>63</v>
      </c>
      <c r="S46" s="67" t="s">
        <v>131</v>
      </c>
      <c r="T46" s="67" t="s">
        <v>63</v>
      </c>
      <c r="U46" s="52"/>
      <c r="V46" s="53"/>
      <c r="W46" s="57" t="s">
        <v>64</v>
      </c>
      <c r="X46" s="56"/>
      <c r="Y46" s="38"/>
      <c r="Z46" s="38"/>
      <c r="AA46" s="73"/>
      <c r="AB46" s="73"/>
      <c r="AC46" s="73"/>
      <c r="AD46" s="73"/>
      <c r="AE46" s="73"/>
      <c r="AF46" s="73"/>
      <c r="AG46" s="73"/>
      <c r="AH46" s="38"/>
      <c r="AI46" s="38"/>
    </row>
    <row r="47" spans="1:35">
      <c r="A47" s="42">
        <v>73.06</v>
      </c>
      <c r="B47" s="39" t="s">
        <v>54</v>
      </c>
      <c r="C47" s="40"/>
      <c r="D47" s="42" t="s">
        <v>56</v>
      </c>
      <c r="E47" s="38"/>
      <c r="F47" s="43"/>
      <c r="G47" s="63" t="s">
        <v>303</v>
      </c>
      <c r="H47" s="79"/>
      <c r="I47" s="38"/>
      <c r="J47" s="38"/>
      <c r="K47" s="46"/>
      <c r="L47" s="47"/>
      <c r="M47" s="64">
        <v>2.5520833333333333E-2</v>
      </c>
      <c r="N47" s="64">
        <v>2.9189814814814814E-2</v>
      </c>
      <c r="O47" s="46">
        <f t="shared" si="4"/>
        <v>3.6689814814814814E-3</v>
      </c>
      <c r="P47" s="65">
        <v>43021</v>
      </c>
      <c r="Q47" s="59" t="str">
        <f t="shared" ca="1" si="0"/>
        <v>https://www.youtube.com/embed/4yz6ZL-TC94?start=2205&amp;end=2522&amp;autoplay=1</v>
      </c>
      <c r="R47" s="67" t="s">
        <v>63</v>
      </c>
      <c r="S47" s="67" t="s">
        <v>131</v>
      </c>
      <c r="T47" s="67" t="s">
        <v>63</v>
      </c>
      <c r="U47" s="52"/>
      <c r="V47" s="53"/>
      <c r="W47" s="57" t="s">
        <v>64</v>
      </c>
      <c r="X47" s="56"/>
      <c r="Y47" s="38"/>
      <c r="Z47" s="38"/>
      <c r="AA47" s="73"/>
      <c r="AB47" s="73"/>
      <c r="AC47" s="73"/>
      <c r="AD47" s="73"/>
      <c r="AE47" s="73"/>
      <c r="AF47" s="73"/>
      <c r="AG47" s="73"/>
      <c r="AH47" s="38"/>
      <c r="AI47" s="38"/>
    </row>
    <row r="48" spans="1:35">
      <c r="A48" s="42">
        <v>73.069999999999993</v>
      </c>
      <c r="B48" s="39" t="s">
        <v>54</v>
      </c>
      <c r="C48" s="40"/>
      <c r="D48" s="42" t="s">
        <v>56</v>
      </c>
      <c r="E48" s="38"/>
      <c r="F48" s="43"/>
      <c r="G48" s="63" t="s">
        <v>306</v>
      </c>
      <c r="H48" s="79"/>
      <c r="I48" s="38"/>
      <c r="J48" s="38"/>
      <c r="K48" s="46"/>
      <c r="L48" s="47"/>
      <c r="M48" s="64">
        <v>2.9421296296296296E-2</v>
      </c>
      <c r="N48" s="64">
        <v>3.574074074074074E-2</v>
      </c>
      <c r="O48" s="46">
        <f t="shared" si="4"/>
        <v>6.3194444444444435E-3</v>
      </c>
      <c r="P48" s="65">
        <v>43021</v>
      </c>
      <c r="Q48" s="59" t="str">
        <f t="shared" ca="1" si="0"/>
        <v>https://www.youtube.com/embed/4yz6ZL-TC94?start=2542&amp;end=3088&amp;autoplay=1</v>
      </c>
      <c r="R48" s="67" t="s">
        <v>63</v>
      </c>
      <c r="S48" s="67" t="s">
        <v>131</v>
      </c>
      <c r="T48" s="67" t="s">
        <v>63</v>
      </c>
      <c r="U48" s="52"/>
      <c r="V48" s="53"/>
      <c r="W48" s="57" t="s">
        <v>64</v>
      </c>
      <c r="X48" s="56"/>
      <c r="Y48" s="38"/>
      <c r="Z48" s="38"/>
      <c r="AA48" s="73"/>
      <c r="AB48" s="73"/>
      <c r="AC48" s="73"/>
      <c r="AD48" s="73"/>
      <c r="AE48" s="73"/>
      <c r="AF48" s="73"/>
      <c r="AG48" s="73"/>
      <c r="AH48" s="38"/>
      <c r="AI48" s="38"/>
    </row>
    <row r="49" spans="1:35">
      <c r="A49" s="42">
        <v>73.08</v>
      </c>
      <c r="B49" s="39" t="s">
        <v>54</v>
      </c>
      <c r="C49" s="40"/>
      <c r="D49" s="42" t="s">
        <v>56</v>
      </c>
      <c r="E49" s="38"/>
      <c r="F49" s="43"/>
      <c r="G49" s="63" t="s">
        <v>309</v>
      </c>
      <c r="H49" s="79"/>
      <c r="I49" s="38"/>
      <c r="J49" s="38"/>
      <c r="K49" s="46"/>
      <c r="L49" s="47"/>
      <c r="M49" s="64">
        <v>3.5821759259259262E-2</v>
      </c>
      <c r="N49" s="64">
        <v>3.9780092592592596E-2</v>
      </c>
      <c r="O49" s="46">
        <f t="shared" si="4"/>
        <v>3.9583333333333345E-3</v>
      </c>
      <c r="P49" s="65">
        <v>43021</v>
      </c>
      <c r="Q49" s="59" t="str">
        <f t="shared" ca="1" si="0"/>
        <v>https://www.youtube.com/embed/4yz6ZL-TC94?start=3095&amp;end=3437&amp;autoplay=1</v>
      </c>
      <c r="R49" s="67" t="s">
        <v>63</v>
      </c>
      <c r="S49" s="67" t="s">
        <v>131</v>
      </c>
      <c r="T49" s="67" t="s">
        <v>63</v>
      </c>
      <c r="U49" s="52"/>
      <c r="V49" s="53"/>
      <c r="W49" s="57" t="s">
        <v>64</v>
      </c>
      <c r="X49" s="56"/>
      <c r="Y49" s="38"/>
      <c r="Z49" s="38"/>
      <c r="AA49" s="73"/>
      <c r="AB49" s="73"/>
      <c r="AC49" s="73"/>
      <c r="AD49" s="73"/>
      <c r="AE49" s="73"/>
      <c r="AF49" s="73"/>
      <c r="AG49" s="73"/>
      <c r="AH49" s="38"/>
      <c r="AI49" s="38"/>
    </row>
    <row r="50" spans="1:35">
      <c r="A50" s="42">
        <v>73.09</v>
      </c>
      <c r="B50" s="39" t="s">
        <v>54</v>
      </c>
      <c r="C50" s="40"/>
      <c r="D50" s="42" t="s">
        <v>56</v>
      </c>
      <c r="E50" s="81"/>
      <c r="F50" s="82"/>
      <c r="G50" s="83" t="s">
        <v>312</v>
      </c>
      <c r="H50" s="73"/>
      <c r="I50" s="80"/>
      <c r="J50" s="80"/>
      <c r="K50" s="46"/>
      <c r="L50" s="80"/>
      <c r="M50" s="64">
        <v>3.8414351851851852E-2</v>
      </c>
      <c r="N50" s="64">
        <v>4.4837962962962961E-2</v>
      </c>
      <c r="O50" s="46">
        <f t="shared" si="4"/>
        <v>6.4236111111111091E-3</v>
      </c>
      <c r="P50" s="65">
        <v>43021</v>
      </c>
      <c r="Q50" s="59" t="str">
        <f t="shared" ca="1" si="0"/>
        <v>https://www.youtube.com/embed/4yz6ZL-TC94?start=3319&amp;end=3874&amp;autoplay=1</v>
      </c>
      <c r="R50" s="67" t="s">
        <v>63</v>
      </c>
      <c r="S50" s="67" t="s">
        <v>131</v>
      </c>
      <c r="T50" s="67" t="s">
        <v>63</v>
      </c>
      <c r="U50" s="52"/>
      <c r="V50" s="53"/>
      <c r="W50" s="57" t="s">
        <v>64</v>
      </c>
      <c r="X50" s="71"/>
      <c r="Y50" s="42"/>
      <c r="Z50" s="42"/>
      <c r="AA50" s="73"/>
      <c r="AB50" s="73"/>
      <c r="AC50" s="73"/>
      <c r="AD50" s="73"/>
      <c r="AE50" s="73"/>
      <c r="AF50" s="73"/>
      <c r="AG50" s="73"/>
      <c r="AH50" s="38"/>
      <c r="AI50" s="38"/>
    </row>
    <row r="51" spans="1:35">
      <c r="A51" s="85">
        <v>73.099999999999994</v>
      </c>
      <c r="B51" s="39" t="s">
        <v>54</v>
      </c>
      <c r="C51" s="40"/>
      <c r="D51" s="42" t="s">
        <v>56</v>
      </c>
      <c r="E51" s="38"/>
      <c r="F51" s="44"/>
      <c r="G51" s="42" t="s">
        <v>315</v>
      </c>
      <c r="H51" s="79"/>
      <c r="I51" s="38"/>
      <c r="J51" s="38"/>
      <c r="K51" s="46"/>
      <c r="L51" s="47"/>
      <c r="M51" s="64">
        <v>4.4849537037037035E-2</v>
      </c>
      <c r="N51" s="64">
        <v>4.7534722222222221E-2</v>
      </c>
      <c r="O51" s="46">
        <f t="shared" si="4"/>
        <v>2.6851851851851863E-3</v>
      </c>
      <c r="P51" s="65">
        <v>43021</v>
      </c>
      <c r="Q51" s="59" t="str">
        <f t="shared" ca="1" si="0"/>
        <v>https://www.youtube.com/embed/4yz6ZL-TC94?start=3875&amp;end=4107&amp;autoplay=1</v>
      </c>
      <c r="R51" s="67" t="s">
        <v>63</v>
      </c>
      <c r="S51" s="67" t="s">
        <v>131</v>
      </c>
      <c r="T51" s="67" t="s">
        <v>63</v>
      </c>
      <c r="U51" s="52"/>
      <c r="V51" s="53"/>
      <c r="W51" s="57" t="s">
        <v>64</v>
      </c>
      <c r="X51" s="84"/>
      <c r="Y51" s="73"/>
      <c r="Z51" s="73"/>
      <c r="AA51" s="73"/>
      <c r="AB51" s="73"/>
      <c r="AC51" s="73"/>
      <c r="AD51" s="73"/>
      <c r="AE51" s="73"/>
      <c r="AF51" s="73"/>
      <c r="AG51" s="73"/>
      <c r="AH51" s="38"/>
      <c r="AI51" s="38"/>
    </row>
    <row r="52" spans="1:35">
      <c r="A52" s="42">
        <v>73.11</v>
      </c>
      <c r="B52" s="39" t="s">
        <v>54</v>
      </c>
      <c r="C52" s="40"/>
      <c r="D52" s="42" t="s">
        <v>56</v>
      </c>
      <c r="E52" s="38"/>
      <c r="F52" s="44"/>
      <c r="G52" s="42" t="s">
        <v>320</v>
      </c>
      <c r="H52" s="79"/>
      <c r="I52" s="38"/>
      <c r="J52" s="38"/>
      <c r="K52" s="46"/>
      <c r="L52" s="47"/>
      <c r="M52" s="64">
        <v>4.8576388888888891E-2</v>
      </c>
      <c r="N52" s="64">
        <v>5.0613425925925923E-2</v>
      </c>
      <c r="O52" s="46">
        <f t="shared" si="4"/>
        <v>2.0370370370370317E-3</v>
      </c>
      <c r="P52" s="65">
        <v>43021</v>
      </c>
      <c r="Q52" s="59" t="str">
        <f t="shared" ca="1" si="0"/>
        <v>https://www.youtube.com/embed/4yz6ZL-TC94?start=4197&amp;end=4373&amp;autoplay=1</v>
      </c>
      <c r="R52" s="67" t="s">
        <v>63</v>
      </c>
      <c r="S52" s="67" t="s">
        <v>131</v>
      </c>
      <c r="T52" s="67" t="s">
        <v>63</v>
      </c>
      <c r="U52" s="52"/>
      <c r="V52" s="53"/>
      <c r="W52" s="57" t="s">
        <v>64</v>
      </c>
      <c r="X52" s="56"/>
      <c r="Y52" s="38"/>
      <c r="Z52" s="38"/>
      <c r="AA52" s="73"/>
      <c r="AB52" s="73"/>
      <c r="AC52" s="73"/>
      <c r="AD52" s="73"/>
      <c r="AE52" s="73"/>
      <c r="AF52" s="73"/>
      <c r="AG52" s="73"/>
      <c r="AH52" s="38"/>
      <c r="AI52" s="38"/>
    </row>
    <row r="53" spans="1:35">
      <c r="A53" s="42">
        <v>73.12</v>
      </c>
      <c r="B53" s="39" t="s">
        <v>54</v>
      </c>
      <c r="C53" s="40"/>
      <c r="D53" s="42" t="s">
        <v>56</v>
      </c>
      <c r="E53" s="38"/>
      <c r="F53" s="44"/>
      <c r="G53" s="42" t="s">
        <v>325</v>
      </c>
      <c r="H53" s="79"/>
      <c r="I53" s="38"/>
      <c r="J53" s="38"/>
      <c r="K53" s="46"/>
      <c r="L53" s="47"/>
      <c r="M53" s="64">
        <v>5.0856481481481482E-2</v>
      </c>
      <c r="N53" s="64">
        <v>5.2233796296296299E-2</v>
      </c>
      <c r="O53" s="46">
        <f t="shared" si="4"/>
        <v>1.3773148148148173E-3</v>
      </c>
      <c r="P53" s="65">
        <v>43021</v>
      </c>
      <c r="Q53" s="59" t="str">
        <f t="shared" ca="1" si="0"/>
        <v>https://www.youtube.com/embed/4yz6ZL-TC94?start=4394&amp;end=4513&amp;autoplay=1</v>
      </c>
      <c r="R53" s="67" t="s">
        <v>63</v>
      </c>
      <c r="S53" s="67" t="s">
        <v>131</v>
      </c>
      <c r="T53" s="67" t="s">
        <v>63</v>
      </c>
      <c r="U53" s="52"/>
      <c r="V53" s="53"/>
      <c r="W53" s="57" t="s">
        <v>64</v>
      </c>
      <c r="X53" s="56"/>
      <c r="Y53" s="38"/>
      <c r="Z53" s="38"/>
      <c r="AA53" s="73"/>
      <c r="AB53" s="73"/>
      <c r="AC53" s="73"/>
      <c r="AD53" s="73"/>
      <c r="AE53" s="73"/>
      <c r="AF53" s="73"/>
      <c r="AG53" s="73"/>
      <c r="AH53" s="38"/>
      <c r="AI53" s="38"/>
    </row>
    <row r="54" spans="1:35">
      <c r="A54" s="42">
        <v>73.13</v>
      </c>
      <c r="B54" s="39" t="s">
        <v>54</v>
      </c>
      <c r="C54" s="40"/>
      <c r="D54" s="42" t="s">
        <v>56</v>
      </c>
      <c r="E54" s="38"/>
      <c r="F54" s="44"/>
      <c r="G54" s="42" t="s">
        <v>329</v>
      </c>
      <c r="H54" s="79"/>
      <c r="I54" s="38"/>
      <c r="J54" s="38"/>
      <c r="K54" s="46"/>
      <c r="L54" s="47"/>
      <c r="M54" s="64">
        <v>5.2256944444444446E-2</v>
      </c>
      <c r="N54" s="64">
        <v>5.5069444444444442E-2</v>
      </c>
      <c r="O54" s="46">
        <f t="shared" si="4"/>
        <v>2.8124999999999956E-3</v>
      </c>
      <c r="P54" s="65">
        <v>43021</v>
      </c>
      <c r="Q54" s="59" t="str">
        <f t="shared" ca="1" si="0"/>
        <v>https://www.youtube.com/embed/4yz6ZL-TC94?start=4515&amp;end=4758&amp;autoplay=1</v>
      </c>
      <c r="R54" s="67" t="s">
        <v>63</v>
      </c>
      <c r="S54" s="67" t="s">
        <v>131</v>
      </c>
      <c r="T54" s="67" t="s">
        <v>63</v>
      </c>
      <c r="U54" s="52"/>
      <c r="V54" s="53"/>
      <c r="W54" s="57" t="s">
        <v>64</v>
      </c>
      <c r="X54" s="56"/>
      <c r="Y54" s="38"/>
      <c r="Z54" s="38"/>
      <c r="AA54" s="73"/>
      <c r="AB54" s="73"/>
      <c r="AC54" s="73"/>
      <c r="AD54" s="73"/>
      <c r="AE54" s="73"/>
      <c r="AF54" s="73"/>
      <c r="AG54" s="73"/>
      <c r="AH54" s="38"/>
      <c r="AI54" s="38"/>
    </row>
    <row r="55" spans="1:35">
      <c r="A55" s="42">
        <v>73.14</v>
      </c>
      <c r="B55" s="39" t="s">
        <v>54</v>
      </c>
      <c r="C55" s="40"/>
      <c r="D55" s="42" t="s">
        <v>56</v>
      </c>
      <c r="E55" s="38"/>
      <c r="F55" s="44"/>
      <c r="G55" s="42" t="s">
        <v>334</v>
      </c>
      <c r="H55" s="79"/>
      <c r="I55" s="38"/>
      <c r="J55" s="38"/>
      <c r="K55" s="46"/>
      <c r="L55" s="47"/>
      <c r="M55" s="64">
        <v>5.5115740740740743E-2</v>
      </c>
      <c r="N55" s="64">
        <v>5.8321759259259261E-2</v>
      </c>
      <c r="O55" s="46">
        <f t="shared" si="4"/>
        <v>3.2060185185185178E-3</v>
      </c>
      <c r="P55" s="65">
        <v>43021</v>
      </c>
      <c r="Q55" s="59" t="str">
        <f t="shared" ca="1" si="0"/>
        <v>https://www.youtube.com/embed/4yz6ZL-TC94?start=4762&amp;end=5039&amp;autoplay=1</v>
      </c>
      <c r="R55" s="67" t="s">
        <v>63</v>
      </c>
      <c r="S55" s="67" t="s">
        <v>131</v>
      </c>
      <c r="T55" s="67" t="s">
        <v>63</v>
      </c>
      <c r="U55" s="52"/>
      <c r="V55" s="53"/>
      <c r="W55" s="57" t="s">
        <v>64</v>
      </c>
      <c r="X55" s="71"/>
      <c r="Y55" s="42"/>
      <c r="Z55" s="42"/>
      <c r="AA55" s="38"/>
      <c r="AB55" s="38"/>
      <c r="AC55" s="87"/>
      <c r="AD55" s="87"/>
      <c r="AE55" s="87"/>
      <c r="AF55" s="87"/>
      <c r="AG55" s="87"/>
      <c r="AH55" s="38"/>
      <c r="AI55" s="38"/>
    </row>
    <row r="56" spans="1:35">
      <c r="A56" s="42">
        <v>73.150000000000006</v>
      </c>
      <c r="B56" s="39" t="s">
        <v>54</v>
      </c>
      <c r="C56" s="40"/>
      <c r="D56" s="42" t="s">
        <v>56</v>
      </c>
      <c r="E56" s="38"/>
      <c r="F56" s="44"/>
      <c r="G56" s="42" t="s">
        <v>336</v>
      </c>
      <c r="H56" s="79"/>
      <c r="I56" s="38"/>
      <c r="J56" s="38"/>
      <c r="K56" s="46"/>
      <c r="L56" s="47"/>
      <c r="M56" s="64">
        <v>5.8344907407407408E-2</v>
      </c>
      <c r="N56" s="64">
        <v>6.25E-2</v>
      </c>
      <c r="O56" s="46">
        <f t="shared" si="4"/>
        <v>4.1550925925925922E-3</v>
      </c>
      <c r="P56" s="65">
        <v>43021</v>
      </c>
      <c r="Q56" s="59" t="str">
        <f t="shared" ca="1" si="0"/>
        <v>https://www.youtube.com/embed/4yz6ZL-TC94?start=5041&amp;end=5400&amp;autoplay=1</v>
      </c>
      <c r="R56" s="67" t="s">
        <v>63</v>
      </c>
      <c r="S56" s="67" t="s">
        <v>131</v>
      </c>
      <c r="T56" s="67" t="s">
        <v>63</v>
      </c>
      <c r="U56" s="52"/>
      <c r="V56" s="53"/>
      <c r="W56" s="57" t="s">
        <v>64</v>
      </c>
      <c r="X56" s="56"/>
      <c r="Y56" s="38"/>
      <c r="Z56" s="38"/>
      <c r="AA56" s="73"/>
      <c r="AB56" s="73"/>
      <c r="AC56" s="73"/>
      <c r="AD56" s="73"/>
      <c r="AE56" s="73"/>
      <c r="AF56" s="73"/>
      <c r="AG56" s="73"/>
      <c r="AH56" s="38"/>
      <c r="AI56" s="38"/>
    </row>
    <row r="57" spans="1:35">
      <c r="A57" s="42">
        <v>73.16</v>
      </c>
      <c r="B57" s="39" t="s">
        <v>54</v>
      </c>
      <c r="C57" s="40"/>
      <c r="D57" s="42" t="s">
        <v>56</v>
      </c>
      <c r="E57" s="38"/>
      <c r="F57" s="43"/>
      <c r="G57" s="63" t="s">
        <v>341</v>
      </c>
      <c r="H57" s="45"/>
      <c r="I57" s="38"/>
      <c r="J57" s="38"/>
      <c r="K57" s="46"/>
      <c r="L57" s="47"/>
      <c r="M57" s="64">
        <v>6.25E-2</v>
      </c>
      <c r="N57" s="64">
        <v>6.5104166666666671E-2</v>
      </c>
      <c r="O57" s="46">
        <f t="shared" si="4"/>
        <v>2.6041666666666713E-3</v>
      </c>
      <c r="P57" s="65">
        <v>43021</v>
      </c>
      <c r="Q57" s="59" t="str">
        <f t="shared" ca="1" si="0"/>
        <v>https://www.youtube.com/embed/4yz6ZL-TC94?start=5400&amp;end=5625&amp;autoplay=1</v>
      </c>
      <c r="R57" s="67" t="s">
        <v>63</v>
      </c>
      <c r="S57" s="67" t="s">
        <v>131</v>
      </c>
      <c r="T57" s="67" t="s">
        <v>63</v>
      </c>
      <c r="U57" s="52"/>
      <c r="V57" s="53"/>
      <c r="W57" s="57" t="s">
        <v>64</v>
      </c>
      <c r="X57" s="56"/>
      <c r="Y57" s="38"/>
      <c r="Z57" s="38"/>
      <c r="AA57" s="73"/>
      <c r="AB57" s="73"/>
      <c r="AC57" s="73"/>
      <c r="AD57" s="73"/>
      <c r="AE57" s="73"/>
      <c r="AF57" s="73"/>
      <c r="AG57" s="73"/>
      <c r="AH57" s="38"/>
      <c r="AI57" s="38"/>
    </row>
    <row r="58" spans="1:35">
      <c r="A58" s="38">
        <v>149</v>
      </c>
      <c r="B58" s="39" t="s">
        <v>54</v>
      </c>
      <c r="C58" s="40"/>
      <c r="D58" s="42" t="s">
        <v>56</v>
      </c>
      <c r="E58" s="38" t="s">
        <v>345</v>
      </c>
      <c r="F58" s="43" t="s">
        <v>346</v>
      </c>
      <c r="G58" s="44"/>
      <c r="H58" s="45"/>
      <c r="I58" s="38"/>
      <c r="J58" s="38">
        <f>1.2*1000</f>
        <v>1200</v>
      </c>
      <c r="K58" s="46">
        <v>4.2303240740740738E-2</v>
      </c>
      <c r="L58" s="47" t="s">
        <v>286</v>
      </c>
      <c r="M58" s="48"/>
      <c r="N58" s="48"/>
      <c r="O58" s="38"/>
      <c r="P58" s="65">
        <v>43025</v>
      </c>
      <c r="Q58" s="14" t="str">
        <f t="shared" ca="1" si="0"/>
        <v/>
      </c>
      <c r="R58" s="51"/>
      <c r="S58" s="51"/>
      <c r="T58" s="51"/>
      <c r="U58" s="40"/>
      <c r="V58" s="54"/>
      <c r="W58" s="55"/>
      <c r="X58" s="56"/>
      <c r="Y58" s="88"/>
      <c r="Z58" s="88"/>
      <c r="AA58" s="88"/>
      <c r="AB58" s="88"/>
      <c r="AC58" s="73"/>
      <c r="AD58" s="73"/>
      <c r="AE58" s="73"/>
      <c r="AF58" s="73"/>
      <c r="AG58" s="73"/>
      <c r="AH58" s="38"/>
      <c r="AI58" s="38"/>
    </row>
    <row r="59" spans="1:35">
      <c r="A59" s="42">
        <v>149.01</v>
      </c>
      <c r="B59" s="39" t="s">
        <v>54</v>
      </c>
      <c r="C59" s="40"/>
      <c r="D59" s="42" t="s">
        <v>56</v>
      </c>
      <c r="E59" s="38"/>
      <c r="F59" s="43"/>
      <c r="G59" s="63" t="s">
        <v>351</v>
      </c>
      <c r="H59" s="58"/>
      <c r="I59" s="38"/>
      <c r="J59" s="38"/>
      <c r="K59" s="46"/>
      <c r="L59" s="47"/>
      <c r="M59" s="64">
        <v>1.1574074074074073E-5</v>
      </c>
      <c r="N59" s="64">
        <v>4.2824074074074075E-3</v>
      </c>
      <c r="O59" s="46">
        <f t="shared" ref="O59:O68" si="5">N59-M59</f>
        <v>4.2708333333333331E-3</v>
      </c>
      <c r="P59" s="65">
        <v>43025</v>
      </c>
      <c r="Q59" s="59" t="str">
        <f t="shared" ca="1" si="0"/>
        <v>https://www.youtube.com/embed/T0iutxik1Eg?start=1&amp;end=370&amp;autoplay=1</v>
      </c>
      <c r="R59" s="67" t="s">
        <v>63</v>
      </c>
      <c r="S59" s="67" t="s">
        <v>63</v>
      </c>
      <c r="T59" s="67" t="s">
        <v>63</v>
      </c>
      <c r="U59" s="52"/>
      <c r="V59" s="53"/>
      <c r="W59" s="57" t="s">
        <v>64</v>
      </c>
      <c r="X59" s="78"/>
      <c r="Y59" s="61"/>
      <c r="Z59" s="61"/>
      <c r="AA59" s="73"/>
      <c r="AB59" s="73"/>
      <c r="AC59" s="73"/>
      <c r="AD59" s="73"/>
      <c r="AE59" s="73"/>
      <c r="AF59" s="73"/>
      <c r="AG59" s="73"/>
      <c r="AH59" s="38"/>
      <c r="AI59" s="38"/>
    </row>
    <row r="60" spans="1:35">
      <c r="A60" s="42">
        <v>149.02000000000001</v>
      </c>
      <c r="B60" s="39" t="s">
        <v>54</v>
      </c>
      <c r="C60" s="40"/>
      <c r="D60" s="42" t="s">
        <v>56</v>
      </c>
      <c r="E60" s="38"/>
      <c r="F60" s="43"/>
      <c r="G60" s="63" t="s">
        <v>358</v>
      </c>
      <c r="H60" s="58"/>
      <c r="I60" s="38"/>
      <c r="J60" s="38"/>
      <c r="K60" s="46"/>
      <c r="L60" s="47"/>
      <c r="M60" s="64">
        <v>4.2939814814814811E-3</v>
      </c>
      <c r="N60" s="64">
        <v>1.0104166666666666E-2</v>
      </c>
      <c r="O60" s="46">
        <f t="shared" si="5"/>
        <v>5.8101851851851847E-3</v>
      </c>
      <c r="P60" s="65">
        <v>43025</v>
      </c>
      <c r="Q60" s="59" t="str">
        <f t="shared" ca="1" si="0"/>
        <v>https://www.youtube.com/embed/T0iutxik1Eg?start=371&amp;end=873&amp;autoplay=1</v>
      </c>
      <c r="R60" s="67" t="s">
        <v>63</v>
      </c>
      <c r="S60" s="67" t="s">
        <v>63</v>
      </c>
      <c r="T60" s="67" t="s">
        <v>63</v>
      </c>
      <c r="U60" s="52"/>
      <c r="V60" s="53"/>
      <c r="W60" s="57" t="s">
        <v>64</v>
      </c>
      <c r="X60" s="78"/>
      <c r="Y60" s="61"/>
      <c r="Z60" s="61"/>
      <c r="AA60" s="73"/>
      <c r="AB60" s="73"/>
      <c r="AC60" s="73"/>
      <c r="AD60" s="73"/>
      <c r="AE60" s="73"/>
      <c r="AF60" s="73"/>
      <c r="AG60" s="73"/>
      <c r="AH60" s="38"/>
      <c r="AI60" s="38"/>
    </row>
    <row r="61" spans="1:35">
      <c r="A61" s="42">
        <v>149.03</v>
      </c>
      <c r="B61" s="39" t="s">
        <v>54</v>
      </c>
      <c r="C61" s="40"/>
      <c r="D61" s="42" t="s">
        <v>56</v>
      </c>
      <c r="E61" s="38"/>
      <c r="F61" s="43"/>
      <c r="G61" s="63" t="s">
        <v>362</v>
      </c>
      <c r="H61" s="45"/>
      <c r="I61" s="38"/>
      <c r="J61" s="38"/>
      <c r="K61" s="46"/>
      <c r="L61" s="47"/>
      <c r="M61" s="64">
        <v>1.0405092592592593E-2</v>
      </c>
      <c r="N61" s="64">
        <v>1.3171296296296296E-2</v>
      </c>
      <c r="O61" s="46">
        <f t="shared" si="5"/>
        <v>2.766203703703703E-3</v>
      </c>
      <c r="P61" s="65">
        <v>43025</v>
      </c>
      <c r="Q61" s="59" t="str">
        <f t="shared" ca="1" si="0"/>
        <v>https://www.youtube.com/embed/T0iutxik1Eg?start=899&amp;end=1138&amp;autoplay=1</v>
      </c>
      <c r="R61" s="67" t="s">
        <v>63</v>
      </c>
      <c r="S61" s="67" t="s">
        <v>63</v>
      </c>
      <c r="T61" s="67" t="s">
        <v>63</v>
      </c>
      <c r="U61" s="52"/>
      <c r="V61" s="53"/>
      <c r="W61" s="57" t="s">
        <v>64</v>
      </c>
      <c r="X61" s="78"/>
      <c r="Y61" s="61"/>
      <c r="Z61" s="61"/>
      <c r="AA61" s="73"/>
      <c r="AB61" s="73"/>
      <c r="AC61" s="73"/>
      <c r="AD61" s="73"/>
      <c r="AE61" s="73"/>
      <c r="AF61" s="73"/>
      <c r="AG61" s="73"/>
      <c r="AH61" s="38"/>
      <c r="AI61" s="38"/>
    </row>
    <row r="62" spans="1:35">
      <c r="A62" s="42">
        <v>149.04</v>
      </c>
      <c r="B62" s="39" t="s">
        <v>54</v>
      </c>
      <c r="C62" s="40"/>
      <c r="D62" s="42" t="s">
        <v>56</v>
      </c>
      <c r="E62" s="38"/>
      <c r="F62" s="43"/>
      <c r="G62" s="63" t="s">
        <v>367</v>
      </c>
      <c r="H62" s="45"/>
      <c r="I62" s="38"/>
      <c r="J62" s="38"/>
      <c r="K62" s="46"/>
      <c r="L62" s="47"/>
      <c r="M62" s="64">
        <v>1.3344907407407408E-2</v>
      </c>
      <c r="N62" s="64">
        <v>1.6435185185185185E-2</v>
      </c>
      <c r="O62" s="46">
        <f t="shared" si="5"/>
        <v>3.0902777777777769E-3</v>
      </c>
      <c r="P62" s="65">
        <v>43025</v>
      </c>
      <c r="Q62" s="59" t="str">
        <f t="shared" ca="1" si="0"/>
        <v>https://www.youtube.com/embed/T0iutxik1Eg?start=1153&amp;end=1420&amp;autoplay=1</v>
      </c>
      <c r="R62" s="67" t="s">
        <v>63</v>
      </c>
      <c r="S62" s="67" t="s">
        <v>63</v>
      </c>
      <c r="T62" s="67" t="s">
        <v>63</v>
      </c>
      <c r="U62" s="52"/>
      <c r="V62" s="53"/>
      <c r="W62" s="57" t="s">
        <v>64</v>
      </c>
      <c r="X62" s="56"/>
      <c r="Y62" s="38"/>
      <c r="Z62" s="38"/>
      <c r="AA62" s="73"/>
      <c r="AB62" s="73"/>
      <c r="AC62" s="73"/>
      <c r="AD62" s="73"/>
      <c r="AE62" s="73"/>
      <c r="AF62" s="73"/>
      <c r="AG62" s="73"/>
      <c r="AH62" s="38"/>
      <c r="AI62" s="38"/>
    </row>
    <row r="63" spans="1:35">
      <c r="A63" s="42">
        <v>149.05000000000001</v>
      </c>
      <c r="B63" s="39" t="s">
        <v>54</v>
      </c>
      <c r="C63" s="40"/>
      <c r="D63" s="42" t="s">
        <v>56</v>
      </c>
      <c r="E63" s="38"/>
      <c r="F63" s="43"/>
      <c r="G63" s="63" t="s">
        <v>372</v>
      </c>
      <c r="H63" s="58"/>
      <c r="I63" s="38"/>
      <c r="J63" s="38"/>
      <c r="K63" s="46"/>
      <c r="L63" s="47"/>
      <c r="M63" s="64">
        <v>1.6493055555555556E-2</v>
      </c>
      <c r="N63" s="64">
        <v>1.954861111111111E-2</v>
      </c>
      <c r="O63" s="46">
        <f t="shared" si="5"/>
        <v>3.0555555555555544E-3</v>
      </c>
      <c r="P63" s="65">
        <v>43025</v>
      </c>
      <c r="Q63" s="59" t="str">
        <f t="shared" ca="1" si="0"/>
        <v>https://www.youtube.com/embed/T0iutxik1Eg?start=1425&amp;end=1689&amp;autoplay=1</v>
      </c>
      <c r="R63" s="67" t="s">
        <v>63</v>
      </c>
      <c r="S63" s="67" t="s">
        <v>63</v>
      </c>
      <c r="T63" s="67" t="s">
        <v>63</v>
      </c>
      <c r="U63" s="52"/>
      <c r="V63" s="53"/>
      <c r="W63" s="57" t="s">
        <v>64</v>
      </c>
      <c r="X63" s="78"/>
      <c r="Y63" s="61"/>
      <c r="Z63" s="61"/>
      <c r="AA63" s="73"/>
      <c r="AB63" s="73"/>
      <c r="AC63" s="73"/>
      <c r="AD63" s="73"/>
      <c r="AE63" s="73"/>
      <c r="AF63" s="73"/>
      <c r="AG63" s="73"/>
      <c r="AH63" s="38"/>
      <c r="AI63" s="38"/>
    </row>
    <row r="64" spans="1:35">
      <c r="A64" s="42">
        <v>149.06</v>
      </c>
      <c r="B64" s="39" t="s">
        <v>54</v>
      </c>
      <c r="C64" s="40"/>
      <c r="D64" s="42" t="s">
        <v>56</v>
      </c>
      <c r="E64" s="38"/>
      <c r="F64" s="43"/>
      <c r="G64" s="63" t="s">
        <v>376</v>
      </c>
      <c r="H64" s="58"/>
      <c r="I64" s="38"/>
      <c r="J64" s="38"/>
      <c r="K64" s="46"/>
      <c r="L64" s="47"/>
      <c r="M64" s="64">
        <v>1.9699074074074074E-2</v>
      </c>
      <c r="N64" s="64">
        <v>2.1643518518518517E-2</v>
      </c>
      <c r="O64" s="46">
        <f t="shared" si="5"/>
        <v>1.9444444444444431E-3</v>
      </c>
      <c r="P64" s="65">
        <v>43025</v>
      </c>
      <c r="Q64" s="59" t="str">
        <f t="shared" ca="1" si="0"/>
        <v>https://www.youtube.com/embed/T0iutxik1Eg?start=1702&amp;end=1870&amp;autoplay=1</v>
      </c>
      <c r="R64" s="67" t="s">
        <v>63</v>
      </c>
      <c r="S64" s="67" t="s">
        <v>63</v>
      </c>
      <c r="T64" s="67" t="s">
        <v>63</v>
      </c>
      <c r="U64" s="52"/>
      <c r="V64" s="53"/>
      <c r="W64" s="57" t="s">
        <v>64</v>
      </c>
      <c r="X64" s="78"/>
      <c r="Y64" s="61"/>
      <c r="Z64" s="61"/>
      <c r="AA64" s="73"/>
      <c r="AB64" s="73"/>
      <c r="AC64" s="73"/>
      <c r="AD64" s="73"/>
      <c r="AE64" s="73"/>
      <c r="AF64" s="73"/>
      <c r="AG64" s="73"/>
      <c r="AH64" s="38"/>
      <c r="AI64" s="38"/>
    </row>
    <row r="65" spans="1:35">
      <c r="A65" s="42">
        <v>149.07</v>
      </c>
      <c r="B65" s="39" t="s">
        <v>54</v>
      </c>
      <c r="C65" s="40"/>
      <c r="D65" s="42" t="s">
        <v>56</v>
      </c>
      <c r="E65" s="38"/>
      <c r="F65" s="43"/>
      <c r="G65" s="63" t="s">
        <v>380</v>
      </c>
      <c r="H65" s="58"/>
      <c r="I65" s="38"/>
      <c r="J65" s="38"/>
      <c r="K65" s="46"/>
      <c r="L65" s="47"/>
      <c r="M65" s="64">
        <v>2.1666666666666667E-2</v>
      </c>
      <c r="N65" s="64">
        <v>2.3935185185185184E-2</v>
      </c>
      <c r="O65" s="46">
        <f t="shared" si="5"/>
        <v>2.2685185185185169E-3</v>
      </c>
      <c r="P65" s="65">
        <v>43025</v>
      </c>
      <c r="Q65" s="59" t="str">
        <f t="shared" ca="1" si="0"/>
        <v>https://www.youtube.com/embed/T0iutxik1Eg?start=1872&amp;end=2068&amp;autoplay=1</v>
      </c>
      <c r="R65" s="67" t="s">
        <v>63</v>
      </c>
      <c r="S65" s="67" t="s">
        <v>63</v>
      </c>
      <c r="T65" s="67" t="s">
        <v>63</v>
      </c>
      <c r="U65" s="52"/>
      <c r="V65" s="53"/>
      <c r="W65" s="57" t="s">
        <v>64</v>
      </c>
      <c r="X65" s="78"/>
      <c r="Y65" s="61"/>
      <c r="Z65" s="61"/>
      <c r="AA65" s="73"/>
      <c r="AB65" s="73"/>
      <c r="AC65" s="73"/>
      <c r="AD65" s="73"/>
      <c r="AE65" s="73"/>
      <c r="AF65" s="73"/>
      <c r="AG65" s="73"/>
      <c r="AH65" s="38"/>
      <c r="AI65" s="38"/>
    </row>
    <row r="66" spans="1:35">
      <c r="A66" s="42">
        <v>149.08000000000001</v>
      </c>
      <c r="B66" s="39" t="s">
        <v>54</v>
      </c>
      <c r="C66" s="40"/>
      <c r="D66" s="42" t="s">
        <v>56</v>
      </c>
      <c r="E66" s="38"/>
      <c r="F66" s="43"/>
      <c r="G66" s="63" t="s">
        <v>381</v>
      </c>
      <c r="H66" s="58"/>
      <c r="I66" s="38"/>
      <c r="J66" s="38"/>
      <c r="K66" s="46"/>
      <c r="L66" s="47"/>
      <c r="M66" s="64">
        <v>2.3958333333333335E-2</v>
      </c>
      <c r="N66" s="64">
        <v>2.4652777777777777E-2</v>
      </c>
      <c r="O66" s="46">
        <f t="shared" si="5"/>
        <v>6.9444444444444198E-4</v>
      </c>
      <c r="P66" s="65">
        <v>43025</v>
      </c>
      <c r="Q66" s="59" t="str">
        <f t="shared" ca="1" si="0"/>
        <v>https://www.youtube.com/embed/T0iutxik1Eg?start=2070&amp;end=2130&amp;autoplay=1</v>
      </c>
      <c r="R66" s="67" t="s">
        <v>63</v>
      </c>
      <c r="S66" s="67" t="s">
        <v>63</v>
      </c>
      <c r="T66" s="67" t="s">
        <v>63</v>
      </c>
      <c r="U66" s="52"/>
      <c r="V66" s="53"/>
      <c r="W66" s="57" t="s">
        <v>64</v>
      </c>
      <c r="X66" s="78"/>
      <c r="Y66" s="61"/>
      <c r="Z66" s="61"/>
      <c r="AA66" s="73"/>
      <c r="AB66" s="73"/>
      <c r="AC66" s="73"/>
      <c r="AD66" s="73"/>
      <c r="AE66" s="73"/>
      <c r="AF66" s="73"/>
      <c r="AG66" s="73"/>
      <c r="AH66" s="38"/>
      <c r="AI66" s="38"/>
    </row>
    <row r="67" spans="1:35">
      <c r="A67" s="42">
        <v>149.09</v>
      </c>
      <c r="B67" s="39" t="s">
        <v>54</v>
      </c>
      <c r="C67" s="40"/>
      <c r="D67" s="42" t="s">
        <v>56</v>
      </c>
      <c r="E67" s="38"/>
      <c r="F67" s="43"/>
      <c r="G67" s="63" t="s">
        <v>386</v>
      </c>
      <c r="H67" s="45"/>
      <c r="I67" s="38"/>
      <c r="J67" s="38"/>
      <c r="K67" s="46"/>
      <c r="L67" s="47"/>
      <c r="M67" s="64">
        <v>2.4675925925925928E-2</v>
      </c>
      <c r="N67" s="64">
        <v>2.7662037037037037E-2</v>
      </c>
      <c r="O67" s="46">
        <f t="shared" si="5"/>
        <v>2.9861111111111095E-3</v>
      </c>
      <c r="P67" s="65">
        <v>43025</v>
      </c>
      <c r="Q67" s="59" t="str">
        <f t="shared" ca="1" si="0"/>
        <v>https://www.youtube.com/embed/T0iutxik1Eg?start=2132&amp;end=2390&amp;autoplay=1</v>
      </c>
      <c r="R67" s="67" t="s">
        <v>63</v>
      </c>
      <c r="S67" s="67" t="s">
        <v>63</v>
      </c>
      <c r="T67" s="67" t="s">
        <v>63</v>
      </c>
      <c r="U67" s="52"/>
      <c r="V67" s="53"/>
      <c r="W67" s="57" t="s">
        <v>64</v>
      </c>
      <c r="X67" s="56"/>
      <c r="Y67" s="38"/>
      <c r="Z67" s="38"/>
      <c r="AA67" s="73"/>
      <c r="AB67" s="73"/>
      <c r="AC67" s="73"/>
      <c r="AD67" s="73"/>
      <c r="AE67" s="73"/>
      <c r="AF67" s="73"/>
      <c r="AG67" s="73"/>
      <c r="AH67" s="38"/>
      <c r="AI67" s="38"/>
    </row>
    <row r="68" spans="1:35">
      <c r="A68" s="85">
        <v>149.1</v>
      </c>
      <c r="B68" s="39" t="s">
        <v>54</v>
      </c>
      <c r="C68" s="40"/>
      <c r="D68" s="42" t="s">
        <v>56</v>
      </c>
      <c r="E68" s="38"/>
      <c r="F68" s="43"/>
      <c r="G68" s="63" t="s">
        <v>392</v>
      </c>
      <c r="H68" s="58"/>
      <c r="I68" s="38"/>
      <c r="J68" s="38"/>
      <c r="K68" s="46"/>
      <c r="L68" s="47"/>
      <c r="M68" s="64">
        <v>3.1365740740740743E-2</v>
      </c>
      <c r="N68" s="64">
        <v>3.5300925925925923E-2</v>
      </c>
      <c r="O68" s="46">
        <f t="shared" si="5"/>
        <v>3.9351851851851805E-3</v>
      </c>
      <c r="P68" s="65">
        <v>43025</v>
      </c>
      <c r="Q68" s="59" t="str">
        <f t="shared" ca="1" si="0"/>
        <v>https://www.youtube.com/embed/T0iutxik1Eg?start=2710&amp;end=3050&amp;autoplay=1</v>
      </c>
      <c r="R68" s="67" t="s">
        <v>63</v>
      </c>
      <c r="S68" s="67" t="s">
        <v>63</v>
      </c>
      <c r="T68" s="67" t="s">
        <v>63</v>
      </c>
      <c r="U68" s="52"/>
      <c r="V68" s="53"/>
      <c r="W68" s="57" t="s">
        <v>64</v>
      </c>
      <c r="X68" s="56"/>
      <c r="Y68" s="38"/>
      <c r="Z68" s="38"/>
      <c r="AA68" s="73"/>
      <c r="AB68" s="73"/>
      <c r="AC68" s="73"/>
      <c r="AD68" s="73"/>
      <c r="AE68" s="73"/>
      <c r="AF68" s="73"/>
      <c r="AG68" s="73"/>
      <c r="AH68" s="38"/>
      <c r="AI68" s="38"/>
    </row>
    <row r="69" spans="1:35">
      <c r="A69" s="38">
        <v>155</v>
      </c>
      <c r="B69" s="39" t="s">
        <v>54</v>
      </c>
      <c r="C69" s="40"/>
      <c r="D69" s="42" t="s">
        <v>56</v>
      </c>
      <c r="E69" s="38" t="s">
        <v>396</v>
      </c>
      <c r="F69" s="43" t="s">
        <v>398</v>
      </c>
      <c r="G69" s="44"/>
      <c r="H69" s="45"/>
      <c r="I69" s="38"/>
      <c r="J69" s="38">
        <f>453</f>
        <v>453</v>
      </c>
      <c r="K69" s="46">
        <v>4.9189814814814816E-3</v>
      </c>
      <c r="L69" s="47" t="s">
        <v>286</v>
      </c>
      <c r="M69" s="48"/>
      <c r="N69" s="48"/>
      <c r="O69" s="38"/>
      <c r="P69" s="65">
        <v>43030</v>
      </c>
      <c r="Q69" s="14" t="str">
        <f t="shared" ca="1" si="0"/>
        <v/>
      </c>
      <c r="R69" s="51"/>
      <c r="S69" s="51"/>
      <c r="T69" s="51"/>
      <c r="U69" s="40"/>
      <c r="V69" s="54"/>
      <c r="W69" s="55"/>
      <c r="X69" s="56"/>
      <c r="Y69" s="88"/>
      <c r="Z69" s="88"/>
      <c r="AA69" s="88"/>
      <c r="AB69" s="88"/>
      <c r="AC69" s="73"/>
      <c r="AD69" s="73"/>
      <c r="AE69" s="73"/>
      <c r="AF69" s="73"/>
      <c r="AG69" s="73"/>
      <c r="AH69" s="38"/>
      <c r="AI69" s="38"/>
    </row>
    <row r="70" spans="1:35">
      <c r="A70" s="42">
        <v>155.01</v>
      </c>
      <c r="B70" s="39" t="s">
        <v>54</v>
      </c>
      <c r="C70" s="40"/>
      <c r="D70" s="42" t="s">
        <v>56</v>
      </c>
      <c r="E70" s="38"/>
      <c r="F70" s="43"/>
      <c r="G70" s="63" t="s">
        <v>400</v>
      </c>
      <c r="H70" s="45"/>
      <c r="I70" s="38"/>
      <c r="J70" s="38"/>
      <c r="K70" s="46"/>
      <c r="L70" s="47"/>
      <c r="M70" s="93">
        <v>0</v>
      </c>
      <c r="N70" s="93">
        <v>4.9074074074074072E-3</v>
      </c>
      <c r="O70" s="48">
        <f>N70-M70</f>
        <v>4.9074074074074072E-3</v>
      </c>
      <c r="P70" s="65">
        <v>43030</v>
      </c>
      <c r="Q70" s="59" t="str">
        <f t="shared" ca="1" si="0"/>
        <v>https://www.youtube.com/embed/ucgD3lqwZX0?start=0&amp;end=424&amp;autoplay=1</v>
      </c>
      <c r="R70" s="39" t="s">
        <v>63</v>
      </c>
      <c r="S70" s="39" t="s">
        <v>63</v>
      </c>
      <c r="T70" s="39" t="s">
        <v>63</v>
      </c>
      <c r="U70" s="40"/>
      <c r="V70" s="54"/>
      <c r="W70" s="69" t="s">
        <v>64</v>
      </c>
      <c r="X70" s="56"/>
      <c r="Y70" s="88"/>
      <c r="Z70" s="88"/>
      <c r="AA70" s="88"/>
      <c r="AB70" s="88"/>
      <c r="AC70" s="73"/>
      <c r="AD70" s="73"/>
      <c r="AE70" s="73"/>
      <c r="AF70" s="73"/>
      <c r="AG70" s="73"/>
      <c r="AH70" s="38"/>
      <c r="AI70" s="38"/>
    </row>
    <row r="71" spans="1:35">
      <c r="A71" s="38">
        <v>156</v>
      </c>
      <c r="B71" s="39" t="s">
        <v>54</v>
      </c>
      <c r="C71" s="40"/>
      <c r="D71" s="42" t="s">
        <v>56</v>
      </c>
      <c r="E71" s="38" t="s">
        <v>408</v>
      </c>
      <c r="F71" s="43" t="s">
        <v>409</v>
      </c>
      <c r="G71" s="44"/>
      <c r="H71" s="45"/>
      <c r="I71" s="38"/>
      <c r="J71" s="38">
        <f>446</f>
        <v>446</v>
      </c>
      <c r="K71" s="46">
        <v>2.2916666666666667E-3</v>
      </c>
      <c r="L71" s="47" t="s">
        <v>286</v>
      </c>
      <c r="M71" s="48"/>
      <c r="N71" s="48"/>
      <c r="O71" s="38"/>
      <c r="P71" s="65">
        <v>43030</v>
      </c>
      <c r="Q71" s="14" t="str">
        <f t="shared" ca="1" si="0"/>
        <v/>
      </c>
      <c r="R71" s="51"/>
      <c r="S71" s="51"/>
      <c r="T71" s="51"/>
      <c r="U71" s="40"/>
      <c r="V71" s="54"/>
      <c r="W71" s="55"/>
      <c r="X71" s="56"/>
      <c r="Y71" s="88"/>
      <c r="Z71" s="88"/>
      <c r="AA71" s="88"/>
      <c r="AB71" s="88"/>
      <c r="AC71" s="73"/>
      <c r="AD71" s="73"/>
      <c r="AE71" s="73"/>
      <c r="AF71" s="73"/>
      <c r="AG71" s="73"/>
      <c r="AH71" s="38"/>
      <c r="AI71" s="38"/>
    </row>
    <row r="72" spans="1:35">
      <c r="A72" s="42">
        <v>156.01</v>
      </c>
      <c r="B72" s="39" t="s">
        <v>54</v>
      </c>
      <c r="C72" s="40"/>
      <c r="D72" s="42" t="s">
        <v>56</v>
      </c>
      <c r="E72" s="38"/>
      <c r="F72" s="43"/>
      <c r="G72" s="63" t="s">
        <v>413</v>
      </c>
      <c r="H72" s="45"/>
      <c r="I72" s="38"/>
      <c r="J72" s="38"/>
      <c r="K72" s="46"/>
      <c r="L72" s="47"/>
      <c r="M72" s="93">
        <v>0</v>
      </c>
      <c r="N72" s="46">
        <v>2.2916666666666667E-3</v>
      </c>
      <c r="O72" s="46">
        <f>N72-M72</f>
        <v>2.2916666666666667E-3</v>
      </c>
      <c r="P72" s="65">
        <v>43030</v>
      </c>
      <c r="Q72" s="59" t="str">
        <f t="shared" ca="1" si="0"/>
        <v>https://www.youtube.com/embed/5bAuJCTjg8s?start=0&amp;end=198&amp;autoplay=1</v>
      </c>
      <c r="R72" s="39" t="s">
        <v>63</v>
      </c>
      <c r="S72" s="39" t="s">
        <v>63</v>
      </c>
      <c r="T72" s="39" t="s">
        <v>63</v>
      </c>
      <c r="U72" s="40"/>
      <c r="V72" s="54"/>
      <c r="W72" s="69" t="s">
        <v>64</v>
      </c>
      <c r="X72" s="56"/>
      <c r="Y72" s="88"/>
      <c r="Z72" s="88"/>
      <c r="AA72" s="88"/>
      <c r="AB72" s="88"/>
      <c r="AC72" s="73"/>
      <c r="AD72" s="73"/>
      <c r="AE72" s="73"/>
      <c r="AF72" s="73"/>
      <c r="AG72" s="73"/>
      <c r="AH72" s="38"/>
      <c r="AI72" s="38"/>
    </row>
    <row r="73" spans="1:35">
      <c r="A73" s="38">
        <v>157</v>
      </c>
      <c r="B73" s="39" t="s">
        <v>54</v>
      </c>
      <c r="C73" s="40"/>
      <c r="D73" s="42" t="s">
        <v>56</v>
      </c>
      <c r="E73" s="38" t="s">
        <v>417</v>
      </c>
      <c r="F73" s="43" t="s">
        <v>419</v>
      </c>
      <c r="G73" s="44"/>
      <c r="H73" s="45"/>
      <c r="I73" s="38"/>
      <c r="J73" s="38">
        <f>576</f>
        <v>576</v>
      </c>
      <c r="K73" s="46">
        <v>1.736111111111111E-3</v>
      </c>
      <c r="L73" s="47" t="s">
        <v>286</v>
      </c>
      <c r="M73" s="48"/>
      <c r="N73" s="48"/>
      <c r="O73" s="38"/>
      <c r="P73" s="65">
        <v>43030</v>
      </c>
      <c r="Q73" s="14" t="str">
        <f t="shared" ca="1" si="0"/>
        <v/>
      </c>
      <c r="R73" s="51"/>
      <c r="S73" s="51"/>
      <c r="T73" s="51"/>
      <c r="U73" s="40"/>
      <c r="V73" s="54"/>
      <c r="W73" s="55"/>
      <c r="X73" s="56"/>
      <c r="Y73" s="88"/>
      <c r="Z73" s="88"/>
      <c r="AA73" s="88"/>
      <c r="AB73" s="88"/>
      <c r="AC73" s="73"/>
      <c r="AD73" s="73"/>
      <c r="AE73" s="73"/>
      <c r="AF73" s="73"/>
      <c r="AG73" s="73"/>
      <c r="AH73" s="38"/>
      <c r="AI73" s="38"/>
    </row>
    <row r="74" spans="1:35">
      <c r="A74" s="42">
        <v>157.01</v>
      </c>
      <c r="B74" s="39" t="s">
        <v>54</v>
      </c>
      <c r="C74" s="40"/>
      <c r="D74" s="42" t="s">
        <v>56</v>
      </c>
      <c r="E74" s="38"/>
      <c r="F74" s="43"/>
      <c r="G74" s="63" t="s">
        <v>424</v>
      </c>
      <c r="H74" s="45"/>
      <c r="I74" s="38"/>
      <c r="J74" s="38"/>
      <c r="K74" s="46"/>
      <c r="L74" s="47"/>
      <c r="M74" s="94">
        <v>0</v>
      </c>
      <c r="N74" s="46">
        <v>1.736111111111111E-3</v>
      </c>
      <c r="O74" s="95">
        <v>2.2916666666666667E-3</v>
      </c>
      <c r="P74" s="65">
        <v>43030</v>
      </c>
      <c r="Q74" s="59" t="str">
        <f t="shared" ca="1" si="0"/>
        <v>https://www.youtube.com/embed/d9KgrM48iGg?start=0&amp;end=150&amp;autoplay=1</v>
      </c>
      <c r="R74" s="39" t="s">
        <v>63</v>
      </c>
      <c r="S74" s="39" t="s">
        <v>63</v>
      </c>
      <c r="T74" s="39" t="s">
        <v>63</v>
      </c>
      <c r="U74" s="40"/>
      <c r="V74" s="54"/>
      <c r="W74" s="69" t="s">
        <v>64</v>
      </c>
      <c r="X74" s="56"/>
      <c r="Y74" s="88"/>
      <c r="Z74" s="88"/>
      <c r="AA74" s="88"/>
      <c r="AB74" s="88"/>
      <c r="AC74" s="73"/>
      <c r="AD74" s="73"/>
      <c r="AE74" s="73"/>
      <c r="AF74" s="73"/>
      <c r="AG74" s="73"/>
      <c r="AH74" s="38"/>
      <c r="AI74" s="38"/>
    </row>
    <row r="75" spans="1:35">
      <c r="A75" s="38">
        <v>158</v>
      </c>
      <c r="B75" s="39" t="s">
        <v>54</v>
      </c>
      <c r="C75" s="40"/>
      <c r="D75" s="42" t="s">
        <v>56</v>
      </c>
      <c r="E75" s="38" t="s">
        <v>432</v>
      </c>
      <c r="F75" s="43" t="s">
        <v>433</v>
      </c>
      <c r="G75" s="44"/>
      <c r="H75" s="45"/>
      <c r="I75" s="38"/>
      <c r="J75" s="38">
        <f>435</f>
        <v>435</v>
      </c>
      <c r="K75" s="46">
        <v>2.3842592592592591E-3</v>
      </c>
      <c r="L75" s="47" t="s">
        <v>286</v>
      </c>
      <c r="M75" s="48"/>
      <c r="N75" s="48"/>
      <c r="O75" s="38"/>
      <c r="P75" s="65">
        <v>43031</v>
      </c>
      <c r="Q75" s="14" t="str">
        <f t="shared" ca="1" si="0"/>
        <v/>
      </c>
      <c r="R75" s="39"/>
      <c r="S75" s="39"/>
      <c r="T75" s="39"/>
      <c r="U75" s="40"/>
      <c r="V75" s="54"/>
      <c r="W75" s="69"/>
      <c r="X75" s="56"/>
      <c r="Y75" s="88"/>
      <c r="Z75" s="96" t="s">
        <v>436</v>
      </c>
      <c r="AA75" s="88"/>
      <c r="AB75" s="88"/>
      <c r="AC75" s="73"/>
      <c r="AD75" s="73"/>
      <c r="AE75" s="73"/>
      <c r="AF75" s="73"/>
      <c r="AG75" s="73"/>
      <c r="AH75" s="38"/>
      <c r="AI75" s="38"/>
    </row>
    <row r="76" spans="1:35">
      <c r="A76" s="42">
        <v>158.01</v>
      </c>
      <c r="B76" s="39" t="s">
        <v>54</v>
      </c>
      <c r="C76" s="40"/>
      <c r="D76" s="42" t="s">
        <v>56</v>
      </c>
      <c r="E76" s="38"/>
      <c r="F76" s="43"/>
      <c r="G76" s="63" t="s">
        <v>440</v>
      </c>
      <c r="H76" s="45"/>
      <c r="I76" s="38"/>
      <c r="J76" s="38"/>
      <c r="K76" s="46"/>
      <c r="L76" s="47"/>
      <c r="M76" s="94">
        <v>0</v>
      </c>
      <c r="N76" s="46">
        <v>2.3842592592592591E-3</v>
      </c>
      <c r="O76" s="95">
        <v>2.2916666666666667E-3</v>
      </c>
      <c r="P76" s="65">
        <v>43031</v>
      </c>
      <c r="Q76" s="59" t="str">
        <f t="shared" ca="1" si="0"/>
        <v>https://www.youtube.com/embed/4h6drLmYTr8?start=0&amp;end=206&amp;autoplay=1</v>
      </c>
      <c r="R76" s="39" t="s">
        <v>131</v>
      </c>
      <c r="S76" s="39" t="s">
        <v>442</v>
      </c>
      <c r="T76" s="39" t="s">
        <v>63</v>
      </c>
      <c r="U76" s="40"/>
      <c r="V76" s="54"/>
      <c r="W76" s="69" t="s">
        <v>64</v>
      </c>
      <c r="X76" s="56"/>
      <c r="Y76" s="88"/>
      <c r="Z76" s="88"/>
      <c r="AA76" s="88"/>
      <c r="AB76" s="88"/>
      <c r="AH76" s="38"/>
      <c r="AI76" s="38"/>
    </row>
    <row r="77" spans="1:35">
      <c r="A77" s="38">
        <v>159</v>
      </c>
      <c r="B77" s="39" t="s">
        <v>54</v>
      </c>
      <c r="C77" s="40"/>
      <c r="D77" s="42" t="s">
        <v>56</v>
      </c>
      <c r="E77" s="38" t="s">
        <v>443</v>
      </c>
      <c r="F77" s="43" t="s">
        <v>445</v>
      </c>
      <c r="G77" s="44"/>
      <c r="H77" s="45"/>
      <c r="I77" s="38"/>
      <c r="J77" s="38">
        <f>1.1*1000</f>
        <v>1100</v>
      </c>
      <c r="K77" s="46">
        <v>1.1689814814814816E-3</v>
      </c>
      <c r="L77" s="47" t="s">
        <v>286</v>
      </c>
      <c r="M77" s="48"/>
      <c r="N77" s="48"/>
      <c r="O77" s="38"/>
      <c r="P77" s="65">
        <v>43031</v>
      </c>
      <c r="Q77" s="14" t="str">
        <f t="shared" ca="1" si="0"/>
        <v/>
      </c>
      <c r="R77" s="51"/>
      <c r="S77" s="51"/>
      <c r="T77" s="51"/>
      <c r="U77" s="40"/>
      <c r="V77" s="54"/>
      <c r="W77" s="55"/>
      <c r="X77" s="56"/>
      <c r="Y77" s="88"/>
      <c r="Z77" s="88"/>
      <c r="AA77" s="88"/>
      <c r="AB77" s="88"/>
      <c r="AH77" s="38"/>
      <c r="AI77" s="38"/>
    </row>
    <row r="78" spans="1:35">
      <c r="A78" s="42">
        <v>159.01</v>
      </c>
      <c r="B78" s="39" t="s">
        <v>54</v>
      </c>
      <c r="C78" s="40"/>
      <c r="D78" s="42" t="s">
        <v>56</v>
      </c>
      <c r="E78" s="38"/>
      <c r="F78" s="43"/>
      <c r="G78" s="63" t="s">
        <v>448</v>
      </c>
      <c r="H78" s="45"/>
      <c r="I78" s="38"/>
      <c r="J78" s="38"/>
      <c r="K78" s="46"/>
      <c r="L78" s="47"/>
      <c r="M78" s="94">
        <v>0</v>
      </c>
      <c r="N78" s="46">
        <v>1.1689814814814816E-3</v>
      </c>
      <c r="O78" s="95">
        <v>2.2916666666666667E-3</v>
      </c>
      <c r="P78" s="65">
        <v>43031</v>
      </c>
      <c r="Q78" s="59" t="str">
        <f t="shared" ca="1" si="0"/>
        <v>https://www.youtube.com/embed/2uOiM67vK6A?start=0&amp;end=101&amp;autoplay=1</v>
      </c>
      <c r="R78" s="97" t="s">
        <v>131</v>
      </c>
      <c r="S78" s="97" t="s">
        <v>442</v>
      </c>
      <c r="T78" s="97" t="s">
        <v>63</v>
      </c>
      <c r="U78" s="98"/>
      <c r="V78" s="99"/>
      <c r="W78" s="100" t="s">
        <v>64</v>
      </c>
      <c r="X78" s="56"/>
      <c r="Y78" s="88"/>
      <c r="Z78" s="96" t="s">
        <v>436</v>
      </c>
      <c r="AA78" s="88"/>
      <c r="AB78" s="88"/>
      <c r="AH78" s="38"/>
      <c r="AI78" s="38"/>
    </row>
    <row r="79" spans="1:35">
      <c r="A79" s="38">
        <v>160</v>
      </c>
      <c r="B79" s="39" t="s">
        <v>54</v>
      </c>
      <c r="C79" s="40"/>
      <c r="D79" s="42" t="s">
        <v>56</v>
      </c>
      <c r="E79" s="38" t="s">
        <v>452</v>
      </c>
      <c r="F79" s="43" t="s">
        <v>453</v>
      </c>
      <c r="G79" s="44"/>
      <c r="H79" s="45"/>
      <c r="I79" s="38"/>
      <c r="J79" s="38">
        <f>202</f>
        <v>202</v>
      </c>
      <c r="K79" s="46">
        <v>2.1180555555555553E-3</v>
      </c>
      <c r="L79" s="47" t="s">
        <v>286</v>
      </c>
      <c r="M79" s="48"/>
      <c r="N79" s="48"/>
      <c r="O79" s="38"/>
      <c r="P79" s="65">
        <v>43031</v>
      </c>
      <c r="Q79" s="14" t="str">
        <f t="shared" ca="1" si="0"/>
        <v/>
      </c>
      <c r="R79" s="51"/>
      <c r="S79" s="51"/>
      <c r="T79" s="51"/>
      <c r="U79" s="40"/>
      <c r="V79" s="54"/>
      <c r="W79" s="55"/>
      <c r="X79" s="56"/>
      <c r="Y79" s="88"/>
      <c r="Z79" s="88"/>
      <c r="AA79" s="88"/>
      <c r="AB79" s="88"/>
      <c r="AH79" s="38"/>
      <c r="AI79" s="38"/>
    </row>
    <row r="80" spans="1:35">
      <c r="A80" s="42">
        <v>160.1</v>
      </c>
      <c r="B80" s="39" t="s">
        <v>54</v>
      </c>
      <c r="C80" s="40"/>
      <c r="D80" s="42" t="s">
        <v>56</v>
      </c>
      <c r="E80" s="38"/>
      <c r="F80" s="43"/>
      <c r="G80" s="63" t="s">
        <v>455</v>
      </c>
      <c r="H80" s="45"/>
      <c r="I80" s="38"/>
      <c r="J80" s="38"/>
      <c r="K80" s="46"/>
      <c r="L80" s="47"/>
      <c r="M80" s="94">
        <v>0</v>
      </c>
      <c r="N80" s="46">
        <v>2.1180555555555553E-3</v>
      </c>
      <c r="O80" s="95">
        <v>2.2916666666666667E-3</v>
      </c>
      <c r="P80" s="65">
        <v>43031</v>
      </c>
      <c r="Q80" s="59" t="str">
        <f t="shared" ca="1" si="0"/>
        <v>https://www.youtube.com/embed/Y1SUVA0PU1o?start=0&amp;end=183&amp;autoplay=1</v>
      </c>
      <c r="R80" s="97" t="s">
        <v>131</v>
      </c>
      <c r="S80" s="97" t="s">
        <v>442</v>
      </c>
      <c r="T80" s="97" t="s">
        <v>63</v>
      </c>
      <c r="U80" s="98"/>
      <c r="V80" s="99"/>
      <c r="W80" s="100" t="s">
        <v>64</v>
      </c>
      <c r="X80" s="56"/>
      <c r="Y80" s="88"/>
      <c r="Z80" s="96" t="s">
        <v>436</v>
      </c>
      <c r="AA80" s="88"/>
      <c r="AB80" s="88"/>
      <c r="AH80" s="38"/>
      <c r="AI80" s="38"/>
    </row>
    <row r="81" spans="1:35">
      <c r="A81" s="38">
        <v>161</v>
      </c>
      <c r="B81" s="39" t="s">
        <v>54</v>
      </c>
      <c r="C81" s="40"/>
      <c r="D81" s="42" t="s">
        <v>56</v>
      </c>
      <c r="E81" s="38" t="s">
        <v>459</v>
      </c>
      <c r="F81" s="43" t="s">
        <v>460</v>
      </c>
      <c r="G81" s="44"/>
      <c r="H81" s="45"/>
      <c r="I81" s="38"/>
      <c r="J81" s="38">
        <f>234</f>
        <v>234</v>
      </c>
      <c r="K81" s="46">
        <v>1.4583333333333334E-3</v>
      </c>
      <c r="L81" s="47" t="s">
        <v>286</v>
      </c>
      <c r="M81" s="94">
        <v>0</v>
      </c>
      <c r="N81" s="46">
        <v>1.4583333333333334E-3</v>
      </c>
      <c r="O81" s="46">
        <f t="shared" ref="O81:O136" si="6">N81-M81</f>
        <v>1.4583333333333334E-3</v>
      </c>
      <c r="P81" s="65">
        <v>43031</v>
      </c>
      <c r="Q81" s="14" t="str">
        <f t="shared" ca="1" si="0"/>
        <v/>
      </c>
      <c r="R81" s="39" t="s">
        <v>442</v>
      </c>
      <c r="S81" s="51"/>
      <c r="T81" s="51"/>
      <c r="U81" s="40"/>
      <c r="V81" s="54"/>
      <c r="W81" s="69" t="s">
        <v>151</v>
      </c>
      <c r="X81" s="56"/>
      <c r="Y81" s="88"/>
      <c r="Z81" s="96" t="s">
        <v>465</v>
      </c>
      <c r="AA81" s="88"/>
      <c r="AB81" s="88"/>
      <c r="AH81" s="38"/>
      <c r="AI81" s="38"/>
    </row>
    <row r="82" spans="1:35">
      <c r="A82" s="38">
        <v>162</v>
      </c>
      <c r="B82" s="39" t="s">
        <v>54</v>
      </c>
      <c r="C82" s="40"/>
      <c r="D82" s="42" t="s">
        <v>56</v>
      </c>
      <c r="E82" s="38" t="s">
        <v>466</v>
      </c>
      <c r="F82" s="43" t="s">
        <v>467</v>
      </c>
      <c r="G82" s="44"/>
      <c r="H82" s="45"/>
      <c r="I82" s="38"/>
      <c r="J82" s="38">
        <f>497</f>
        <v>497</v>
      </c>
      <c r="K82" s="46">
        <v>1.4699074074074074E-3</v>
      </c>
      <c r="L82" s="47" t="s">
        <v>286</v>
      </c>
      <c r="M82" s="94">
        <v>0</v>
      </c>
      <c r="N82" s="46">
        <v>1.4699074074074074E-3</v>
      </c>
      <c r="O82" s="46">
        <f t="shared" si="6"/>
        <v>1.4699074074074074E-3</v>
      </c>
      <c r="P82" s="65">
        <v>43031</v>
      </c>
      <c r="Q82" s="14" t="str">
        <f t="shared" ca="1" si="0"/>
        <v/>
      </c>
      <c r="R82" s="39" t="s">
        <v>442</v>
      </c>
      <c r="S82" s="51"/>
      <c r="T82" s="51"/>
      <c r="U82" s="40"/>
      <c r="V82" s="54"/>
      <c r="W82" s="69" t="s">
        <v>151</v>
      </c>
      <c r="X82" s="56"/>
      <c r="Y82" s="88"/>
      <c r="Z82" s="96" t="s">
        <v>465</v>
      </c>
      <c r="AA82" s="88"/>
      <c r="AB82" s="88"/>
      <c r="AH82" s="38"/>
      <c r="AI82" s="38"/>
    </row>
    <row r="83" spans="1:35">
      <c r="A83" s="38">
        <v>163</v>
      </c>
      <c r="B83" s="39" t="s">
        <v>54</v>
      </c>
      <c r="C83" s="40"/>
      <c r="D83" s="42" t="s">
        <v>56</v>
      </c>
      <c r="E83" s="38" t="s">
        <v>472</v>
      </c>
      <c r="F83" s="43" t="s">
        <v>473</v>
      </c>
      <c r="G83" s="44"/>
      <c r="H83" s="45"/>
      <c r="I83" s="38"/>
      <c r="J83" s="38">
        <f>315</f>
        <v>315</v>
      </c>
      <c r="K83" s="46">
        <v>5.6944444444444438E-3</v>
      </c>
      <c r="L83" s="47" t="s">
        <v>286</v>
      </c>
      <c r="M83" s="48"/>
      <c r="N83" s="48"/>
      <c r="O83" s="48">
        <f t="shared" si="6"/>
        <v>0</v>
      </c>
      <c r="P83" s="65">
        <v>43031</v>
      </c>
      <c r="Q83" s="14" t="str">
        <f t="shared" ca="1" si="0"/>
        <v/>
      </c>
      <c r="R83" s="51"/>
      <c r="S83" s="51"/>
      <c r="T83" s="51"/>
      <c r="U83" s="40"/>
      <c r="V83" s="54"/>
      <c r="W83" s="55"/>
      <c r="X83" s="56"/>
      <c r="Y83" s="88"/>
      <c r="Z83" s="88"/>
      <c r="AA83" s="88"/>
      <c r="AB83" s="88"/>
      <c r="AH83" s="38"/>
      <c r="AI83" s="38"/>
    </row>
    <row r="84" spans="1:35">
      <c r="A84" s="42">
        <v>163.1</v>
      </c>
      <c r="B84" s="39" t="s">
        <v>54</v>
      </c>
      <c r="C84" s="40"/>
      <c r="D84" s="42" t="s">
        <v>56</v>
      </c>
      <c r="E84" s="38"/>
      <c r="F84" s="43"/>
      <c r="G84" s="63" t="s">
        <v>478</v>
      </c>
      <c r="H84" s="45"/>
      <c r="I84" s="38"/>
      <c r="J84" s="38"/>
      <c r="K84" s="46"/>
      <c r="L84" s="47"/>
      <c r="M84" s="94">
        <v>0</v>
      </c>
      <c r="N84" s="46">
        <v>5.6944444444444438E-3</v>
      </c>
      <c r="O84" s="46">
        <f t="shared" si="6"/>
        <v>5.6944444444444438E-3</v>
      </c>
      <c r="P84" s="65">
        <v>43031</v>
      </c>
      <c r="Q84" s="59" t="str">
        <f t="shared" ca="1" si="0"/>
        <v>https://www.youtube.com/embed/8iuVX1AkV_0?start=0&amp;end=492&amp;autoplay=1</v>
      </c>
      <c r="R84" s="97" t="s">
        <v>131</v>
      </c>
      <c r="S84" s="97" t="s">
        <v>442</v>
      </c>
      <c r="T84" s="97" t="s">
        <v>63</v>
      </c>
      <c r="U84" s="98"/>
      <c r="V84" s="99"/>
      <c r="W84" s="100" t="s">
        <v>64</v>
      </c>
      <c r="X84" s="56"/>
      <c r="Y84" s="88"/>
      <c r="Z84" s="96" t="s">
        <v>436</v>
      </c>
      <c r="AA84" s="88"/>
      <c r="AB84" s="88"/>
      <c r="AH84" s="38"/>
      <c r="AI84" s="38"/>
    </row>
    <row r="85" spans="1:35">
      <c r="A85" s="38">
        <v>164</v>
      </c>
      <c r="B85" s="39" t="s">
        <v>54</v>
      </c>
      <c r="C85" s="40"/>
      <c r="D85" s="42" t="s">
        <v>56</v>
      </c>
      <c r="E85" s="38" t="s">
        <v>482</v>
      </c>
      <c r="F85" s="43" t="s">
        <v>483</v>
      </c>
      <c r="G85" s="44"/>
      <c r="H85" s="45"/>
      <c r="I85" s="38"/>
      <c r="J85" s="38">
        <f>535</f>
        <v>535</v>
      </c>
      <c r="K85" s="46">
        <v>2.1527777777777778E-3</v>
      </c>
      <c r="L85" s="47" t="s">
        <v>286</v>
      </c>
      <c r="M85" s="48"/>
      <c r="N85" s="48"/>
      <c r="O85" s="48">
        <f t="shared" si="6"/>
        <v>0</v>
      </c>
      <c r="P85" s="65">
        <v>43031</v>
      </c>
      <c r="Q85" s="14" t="str">
        <f t="shared" ca="1" si="0"/>
        <v/>
      </c>
      <c r="R85" s="51"/>
      <c r="S85" s="51"/>
      <c r="T85" s="51"/>
      <c r="U85" s="40"/>
      <c r="V85" s="54"/>
      <c r="W85" s="55"/>
      <c r="X85" s="56"/>
      <c r="Y85" s="88"/>
      <c r="Z85" s="88"/>
      <c r="AA85" s="88"/>
      <c r="AB85" s="88"/>
      <c r="AH85" s="38"/>
      <c r="AI85" s="38"/>
    </row>
    <row r="86" spans="1:35">
      <c r="A86" s="42">
        <v>164.1</v>
      </c>
      <c r="B86" s="39" t="s">
        <v>54</v>
      </c>
      <c r="C86" s="40"/>
      <c r="D86" s="42" t="s">
        <v>56</v>
      </c>
      <c r="E86" s="38"/>
      <c r="F86" s="43"/>
      <c r="G86" s="63" t="s">
        <v>488</v>
      </c>
      <c r="H86" s="45"/>
      <c r="I86" s="38"/>
      <c r="J86" s="38"/>
      <c r="K86" s="46"/>
      <c r="L86" s="47"/>
      <c r="M86" s="94">
        <v>0</v>
      </c>
      <c r="N86" s="46">
        <v>2.1527777777777778E-3</v>
      </c>
      <c r="O86" s="46">
        <f t="shared" si="6"/>
        <v>2.1527777777777778E-3</v>
      </c>
      <c r="P86" s="65">
        <v>43031</v>
      </c>
      <c r="Q86" s="59" t="str">
        <f t="shared" ca="1" si="0"/>
        <v>https://www.youtube.com/embed/wH8I0vSB-Os?start=0&amp;end=186&amp;autoplay=1</v>
      </c>
      <c r="R86" s="97" t="s">
        <v>131</v>
      </c>
      <c r="S86" s="97" t="s">
        <v>442</v>
      </c>
      <c r="T86" s="97" t="s">
        <v>63</v>
      </c>
      <c r="U86" s="98"/>
      <c r="V86" s="99"/>
      <c r="W86" s="100" t="s">
        <v>64</v>
      </c>
      <c r="X86" s="56"/>
      <c r="Y86" s="88"/>
      <c r="Z86" s="96" t="s">
        <v>436</v>
      </c>
      <c r="AH86" s="38"/>
      <c r="AI86" s="38"/>
    </row>
    <row r="87" spans="1:35">
      <c r="A87" s="38">
        <v>76</v>
      </c>
      <c r="B87" s="39" t="s">
        <v>54</v>
      </c>
      <c r="C87" s="40"/>
      <c r="D87" s="42" t="s">
        <v>56</v>
      </c>
      <c r="E87" s="38" t="s">
        <v>457</v>
      </c>
      <c r="F87" s="43" t="s">
        <v>458</v>
      </c>
      <c r="G87" s="44"/>
      <c r="H87" s="45"/>
      <c r="I87" s="38"/>
      <c r="J87" s="38">
        <f>7.9*1000</f>
        <v>7900</v>
      </c>
      <c r="K87" s="46">
        <v>2.476851851851852E-2</v>
      </c>
      <c r="L87" s="47" t="s">
        <v>286</v>
      </c>
      <c r="M87" s="48"/>
      <c r="N87" s="48"/>
      <c r="O87" s="48">
        <f t="shared" si="6"/>
        <v>0</v>
      </c>
      <c r="P87" s="65">
        <v>43032</v>
      </c>
      <c r="Q87" s="14" t="str">
        <f t="shared" ca="1" si="0"/>
        <v/>
      </c>
      <c r="R87" s="51"/>
      <c r="S87" s="51"/>
      <c r="T87" s="51"/>
      <c r="U87" s="40"/>
      <c r="V87" s="54"/>
      <c r="W87" s="55"/>
      <c r="X87" s="56"/>
      <c r="Y87" s="38"/>
      <c r="Z87" s="38"/>
      <c r="AA87" s="38"/>
      <c r="AB87" s="38"/>
      <c r="AH87" s="38"/>
      <c r="AI87" s="38"/>
    </row>
    <row r="88" spans="1:35">
      <c r="A88" s="42">
        <v>76.010000000000005</v>
      </c>
      <c r="B88" s="39" t="s">
        <v>54</v>
      </c>
      <c r="C88" s="40"/>
      <c r="D88" s="42" t="s">
        <v>56</v>
      </c>
      <c r="E88" s="38"/>
      <c r="F88" s="43"/>
      <c r="G88" s="63" t="s">
        <v>496</v>
      </c>
      <c r="H88" s="45"/>
      <c r="I88" s="38"/>
      <c r="J88" s="38"/>
      <c r="K88" s="46"/>
      <c r="L88" s="47"/>
      <c r="M88" s="64">
        <v>5.208333333333333E-3</v>
      </c>
      <c r="N88" s="64">
        <v>1.005787037037037E-2</v>
      </c>
      <c r="O88" s="46">
        <f t="shared" si="6"/>
        <v>4.8495370370370368E-3</v>
      </c>
      <c r="P88" s="65">
        <v>43032</v>
      </c>
      <c r="Q88" s="59" t="str">
        <f t="shared" ca="1" si="0"/>
        <v>https://www.youtube.com/embed/y1fdkGgCt64?start=450&amp;end=869&amp;autoplay=1</v>
      </c>
      <c r="R88" s="102" t="s">
        <v>63</v>
      </c>
      <c r="S88" s="104" t="s">
        <v>63</v>
      </c>
      <c r="T88" s="106" t="s">
        <v>63</v>
      </c>
      <c r="U88" s="52"/>
      <c r="V88" s="53"/>
      <c r="W88" s="57" t="s">
        <v>64</v>
      </c>
      <c r="X88" s="56"/>
      <c r="Y88" s="38"/>
      <c r="Z88" s="38"/>
      <c r="AH88" s="38"/>
      <c r="AI88" s="38"/>
    </row>
    <row r="89" spans="1:35">
      <c r="A89" s="42">
        <v>76.02</v>
      </c>
      <c r="B89" s="39" t="s">
        <v>54</v>
      </c>
      <c r="C89" s="40"/>
      <c r="D89" s="42" t="s">
        <v>56</v>
      </c>
      <c r="E89" s="38"/>
      <c r="F89" s="43"/>
      <c r="G89" s="63" t="s">
        <v>505</v>
      </c>
      <c r="H89" s="45"/>
      <c r="I89" s="38"/>
      <c r="J89" s="38"/>
      <c r="K89" s="46"/>
      <c r="L89" s="47"/>
      <c r="M89" s="64">
        <v>1.0162037037037037E-2</v>
      </c>
      <c r="N89" s="64">
        <v>1.0949074074074075E-2</v>
      </c>
      <c r="O89" s="46">
        <f t="shared" si="6"/>
        <v>7.8703703703703748E-4</v>
      </c>
      <c r="P89" s="65">
        <v>43032</v>
      </c>
      <c r="Q89" s="59" t="str">
        <f t="shared" ca="1" si="0"/>
        <v>https://www.youtube.com/embed/y1fdkGgCt64?start=878&amp;end=946&amp;autoplay=1</v>
      </c>
      <c r="R89" s="102" t="s">
        <v>63</v>
      </c>
      <c r="S89" s="104" t="s">
        <v>63</v>
      </c>
      <c r="T89" s="106" t="s">
        <v>63</v>
      </c>
      <c r="U89" s="52"/>
      <c r="V89" s="53"/>
      <c r="W89" s="57" t="s">
        <v>64</v>
      </c>
      <c r="X89" s="56"/>
      <c r="Y89" s="38"/>
      <c r="Z89" s="38"/>
      <c r="AH89" s="38"/>
      <c r="AI89" s="38"/>
    </row>
    <row r="90" spans="1:35">
      <c r="A90" s="42">
        <v>76.03</v>
      </c>
      <c r="B90" s="39" t="s">
        <v>54</v>
      </c>
      <c r="C90" s="40"/>
      <c r="D90" s="42" t="s">
        <v>56</v>
      </c>
      <c r="E90" s="38"/>
      <c r="F90" s="43"/>
      <c r="G90" s="63" t="s">
        <v>510</v>
      </c>
      <c r="H90" s="45"/>
      <c r="I90" s="38"/>
      <c r="J90" s="38"/>
      <c r="K90" s="46"/>
      <c r="L90" s="47"/>
      <c r="M90" s="64">
        <v>1.0972222222222222E-2</v>
      </c>
      <c r="N90" s="64">
        <v>1.3587962962962963E-2</v>
      </c>
      <c r="O90" s="46">
        <f t="shared" si="6"/>
        <v>2.6157407407407414E-3</v>
      </c>
      <c r="P90" s="65">
        <v>43032</v>
      </c>
      <c r="Q90" s="59" t="str">
        <f t="shared" ca="1" si="0"/>
        <v>https://www.youtube.com/embed/y1fdkGgCt64?start=948&amp;end=1174&amp;autoplay=1</v>
      </c>
      <c r="R90" s="102" t="s">
        <v>63</v>
      </c>
      <c r="S90" s="104" t="s">
        <v>63</v>
      </c>
      <c r="T90" s="106" t="s">
        <v>63</v>
      </c>
      <c r="U90" s="52"/>
      <c r="V90" s="53"/>
      <c r="W90" s="57" t="s">
        <v>64</v>
      </c>
      <c r="X90" s="56"/>
      <c r="Y90" s="38"/>
      <c r="Z90" s="38"/>
      <c r="AH90" s="38"/>
      <c r="AI90" s="38"/>
    </row>
    <row r="91" spans="1:35">
      <c r="A91" s="42">
        <v>76.040000000000006</v>
      </c>
      <c r="B91" s="39" t="s">
        <v>54</v>
      </c>
      <c r="C91" s="40"/>
      <c r="D91" s="42" t="s">
        <v>56</v>
      </c>
      <c r="E91" s="38"/>
      <c r="F91" s="43"/>
      <c r="G91" s="63" t="s">
        <v>512</v>
      </c>
      <c r="H91" s="45"/>
      <c r="I91" s="38"/>
      <c r="J91" s="38"/>
      <c r="K91" s="46"/>
      <c r="L91" s="47"/>
      <c r="M91" s="64">
        <v>1.3738425925925926E-2</v>
      </c>
      <c r="N91" s="64">
        <v>1.6828703703703703E-2</v>
      </c>
      <c r="O91" s="46">
        <f t="shared" si="6"/>
        <v>3.0902777777777769E-3</v>
      </c>
      <c r="P91" s="65">
        <v>43032</v>
      </c>
      <c r="Q91" s="59" t="str">
        <f t="shared" ca="1" si="0"/>
        <v>https://www.youtube.com/embed/y1fdkGgCt64?start=1187&amp;end=1454&amp;autoplay=1</v>
      </c>
      <c r="R91" s="102" t="s">
        <v>63</v>
      </c>
      <c r="S91" s="104" t="s">
        <v>63</v>
      </c>
      <c r="T91" s="106" t="s">
        <v>63</v>
      </c>
      <c r="U91" s="52"/>
      <c r="V91" s="53"/>
      <c r="W91" s="57" t="s">
        <v>64</v>
      </c>
      <c r="X91" s="56"/>
      <c r="Y91" s="38"/>
      <c r="Z91" s="38"/>
      <c r="AH91" s="38"/>
      <c r="AI91" s="38"/>
    </row>
    <row r="92" spans="1:35">
      <c r="A92" s="42">
        <v>76.05</v>
      </c>
      <c r="B92" s="39" t="s">
        <v>54</v>
      </c>
      <c r="C92" s="40"/>
      <c r="D92" s="42" t="s">
        <v>56</v>
      </c>
      <c r="E92" s="38"/>
      <c r="F92" s="43"/>
      <c r="G92" s="63" t="s">
        <v>515</v>
      </c>
      <c r="H92" s="45"/>
      <c r="I92" s="38"/>
      <c r="J92" s="38"/>
      <c r="K92" s="46"/>
      <c r="L92" s="47"/>
      <c r="M92" s="64">
        <v>1.6840277777777777E-2</v>
      </c>
      <c r="N92" s="64">
        <v>1.8391203703703705E-2</v>
      </c>
      <c r="O92" s="46">
        <f t="shared" si="6"/>
        <v>1.5509259259259278E-3</v>
      </c>
      <c r="P92" s="65">
        <v>43032</v>
      </c>
      <c r="Q92" s="59" t="str">
        <f t="shared" ca="1" si="0"/>
        <v>https://www.youtube.com/embed/y1fdkGgCt64?start=1455&amp;end=1589&amp;autoplay=1</v>
      </c>
      <c r="R92" s="102" t="s">
        <v>63</v>
      </c>
      <c r="S92" s="104" t="s">
        <v>63</v>
      </c>
      <c r="T92" s="106" t="s">
        <v>63</v>
      </c>
      <c r="U92" s="52"/>
      <c r="V92" s="53"/>
      <c r="W92" s="57" t="s">
        <v>64</v>
      </c>
      <c r="X92" s="56"/>
      <c r="Y92" s="38"/>
      <c r="Z92" s="38"/>
      <c r="AH92" s="38"/>
      <c r="AI92" s="38"/>
    </row>
    <row r="93" spans="1:35">
      <c r="A93" s="42">
        <v>76.06</v>
      </c>
      <c r="B93" s="39" t="s">
        <v>54</v>
      </c>
      <c r="C93" s="40"/>
      <c r="D93" s="42" t="s">
        <v>56</v>
      </c>
      <c r="E93" s="38"/>
      <c r="F93" s="43"/>
      <c r="G93" s="63" t="s">
        <v>521</v>
      </c>
      <c r="H93" s="45"/>
      <c r="I93" s="38"/>
      <c r="J93" s="38"/>
      <c r="K93" s="46"/>
      <c r="L93" s="47"/>
      <c r="M93" s="64">
        <v>1.8402777777777778E-2</v>
      </c>
      <c r="N93" s="64">
        <v>2.3541666666666666E-2</v>
      </c>
      <c r="O93" s="46">
        <f t="shared" si="6"/>
        <v>5.1388888888888873E-3</v>
      </c>
      <c r="P93" s="65">
        <v>43032</v>
      </c>
      <c r="Q93" s="59" t="str">
        <f t="shared" ca="1" si="0"/>
        <v>https://www.youtube.com/embed/y1fdkGgCt64?start=1590&amp;end=2034&amp;autoplay=1</v>
      </c>
      <c r="R93" s="102" t="s">
        <v>63</v>
      </c>
      <c r="S93" s="104" t="s">
        <v>63</v>
      </c>
      <c r="T93" s="106" t="s">
        <v>63</v>
      </c>
      <c r="U93" s="52"/>
      <c r="V93" s="53"/>
      <c r="W93" s="57" t="s">
        <v>64</v>
      </c>
      <c r="X93" s="56"/>
      <c r="Y93" s="38"/>
      <c r="Z93" s="38"/>
      <c r="AH93" s="38"/>
      <c r="AI93" s="38"/>
    </row>
    <row r="94" spans="1:35">
      <c r="A94" s="42">
        <v>76.069999999999993</v>
      </c>
      <c r="B94" s="39" t="s">
        <v>54</v>
      </c>
      <c r="C94" s="40"/>
      <c r="D94" s="42" t="s">
        <v>56</v>
      </c>
      <c r="E94" s="38"/>
      <c r="F94" s="43"/>
      <c r="G94" s="63" t="s">
        <v>524</v>
      </c>
      <c r="H94" s="45"/>
      <c r="I94" s="38"/>
      <c r="J94" s="38"/>
      <c r="K94" s="46"/>
      <c r="L94" s="47"/>
      <c r="M94" s="64">
        <v>3.7222222222222219E-2</v>
      </c>
      <c r="N94" s="64">
        <v>4.0694444444444443E-2</v>
      </c>
      <c r="O94" s="46">
        <f t="shared" si="6"/>
        <v>3.4722222222222238E-3</v>
      </c>
      <c r="P94" s="65">
        <v>43032</v>
      </c>
      <c r="Q94" s="59" t="str">
        <f t="shared" ca="1" si="0"/>
        <v>https://www.youtube.com/embed/y1fdkGgCt64?start=3216&amp;end=3516&amp;autoplay=1</v>
      </c>
      <c r="R94" s="108" t="s">
        <v>131</v>
      </c>
      <c r="S94" s="104" t="s">
        <v>63</v>
      </c>
      <c r="T94" s="106" t="s">
        <v>63</v>
      </c>
      <c r="U94" s="52"/>
      <c r="V94" s="53"/>
      <c r="W94" s="57" t="s">
        <v>64</v>
      </c>
      <c r="X94" s="56"/>
      <c r="Y94" s="38"/>
      <c r="Z94" s="38"/>
      <c r="AH94" s="38"/>
      <c r="AI94" s="38"/>
    </row>
    <row r="95" spans="1:35" ht="15.75" customHeight="1">
      <c r="A95" s="42">
        <v>76.08</v>
      </c>
      <c r="B95" s="39" t="s">
        <v>54</v>
      </c>
      <c r="C95" s="40"/>
      <c r="D95" s="42" t="s">
        <v>56</v>
      </c>
      <c r="E95" s="38"/>
      <c r="F95" s="43"/>
      <c r="G95" s="63" t="s">
        <v>529</v>
      </c>
      <c r="H95" s="45"/>
      <c r="I95" s="38"/>
      <c r="J95" s="38"/>
      <c r="K95" s="46"/>
      <c r="L95" s="47"/>
      <c r="M95" s="64">
        <v>4.085648148148148E-2</v>
      </c>
      <c r="N95" s="76">
        <v>4.2997685185185187E-2</v>
      </c>
      <c r="O95" s="77">
        <f t="shared" si="6"/>
        <v>2.1412037037037077E-3</v>
      </c>
      <c r="P95" s="65">
        <v>43032</v>
      </c>
      <c r="Q95" s="59" t="str">
        <f t="shared" ca="1" si="0"/>
        <v>https://www.youtube.com/embed/y1fdkGgCt64?start=3530&amp;end=3715&amp;autoplay=1</v>
      </c>
      <c r="R95" s="102" t="s">
        <v>63</v>
      </c>
      <c r="S95" s="104" t="s">
        <v>63</v>
      </c>
      <c r="T95" s="106" t="s">
        <v>63</v>
      </c>
      <c r="U95" s="52"/>
      <c r="V95" s="53"/>
      <c r="W95" s="57" t="s">
        <v>64</v>
      </c>
      <c r="X95" s="56"/>
      <c r="Y95" s="38"/>
      <c r="Z95" s="38"/>
      <c r="AH95" s="38"/>
      <c r="AI95" s="38"/>
    </row>
    <row r="96" spans="1:35">
      <c r="A96" s="42">
        <v>76.09</v>
      </c>
      <c r="B96" s="39" t="s">
        <v>54</v>
      </c>
      <c r="C96" s="40"/>
      <c r="D96" s="42" t="s">
        <v>56</v>
      </c>
      <c r="E96" s="38"/>
      <c r="F96" s="43"/>
      <c r="G96" s="63" t="s">
        <v>532</v>
      </c>
      <c r="H96" s="45"/>
      <c r="I96" s="38"/>
      <c r="J96" s="38"/>
      <c r="K96" s="46"/>
      <c r="L96" s="47"/>
      <c r="M96" s="76">
        <v>4.3009259259259261E-2</v>
      </c>
      <c r="N96" s="64">
        <v>4.880787037037037E-2</v>
      </c>
      <c r="O96" s="46">
        <f t="shared" si="6"/>
        <v>5.7986111111111086E-3</v>
      </c>
      <c r="P96" s="65">
        <v>43032</v>
      </c>
      <c r="Q96" s="59" t="str">
        <f t="shared" ca="1" si="0"/>
        <v>https://www.youtube.com/embed/y1fdkGgCt64?start=3716&amp;end=4217&amp;autoplay=1</v>
      </c>
      <c r="R96" s="102" t="s">
        <v>63</v>
      </c>
      <c r="S96" s="104" t="s">
        <v>63</v>
      </c>
      <c r="T96" s="106" t="s">
        <v>63</v>
      </c>
      <c r="U96" s="52"/>
      <c r="V96" s="53"/>
      <c r="W96" s="57" t="s">
        <v>64</v>
      </c>
      <c r="X96" s="56"/>
      <c r="Y96" s="38"/>
      <c r="Z96" s="38"/>
      <c r="AH96" s="38"/>
      <c r="AI96" s="38"/>
    </row>
    <row r="97" spans="1:35">
      <c r="A97" s="85">
        <v>76.099999999999994</v>
      </c>
      <c r="B97" s="109" t="s">
        <v>54</v>
      </c>
      <c r="C97" s="110"/>
      <c r="D97" s="85" t="s">
        <v>56</v>
      </c>
      <c r="E97" s="38"/>
      <c r="F97" s="43"/>
      <c r="G97" s="63" t="s">
        <v>539</v>
      </c>
      <c r="H97" s="45"/>
      <c r="I97" s="38"/>
      <c r="J97" s="38"/>
      <c r="K97" s="46"/>
      <c r="L97" s="47"/>
      <c r="M97" s="64">
        <v>4.8819444444444443E-2</v>
      </c>
      <c r="N97" s="64">
        <v>5.3449074074074072E-2</v>
      </c>
      <c r="O97" s="46">
        <f t="shared" si="6"/>
        <v>4.6296296296296294E-3</v>
      </c>
      <c r="P97" s="65">
        <v>43032</v>
      </c>
      <c r="Q97" s="59" t="str">
        <f t="shared" ca="1" si="0"/>
        <v>https://www.youtube.com/embed/y1fdkGgCt64?start=4218&amp;end=4618&amp;autoplay=1</v>
      </c>
      <c r="R97" s="102" t="s">
        <v>63</v>
      </c>
      <c r="S97" s="104" t="s">
        <v>63</v>
      </c>
      <c r="T97" s="106" t="s">
        <v>63</v>
      </c>
      <c r="U97" s="52"/>
      <c r="V97" s="53"/>
      <c r="W97" s="57" t="s">
        <v>64</v>
      </c>
      <c r="X97" s="56"/>
      <c r="Y97" s="38"/>
      <c r="Z97" s="38"/>
      <c r="AH97" s="38"/>
      <c r="AI97" s="38"/>
    </row>
    <row r="98" spans="1:35">
      <c r="A98" s="85">
        <v>76.11</v>
      </c>
      <c r="B98" s="109" t="s">
        <v>54</v>
      </c>
      <c r="C98" s="110"/>
      <c r="D98" s="85" t="s">
        <v>56</v>
      </c>
      <c r="E98" s="38"/>
      <c r="F98" s="43"/>
      <c r="G98" s="63" t="s">
        <v>542</v>
      </c>
      <c r="H98" s="45"/>
      <c r="I98" s="38"/>
      <c r="J98" s="38"/>
      <c r="K98" s="46"/>
      <c r="L98" s="47"/>
      <c r="M98" s="64">
        <v>5.3912037037037036E-2</v>
      </c>
      <c r="N98" s="64">
        <v>5.9756944444444446E-2</v>
      </c>
      <c r="O98" s="46">
        <f t="shared" si="6"/>
        <v>5.8449074074074098E-3</v>
      </c>
      <c r="P98" s="65">
        <v>43032</v>
      </c>
      <c r="Q98" s="59" t="str">
        <f t="shared" ca="1" si="0"/>
        <v>https://www.youtube.com/embed/y1fdkGgCt64?start=4658&amp;end=5163&amp;autoplay=1</v>
      </c>
      <c r="R98" s="102" t="s">
        <v>63</v>
      </c>
      <c r="S98" s="104" t="s">
        <v>63</v>
      </c>
      <c r="T98" s="106" t="s">
        <v>63</v>
      </c>
      <c r="U98" s="52"/>
      <c r="V98" s="53"/>
      <c r="W98" s="57" t="s">
        <v>64</v>
      </c>
      <c r="X98" s="56"/>
      <c r="Y98" s="38"/>
      <c r="Z98" s="38"/>
      <c r="AH98" s="38"/>
      <c r="AI98" s="38"/>
    </row>
    <row r="99" spans="1:35">
      <c r="A99" s="85">
        <v>76.12</v>
      </c>
      <c r="B99" s="109" t="s">
        <v>54</v>
      </c>
      <c r="C99" s="110"/>
      <c r="D99" s="85" t="s">
        <v>56</v>
      </c>
      <c r="E99" s="38"/>
      <c r="F99" s="43"/>
      <c r="G99" s="63" t="s">
        <v>544</v>
      </c>
      <c r="H99" s="45"/>
      <c r="I99" s="38"/>
      <c r="J99" s="38"/>
      <c r="K99" s="46"/>
      <c r="L99" s="47"/>
      <c r="M99" s="64">
        <v>5.9872685185185189E-2</v>
      </c>
      <c r="N99" s="64">
        <v>6.4270833333333333E-2</v>
      </c>
      <c r="O99" s="46">
        <f t="shared" si="6"/>
        <v>4.3981481481481441E-3</v>
      </c>
      <c r="P99" s="65">
        <v>43032</v>
      </c>
      <c r="Q99" s="59" t="str">
        <f t="shared" ca="1" si="0"/>
        <v>https://www.youtube.com/embed/y1fdkGgCt64?start=5173&amp;end=5553&amp;autoplay=1</v>
      </c>
      <c r="R99" s="102" t="s">
        <v>63</v>
      </c>
      <c r="S99" s="104" t="s">
        <v>63</v>
      </c>
      <c r="T99" s="106" t="s">
        <v>63</v>
      </c>
      <c r="U99" s="52"/>
      <c r="V99" s="53"/>
      <c r="W99" s="57" t="s">
        <v>64</v>
      </c>
      <c r="X99" s="56"/>
      <c r="Y99" s="38"/>
      <c r="Z99" s="38"/>
      <c r="AH99" s="38"/>
      <c r="AI99" s="38"/>
    </row>
    <row r="100" spans="1:35">
      <c r="A100" s="85">
        <v>76.13</v>
      </c>
      <c r="B100" s="109" t="s">
        <v>54</v>
      </c>
      <c r="C100" s="110"/>
      <c r="D100" s="85" t="s">
        <v>56</v>
      </c>
      <c r="E100" s="38"/>
      <c r="F100" s="43"/>
      <c r="G100" s="63" t="s">
        <v>549</v>
      </c>
      <c r="H100" s="45"/>
      <c r="I100" s="38"/>
      <c r="J100" s="38"/>
      <c r="K100" s="46"/>
      <c r="L100" s="47"/>
      <c r="M100" s="64">
        <v>6.4502314814814818E-2</v>
      </c>
      <c r="N100" s="64">
        <v>6.8287037037037035E-2</v>
      </c>
      <c r="O100" s="46">
        <f t="shared" si="6"/>
        <v>3.7847222222222171E-3</v>
      </c>
      <c r="P100" s="65">
        <v>43032</v>
      </c>
      <c r="Q100" s="59" t="str">
        <f t="shared" ca="1" si="0"/>
        <v>https://www.youtube.com/embed/y1fdkGgCt64?start=5573&amp;end=5900&amp;autoplay=1</v>
      </c>
      <c r="R100" s="102" t="s">
        <v>63</v>
      </c>
      <c r="S100" s="104" t="s">
        <v>63</v>
      </c>
      <c r="T100" s="106" t="s">
        <v>63</v>
      </c>
      <c r="U100" s="52"/>
      <c r="V100" s="53"/>
      <c r="W100" s="57" t="s">
        <v>64</v>
      </c>
      <c r="X100" s="56"/>
      <c r="Y100" s="38"/>
      <c r="Z100" s="38"/>
      <c r="AH100" s="38"/>
      <c r="AI100" s="38"/>
    </row>
    <row r="101" spans="1:35">
      <c r="A101" s="38">
        <v>103</v>
      </c>
      <c r="B101" s="39" t="s">
        <v>54</v>
      </c>
      <c r="C101" s="40"/>
      <c r="D101" s="42" t="s">
        <v>56</v>
      </c>
      <c r="E101" s="38" t="s">
        <v>369</v>
      </c>
      <c r="F101" s="43" t="s">
        <v>370</v>
      </c>
      <c r="G101" s="44"/>
      <c r="H101" s="45"/>
      <c r="I101" s="38"/>
      <c r="J101" s="38">
        <f>7.9*1000</f>
        <v>7900</v>
      </c>
      <c r="K101" s="46">
        <v>9.7002314814814805E-2</v>
      </c>
      <c r="L101" s="47" t="s">
        <v>286</v>
      </c>
      <c r="M101" s="48"/>
      <c r="N101" s="48"/>
      <c r="O101" s="48">
        <f t="shared" si="6"/>
        <v>0</v>
      </c>
      <c r="P101" s="65">
        <v>43038</v>
      </c>
      <c r="Q101" s="14" t="str">
        <f t="shared" ca="1" si="0"/>
        <v/>
      </c>
      <c r="R101" s="51"/>
      <c r="S101" s="51"/>
      <c r="T101" s="51"/>
      <c r="U101" s="40"/>
      <c r="V101" s="54"/>
      <c r="W101" s="55"/>
      <c r="X101" s="56"/>
      <c r="Y101" s="88"/>
      <c r="Z101" s="88"/>
      <c r="AA101" s="88"/>
      <c r="AB101" s="88"/>
      <c r="AH101" s="38"/>
      <c r="AI101" s="38"/>
    </row>
    <row r="102" spans="1:35">
      <c r="A102" s="42">
        <v>103.01</v>
      </c>
      <c r="B102" s="39" t="s">
        <v>54</v>
      </c>
      <c r="C102" s="40"/>
      <c r="D102" s="85" t="s">
        <v>56</v>
      </c>
      <c r="E102" s="38"/>
      <c r="F102" s="43"/>
      <c r="G102" s="63" t="s">
        <v>557</v>
      </c>
      <c r="H102" s="45"/>
      <c r="I102" s="38"/>
      <c r="J102" s="38"/>
      <c r="K102" s="46"/>
      <c r="L102" s="47"/>
      <c r="M102" s="64">
        <v>1.8518518518518518E-4</v>
      </c>
      <c r="N102" s="64">
        <v>3.0671296296296297E-3</v>
      </c>
      <c r="O102" s="46">
        <f t="shared" si="6"/>
        <v>2.8819444444444444E-3</v>
      </c>
      <c r="P102" s="65">
        <v>43038</v>
      </c>
      <c r="Q102" s="59" t="str">
        <f t="shared" ca="1" si="0"/>
        <v>https://www.youtube.com/embed/8RSu4ymCgp4?start=16&amp;end=265&amp;autoplay=1</v>
      </c>
      <c r="R102" s="67" t="s">
        <v>63</v>
      </c>
      <c r="S102" s="112" t="s">
        <v>561</v>
      </c>
      <c r="T102" s="112" t="s">
        <v>63</v>
      </c>
      <c r="U102" s="52"/>
      <c r="V102" s="53"/>
      <c r="W102" s="57" t="s">
        <v>64</v>
      </c>
      <c r="X102" s="56"/>
      <c r="Y102" s="38"/>
      <c r="Z102" s="42" t="s">
        <v>562</v>
      </c>
      <c r="AH102" s="38"/>
      <c r="AI102" s="38"/>
    </row>
    <row r="103" spans="1:35">
      <c r="A103" s="42">
        <v>103.02</v>
      </c>
      <c r="B103" s="39" t="s">
        <v>54</v>
      </c>
      <c r="C103" s="40"/>
      <c r="D103" s="85" t="s">
        <v>56</v>
      </c>
      <c r="E103" s="38"/>
      <c r="F103" s="43"/>
      <c r="G103" s="63" t="s">
        <v>565</v>
      </c>
      <c r="H103" s="45"/>
      <c r="I103" s="38"/>
      <c r="J103" s="38"/>
      <c r="K103" s="46"/>
      <c r="L103" s="47"/>
      <c r="M103" s="64">
        <v>3.1481481481481482E-3</v>
      </c>
      <c r="N103" s="64">
        <v>5.5324074074074078E-3</v>
      </c>
      <c r="O103" s="46">
        <f t="shared" si="6"/>
        <v>2.3842592592592596E-3</v>
      </c>
      <c r="P103" s="65">
        <v>43038</v>
      </c>
      <c r="Q103" s="59" t="str">
        <f t="shared" ca="1" si="0"/>
        <v>https://www.youtube.com/embed/8RSu4ymCgp4?start=272&amp;end=478&amp;autoplay=1</v>
      </c>
      <c r="R103" s="67" t="s">
        <v>63</v>
      </c>
      <c r="S103" s="112" t="s">
        <v>561</v>
      </c>
      <c r="T103" s="112" t="s">
        <v>63</v>
      </c>
      <c r="U103" s="52"/>
      <c r="V103" s="53"/>
      <c r="W103" s="57" t="s">
        <v>64</v>
      </c>
      <c r="X103" s="56"/>
      <c r="Y103" s="38"/>
      <c r="Z103" s="42" t="s">
        <v>562</v>
      </c>
      <c r="AH103" s="38"/>
      <c r="AI103" s="38"/>
    </row>
    <row r="104" spans="1:35">
      <c r="A104" s="42">
        <v>103.03</v>
      </c>
      <c r="B104" s="39" t="s">
        <v>54</v>
      </c>
      <c r="C104" s="40"/>
      <c r="D104" s="85" t="s">
        <v>56</v>
      </c>
      <c r="E104" s="38"/>
      <c r="F104" s="43"/>
      <c r="G104" s="63" t="s">
        <v>566</v>
      </c>
      <c r="H104" s="45"/>
      <c r="I104" s="38"/>
      <c r="J104" s="38"/>
      <c r="K104" s="46"/>
      <c r="L104" s="47"/>
      <c r="M104" s="64">
        <v>9.9537037037037042E-3</v>
      </c>
      <c r="N104" s="64">
        <v>1.443287037037037E-2</v>
      </c>
      <c r="O104" s="46">
        <f t="shared" si="6"/>
        <v>4.479166666666666E-3</v>
      </c>
      <c r="P104" s="65">
        <v>43038</v>
      </c>
      <c r="Q104" s="59" t="str">
        <f t="shared" ca="1" si="0"/>
        <v>https://www.youtube.com/embed/8RSu4ymCgp4?start=860&amp;end=1247&amp;autoplay=1</v>
      </c>
      <c r="R104" s="67" t="s">
        <v>63</v>
      </c>
      <c r="S104" s="112" t="s">
        <v>561</v>
      </c>
      <c r="T104" s="112" t="s">
        <v>63</v>
      </c>
      <c r="U104" s="52"/>
      <c r="V104" s="53"/>
      <c r="W104" s="57" t="s">
        <v>64</v>
      </c>
      <c r="X104" s="56"/>
      <c r="Y104" s="38"/>
      <c r="Z104" s="42" t="s">
        <v>562</v>
      </c>
      <c r="AH104" s="38"/>
      <c r="AI104" s="38"/>
    </row>
    <row r="105" spans="1:35">
      <c r="A105" s="42">
        <v>103.04</v>
      </c>
      <c r="B105" s="39" t="s">
        <v>54</v>
      </c>
      <c r="C105" s="40"/>
      <c r="D105" s="85" t="s">
        <v>56</v>
      </c>
      <c r="E105" s="38"/>
      <c r="F105" s="43"/>
      <c r="G105" s="63" t="s">
        <v>571</v>
      </c>
      <c r="H105" s="45"/>
      <c r="I105" s="38"/>
      <c r="J105" s="38"/>
      <c r="K105" s="46"/>
      <c r="L105" s="47"/>
      <c r="M105" s="64">
        <v>1.4444444444444444E-2</v>
      </c>
      <c r="N105" s="64">
        <v>1.6851851851851851E-2</v>
      </c>
      <c r="O105" s="46">
        <f t="shared" si="6"/>
        <v>2.4074074074074067E-3</v>
      </c>
      <c r="P105" s="65">
        <v>43038</v>
      </c>
      <c r="Q105" s="59" t="str">
        <f t="shared" ca="1" si="0"/>
        <v>https://www.youtube.com/embed/8RSu4ymCgp4?start=1248&amp;end=1456&amp;autoplay=1</v>
      </c>
      <c r="R105" s="67" t="s">
        <v>63</v>
      </c>
      <c r="S105" s="112" t="s">
        <v>561</v>
      </c>
      <c r="T105" s="112" t="s">
        <v>63</v>
      </c>
      <c r="U105" s="52"/>
      <c r="V105" s="53"/>
      <c r="W105" s="57" t="s">
        <v>64</v>
      </c>
      <c r="X105" s="56"/>
      <c r="Y105" s="38"/>
      <c r="Z105" s="42" t="s">
        <v>562</v>
      </c>
      <c r="AH105" s="38"/>
      <c r="AI105" s="38"/>
    </row>
    <row r="106" spans="1:35">
      <c r="A106" s="42">
        <v>103.05</v>
      </c>
      <c r="B106" s="39" t="s">
        <v>54</v>
      </c>
      <c r="C106" s="40"/>
      <c r="D106" s="85" t="s">
        <v>56</v>
      </c>
      <c r="E106" s="38"/>
      <c r="F106" s="43"/>
      <c r="G106" s="63" t="s">
        <v>574</v>
      </c>
      <c r="H106" s="45"/>
      <c r="I106" s="38"/>
      <c r="J106" s="38"/>
      <c r="K106" s="46"/>
      <c r="L106" s="47"/>
      <c r="M106" s="64">
        <v>1.6875000000000001E-2</v>
      </c>
      <c r="N106" s="64">
        <v>1.8599537037037036E-2</v>
      </c>
      <c r="O106" s="46">
        <f t="shared" si="6"/>
        <v>1.7245370370370348E-3</v>
      </c>
      <c r="P106" s="65">
        <v>43038</v>
      </c>
      <c r="Q106" s="59" t="str">
        <f t="shared" ca="1" si="0"/>
        <v>https://www.youtube.com/embed/8RSu4ymCgp4?start=1458&amp;end=1607&amp;autoplay=1</v>
      </c>
      <c r="R106" s="67" t="s">
        <v>63</v>
      </c>
      <c r="S106" s="112" t="s">
        <v>561</v>
      </c>
      <c r="T106" s="112" t="s">
        <v>63</v>
      </c>
      <c r="U106" s="52"/>
      <c r="V106" s="53"/>
      <c r="W106" s="57" t="s">
        <v>64</v>
      </c>
      <c r="X106" s="56"/>
      <c r="Y106" s="38"/>
      <c r="Z106" s="42" t="s">
        <v>562</v>
      </c>
      <c r="AH106" s="38"/>
      <c r="AI106" s="38"/>
    </row>
    <row r="107" spans="1:35">
      <c r="A107" s="42">
        <v>103.06</v>
      </c>
      <c r="B107" s="39" t="s">
        <v>54</v>
      </c>
      <c r="C107" s="40"/>
      <c r="D107" s="85" t="s">
        <v>56</v>
      </c>
      <c r="E107" s="38"/>
      <c r="F107" s="43"/>
      <c r="G107" s="63" t="s">
        <v>579</v>
      </c>
      <c r="H107" s="45"/>
      <c r="I107" s="38"/>
      <c r="J107" s="38"/>
      <c r="K107" s="46"/>
      <c r="L107" s="47"/>
      <c r="M107" s="64">
        <v>1.861111111111111E-2</v>
      </c>
      <c r="N107" s="64">
        <v>2.2395833333333334E-2</v>
      </c>
      <c r="O107" s="46">
        <f t="shared" si="6"/>
        <v>3.784722222222224E-3</v>
      </c>
      <c r="P107" s="65">
        <v>43038</v>
      </c>
      <c r="Q107" s="59" t="str">
        <f t="shared" ca="1" si="0"/>
        <v>https://www.youtube.com/embed/8RSu4ymCgp4?start=1608&amp;end=1935&amp;autoplay=1</v>
      </c>
      <c r="R107" s="67" t="s">
        <v>63</v>
      </c>
      <c r="S107" s="112" t="s">
        <v>561</v>
      </c>
      <c r="T107" s="112" t="s">
        <v>63</v>
      </c>
      <c r="U107" s="52"/>
      <c r="V107" s="53"/>
      <c r="W107" s="57" t="s">
        <v>64</v>
      </c>
      <c r="X107" s="56"/>
      <c r="Y107" s="38"/>
      <c r="Z107" s="42" t="s">
        <v>562</v>
      </c>
      <c r="AH107" s="38"/>
      <c r="AI107" s="38"/>
    </row>
    <row r="108" spans="1:35">
      <c r="A108" s="42">
        <v>103.07</v>
      </c>
      <c r="B108" s="39" t="s">
        <v>54</v>
      </c>
      <c r="C108" s="40"/>
      <c r="D108" s="85" t="s">
        <v>56</v>
      </c>
      <c r="E108" s="38"/>
      <c r="F108" s="43"/>
      <c r="G108" s="63" t="s">
        <v>581</v>
      </c>
      <c r="H108" s="45"/>
      <c r="I108" s="38"/>
      <c r="J108" s="38"/>
      <c r="K108" s="46"/>
      <c r="L108" s="47"/>
      <c r="M108" s="64">
        <v>2.2418981481481481E-2</v>
      </c>
      <c r="N108" s="64">
        <v>2.3194444444444445E-2</v>
      </c>
      <c r="O108" s="46">
        <f t="shared" si="6"/>
        <v>7.7546296296296391E-4</v>
      </c>
      <c r="P108" s="65">
        <v>43038</v>
      </c>
      <c r="Q108" s="59" t="str">
        <f t="shared" ca="1" si="0"/>
        <v>https://www.youtube.com/embed/8RSu4ymCgp4?start=1937&amp;end=2004&amp;autoplay=1</v>
      </c>
      <c r="R108" s="67" t="s">
        <v>63</v>
      </c>
      <c r="S108" s="112" t="s">
        <v>561</v>
      </c>
      <c r="T108" s="112" t="s">
        <v>63</v>
      </c>
      <c r="U108" s="52"/>
      <c r="V108" s="53"/>
      <c r="W108" s="57" t="s">
        <v>64</v>
      </c>
      <c r="X108" s="56"/>
      <c r="Y108" s="38"/>
      <c r="Z108" s="42" t="s">
        <v>562</v>
      </c>
      <c r="AH108" s="88"/>
      <c r="AI108" s="88"/>
    </row>
    <row r="109" spans="1:35">
      <c r="A109" s="42">
        <v>103.08</v>
      </c>
      <c r="B109" s="39" t="s">
        <v>54</v>
      </c>
      <c r="C109" s="40"/>
      <c r="D109" s="85" t="s">
        <v>56</v>
      </c>
      <c r="E109" s="38"/>
      <c r="F109" s="43"/>
      <c r="G109" s="63" t="s">
        <v>584</v>
      </c>
      <c r="H109" s="45"/>
      <c r="I109" s="38"/>
      <c r="J109" s="38"/>
      <c r="K109" s="46"/>
      <c r="L109" s="47"/>
      <c r="M109" s="64">
        <v>2.3206018518518518E-2</v>
      </c>
      <c r="N109" s="64">
        <v>2.3993055555555556E-2</v>
      </c>
      <c r="O109" s="46">
        <f t="shared" si="6"/>
        <v>7.8703703703703748E-4</v>
      </c>
      <c r="P109" s="65">
        <v>43038</v>
      </c>
      <c r="Q109" s="59" t="str">
        <f t="shared" ca="1" si="0"/>
        <v>https://www.youtube.com/embed/8RSu4ymCgp4?start=2005&amp;end=2073&amp;autoplay=1</v>
      </c>
      <c r="R109" s="67" t="s">
        <v>63</v>
      </c>
      <c r="S109" s="112" t="s">
        <v>561</v>
      </c>
      <c r="T109" s="112" t="s">
        <v>63</v>
      </c>
      <c r="U109" s="52"/>
      <c r="V109" s="53"/>
      <c r="W109" s="57" t="s">
        <v>64</v>
      </c>
      <c r="X109" s="56"/>
      <c r="Y109" s="38"/>
      <c r="Z109" s="42" t="s">
        <v>562</v>
      </c>
      <c r="AH109" s="88"/>
      <c r="AI109" s="88"/>
    </row>
    <row r="110" spans="1:35">
      <c r="A110" s="42">
        <v>103.09</v>
      </c>
      <c r="B110" s="39" t="s">
        <v>54</v>
      </c>
      <c r="C110" s="40"/>
      <c r="D110" s="85" t="s">
        <v>56</v>
      </c>
      <c r="E110" s="38"/>
      <c r="F110" s="43"/>
      <c r="G110" s="63" t="s">
        <v>586</v>
      </c>
      <c r="H110" s="45"/>
      <c r="I110" s="38"/>
      <c r="J110" s="38"/>
      <c r="K110" s="46"/>
      <c r="L110" s="47"/>
      <c r="M110" s="64">
        <v>2.4016203703703703E-2</v>
      </c>
      <c r="N110" s="64">
        <v>2.5416666666666667E-2</v>
      </c>
      <c r="O110" s="46">
        <f t="shared" si="6"/>
        <v>1.4004629629629645E-3</v>
      </c>
      <c r="P110" s="65">
        <v>43038</v>
      </c>
      <c r="Q110" s="59" t="str">
        <f t="shared" ca="1" si="0"/>
        <v>https://www.youtube.com/embed/8RSu4ymCgp4?start=2075&amp;end=2196&amp;autoplay=1</v>
      </c>
      <c r="R110" s="67" t="s">
        <v>63</v>
      </c>
      <c r="S110" s="112" t="s">
        <v>561</v>
      </c>
      <c r="T110" s="112" t="s">
        <v>63</v>
      </c>
      <c r="U110" s="52"/>
      <c r="V110" s="53"/>
      <c r="W110" s="57" t="s">
        <v>64</v>
      </c>
      <c r="X110" s="56"/>
      <c r="Y110" s="38"/>
      <c r="Z110" s="42" t="s">
        <v>562</v>
      </c>
      <c r="AH110" s="88"/>
      <c r="AI110" s="88"/>
    </row>
    <row r="111" spans="1:35">
      <c r="A111" s="85">
        <v>103.1</v>
      </c>
      <c r="B111" s="39" t="s">
        <v>54</v>
      </c>
      <c r="C111" s="40"/>
      <c r="D111" s="85" t="s">
        <v>56</v>
      </c>
      <c r="E111" s="38"/>
      <c r="F111" s="43"/>
      <c r="G111" s="63" t="s">
        <v>588</v>
      </c>
      <c r="H111" s="45"/>
      <c r="I111" s="38"/>
      <c r="J111" s="38"/>
      <c r="K111" s="46"/>
      <c r="L111" s="47"/>
      <c r="M111" s="64">
        <v>2.5428240740740741E-2</v>
      </c>
      <c r="N111" s="64">
        <v>2.7013888888888889E-2</v>
      </c>
      <c r="O111" s="46">
        <f t="shared" si="6"/>
        <v>1.5856481481481485E-3</v>
      </c>
      <c r="P111" s="65">
        <v>43038</v>
      </c>
      <c r="Q111" s="59" t="str">
        <f t="shared" ca="1" si="0"/>
        <v>https://www.youtube.com/embed/8RSu4ymCgp4?start=2197&amp;end=2334&amp;autoplay=1</v>
      </c>
      <c r="R111" s="67" t="s">
        <v>63</v>
      </c>
      <c r="S111" s="112" t="s">
        <v>561</v>
      </c>
      <c r="T111" s="112" t="s">
        <v>63</v>
      </c>
      <c r="U111" s="52"/>
      <c r="V111" s="53"/>
      <c r="W111" s="57" t="s">
        <v>64</v>
      </c>
      <c r="X111" s="56"/>
      <c r="Y111" s="38"/>
      <c r="Z111" s="42" t="s">
        <v>562</v>
      </c>
      <c r="AH111" s="88"/>
      <c r="AI111" s="88"/>
    </row>
    <row r="112" spans="1:35">
      <c r="A112" s="85">
        <v>103.11</v>
      </c>
      <c r="B112" s="39" t="s">
        <v>54</v>
      </c>
      <c r="C112" s="40"/>
      <c r="D112" s="85" t="s">
        <v>56</v>
      </c>
      <c r="E112" s="38"/>
      <c r="F112" s="43"/>
      <c r="G112" s="42" t="s">
        <v>592</v>
      </c>
      <c r="H112" s="45"/>
      <c r="I112" s="38"/>
      <c r="J112" s="38"/>
      <c r="K112" s="46"/>
      <c r="L112" s="47"/>
      <c r="M112" s="64">
        <v>2.7025462962962963E-2</v>
      </c>
      <c r="N112" s="64">
        <v>3.0532407407407407E-2</v>
      </c>
      <c r="O112" s="46">
        <f t="shared" si="6"/>
        <v>3.5069444444444445E-3</v>
      </c>
      <c r="P112" s="65">
        <v>43038</v>
      </c>
      <c r="Q112" s="59" t="str">
        <f t="shared" ca="1" si="0"/>
        <v>https://www.youtube.com/embed/8RSu4ymCgp4?start=2335&amp;end=2638&amp;autoplay=1</v>
      </c>
      <c r="R112" s="67" t="s">
        <v>63</v>
      </c>
      <c r="S112" s="112" t="s">
        <v>561</v>
      </c>
      <c r="T112" s="112" t="s">
        <v>63</v>
      </c>
      <c r="U112" s="52"/>
      <c r="V112" s="53"/>
      <c r="W112" s="57" t="s">
        <v>64</v>
      </c>
      <c r="X112" s="56"/>
      <c r="Y112" s="38"/>
      <c r="Z112" s="42" t="s">
        <v>562</v>
      </c>
      <c r="AH112" s="88"/>
      <c r="AI112" s="88"/>
    </row>
    <row r="113" spans="1:35">
      <c r="A113" s="85">
        <v>103.12</v>
      </c>
      <c r="B113" s="39" t="s">
        <v>54</v>
      </c>
      <c r="C113" s="40"/>
      <c r="D113" s="85" t="s">
        <v>56</v>
      </c>
      <c r="E113" s="38"/>
      <c r="F113" s="38"/>
      <c r="G113" s="42" t="s">
        <v>595</v>
      </c>
      <c r="H113" s="14"/>
      <c r="I113" s="38"/>
      <c r="J113" s="38"/>
      <c r="K113" s="46"/>
      <c r="L113" s="47"/>
      <c r="M113" s="64">
        <v>3.0555555555555555E-2</v>
      </c>
      <c r="N113" s="64">
        <v>3.7187499999999998E-2</v>
      </c>
      <c r="O113" s="46">
        <f t="shared" si="6"/>
        <v>6.6319444444444438E-3</v>
      </c>
      <c r="P113" s="65">
        <v>43038</v>
      </c>
      <c r="Q113" s="59" t="str">
        <f t="shared" ca="1" si="0"/>
        <v>https://www.youtube.com/embed/8RSu4ymCgp4?start=2640&amp;end=3213&amp;autoplay=1</v>
      </c>
      <c r="R113" s="67" t="s">
        <v>63</v>
      </c>
      <c r="S113" s="112" t="s">
        <v>561</v>
      </c>
      <c r="T113" s="112" t="s">
        <v>63</v>
      </c>
      <c r="U113" s="52"/>
      <c r="V113" s="53"/>
      <c r="W113" s="57" t="s">
        <v>64</v>
      </c>
      <c r="X113" s="56"/>
      <c r="Y113" s="38"/>
      <c r="Z113" s="42" t="s">
        <v>562</v>
      </c>
      <c r="AH113" s="88"/>
      <c r="AI113" s="88"/>
    </row>
    <row r="114" spans="1:35">
      <c r="A114" s="85">
        <v>103.13</v>
      </c>
      <c r="B114" s="39" t="s">
        <v>54</v>
      </c>
      <c r="C114" s="40"/>
      <c r="D114" s="85" t="s">
        <v>56</v>
      </c>
      <c r="E114" s="38"/>
      <c r="F114" s="38"/>
      <c r="G114" s="42" t="s">
        <v>600</v>
      </c>
      <c r="H114" s="14"/>
      <c r="I114" s="38"/>
      <c r="J114" s="38"/>
      <c r="K114" s="46"/>
      <c r="L114" s="47"/>
      <c r="M114" s="64">
        <v>3.7210648148148145E-2</v>
      </c>
      <c r="N114" s="64">
        <v>4.3055555555555555E-2</v>
      </c>
      <c r="O114" s="46">
        <f t="shared" si="6"/>
        <v>5.8449074074074098E-3</v>
      </c>
      <c r="P114" s="65">
        <v>43038</v>
      </c>
      <c r="Q114" s="59" t="str">
        <f t="shared" ca="1" si="0"/>
        <v>https://www.youtube.com/embed/8RSu4ymCgp4?start=3215&amp;end=3720&amp;autoplay=1</v>
      </c>
      <c r="R114" s="67" t="s">
        <v>63</v>
      </c>
      <c r="S114" s="112" t="s">
        <v>561</v>
      </c>
      <c r="T114" s="112" t="s">
        <v>63</v>
      </c>
      <c r="U114" s="52"/>
      <c r="V114" s="53"/>
      <c r="W114" s="57" t="s">
        <v>64</v>
      </c>
      <c r="X114" s="56"/>
      <c r="Y114" s="38"/>
      <c r="Z114" s="42" t="s">
        <v>562</v>
      </c>
      <c r="AH114" s="88"/>
      <c r="AI114" s="88"/>
    </row>
    <row r="115" spans="1:35">
      <c r="A115" s="85">
        <v>103.14</v>
      </c>
      <c r="B115" s="39" t="s">
        <v>54</v>
      </c>
      <c r="C115" s="40"/>
      <c r="D115" s="85" t="s">
        <v>56</v>
      </c>
      <c r="E115" s="38"/>
      <c r="F115" s="38"/>
      <c r="G115" s="42" t="s">
        <v>602</v>
      </c>
      <c r="H115" s="45"/>
      <c r="I115" s="38"/>
      <c r="J115" s="38"/>
      <c r="K115" s="46"/>
      <c r="L115" s="47"/>
      <c r="M115" s="64">
        <v>4.3379629629629629E-2</v>
      </c>
      <c r="N115" s="64">
        <v>4.7719907407407405E-2</v>
      </c>
      <c r="O115" s="46">
        <f t="shared" si="6"/>
        <v>4.3402777777777762E-3</v>
      </c>
      <c r="P115" s="65">
        <v>43039</v>
      </c>
      <c r="Q115" s="59" t="str">
        <f t="shared" ca="1" si="0"/>
        <v>https://www.youtube.com/embed/8RSu4ymCgp4?start=3748&amp;end=4123&amp;autoplay=1</v>
      </c>
      <c r="R115" s="67" t="s">
        <v>63</v>
      </c>
      <c r="S115" s="112" t="s">
        <v>561</v>
      </c>
      <c r="T115" s="112" t="s">
        <v>63</v>
      </c>
      <c r="U115" s="52"/>
      <c r="V115" s="53"/>
      <c r="W115" s="57" t="s">
        <v>64</v>
      </c>
      <c r="X115" s="56"/>
      <c r="Y115" s="38"/>
      <c r="Z115" s="42" t="s">
        <v>562</v>
      </c>
      <c r="AH115" s="88"/>
      <c r="AI115" s="88"/>
    </row>
    <row r="116" spans="1:35">
      <c r="A116" s="85">
        <v>103.15</v>
      </c>
      <c r="B116" s="39" t="s">
        <v>54</v>
      </c>
      <c r="C116" s="40"/>
      <c r="D116" s="85" t="s">
        <v>56</v>
      </c>
      <c r="E116" s="38"/>
      <c r="F116" s="38"/>
      <c r="G116" s="42" t="s">
        <v>607</v>
      </c>
      <c r="H116" s="58"/>
      <c r="I116" s="38"/>
      <c r="J116" s="38"/>
      <c r="K116" s="46"/>
      <c r="L116" s="47"/>
      <c r="M116" s="64">
        <v>4.7731481481481479E-2</v>
      </c>
      <c r="N116" s="64">
        <v>5.3182870370370373E-2</v>
      </c>
      <c r="O116" s="46">
        <f t="shared" si="6"/>
        <v>5.4513888888888945E-3</v>
      </c>
      <c r="P116" s="65">
        <v>43039</v>
      </c>
      <c r="Q116" s="59" t="str">
        <f t="shared" ca="1" si="0"/>
        <v>https://www.youtube.com/embed/8RSu4ymCgp4?start=4124&amp;end=4595&amp;autoplay=1</v>
      </c>
      <c r="R116" s="67" t="s">
        <v>63</v>
      </c>
      <c r="S116" s="112" t="s">
        <v>561</v>
      </c>
      <c r="T116" s="112" t="s">
        <v>63</v>
      </c>
      <c r="U116" s="52"/>
      <c r="V116" s="53"/>
      <c r="W116" s="57" t="s">
        <v>64</v>
      </c>
      <c r="X116" s="56"/>
      <c r="Y116" s="38"/>
      <c r="Z116" s="42" t="s">
        <v>562</v>
      </c>
      <c r="AH116" s="88"/>
      <c r="AI116" s="88"/>
    </row>
    <row r="117" spans="1:35">
      <c r="A117" s="85">
        <v>103.16</v>
      </c>
      <c r="B117" s="39" t="s">
        <v>54</v>
      </c>
      <c r="C117" s="40"/>
      <c r="D117" s="85" t="s">
        <v>56</v>
      </c>
      <c r="E117" s="38"/>
      <c r="F117" s="38"/>
      <c r="G117" s="58" t="s">
        <v>610</v>
      </c>
      <c r="H117" s="45"/>
      <c r="I117" s="38"/>
      <c r="J117" s="38"/>
      <c r="K117" s="46"/>
      <c r="L117" s="47"/>
      <c r="M117" s="64">
        <v>5.2812499999999998E-2</v>
      </c>
      <c r="N117" s="64">
        <v>5.4247685185185184E-2</v>
      </c>
      <c r="O117" s="46">
        <f t="shared" si="6"/>
        <v>1.4351851851851852E-3</v>
      </c>
      <c r="P117" s="65">
        <v>43039</v>
      </c>
      <c r="Q117" s="59" t="str">
        <f t="shared" ca="1" si="0"/>
        <v>https://www.youtube.com/embed/8RSu4ymCgp4?start=4563&amp;end=4687&amp;autoplay=1</v>
      </c>
      <c r="R117" s="67" t="s">
        <v>63</v>
      </c>
      <c r="S117" s="112" t="s">
        <v>561</v>
      </c>
      <c r="T117" s="112" t="s">
        <v>63</v>
      </c>
      <c r="U117" s="52"/>
      <c r="V117" s="53"/>
      <c r="W117" s="57" t="s">
        <v>64</v>
      </c>
      <c r="X117" s="56"/>
      <c r="Y117" s="38"/>
      <c r="Z117" s="42" t="s">
        <v>562</v>
      </c>
      <c r="AH117" s="88"/>
      <c r="AI117" s="88"/>
    </row>
    <row r="118" spans="1:35">
      <c r="A118" s="85">
        <v>103.17</v>
      </c>
      <c r="B118" s="39" t="s">
        <v>54</v>
      </c>
      <c r="C118" s="40"/>
      <c r="D118" s="85" t="s">
        <v>56</v>
      </c>
      <c r="E118" s="38"/>
      <c r="F118" s="38"/>
      <c r="G118" s="42" t="s">
        <v>615</v>
      </c>
      <c r="H118" s="45"/>
      <c r="I118" s="38"/>
      <c r="J118" s="38"/>
      <c r="K118" s="46"/>
      <c r="L118" s="47"/>
      <c r="M118" s="64">
        <v>5.4259259259259257E-2</v>
      </c>
      <c r="N118" s="64">
        <v>5.5439814814814817E-2</v>
      </c>
      <c r="O118" s="46">
        <f t="shared" si="6"/>
        <v>1.1805555555555597E-3</v>
      </c>
      <c r="P118" s="65">
        <v>43039</v>
      </c>
      <c r="Q118" s="59" t="str">
        <f t="shared" ca="1" si="0"/>
        <v>https://www.youtube.com/embed/8RSu4ymCgp4?start=4688&amp;end=4790&amp;autoplay=1</v>
      </c>
      <c r="R118" s="67" t="s">
        <v>63</v>
      </c>
      <c r="S118" s="112" t="s">
        <v>561</v>
      </c>
      <c r="T118" s="112" t="s">
        <v>63</v>
      </c>
      <c r="U118" s="52"/>
      <c r="V118" s="53"/>
      <c r="W118" s="57" t="s">
        <v>64</v>
      </c>
      <c r="X118" s="56"/>
      <c r="Y118" s="38"/>
      <c r="Z118" s="42" t="s">
        <v>562</v>
      </c>
      <c r="AH118" s="88"/>
      <c r="AI118" s="88"/>
    </row>
    <row r="119" spans="1:35">
      <c r="A119" s="85">
        <v>103.18</v>
      </c>
      <c r="B119" s="39" t="s">
        <v>54</v>
      </c>
      <c r="C119" s="40"/>
      <c r="D119" s="85" t="s">
        <v>56</v>
      </c>
      <c r="E119" s="38"/>
      <c r="F119" s="38"/>
      <c r="G119" s="42" t="s">
        <v>620</v>
      </c>
      <c r="H119" s="45"/>
      <c r="I119" s="38"/>
      <c r="J119" s="38"/>
      <c r="K119" s="46"/>
      <c r="L119" s="47"/>
      <c r="M119" s="64">
        <v>5.5555555555555552E-2</v>
      </c>
      <c r="N119" s="64">
        <v>5.9432870370370372E-2</v>
      </c>
      <c r="O119" s="46">
        <f t="shared" si="6"/>
        <v>3.8773148148148195E-3</v>
      </c>
      <c r="P119" s="65">
        <v>43039</v>
      </c>
      <c r="Q119" s="59" t="str">
        <f t="shared" ca="1" si="0"/>
        <v>https://www.youtube.com/embed/8RSu4ymCgp4?start=4800&amp;end=5135&amp;autoplay=1</v>
      </c>
      <c r="R119" s="67" t="s">
        <v>63</v>
      </c>
      <c r="S119" s="112" t="s">
        <v>561</v>
      </c>
      <c r="T119" s="112" t="s">
        <v>63</v>
      </c>
      <c r="U119" s="52"/>
      <c r="V119" s="53"/>
      <c r="W119" s="57" t="s">
        <v>64</v>
      </c>
      <c r="X119" s="56"/>
      <c r="Y119" s="38"/>
      <c r="Z119" s="42" t="s">
        <v>562</v>
      </c>
      <c r="AH119" s="88"/>
      <c r="AI119" s="88"/>
    </row>
    <row r="120" spans="1:35">
      <c r="A120" s="85">
        <v>103.19</v>
      </c>
      <c r="B120" s="39" t="s">
        <v>54</v>
      </c>
      <c r="C120" s="40"/>
      <c r="D120" s="85" t="s">
        <v>56</v>
      </c>
      <c r="E120" s="38"/>
      <c r="F120" s="38"/>
      <c r="G120" s="42" t="s">
        <v>624</v>
      </c>
      <c r="H120" s="45"/>
      <c r="I120" s="38"/>
      <c r="J120" s="38"/>
      <c r="K120" s="46"/>
      <c r="L120" s="47"/>
      <c r="M120" s="64">
        <v>5.9444444444444446E-2</v>
      </c>
      <c r="N120" s="64">
        <v>6.4224537037037038E-2</v>
      </c>
      <c r="O120" s="46">
        <f t="shared" si="6"/>
        <v>4.7800925925925927E-3</v>
      </c>
      <c r="P120" s="65">
        <v>43039</v>
      </c>
      <c r="Q120" s="59" t="str">
        <f t="shared" ca="1" si="0"/>
        <v>https://www.youtube.com/embed/8RSu4ymCgp4?start=5136&amp;end=5549&amp;autoplay=1</v>
      </c>
      <c r="R120" s="67" t="s">
        <v>63</v>
      </c>
      <c r="S120" s="112" t="s">
        <v>561</v>
      </c>
      <c r="T120" s="112" t="s">
        <v>63</v>
      </c>
      <c r="U120" s="52"/>
      <c r="V120" s="53"/>
      <c r="W120" s="57" t="s">
        <v>64</v>
      </c>
      <c r="X120" s="56"/>
      <c r="Y120" s="38"/>
      <c r="Z120" s="42" t="s">
        <v>562</v>
      </c>
      <c r="AH120" s="88"/>
      <c r="AI120" s="88"/>
    </row>
    <row r="121" spans="1:35">
      <c r="A121" s="85">
        <v>103.2</v>
      </c>
      <c r="B121" s="39" t="s">
        <v>54</v>
      </c>
      <c r="C121" s="40"/>
      <c r="D121" s="85" t="s">
        <v>56</v>
      </c>
      <c r="E121" s="38"/>
      <c r="F121" s="38"/>
      <c r="G121" s="42" t="s">
        <v>627</v>
      </c>
      <c r="H121" s="45"/>
      <c r="I121" s="38"/>
      <c r="J121" s="38"/>
      <c r="K121" s="46"/>
      <c r="L121" s="47"/>
      <c r="M121" s="64">
        <v>6.4236111111111105E-2</v>
      </c>
      <c r="N121" s="64">
        <v>6.8113425925925924E-2</v>
      </c>
      <c r="O121" s="46">
        <f t="shared" si="6"/>
        <v>3.8773148148148195E-3</v>
      </c>
      <c r="P121" s="65">
        <v>43039</v>
      </c>
      <c r="Q121" s="59" t="str">
        <f t="shared" ca="1" si="0"/>
        <v>https://www.youtube.com/embed/8RSu4ymCgp4?start=5550&amp;end=5885&amp;autoplay=1</v>
      </c>
      <c r="R121" s="67" t="s">
        <v>63</v>
      </c>
      <c r="S121" s="112" t="s">
        <v>561</v>
      </c>
      <c r="T121" s="112" t="s">
        <v>63</v>
      </c>
      <c r="U121" s="52"/>
      <c r="V121" s="53"/>
      <c r="W121" s="57" t="s">
        <v>64</v>
      </c>
      <c r="X121" s="56"/>
      <c r="Y121" s="38"/>
      <c r="Z121" s="42" t="s">
        <v>562</v>
      </c>
      <c r="AH121" s="88"/>
      <c r="AI121" s="88"/>
    </row>
    <row r="122" spans="1:35">
      <c r="A122" s="85">
        <v>103.21</v>
      </c>
      <c r="B122" s="39" t="s">
        <v>54</v>
      </c>
      <c r="C122" s="40"/>
      <c r="D122" s="85" t="s">
        <v>56</v>
      </c>
      <c r="E122" s="38"/>
      <c r="F122" s="38"/>
      <c r="G122" s="42" t="s">
        <v>630</v>
      </c>
      <c r="H122" s="45"/>
      <c r="I122" s="38"/>
      <c r="J122" s="38"/>
      <c r="K122" s="46"/>
      <c r="L122" s="47"/>
      <c r="M122" s="64">
        <v>6.8125000000000005E-2</v>
      </c>
      <c r="N122" s="64">
        <v>6.896990740740741E-2</v>
      </c>
      <c r="O122" s="46">
        <f t="shared" si="6"/>
        <v>8.4490740740740533E-4</v>
      </c>
      <c r="P122" s="65">
        <v>43039</v>
      </c>
      <c r="Q122" s="59" t="str">
        <f t="shared" ca="1" si="0"/>
        <v>https://www.youtube.com/embed/8RSu4ymCgp4?start=5886&amp;end=5959&amp;autoplay=1</v>
      </c>
      <c r="R122" s="67" t="s">
        <v>63</v>
      </c>
      <c r="S122" s="112" t="s">
        <v>561</v>
      </c>
      <c r="T122" s="112" t="s">
        <v>63</v>
      </c>
      <c r="U122" s="52"/>
      <c r="V122" s="53"/>
      <c r="W122" s="57" t="s">
        <v>64</v>
      </c>
      <c r="X122" s="56"/>
      <c r="Y122" s="38"/>
      <c r="Z122" s="42" t="s">
        <v>562</v>
      </c>
      <c r="AH122" s="88"/>
      <c r="AI122" s="88"/>
    </row>
    <row r="123" spans="1:35">
      <c r="A123" s="42">
        <v>103.22</v>
      </c>
      <c r="B123" s="39" t="s">
        <v>54</v>
      </c>
      <c r="C123" s="40"/>
      <c r="D123" s="85" t="s">
        <v>56</v>
      </c>
      <c r="E123" s="38"/>
      <c r="F123" s="38"/>
      <c r="G123" s="42" t="s">
        <v>631</v>
      </c>
      <c r="H123" s="45"/>
      <c r="I123" s="38"/>
      <c r="J123" s="38"/>
      <c r="K123" s="46"/>
      <c r="L123" s="47"/>
      <c r="M123" s="64">
        <v>6.8981481481481477E-2</v>
      </c>
      <c r="N123" s="64">
        <v>7.0324074074074081E-2</v>
      </c>
      <c r="O123" s="46">
        <f t="shared" si="6"/>
        <v>1.3425925925926036E-3</v>
      </c>
      <c r="P123" s="65">
        <v>43039</v>
      </c>
      <c r="Q123" s="59" t="str">
        <f t="shared" ca="1" si="0"/>
        <v>https://www.youtube.com/embed/8RSu4ymCgp4?start=5960&amp;end=6076&amp;autoplay=1</v>
      </c>
      <c r="R123" s="67" t="s">
        <v>63</v>
      </c>
      <c r="S123" s="112" t="s">
        <v>561</v>
      </c>
      <c r="T123" s="112" t="s">
        <v>63</v>
      </c>
      <c r="U123" s="52"/>
      <c r="V123" s="53"/>
      <c r="W123" s="57" t="s">
        <v>64</v>
      </c>
      <c r="X123" s="56"/>
      <c r="Y123" s="38"/>
      <c r="Z123" s="42" t="s">
        <v>562</v>
      </c>
      <c r="AH123" s="88"/>
      <c r="AI123" s="88"/>
    </row>
    <row r="124" spans="1:35">
      <c r="A124" s="42">
        <v>103.23</v>
      </c>
      <c r="B124" s="39" t="s">
        <v>54</v>
      </c>
      <c r="C124" s="40"/>
      <c r="D124" s="85" t="s">
        <v>56</v>
      </c>
      <c r="E124" s="38"/>
      <c r="F124" s="38"/>
      <c r="G124" s="42" t="s">
        <v>634</v>
      </c>
      <c r="H124" s="45"/>
      <c r="I124" s="38"/>
      <c r="J124" s="38"/>
      <c r="K124" s="46"/>
      <c r="L124" s="47"/>
      <c r="M124" s="64">
        <v>7.0347222222222228E-2</v>
      </c>
      <c r="N124" s="64">
        <v>7.4305555555555555E-2</v>
      </c>
      <c r="O124" s="46">
        <f t="shared" si="6"/>
        <v>3.9583333333333276E-3</v>
      </c>
      <c r="P124" s="65">
        <v>43039</v>
      </c>
      <c r="Q124" s="59" t="str">
        <f t="shared" ca="1" si="0"/>
        <v>https://www.youtube.com/embed/8RSu4ymCgp4?start=6078&amp;end=6420&amp;autoplay=1</v>
      </c>
      <c r="R124" s="67" t="s">
        <v>63</v>
      </c>
      <c r="S124" s="112" t="s">
        <v>561</v>
      </c>
      <c r="T124" s="112" t="s">
        <v>63</v>
      </c>
      <c r="U124" s="52"/>
      <c r="V124" s="53"/>
      <c r="W124" s="57" t="s">
        <v>64</v>
      </c>
      <c r="X124" s="56"/>
      <c r="Y124" s="38"/>
      <c r="Z124" s="42" t="s">
        <v>562</v>
      </c>
      <c r="AH124" s="88"/>
      <c r="AI124" s="88"/>
    </row>
    <row r="125" spans="1:35">
      <c r="A125" s="42">
        <v>103.24</v>
      </c>
      <c r="B125" s="39" t="s">
        <v>54</v>
      </c>
      <c r="C125" s="40"/>
      <c r="D125" s="85" t="s">
        <v>56</v>
      </c>
      <c r="E125" s="38"/>
      <c r="F125" s="38"/>
      <c r="G125" s="42" t="s">
        <v>637</v>
      </c>
      <c r="H125" s="45"/>
      <c r="I125" s="38"/>
      <c r="J125" s="38"/>
      <c r="K125" s="46"/>
      <c r="L125" s="47"/>
      <c r="M125" s="64">
        <v>7.4710648148148151E-2</v>
      </c>
      <c r="N125" s="64">
        <v>7.9768518518518516E-2</v>
      </c>
      <c r="O125" s="46">
        <f t="shared" si="6"/>
        <v>5.0578703703703654E-3</v>
      </c>
      <c r="P125" s="65">
        <v>43039</v>
      </c>
      <c r="Q125" s="59" t="str">
        <f t="shared" ca="1" si="0"/>
        <v>https://www.youtube.com/embed/8RSu4ymCgp4?start=6455&amp;end=6892&amp;autoplay=1</v>
      </c>
      <c r="R125" s="67" t="s">
        <v>63</v>
      </c>
      <c r="S125" s="112" t="s">
        <v>561</v>
      </c>
      <c r="T125" s="112" t="s">
        <v>63</v>
      </c>
      <c r="U125" s="52"/>
      <c r="V125" s="53"/>
      <c r="W125" s="57" t="s">
        <v>64</v>
      </c>
      <c r="X125" s="56"/>
      <c r="Y125" s="38"/>
      <c r="Z125" s="42" t="s">
        <v>562</v>
      </c>
      <c r="AH125" s="88"/>
      <c r="AI125" s="88"/>
    </row>
    <row r="126" spans="1:35">
      <c r="A126" s="42">
        <v>103.25</v>
      </c>
      <c r="B126" s="39" t="s">
        <v>54</v>
      </c>
      <c r="C126" s="40"/>
      <c r="D126" s="85" t="s">
        <v>56</v>
      </c>
      <c r="E126" s="38"/>
      <c r="F126" s="43"/>
      <c r="G126" s="63" t="s">
        <v>640</v>
      </c>
      <c r="H126" s="45"/>
      <c r="I126" s="38"/>
      <c r="J126" s="38"/>
      <c r="K126" s="46"/>
      <c r="L126" s="47"/>
      <c r="M126" s="64">
        <v>7.9988425925925921E-2</v>
      </c>
      <c r="N126" s="64">
        <v>8.684027777777778E-2</v>
      </c>
      <c r="O126" s="46">
        <f t="shared" si="6"/>
        <v>6.851851851851859E-3</v>
      </c>
      <c r="P126" s="65">
        <v>43039</v>
      </c>
      <c r="Q126" s="59" t="str">
        <f t="shared" ca="1" si="0"/>
        <v>https://www.youtube.com/embed/8RSu4ymCgp4?start=6911&amp;end=7503&amp;autoplay=1</v>
      </c>
      <c r="R126" s="67" t="s">
        <v>63</v>
      </c>
      <c r="S126" s="112" t="s">
        <v>561</v>
      </c>
      <c r="T126" s="112" t="s">
        <v>63</v>
      </c>
      <c r="U126" s="52"/>
      <c r="V126" s="53"/>
      <c r="W126" s="57" t="s">
        <v>64</v>
      </c>
      <c r="X126" s="56"/>
      <c r="Y126" s="38"/>
      <c r="Z126" s="42" t="s">
        <v>562</v>
      </c>
      <c r="AH126" s="88"/>
      <c r="AI126" s="88"/>
    </row>
    <row r="127" spans="1:35">
      <c r="A127" s="38">
        <v>609</v>
      </c>
      <c r="B127" s="39" t="s">
        <v>54</v>
      </c>
      <c r="C127" s="40"/>
      <c r="D127" s="42" t="s">
        <v>56</v>
      </c>
      <c r="E127" s="38" t="s">
        <v>643</v>
      </c>
      <c r="F127" s="43" t="s">
        <v>644</v>
      </c>
      <c r="G127" s="44"/>
      <c r="H127" s="45"/>
      <c r="I127" s="38"/>
      <c r="J127" s="38">
        <f>32*1000</f>
        <v>32000</v>
      </c>
      <c r="K127" s="46">
        <v>3.8900462962962963E-2</v>
      </c>
      <c r="L127" s="47" t="s">
        <v>645</v>
      </c>
      <c r="M127" s="48"/>
      <c r="N127" s="48"/>
      <c r="O127" s="48">
        <f t="shared" si="6"/>
        <v>0</v>
      </c>
      <c r="P127" s="65">
        <v>43058</v>
      </c>
      <c r="Q127" s="14" t="str">
        <f t="shared" ca="1" si="0"/>
        <v/>
      </c>
      <c r="R127" s="39" t="s">
        <v>63</v>
      </c>
      <c r="S127" s="39" t="s">
        <v>63</v>
      </c>
      <c r="T127" s="39" t="s">
        <v>63</v>
      </c>
      <c r="U127" s="40"/>
      <c r="V127" s="54"/>
      <c r="W127" s="69" t="s">
        <v>64</v>
      </c>
      <c r="X127" s="56"/>
      <c r="Y127" s="88"/>
      <c r="Z127" s="88"/>
      <c r="AA127" s="88"/>
      <c r="AB127" s="88"/>
      <c r="AH127" s="88"/>
      <c r="AI127" s="88"/>
    </row>
    <row r="128" spans="1:35">
      <c r="A128" s="42">
        <v>609.01</v>
      </c>
      <c r="B128" s="39" t="s">
        <v>54</v>
      </c>
      <c r="C128" s="40"/>
      <c r="D128" s="42" t="s">
        <v>56</v>
      </c>
      <c r="E128" s="38"/>
      <c r="F128" s="43"/>
      <c r="G128" s="12" t="s">
        <v>648</v>
      </c>
      <c r="M128" s="124">
        <v>4.1666666666666669E-4</v>
      </c>
      <c r="N128" s="124">
        <v>4.1087962962962962E-3</v>
      </c>
      <c r="O128" s="77">
        <f t="shared" si="6"/>
        <v>3.6921296296296294E-3</v>
      </c>
      <c r="P128" s="65">
        <v>43058</v>
      </c>
      <c r="Q128" s="59" t="str">
        <f t="shared" ca="1" si="0"/>
        <v>https://www.youtube.com/embed/4W3kmjNG_K8?start=36&amp;end=355&amp;autoplay=1</v>
      </c>
      <c r="R128" s="39" t="s">
        <v>63</v>
      </c>
      <c r="S128" s="39" t="s">
        <v>63</v>
      </c>
      <c r="T128" s="39" t="s">
        <v>63</v>
      </c>
      <c r="U128" s="40"/>
      <c r="V128" s="54"/>
      <c r="W128" s="69" t="s">
        <v>64</v>
      </c>
      <c r="X128" s="56"/>
      <c r="Y128" s="38"/>
      <c r="Z128" s="38"/>
      <c r="AH128" s="88"/>
      <c r="AI128" s="88"/>
    </row>
    <row r="129" spans="1:35">
      <c r="A129" s="42">
        <v>609.02</v>
      </c>
      <c r="B129" s="39" t="s">
        <v>54</v>
      </c>
      <c r="C129" s="40"/>
      <c r="D129" s="42" t="s">
        <v>56</v>
      </c>
      <c r="E129" s="38"/>
      <c r="F129" s="43"/>
      <c r="G129" s="12" t="s">
        <v>651</v>
      </c>
      <c r="H129" s="45"/>
      <c r="I129" s="38"/>
      <c r="J129" s="38"/>
      <c r="K129" s="46"/>
      <c r="L129" s="47"/>
      <c r="M129" s="124">
        <v>4.1666666666666666E-3</v>
      </c>
      <c r="N129" s="64">
        <v>9.0509259259259258E-3</v>
      </c>
      <c r="O129" s="46">
        <f t="shared" si="6"/>
        <v>4.8842592592592592E-3</v>
      </c>
      <c r="P129" s="65">
        <v>43058</v>
      </c>
      <c r="Q129" s="59" t="str">
        <f t="shared" ca="1" si="0"/>
        <v>https://www.youtube.com/embed/4W3kmjNG_K8?start=360&amp;end=782&amp;autoplay=1</v>
      </c>
      <c r="R129" s="39" t="s">
        <v>63</v>
      </c>
      <c r="S129" s="39" t="s">
        <v>63</v>
      </c>
      <c r="T129" s="39" t="s">
        <v>63</v>
      </c>
      <c r="U129" s="40"/>
      <c r="V129" s="54"/>
      <c r="W129" s="69" t="s">
        <v>64</v>
      </c>
      <c r="X129" s="56"/>
      <c r="Y129" s="38"/>
      <c r="Z129" s="38"/>
      <c r="AH129" s="88"/>
      <c r="AI129" s="88"/>
    </row>
    <row r="130" spans="1:35">
      <c r="A130" s="42">
        <v>609.03</v>
      </c>
      <c r="B130" s="39" t="s">
        <v>54</v>
      </c>
      <c r="C130" s="40"/>
      <c r="D130" s="42" t="s">
        <v>56</v>
      </c>
      <c r="E130" s="38"/>
      <c r="F130" s="43"/>
      <c r="G130" s="63" t="s">
        <v>652</v>
      </c>
      <c r="H130" s="45"/>
      <c r="I130" s="38"/>
      <c r="J130" s="38"/>
      <c r="K130" s="46"/>
      <c r="L130" s="47"/>
      <c r="M130" s="64">
        <v>9.0624999999999994E-3</v>
      </c>
      <c r="N130" s="64">
        <v>1.369212962962963E-2</v>
      </c>
      <c r="O130" s="46">
        <f t="shared" si="6"/>
        <v>4.6296296296296311E-3</v>
      </c>
      <c r="P130" s="65">
        <v>43058</v>
      </c>
      <c r="Q130" s="59" t="str">
        <f t="shared" ca="1" si="0"/>
        <v>https://www.youtube.com/embed/4W3kmjNG_K8?start=783&amp;end=1183&amp;autoplay=1</v>
      </c>
      <c r="R130" s="39" t="s">
        <v>63</v>
      </c>
      <c r="S130" s="39" t="s">
        <v>63</v>
      </c>
      <c r="T130" s="39" t="s">
        <v>63</v>
      </c>
      <c r="U130" s="40"/>
      <c r="V130" s="54"/>
      <c r="W130" s="69" t="s">
        <v>64</v>
      </c>
      <c r="X130" s="56"/>
      <c r="Y130" s="38"/>
      <c r="Z130" s="38"/>
      <c r="AH130" s="88"/>
      <c r="AI130" s="88"/>
    </row>
    <row r="131" spans="1:35">
      <c r="A131" s="42">
        <v>609.04</v>
      </c>
      <c r="B131" s="39" t="s">
        <v>54</v>
      </c>
      <c r="C131" s="40"/>
      <c r="D131" s="42" t="s">
        <v>56</v>
      </c>
      <c r="E131" s="38"/>
      <c r="F131" s="43"/>
      <c r="G131" s="63" t="s">
        <v>655</v>
      </c>
      <c r="H131" s="45"/>
      <c r="I131" s="38"/>
      <c r="J131" s="38"/>
      <c r="K131" s="46"/>
      <c r="L131" s="47"/>
      <c r="M131" s="64">
        <v>1.3703703703703704E-2</v>
      </c>
      <c r="N131" s="64">
        <v>1.6712962962962964E-2</v>
      </c>
      <c r="O131" s="46">
        <f t="shared" si="6"/>
        <v>3.0092592592592601E-3</v>
      </c>
      <c r="P131" s="65">
        <v>43058</v>
      </c>
      <c r="Q131" s="59" t="str">
        <f t="shared" ca="1" si="0"/>
        <v>https://www.youtube.com/embed/4W3kmjNG_K8?start=1184&amp;end=1444&amp;autoplay=1</v>
      </c>
      <c r="R131" s="39" t="s">
        <v>63</v>
      </c>
      <c r="S131" s="39" t="s">
        <v>63</v>
      </c>
      <c r="T131" s="39" t="s">
        <v>63</v>
      </c>
      <c r="U131" s="40"/>
      <c r="V131" s="54"/>
      <c r="W131" s="69" t="s">
        <v>64</v>
      </c>
      <c r="X131" s="56"/>
      <c r="Y131" s="38"/>
      <c r="Z131" s="38"/>
      <c r="AH131" s="88"/>
      <c r="AI131" s="88"/>
    </row>
    <row r="132" spans="1:35">
      <c r="A132" s="42">
        <v>609.04999999999995</v>
      </c>
      <c r="B132" s="39" t="s">
        <v>54</v>
      </c>
      <c r="C132" s="40"/>
      <c r="D132" s="42" t="s">
        <v>56</v>
      </c>
      <c r="E132" s="38"/>
      <c r="F132" s="43"/>
      <c r="G132" s="63" t="s">
        <v>658</v>
      </c>
      <c r="H132" s="45"/>
      <c r="I132" s="38"/>
      <c r="J132" s="38"/>
      <c r="K132" s="46"/>
      <c r="L132" s="47"/>
      <c r="M132" s="64">
        <v>1.6724537037037038E-2</v>
      </c>
      <c r="N132" s="64">
        <v>1.8136574074074076E-2</v>
      </c>
      <c r="O132" s="46">
        <f t="shared" si="6"/>
        <v>1.412037037037038E-3</v>
      </c>
      <c r="P132" s="65">
        <v>43058</v>
      </c>
      <c r="Q132" s="59" t="str">
        <f t="shared" ca="1" si="0"/>
        <v>https://www.youtube.com/embed/4W3kmjNG_K8?start=1445&amp;end=1567&amp;autoplay=1</v>
      </c>
      <c r="R132" s="39" t="s">
        <v>63</v>
      </c>
      <c r="S132" s="39" t="s">
        <v>63</v>
      </c>
      <c r="T132" s="39" t="s">
        <v>63</v>
      </c>
      <c r="U132" s="40"/>
      <c r="V132" s="54"/>
      <c r="W132" s="69" t="s">
        <v>64</v>
      </c>
      <c r="X132" s="56"/>
      <c r="Y132" s="38"/>
      <c r="Z132" s="38"/>
      <c r="AH132" s="88"/>
      <c r="AI132" s="88"/>
    </row>
    <row r="133" spans="1:35">
      <c r="A133" s="42">
        <v>609.05999999999995</v>
      </c>
      <c r="B133" s="39" t="s">
        <v>54</v>
      </c>
      <c r="C133" s="40"/>
      <c r="D133" s="42" t="s">
        <v>56</v>
      </c>
      <c r="E133" s="38"/>
      <c r="F133" s="43"/>
      <c r="G133" s="63" t="s">
        <v>660</v>
      </c>
      <c r="H133" s="45"/>
      <c r="I133" s="38"/>
      <c r="J133" s="38"/>
      <c r="K133" s="46"/>
      <c r="L133" s="47"/>
      <c r="M133" s="64">
        <v>1.8148148148148149E-2</v>
      </c>
      <c r="N133" s="64">
        <v>2.2974537037037036E-2</v>
      </c>
      <c r="O133" s="46">
        <f t="shared" si="6"/>
        <v>4.826388888888887E-3</v>
      </c>
      <c r="P133" s="65">
        <v>43058</v>
      </c>
      <c r="Q133" s="59" t="str">
        <f t="shared" ca="1" si="0"/>
        <v>https://www.youtube.com/embed/4W3kmjNG_K8?start=1568&amp;end=1985&amp;autoplay=1</v>
      </c>
      <c r="R133" s="39" t="s">
        <v>63</v>
      </c>
      <c r="S133" s="39" t="s">
        <v>63</v>
      </c>
      <c r="T133" s="39" t="s">
        <v>63</v>
      </c>
      <c r="U133" s="40"/>
      <c r="V133" s="54"/>
      <c r="W133" s="69" t="s">
        <v>64</v>
      </c>
      <c r="X133" s="56"/>
      <c r="Y133" s="38"/>
      <c r="Z133" s="38"/>
      <c r="AH133" s="88"/>
      <c r="AI133" s="88"/>
    </row>
    <row r="134" spans="1:35">
      <c r="A134" s="42">
        <v>609.07000000000005</v>
      </c>
      <c r="B134" s="39" t="s">
        <v>54</v>
      </c>
      <c r="C134" s="40"/>
      <c r="D134" s="42" t="s">
        <v>56</v>
      </c>
      <c r="E134" s="38"/>
      <c r="F134" s="43"/>
      <c r="G134" s="63" t="s">
        <v>662</v>
      </c>
      <c r="H134" s="45"/>
      <c r="I134" s="38"/>
      <c r="J134" s="38"/>
      <c r="K134" s="46"/>
      <c r="L134" s="47"/>
      <c r="M134" s="64">
        <v>2.298611111111111E-2</v>
      </c>
      <c r="N134" s="64">
        <v>2.5104166666666667E-2</v>
      </c>
      <c r="O134" s="46">
        <f t="shared" si="6"/>
        <v>2.1180555555555571E-3</v>
      </c>
      <c r="P134" s="65">
        <v>43058</v>
      </c>
      <c r="Q134" s="59" t="str">
        <f t="shared" ca="1" si="0"/>
        <v>https://www.youtube.com/embed/4W3kmjNG_K8?start=1986&amp;end=2169&amp;autoplay=1</v>
      </c>
      <c r="R134" s="39" t="s">
        <v>63</v>
      </c>
      <c r="S134" s="39" t="s">
        <v>63</v>
      </c>
      <c r="T134" s="39" t="s">
        <v>63</v>
      </c>
      <c r="U134" s="40"/>
      <c r="V134" s="54"/>
      <c r="W134" s="69" t="s">
        <v>64</v>
      </c>
      <c r="X134" s="56"/>
      <c r="Y134" s="38"/>
      <c r="Z134" s="38"/>
      <c r="AH134" s="88"/>
      <c r="AI134" s="88"/>
    </row>
    <row r="135" spans="1:35">
      <c r="A135" s="42">
        <v>609.08000000000004</v>
      </c>
      <c r="B135" s="39" t="s">
        <v>54</v>
      </c>
      <c r="C135" s="40"/>
      <c r="D135" s="42" t="s">
        <v>56</v>
      </c>
      <c r="E135" s="38"/>
      <c r="F135" s="43"/>
      <c r="G135" s="63" t="s">
        <v>665</v>
      </c>
      <c r="H135" s="45"/>
      <c r="I135" s="38"/>
      <c r="J135" s="38"/>
      <c r="K135" s="46"/>
      <c r="L135" s="47"/>
      <c r="M135" s="64">
        <v>2.5115740740740741E-2</v>
      </c>
      <c r="N135" s="64">
        <v>2.8726851851851851E-2</v>
      </c>
      <c r="O135" s="46">
        <f t="shared" si="6"/>
        <v>3.6111111111111101E-3</v>
      </c>
      <c r="P135" s="65">
        <v>43058</v>
      </c>
      <c r="Q135" s="59" t="str">
        <f t="shared" ca="1" si="0"/>
        <v>https://www.youtube.com/embed/4W3kmjNG_K8?start=2170&amp;end=2482&amp;autoplay=1</v>
      </c>
      <c r="R135" s="39" t="s">
        <v>63</v>
      </c>
      <c r="S135" s="39" t="s">
        <v>63</v>
      </c>
      <c r="T135" s="39" t="s">
        <v>63</v>
      </c>
      <c r="U135" s="40"/>
      <c r="V135" s="54"/>
      <c r="W135" s="69" t="s">
        <v>64</v>
      </c>
      <c r="X135" s="56"/>
      <c r="Y135" s="38"/>
      <c r="Z135" s="38"/>
      <c r="AH135" s="88"/>
      <c r="AI135" s="88"/>
    </row>
    <row r="136" spans="1:35">
      <c r="A136" s="42">
        <v>609.09</v>
      </c>
      <c r="B136" s="39" t="s">
        <v>54</v>
      </c>
      <c r="C136" s="40"/>
      <c r="D136" s="42" t="s">
        <v>56</v>
      </c>
      <c r="E136" s="38"/>
      <c r="F136" s="43"/>
      <c r="G136" s="63" t="s">
        <v>668</v>
      </c>
      <c r="H136" s="45"/>
      <c r="I136" s="38"/>
      <c r="J136" s="38"/>
      <c r="K136" s="46"/>
      <c r="L136" s="47"/>
      <c r="M136" s="64">
        <v>2.8738425925925924E-2</v>
      </c>
      <c r="N136" s="64">
        <v>3.138888888888889E-2</v>
      </c>
      <c r="O136" s="46">
        <f t="shared" si="6"/>
        <v>2.6504629629629656E-3</v>
      </c>
      <c r="P136" s="65">
        <v>43058</v>
      </c>
      <c r="Q136" s="59" t="str">
        <f t="shared" ca="1" si="0"/>
        <v>https://www.youtube.com/embed/4W3kmjNG_K8?start=2483&amp;end=2712&amp;autoplay=1</v>
      </c>
      <c r="R136" s="39" t="s">
        <v>63</v>
      </c>
      <c r="S136" s="39" t="s">
        <v>63</v>
      </c>
      <c r="T136" s="39" t="s">
        <v>63</v>
      </c>
      <c r="U136" s="40"/>
      <c r="V136" s="54"/>
      <c r="W136" s="69" t="s">
        <v>64</v>
      </c>
      <c r="X136" s="56"/>
      <c r="Y136" s="38"/>
      <c r="Z136" s="38"/>
      <c r="AH136" s="88"/>
      <c r="AI136" s="88"/>
    </row>
    <row r="137" spans="1:35">
      <c r="A137" s="85">
        <v>609.1</v>
      </c>
      <c r="B137" s="39" t="s">
        <v>54</v>
      </c>
      <c r="C137" s="40"/>
      <c r="D137" s="42" t="s">
        <v>56</v>
      </c>
      <c r="E137" s="38"/>
      <c r="F137" s="43"/>
      <c r="G137" s="63" t="s">
        <v>669</v>
      </c>
      <c r="H137" s="45"/>
      <c r="I137" s="38"/>
      <c r="J137" s="38"/>
      <c r="K137" s="46"/>
      <c r="L137" s="128"/>
      <c r="M137" s="64">
        <v>3.1400462962962963E-2</v>
      </c>
      <c r="N137" s="64">
        <v>3.5312499999999997E-2</v>
      </c>
      <c r="O137" s="46">
        <f t="shared" ref="O137:O138" si="7">N138-M136</f>
        <v>9.571759259259259E-3</v>
      </c>
      <c r="P137" s="65">
        <v>43058</v>
      </c>
      <c r="Q137" s="59" t="str">
        <f t="shared" ca="1" si="0"/>
        <v>https://www.youtube.com/embed/4W3kmjNG_K8?start=2713&amp;end=3051&amp;autoplay=1</v>
      </c>
      <c r="R137" s="39" t="s">
        <v>63</v>
      </c>
      <c r="S137" s="39" t="s">
        <v>63</v>
      </c>
      <c r="T137" s="39" t="s">
        <v>63</v>
      </c>
      <c r="U137" s="40"/>
      <c r="V137" s="54"/>
      <c r="W137" s="69" t="s">
        <v>64</v>
      </c>
      <c r="X137" s="56"/>
      <c r="Y137" s="38"/>
      <c r="Z137" s="38"/>
      <c r="AH137" s="88"/>
      <c r="AI137" s="88"/>
    </row>
    <row r="138" spans="1:35">
      <c r="A138" s="85">
        <v>609.11</v>
      </c>
      <c r="B138" s="39" t="s">
        <v>54</v>
      </c>
      <c r="C138" s="40"/>
      <c r="D138" s="42" t="s">
        <v>56</v>
      </c>
      <c r="E138" s="38"/>
      <c r="F138" s="43"/>
      <c r="G138" s="63" t="s">
        <v>673</v>
      </c>
      <c r="H138" s="45"/>
      <c r="I138" s="38"/>
      <c r="J138" s="38"/>
      <c r="K138" s="46"/>
      <c r="L138" s="47"/>
      <c r="M138" s="64">
        <v>3.5324074074074077E-2</v>
      </c>
      <c r="N138" s="64">
        <v>3.8310185185185183E-2</v>
      </c>
      <c r="O138" s="48">
        <f t="shared" si="7"/>
        <v>-3.1400462962962963E-2</v>
      </c>
      <c r="P138" s="65">
        <v>43058</v>
      </c>
      <c r="Q138" s="59" t="str">
        <f t="shared" ca="1" si="0"/>
        <v>https://www.youtube.com/embed/4W3kmjNG_K8?start=3052&amp;end=3310&amp;autoplay=1</v>
      </c>
      <c r="R138" s="39" t="s">
        <v>63</v>
      </c>
      <c r="S138" s="39" t="s">
        <v>63</v>
      </c>
      <c r="T138" s="39" t="s">
        <v>63</v>
      </c>
      <c r="U138" s="40"/>
      <c r="V138" s="54"/>
      <c r="W138" s="69" t="s">
        <v>64</v>
      </c>
      <c r="X138" s="56"/>
      <c r="Y138" s="38"/>
      <c r="Z138" s="38"/>
      <c r="AH138" s="88"/>
      <c r="AI138" s="88"/>
    </row>
    <row r="139" spans="1:35">
      <c r="A139" s="38">
        <v>615</v>
      </c>
      <c r="B139" s="39" t="s">
        <v>54</v>
      </c>
      <c r="C139" s="40"/>
      <c r="D139" s="42" t="s">
        <v>56</v>
      </c>
      <c r="E139" s="38" t="s">
        <v>675</v>
      </c>
      <c r="F139" s="43" t="s">
        <v>676</v>
      </c>
      <c r="G139" s="44"/>
      <c r="H139" s="45"/>
      <c r="I139" s="38"/>
      <c r="J139" s="38">
        <f>4.3*1000</f>
        <v>4300</v>
      </c>
      <c r="K139" s="46">
        <v>5.004629629629629E-2</v>
      </c>
      <c r="L139" s="47" t="s">
        <v>645</v>
      </c>
      <c r="M139" s="48"/>
      <c r="N139" s="48"/>
      <c r="O139" s="48">
        <f t="shared" ref="O139:O160" si="8">N139-M139</f>
        <v>0</v>
      </c>
      <c r="P139" s="65">
        <v>43055</v>
      </c>
      <c r="Q139" s="14" t="str">
        <f t="shared" ca="1" si="0"/>
        <v/>
      </c>
      <c r="R139" s="67" t="s">
        <v>63</v>
      </c>
      <c r="S139" s="112" t="s">
        <v>131</v>
      </c>
      <c r="T139" s="112" t="s">
        <v>63</v>
      </c>
      <c r="U139" s="52"/>
      <c r="V139" s="53"/>
      <c r="W139" s="57" t="s">
        <v>64</v>
      </c>
      <c r="X139" s="56"/>
      <c r="Y139" s="88"/>
      <c r="Z139" s="88"/>
      <c r="AA139" s="88"/>
      <c r="AB139" s="88"/>
      <c r="AH139" s="88"/>
      <c r="AI139" s="88"/>
    </row>
    <row r="140" spans="1:35">
      <c r="A140" s="42">
        <v>615.01</v>
      </c>
      <c r="B140" s="39" t="s">
        <v>54</v>
      </c>
      <c r="C140" s="40"/>
      <c r="D140" s="85" t="s">
        <v>56</v>
      </c>
      <c r="E140" s="38"/>
      <c r="F140" s="43"/>
      <c r="G140" s="63" t="s">
        <v>681</v>
      </c>
      <c r="H140" s="45"/>
      <c r="I140" s="38"/>
      <c r="J140" s="38"/>
      <c r="K140" s="46"/>
      <c r="L140" s="47"/>
      <c r="M140" s="64">
        <v>5.208333333333333E-3</v>
      </c>
      <c r="N140" s="64">
        <v>7.2453703703703708E-3</v>
      </c>
      <c r="O140" s="46">
        <f t="shared" si="8"/>
        <v>2.0370370370370377E-3</v>
      </c>
      <c r="P140" s="65">
        <v>43055</v>
      </c>
      <c r="Q140" s="59" t="str">
        <f t="shared" ca="1" si="0"/>
        <v>https://www.youtube.com/embed/XWeFa6jUiPw?start=450&amp;end=626&amp;autoplay=1</v>
      </c>
      <c r="R140" s="67" t="s">
        <v>63</v>
      </c>
      <c r="S140" s="112" t="s">
        <v>131</v>
      </c>
      <c r="T140" s="112" t="s">
        <v>63</v>
      </c>
      <c r="U140" s="52"/>
      <c r="V140" s="53"/>
      <c r="W140" s="57" t="s">
        <v>64</v>
      </c>
      <c r="X140" s="56"/>
      <c r="Y140" s="38"/>
      <c r="Z140" s="38"/>
      <c r="AH140" s="88"/>
      <c r="AI140" s="88"/>
    </row>
    <row r="141" spans="1:35">
      <c r="A141" s="42">
        <v>615.02</v>
      </c>
      <c r="B141" s="39" t="s">
        <v>54</v>
      </c>
      <c r="C141" s="40"/>
      <c r="D141" s="85" t="s">
        <v>56</v>
      </c>
      <c r="E141" s="38"/>
      <c r="F141" s="43"/>
      <c r="G141" s="63" t="s">
        <v>682</v>
      </c>
      <c r="H141" s="45"/>
      <c r="I141" s="38"/>
      <c r="J141" s="38"/>
      <c r="K141" s="46"/>
      <c r="L141" s="47"/>
      <c r="M141" s="64">
        <v>8.1944444444444452E-3</v>
      </c>
      <c r="N141" s="64">
        <v>1.3159722222222222E-2</v>
      </c>
      <c r="O141" s="46">
        <f t="shared" si="8"/>
        <v>4.9652777777777768E-3</v>
      </c>
      <c r="P141" s="65">
        <v>43055</v>
      </c>
      <c r="Q141" s="59" t="str">
        <f t="shared" ca="1" si="0"/>
        <v>https://www.youtube.com/embed/XWeFa6jUiPw?start=708&amp;end=1137&amp;autoplay=1</v>
      </c>
      <c r="R141" s="67" t="s">
        <v>63</v>
      </c>
      <c r="S141" s="112" t="s">
        <v>131</v>
      </c>
      <c r="T141" s="112" t="s">
        <v>63</v>
      </c>
      <c r="U141" s="52"/>
      <c r="V141" s="53"/>
      <c r="W141" s="57" t="s">
        <v>64</v>
      </c>
      <c r="X141" s="56"/>
      <c r="Y141" s="38"/>
      <c r="Z141" s="38"/>
      <c r="AH141" s="88"/>
      <c r="AI141" s="88"/>
    </row>
    <row r="142" spans="1:35">
      <c r="A142" s="42">
        <v>615.03</v>
      </c>
      <c r="B142" s="39" t="s">
        <v>54</v>
      </c>
      <c r="C142" s="40"/>
      <c r="D142" s="85" t="s">
        <v>56</v>
      </c>
      <c r="E142" s="38"/>
      <c r="F142" s="43"/>
      <c r="G142" s="63" t="s">
        <v>685</v>
      </c>
      <c r="H142" s="45"/>
      <c r="I142" s="38"/>
      <c r="J142" s="38"/>
      <c r="K142" s="46"/>
      <c r="L142" s="47"/>
      <c r="M142" s="64">
        <v>1.3159722222222222E-2</v>
      </c>
      <c r="N142" s="64">
        <v>1.6493055555555556E-2</v>
      </c>
      <c r="O142" s="46">
        <f t="shared" si="8"/>
        <v>3.333333333333334E-3</v>
      </c>
      <c r="P142" s="65">
        <v>43055</v>
      </c>
      <c r="Q142" s="59" t="str">
        <f t="shared" ca="1" si="0"/>
        <v>https://www.youtube.com/embed/XWeFa6jUiPw?start=1137&amp;end=1425&amp;autoplay=1</v>
      </c>
      <c r="R142" s="67" t="s">
        <v>63</v>
      </c>
      <c r="S142" s="112" t="s">
        <v>131</v>
      </c>
      <c r="T142" s="112" t="s">
        <v>63</v>
      </c>
      <c r="U142" s="52"/>
      <c r="V142" s="53"/>
      <c r="W142" s="57" t="s">
        <v>64</v>
      </c>
      <c r="X142" s="56"/>
      <c r="Y142" s="38"/>
      <c r="Z142" s="38"/>
      <c r="AH142" s="88"/>
      <c r="AI142" s="88"/>
    </row>
    <row r="143" spans="1:35">
      <c r="A143" s="42">
        <v>615.04</v>
      </c>
      <c r="B143" s="39" t="s">
        <v>54</v>
      </c>
      <c r="C143" s="40"/>
      <c r="D143" s="85" t="s">
        <v>56</v>
      </c>
      <c r="E143" s="38"/>
      <c r="F143" s="43"/>
      <c r="G143" s="63" t="s">
        <v>688</v>
      </c>
      <c r="H143" s="45"/>
      <c r="I143" s="38"/>
      <c r="J143" s="38"/>
      <c r="K143" s="46"/>
      <c r="L143" s="47"/>
      <c r="M143" s="64">
        <v>1.6516203703703703E-2</v>
      </c>
      <c r="N143" s="64">
        <v>2.1041666666666667E-2</v>
      </c>
      <c r="O143" s="46">
        <f t="shared" si="8"/>
        <v>4.5254629629629638E-3</v>
      </c>
      <c r="P143" s="65">
        <v>43055</v>
      </c>
      <c r="Q143" s="59" t="str">
        <f t="shared" ca="1" si="0"/>
        <v>https://www.youtube.com/embed/XWeFa6jUiPw?start=1427&amp;end=1818&amp;autoplay=1</v>
      </c>
      <c r="R143" s="67" t="s">
        <v>63</v>
      </c>
      <c r="S143" s="112" t="s">
        <v>131</v>
      </c>
      <c r="T143" s="112" t="s">
        <v>63</v>
      </c>
      <c r="U143" s="52"/>
      <c r="V143" s="53"/>
      <c r="W143" s="57" t="s">
        <v>64</v>
      </c>
      <c r="X143" s="56"/>
      <c r="Y143" s="38"/>
      <c r="Z143" s="38"/>
      <c r="AH143" s="88"/>
      <c r="AI143" s="88"/>
    </row>
    <row r="144" spans="1:35">
      <c r="A144" s="42">
        <v>615.04999999999995</v>
      </c>
      <c r="B144" s="39" t="s">
        <v>54</v>
      </c>
      <c r="C144" s="40"/>
      <c r="D144" s="85" t="s">
        <v>56</v>
      </c>
      <c r="E144" s="38"/>
      <c r="F144" s="43"/>
      <c r="G144" s="63" t="s">
        <v>691</v>
      </c>
      <c r="H144" s="45"/>
      <c r="I144" s="38"/>
      <c r="J144" s="38"/>
      <c r="K144" s="46"/>
      <c r="L144" s="47"/>
      <c r="M144" s="64">
        <v>2.105324074074074E-2</v>
      </c>
      <c r="N144" s="64">
        <v>2.630787037037037E-2</v>
      </c>
      <c r="O144" s="46">
        <f t="shared" si="8"/>
        <v>5.2546296296296299E-3</v>
      </c>
      <c r="P144" s="65">
        <v>43055</v>
      </c>
      <c r="Q144" s="59" t="str">
        <f t="shared" ca="1" si="0"/>
        <v>https://www.youtube.com/embed/XWeFa6jUiPw?start=1819&amp;end=2273&amp;autoplay=1</v>
      </c>
      <c r="R144" s="67" t="s">
        <v>63</v>
      </c>
      <c r="S144" s="112" t="s">
        <v>131</v>
      </c>
      <c r="T144" s="112" t="s">
        <v>63</v>
      </c>
      <c r="U144" s="52"/>
      <c r="V144" s="53"/>
      <c r="W144" s="57" t="s">
        <v>64</v>
      </c>
      <c r="X144" s="56"/>
      <c r="Y144" s="38"/>
      <c r="Z144" s="38"/>
      <c r="AH144" s="88"/>
      <c r="AI144" s="88"/>
    </row>
    <row r="145" spans="1:35">
      <c r="A145" s="42">
        <v>615.05999999999995</v>
      </c>
      <c r="B145" s="39" t="s">
        <v>54</v>
      </c>
      <c r="C145" s="40"/>
      <c r="D145" s="85" t="s">
        <v>56</v>
      </c>
      <c r="E145" s="38"/>
      <c r="F145" s="43"/>
      <c r="G145" s="63" t="s">
        <v>693</v>
      </c>
      <c r="H145" s="45"/>
      <c r="I145" s="38"/>
      <c r="J145" s="38"/>
      <c r="K145" s="46"/>
      <c r="L145" s="47"/>
      <c r="M145" s="64">
        <v>2.6319444444444444E-2</v>
      </c>
      <c r="N145" s="64">
        <v>3.0347222222222223E-2</v>
      </c>
      <c r="O145" s="46">
        <f t="shared" si="8"/>
        <v>4.0277777777777794E-3</v>
      </c>
      <c r="P145" s="65">
        <v>43055</v>
      </c>
      <c r="Q145" s="59" t="str">
        <f t="shared" ca="1" si="0"/>
        <v>https://www.youtube.com/embed/XWeFa6jUiPw?start=2274&amp;end=2622&amp;autoplay=1</v>
      </c>
      <c r="R145" s="67" t="s">
        <v>63</v>
      </c>
      <c r="S145" s="112" t="s">
        <v>131</v>
      </c>
      <c r="T145" s="112" t="s">
        <v>63</v>
      </c>
      <c r="U145" s="52"/>
      <c r="V145" s="53"/>
      <c r="W145" s="57" t="s">
        <v>64</v>
      </c>
      <c r="X145" s="56"/>
      <c r="Y145" s="38"/>
      <c r="Z145" s="38"/>
      <c r="AH145" s="88"/>
      <c r="AI145" s="88"/>
    </row>
    <row r="146" spans="1:35">
      <c r="A146" s="42">
        <v>615.07000000000005</v>
      </c>
      <c r="B146" s="39" t="s">
        <v>54</v>
      </c>
      <c r="C146" s="40"/>
      <c r="D146" s="85" t="s">
        <v>56</v>
      </c>
      <c r="E146" s="38"/>
      <c r="F146" s="43"/>
      <c r="G146" s="63" t="s">
        <v>695</v>
      </c>
      <c r="H146" s="45"/>
      <c r="I146" s="38"/>
      <c r="J146" s="38"/>
      <c r="K146" s="46"/>
      <c r="L146" s="47"/>
      <c r="M146" s="64">
        <v>3.0208333333333334E-2</v>
      </c>
      <c r="N146" s="64">
        <v>3.4004629629629628E-2</v>
      </c>
      <c r="O146" s="46">
        <f t="shared" si="8"/>
        <v>3.7962962962962941E-3</v>
      </c>
      <c r="P146" s="65">
        <v>43055</v>
      </c>
      <c r="Q146" s="59" t="str">
        <f t="shared" ca="1" si="0"/>
        <v>https://www.youtube.com/embed/XWeFa6jUiPw?start=2610&amp;end=2938&amp;autoplay=1</v>
      </c>
      <c r="R146" s="67" t="s">
        <v>63</v>
      </c>
      <c r="S146" s="112" t="s">
        <v>131</v>
      </c>
      <c r="T146" s="112" t="s">
        <v>63</v>
      </c>
      <c r="U146" s="52"/>
      <c r="V146" s="53"/>
      <c r="W146" s="57" t="s">
        <v>64</v>
      </c>
      <c r="X146" s="56"/>
      <c r="Y146" s="38"/>
      <c r="Z146" s="38"/>
      <c r="AH146" s="88"/>
      <c r="AI146" s="88"/>
    </row>
    <row r="147" spans="1:35">
      <c r="A147" s="42">
        <v>615.08000000000004</v>
      </c>
      <c r="B147" s="39" t="s">
        <v>54</v>
      </c>
      <c r="C147" s="40"/>
      <c r="D147" s="85" t="s">
        <v>56</v>
      </c>
      <c r="E147" s="38"/>
      <c r="F147" s="43"/>
      <c r="G147" s="63" t="s">
        <v>698</v>
      </c>
      <c r="H147" s="45"/>
      <c r="I147" s="38"/>
      <c r="J147" s="38"/>
      <c r="K147" s="46"/>
      <c r="L147" s="47"/>
      <c r="M147" s="64">
        <v>3.4050925925925929E-2</v>
      </c>
      <c r="N147" s="64">
        <v>3.6689814814814814E-2</v>
      </c>
      <c r="O147" s="46">
        <f t="shared" si="8"/>
        <v>2.6388888888888851E-3</v>
      </c>
      <c r="P147" s="65">
        <v>43055</v>
      </c>
      <c r="Q147" s="59" t="str">
        <f t="shared" ca="1" si="0"/>
        <v>https://www.youtube.com/embed/XWeFa6jUiPw?start=2942&amp;end=3170&amp;autoplay=1</v>
      </c>
      <c r="R147" s="67" t="s">
        <v>63</v>
      </c>
      <c r="S147" s="112" t="s">
        <v>131</v>
      </c>
      <c r="T147" s="112" t="s">
        <v>63</v>
      </c>
      <c r="U147" s="52"/>
      <c r="V147" s="53"/>
      <c r="W147" s="57" t="s">
        <v>64</v>
      </c>
      <c r="X147" s="56"/>
      <c r="Y147" s="38"/>
      <c r="Z147" s="38"/>
      <c r="AH147" s="88"/>
      <c r="AI147" s="88"/>
    </row>
    <row r="148" spans="1:35">
      <c r="A148" s="42">
        <v>615.09</v>
      </c>
      <c r="B148" s="39" t="s">
        <v>54</v>
      </c>
      <c r="C148" s="40"/>
      <c r="D148" s="85" t="s">
        <v>56</v>
      </c>
      <c r="E148" s="38"/>
      <c r="F148" s="43"/>
      <c r="G148" s="63" t="s">
        <v>701</v>
      </c>
      <c r="H148" s="45"/>
      <c r="I148" s="38"/>
      <c r="J148" s="38"/>
      <c r="K148" s="46"/>
      <c r="L148" s="47"/>
      <c r="M148" s="64">
        <v>3.6712962962962961E-2</v>
      </c>
      <c r="N148" s="64">
        <v>4.0312500000000001E-2</v>
      </c>
      <c r="O148" s="46">
        <f t="shared" si="8"/>
        <v>3.59953703703704E-3</v>
      </c>
      <c r="P148" s="65">
        <v>43057</v>
      </c>
      <c r="Q148" s="59" t="str">
        <f t="shared" ca="1" si="0"/>
        <v>https://www.youtube.com/embed/XWeFa6jUiPw?start=3172&amp;end=3483&amp;autoplay=1</v>
      </c>
      <c r="R148" s="67" t="s">
        <v>63</v>
      </c>
      <c r="S148" s="112" t="s">
        <v>131</v>
      </c>
      <c r="T148" s="112" t="s">
        <v>63</v>
      </c>
      <c r="U148" s="52"/>
      <c r="V148" s="53"/>
      <c r="W148" s="57" t="s">
        <v>64</v>
      </c>
      <c r="X148" s="56"/>
      <c r="Y148" s="38"/>
      <c r="Z148" s="38"/>
      <c r="AH148" s="88"/>
      <c r="AI148" s="88"/>
    </row>
    <row r="149" spans="1:35">
      <c r="A149" s="85">
        <v>615.1</v>
      </c>
      <c r="B149" s="39" t="s">
        <v>54</v>
      </c>
      <c r="C149" s="40"/>
      <c r="D149" s="85" t="s">
        <v>56</v>
      </c>
      <c r="E149" s="38"/>
      <c r="F149" s="43"/>
      <c r="G149" s="63" t="s">
        <v>702</v>
      </c>
      <c r="H149" s="45"/>
      <c r="I149" s="38"/>
      <c r="J149" s="38"/>
      <c r="K149" s="46"/>
      <c r="L149" s="47"/>
      <c r="M149" s="64">
        <v>4.0358796296296295E-2</v>
      </c>
      <c r="N149" s="64">
        <v>4.5115740740740741E-2</v>
      </c>
      <c r="O149" s="46">
        <f t="shared" si="8"/>
        <v>4.7569444444444456E-3</v>
      </c>
      <c r="P149" s="65">
        <v>43057</v>
      </c>
      <c r="Q149" s="59" t="str">
        <f t="shared" ca="1" si="0"/>
        <v>https://www.youtube.com/embed/XWeFa6jUiPw?start=3487&amp;end=3898&amp;autoplay=1</v>
      </c>
      <c r="R149" s="67" t="s">
        <v>63</v>
      </c>
      <c r="S149" s="112" t="s">
        <v>131</v>
      </c>
      <c r="T149" s="112" t="s">
        <v>63</v>
      </c>
      <c r="U149" s="52"/>
      <c r="V149" s="53"/>
      <c r="W149" s="57" t="s">
        <v>64</v>
      </c>
      <c r="X149" s="56"/>
      <c r="Y149" s="38"/>
      <c r="Z149" s="38"/>
      <c r="AH149" s="88"/>
      <c r="AI149" s="88"/>
    </row>
    <row r="150" spans="1:35">
      <c r="A150" s="42">
        <v>615.11</v>
      </c>
      <c r="B150" s="39" t="s">
        <v>54</v>
      </c>
      <c r="C150" s="40"/>
      <c r="D150" s="85" t="s">
        <v>56</v>
      </c>
      <c r="E150" s="38"/>
      <c r="F150" s="43"/>
      <c r="G150" s="63" t="s">
        <v>705</v>
      </c>
      <c r="H150" s="45"/>
      <c r="I150" s="38"/>
      <c r="J150" s="38"/>
      <c r="K150" s="46"/>
      <c r="L150" s="47"/>
      <c r="M150" s="64">
        <v>4.5127314814814815E-2</v>
      </c>
      <c r="N150" s="64">
        <v>0.05</v>
      </c>
      <c r="O150" s="46">
        <f t="shared" si="8"/>
        <v>4.8726851851851882E-3</v>
      </c>
      <c r="P150" s="65">
        <v>43057</v>
      </c>
      <c r="Q150" s="59" t="str">
        <f t="shared" ca="1" si="0"/>
        <v>https://www.youtube.com/embed/XWeFa6jUiPw?start=3899&amp;end=4320&amp;autoplay=1</v>
      </c>
      <c r="R150" s="67" t="s">
        <v>63</v>
      </c>
      <c r="S150" s="112" t="s">
        <v>131</v>
      </c>
      <c r="T150" s="112" t="s">
        <v>63</v>
      </c>
      <c r="U150" s="52"/>
      <c r="V150" s="53"/>
      <c r="W150" s="57" t="s">
        <v>64</v>
      </c>
      <c r="X150" s="56"/>
      <c r="Y150" s="38"/>
      <c r="Z150" s="38"/>
      <c r="AH150" s="88"/>
      <c r="AI150" s="88"/>
    </row>
    <row r="151" spans="1:35" ht="16.5" customHeight="1">
      <c r="A151" s="38">
        <v>754</v>
      </c>
      <c r="B151" s="39" t="s">
        <v>54</v>
      </c>
      <c r="C151" s="40"/>
      <c r="D151" s="85" t="s">
        <v>56</v>
      </c>
      <c r="E151" s="38" t="s">
        <v>708</v>
      </c>
      <c r="F151" s="43" t="s">
        <v>709</v>
      </c>
      <c r="G151" s="44"/>
      <c r="H151" s="45"/>
      <c r="I151" s="38"/>
      <c r="J151" s="38">
        <f>22*1000</f>
        <v>22000</v>
      </c>
      <c r="K151" s="46">
        <v>5.1331018518518519E-2</v>
      </c>
      <c r="L151" s="47" t="s">
        <v>711</v>
      </c>
      <c r="M151" s="48"/>
      <c r="N151" s="48"/>
      <c r="O151" s="48">
        <f t="shared" si="8"/>
        <v>0</v>
      </c>
      <c r="P151" s="65">
        <v>43059</v>
      </c>
      <c r="Q151" s="14" t="str">
        <f t="shared" ca="1" si="0"/>
        <v/>
      </c>
      <c r="R151" s="51"/>
      <c r="S151" s="51"/>
      <c r="T151" s="51"/>
      <c r="U151" s="40"/>
      <c r="V151" s="54"/>
      <c r="W151" s="55"/>
      <c r="X151" s="56"/>
      <c r="Y151" s="88"/>
      <c r="Z151" s="88"/>
      <c r="AA151" s="88"/>
      <c r="AB151" s="88"/>
      <c r="AH151" s="88"/>
      <c r="AI151" s="88"/>
    </row>
    <row r="152" spans="1:35">
      <c r="A152" s="42">
        <v>754.01</v>
      </c>
      <c r="B152" s="39" t="s">
        <v>54</v>
      </c>
      <c r="C152" s="40"/>
      <c r="D152" s="85" t="s">
        <v>56</v>
      </c>
      <c r="E152" s="38"/>
      <c r="F152" s="43"/>
      <c r="G152" s="63" t="s">
        <v>713</v>
      </c>
      <c r="H152" s="45"/>
      <c r="I152" s="38"/>
      <c r="J152" s="38"/>
      <c r="K152" s="46"/>
      <c r="L152" s="47"/>
      <c r="M152" s="64">
        <v>1.1574074074074073E-3</v>
      </c>
      <c r="N152" s="64">
        <v>3.449074074074074E-3</v>
      </c>
      <c r="O152" s="46">
        <f t="shared" si="8"/>
        <v>2.2916666666666667E-3</v>
      </c>
      <c r="P152" s="65">
        <v>43059</v>
      </c>
      <c r="Q152" s="59" t="str">
        <f t="shared" ca="1" si="0"/>
        <v>https://www.youtube.com/embed/JB_lc00AWIE?start=100&amp;end=298&amp;autoplay=1</v>
      </c>
      <c r="R152" s="67" t="s">
        <v>63</v>
      </c>
      <c r="S152" s="112" t="s">
        <v>63</v>
      </c>
      <c r="T152" s="112" t="s">
        <v>63</v>
      </c>
      <c r="U152" s="52"/>
      <c r="V152" s="53"/>
      <c r="W152" s="57" t="s">
        <v>64</v>
      </c>
      <c r="X152" s="56"/>
      <c r="Y152" s="38"/>
      <c r="Z152" s="38"/>
      <c r="AH152" s="88"/>
      <c r="AI152" s="88"/>
    </row>
    <row r="153" spans="1:35">
      <c r="A153" s="42">
        <v>754.02</v>
      </c>
      <c r="B153" s="39" t="s">
        <v>54</v>
      </c>
      <c r="C153" s="40"/>
      <c r="D153" s="85" t="s">
        <v>56</v>
      </c>
      <c r="E153" s="38"/>
      <c r="F153" s="43"/>
      <c r="G153" s="63" t="s">
        <v>716</v>
      </c>
      <c r="H153" s="45"/>
      <c r="I153" s="38"/>
      <c r="J153" s="38"/>
      <c r="K153" s="46"/>
      <c r="L153" s="47"/>
      <c r="M153" s="64">
        <v>3.460648148148148E-3</v>
      </c>
      <c r="N153" s="64">
        <v>8.3333333333333332E-3</v>
      </c>
      <c r="O153" s="46">
        <f t="shared" si="8"/>
        <v>4.8726851851851848E-3</v>
      </c>
      <c r="P153" s="65">
        <v>43059</v>
      </c>
      <c r="Q153" s="59" t="str">
        <f t="shared" ca="1" si="0"/>
        <v>https://www.youtube.com/embed/JB_lc00AWIE?start=299&amp;end=720&amp;autoplay=1</v>
      </c>
      <c r="R153" s="67" t="s">
        <v>63</v>
      </c>
      <c r="S153" s="112" t="s">
        <v>63</v>
      </c>
      <c r="T153" s="112" t="s">
        <v>63</v>
      </c>
      <c r="U153" s="52"/>
      <c r="V153" s="53"/>
      <c r="W153" s="57" t="s">
        <v>64</v>
      </c>
      <c r="X153" s="56"/>
      <c r="Y153" s="38"/>
      <c r="Z153" s="38"/>
      <c r="AH153" s="88"/>
      <c r="AI153" s="88"/>
    </row>
    <row r="154" spans="1:35">
      <c r="A154" s="42">
        <v>754.03</v>
      </c>
      <c r="B154" s="39" t="s">
        <v>54</v>
      </c>
      <c r="C154" s="40"/>
      <c r="D154" s="85" t="s">
        <v>56</v>
      </c>
      <c r="E154" s="38"/>
      <c r="F154" s="43"/>
      <c r="G154" s="146" t="s">
        <v>719</v>
      </c>
      <c r="H154" s="45"/>
      <c r="I154" s="38"/>
      <c r="J154" s="38"/>
      <c r="K154" s="46"/>
      <c r="L154" s="47"/>
      <c r="M154" s="64">
        <v>8.3564814814814821E-3</v>
      </c>
      <c r="N154" s="64">
        <v>1.1087962962962963E-2</v>
      </c>
      <c r="O154" s="46">
        <f t="shared" si="8"/>
        <v>2.7314814814814806E-3</v>
      </c>
      <c r="P154" s="65">
        <v>43059</v>
      </c>
      <c r="Q154" s="59" t="str">
        <f t="shared" ca="1" si="0"/>
        <v>https://www.youtube.com/embed/JB_lc00AWIE?start=722&amp;end=958&amp;autoplay=1</v>
      </c>
      <c r="R154" s="67" t="s">
        <v>63</v>
      </c>
      <c r="S154" s="112" t="s">
        <v>63</v>
      </c>
      <c r="T154" s="112" t="s">
        <v>63</v>
      </c>
      <c r="U154" s="52"/>
      <c r="V154" s="53"/>
      <c r="W154" s="57" t="s">
        <v>64</v>
      </c>
      <c r="X154" s="56"/>
      <c r="Y154" s="38"/>
      <c r="Z154" s="38"/>
      <c r="AH154" s="88"/>
      <c r="AI154" s="88"/>
    </row>
    <row r="155" spans="1:35">
      <c r="A155" s="42">
        <v>754.04</v>
      </c>
      <c r="B155" s="39" t="s">
        <v>54</v>
      </c>
      <c r="C155" s="40"/>
      <c r="D155" s="85" t="s">
        <v>56</v>
      </c>
      <c r="E155" s="38"/>
      <c r="F155" s="43"/>
      <c r="G155" s="63" t="s">
        <v>722</v>
      </c>
      <c r="H155" s="45"/>
      <c r="I155" s="38"/>
      <c r="J155" s="38"/>
      <c r="K155" s="46"/>
      <c r="L155" s="47"/>
      <c r="M155" s="64">
        <v>1.1099537037037036E-2</v>
      </c>
      <c r="N155" s="64">
        <v>1.4131944444444445E-2</v>
      </c>
      <c r="O155" s="46">
        <f t="shared" si="8"/>
        <v>3.032407407407409E-3</v>
      </c>
      <c r="P155" s="65">
        <v>43059</v>
      </c>
      <c r="Q155" s="59" t="str">
        <f t="shared" ca="1" si="0"/>
        <v>https://www.youtube.com/embed/JB_lc00AWIE?start=959&amp;end=1221&amp;autoplay=1</v>
      </c>
      <c r="R155" s="67" t="s">
        <v>63</v>
      </c>
      <c r="S155" s="112" t="s">
        <v>63</v>
      </c>
      <c r="T155" s="112" t="s">
        <v>63</v>
      </c>
      <c r="U155" s="52"/>
      <c r="V155" s="53"/>
      <c r="W155" s="57" t="s">
        <v>64</v>
      </c>
      <c r="X155" s="56"/>
      <c r="Y155" s="38"/>
      <c r="Z155" s="38"/>
      <c r="AH155" s="88"/>
      <c r="AI155" s="88"/>
    </row>
    <row r="156" spans="1:35">
      <c r="A156" s="42">
        <v>754.05</v>
      </c>
      <c r="B156" s="39" t="s">
        <v>54</v>
      </c>
      <c r="C156" s="40"/>
      <c r="D156" s="85" t="s">
        <v>56</v>
      </c>
      <c r="E156" s="38"/>
      <c r="F156" s="43"/>
      <c r="G156" s="63" t="s">
        <v>727</v>
      </c>
      <c r="H156" s="45"/>
      <c r="I156" s="38"/>
      <c r="J156" s="38"/>
      <c r="K156" s="46"/>
      <c r="L156" s="47"/>
      <c r="M156" s="64">
        <v>1.4143518518518519E-2</v>
      </c>
      <c r="N156" s="64">
        <v>1.7291666666666667E-2</v>
      </c>
      <c r="O156" s="46">
        <f t="shared" si="8"/>
        <v>3.1481481481481482E-3</v>
      </c>
      <c r="P156" s="65">
        <v>43059</v>
      </c>
      <c r="Q156" s="59" t="str">
        <f t="shared" ca="1" si="0"/>
        <v>https://www.youtube.com/embed/JB_lc00AWIE?start=1222&amp;end=1494&amp;autoplay=1</v>
      </c>
      <c r="R156" s="67" t="s">
        <v>63</v>
      </c>
      <c r="S156" s="112" t="s">
        <v>63</v>
      </c>
      <c r="T156" s="112" t="s">
        <v>63</v>
      </c>
      <c r="U156" s="52"/>
      <c r="V156" s="53"/>
      <c r="W156" s="57" t="s">
        <v>64</v>
      </c>
      <c r="X156" s="56"/>
      <c r="Y156" s="38"/>
      <c r="Z156" s="38"/>
      <c r="AH156" s="88"/>
      <c r="AI156" s="88"/>
    </row>
    <row r="157" spans="1:35">
      <c r="A157" s="42">
        <v>754.06</v>
      </c>
      <c r="B157" s="39" t="s">
        <v>54</v>
      </c>
      <c r="C157" s="40"/>
      <c r="D157" s="85" t="s">
        <v>56</v>
      </c>
      <c r="E157" s="38"/>
      <c r="F157" s="43"/>
      <c r="G157" s="63" t="s">
        <v>729</v>
      </c>
      <c r="H157" s="45"/>
      <c r="I157" s="38"/>
      <c r="J157" s="38"/>
      <c r="K157" s="46"/>
      <c r="L157" s="47"/>
      <c r="M157" s="64">
        <v>1.7303240740740741E-2</v>
      </c>
      <c r="N157" s="64">
        <v>1.9606481481481482E-2</v>
      </c>
      <c r="O157" s="46">
        <f t="shared" si="8"/>
        <v>2.3032407407407411E-3</v>
      </c>
      <c r="P157" s="65">
        <v>43059</v>
      </c>
      <c r="Q157" s="59" t="str">
        <f t="shared" ca="1" si="0"/>
        <v>https://www.youtube.com/embed/JB_lc00AWIE?start=1495&amp;end=1694&amp;autoplay=1</v>
      </c>
      <c r="R157" s="67" t="s">
        <v>63</v>
      </c>
      <c r="S157" s="112" t="s">
        <v>63</v>
      </c>
      <c r="T157" s="112" t="s">
        <v>63</v>
      </c>
      <c r="U157" s="52"/>
      <c r="V157" s="53"/>
      <c r="W157" s="57" t="s">
        <v>64</v>
      </c>
      <c r="X157" s="56"/>
      <c r="Y157" s="38"/>
      <c r="Z157" s="38"/>
      <c r="AH157" s="88"/>
      <c r="AI157" s="88"/>
    </row>
    <row r="158" spans="1:35">
      <c r="A158" s="42">
        <v>754.07</v>
      </c>
      <c r="B158" s="39" t="s">
        <v>54</v>
      </c>
      <c r="C158" s="40"/>
      <c r="D158" s="85" t="s">
        <v>56</v>
      </c>
      <c r="E158" s="38"/>
      <c r="F158" s="43"/>
      <c r="G158" s="63" t="s">
        <v>733</v>
      </c>
      <c r="H158" s="45"/>
      <c r="I158" s="38"/>
      <c r="J158" s="38"/>
      <c r="K158" s="46"/>
      <c r="L158" s="47"/>
      <c r="M158" s="64">
        <v>1.9618055555555555E-2</v>
      </c>
      <c r="N158" s="64">
        <v>2.3333333333333334E-2</v>
      </c>
      <c r="O158" s="46">
        <f t="shared" si="8"/>
        <v>3.7152777777777792E-3</v>
      </c>
      <c r="P158" s="65">
        <v>43059</v>
      </c>
      <c r="Q158" s="59" t="str">
        <f t="shared" ca="1" si="0"/>
        <v>https://www.youtube.com/embed/JB_lc00AWIE?start=1695&amp;end=2016&amp;autoplay=1</v>
      </c>
      <c r="R158" s="67" t="s">
        <v>63</v>
      </c>
      <c r="S158" s="112" t="s">
        <v>63</v>
      </c>
      <c r="T158" s="112" t="s">
        <v>63</v>
      </c>
      <c r="U158" s="52"/>
      <c r="V158" s="53"/>
      <c r="W158" s="57" t="s">
        <v>64</v>
      </c>
      <c r="X158" s="56"/>
      <c r="Y158" s="38"/>
      <c r="Z158" s="38"/>
      <c r="AH158" s="88"/>
      <c r="AI158" s="88"/>
    </row>
    <row r="159" spans="1:35">
      <c r="A159" s="42">
        <v>754.08</v>
      </c>
      <c r="B159" s="39" t="s">
        <v>54</v>
      </c>
      <c r="C159" s="40"/>
      <c r="D159" s="85" t="s">
        <v>56</v>
      </c>
      <c r="E159" s="38"/>
      <c r="F159" s="43"/>
      <c r="G159" s="63" t="s">
        <v>738</v>
      </c>
      <c r="H159" s="45"/>
      <c r="I159" s="38"/>
      <c r="J159" s="38"/>
      <c r="K159" s="46"/>
      <c r="L159" s="47"/>
      <c r="M159" s="64">
        <v>2.3344907407407408E-2</v>
      </c>
      <c r="N159" s="64">
        <v>2.9016203703703704E-2</v>
      </c>
      <c r="O159" s="46">
        <f t="shared" si="8"/>
        <v>5.6712962962962958E-3</v>
      </c>
      <c r="P159" s="65">
        <v>43059</v>
      </c>
      <c r="Q159" s="59" t="str">
        <f t="shared" ca="1" si="0"/>
        <v>https://www.youtube.com/embed/JB_lc00AWIE?start=2017&amp;end=2507&amp;autoplay=1</v>
      </c>
      <c r="R159" s="67" t="s">
        <v>63</v>
      </c>
      <c r="S159" s="112" t="s">
        <v>63</v>
      </c>
      <c r="T159" s="112" t="s">
        <v>63</v>
      </c>
      <c r="U159" s="52"/>
      <c r="V159" s="53"/>
      <c r="W159" s="57" t="s">
        <v>64</v>
      </c>
      <c r="X159" s="56"/>
      <c r="Y159" s="38"/>
      <c r="Z159" s="38"/>
      <c r="AH159" s="88"/>
      <c r="AI159" s="88"/>
    </row>
    <row r="160" spans="1:35">
      <c r="A160" s="42">
        <v>754.09</v>
      </c>
      <c r="B160" s="39" t="s">
        <v>54</v>
      </c>
      <c r="C160" s="40"/>
      <c r="D160" s="85" t="s">
        <v>56</v>
      </c>
      <c r="E160" s="38"/>
      <c r="F160" s="43"/>
      <c r="G160" s="63" t="s">
        <v>741</v>
      </c>
      <c r="H160" s="45"/>
      <c r="I160" s="38"/>
      <c r="J160" s="38"/>
      <c r="K160" s="46"/>
      <c r="L160" s="47"/>
      <c r="M160" s="64">
        <v>2.9027777777777777E-2</v>
      </c>
      <c r="N160" s="64">
        <v>3.2407407407407406E-2</v>
      </c>
      <c r="O160" s="46">
        <f t="shared" si="8"/>
        <v>3.3796296296296283E-3</v>
      </c>
      <c r="P160" s="65">
        <v>43059</v>
      </c>
      <c r="Q160" s="59" t="str">
        <f t="shared" ca="1" si="0"/>
        <v>https://www.youtube.com/embed/JB_lc00AWIE?start=2508&amp;end=2800&amp;autoplay=1</v>
      </c>
      <c r="R160" s="67" t="s">
        <v>63</v>
      </c>
      <c r="S160" s="112" t="s">
        <v>63</v>
      </c>
      <c r="T160" s="112" t="s">
        <v>63</v>
      </c>
      <c r="U160" s="52"/>
      <c r="V160" s="53"/>
      <c r="W160" s="57" t="s">
        <v>64</v>
      </c>
      <c r="X160" s="56"/>
      <c r="Y160" s="38"/>
      <c r="Z160" s="38"/>
      <c r="AH160" s="88"/>
      <c r="AI160" s="88"/>
    </row>
    <row r="161" spans="1:35">
      <c r="A161" s="85">
        <v>754.1</v>
      </c>
      <c r="B161" s="39" t="s">
        <v>54</v>
      </c>
      <c r="C161" s="40"/>
      <c r="D161" s="85" t="s">
        <v>56</v>
      </c>
      <c r="E161" s="38"/>
      <c r="F161" s="43"/>
      <c r="G161" s="63" t="s">
        <v>745</v>
      </c>
      <c r="H161" s="45"/>
      <c r="I161" s="38"/>
      <c r="J161" s="38"/>
      <c r="K161" s="46"/>
      <c r="L161" s="47"/>
      <c r="M161" s="64">
        <v>3.2418981481481479E-2</v>
      </c>
      <c r="N161" s="64">
        <v>3.4918981481481481E-2</v>
      </c>
      <c r="O161" s="46">
        <f t="shared" ref="O161:O162" si="9">N161-M162</f>
        <v>-1.157407407407357E-5</v>
      </c>
      <c r="P161" s="65">
        <v>43059</v>
      </c>
      <c r="Q161" s="59" t="str">
        <f t="shared" ca="1" si="0"/>
        <v>https://www.youtube.com/embed/JB_lc00AWIE?start=2801&amp;end=3017&amp;autoplay=1</v>
      </c>
      <c r="R161" s="67" t="s">
        <v>63</v>
      </c>
      <c r="S161" s="112" t="s">
        <v>63</v>
      </c>
      <c r="T161" s="112" t="s">
        <v>63</v>
      </c>
      <c r="U161" s="52"/>
      <c r="V161" s="53"/>
      <c r="W161" s="57" t="s">
        <v>64</v>
      </c>
      <c r="X161" s="56"/>
      <c r="Y161" s="38"/>
      <c r="Z161" s="38"/>
      <c r="AH161" s="88"/>
      <c r="AI161" s="88"/>
    </row>
    <row r="162" spans="1:35">
      <c r="A162" s="42">
        <v>754.11</v>
      </c>
      <c r="B162" s="39" t="s">
        <v>54</v>
      </c>
      <c r="C162" s="40"/>
      <c r="D162" s="85" t="s">
        <v>56</v>
      </c>
      <c r="E162" s="38"/>
      <c r="F162" s="43"/>
      <c r="G162" s="154" t="s">
        <v>751</v>
      </c>
      <c r="H162" s="45"/>
      <c r="I162" s="38"/>
      <c r="J162" s="38"/>
      <c r="K162" s="46"/>
      <c r="L162" s="47"/>
      <c r="M162" s="64">
        <v>3.4930555555555555E-2</v>
      </c>
      <c r="N162" s="64">
        <v>3.8703703703703705E-2</v>
      </c>
      <c r="O162" s="46">
        <f t="shared" si="9"/>
        <v>-3.4722222222220711E-5</v>
      </c>
      <c r="P162" s="65">
        <v>43062</v>
      </c>
      <c r="Q162" s="59" t="str">
        <f t="shared" ca="1" si="0"/>
        <v>https://www.youtube.com/embed/JB_lc00AWIE?start=3018&amp;end=3344&amp;autoplay=1</v>
      </c>
      <c r="R162" s="67" t="s">
        <v>63</v>
      </c>
      <c r="S162" s="112" t="s">
        <v>63</v>
      </c>
      <c r="T162" s="112" t="s">
        <v>63</v>
      </c>
      <c r="U162" s="52"/>
      <c r="V162" s="53"/>
      <c r="W162" s="57" t="s">
        <v>64</v>
      </c>
      <c r="X162" s="56"/>
      <c r="Y162" s="38"/>
      <c r="Z162" s="38"/>
      <c r="AH162" s="88"/>
      <c r="AI162" s="88"/>
    </row>
    <row r="163" spans="1:35">
      <c r="A163" s="42">
        <v>754.12</v>
      </c>
      <c r="B163" s="39" t="s">
        <v>54</v>
      </c>
      <c r="C163" s="40"/>
      <c r="D163" s="85" t="s">
        <v>56</v>
      </c>
      <c r="E163" s="38"/>
      <c r="F163" s="43"/>
      <c r="G163" s="154" t="s">
        <v>757</v>
      </c>
      <c r="H163" s="45"/>
      <c r="I163" s="38"/>
      <c r="J163" s="38"/>
      <c r="K163" s="46"/>
      <c r="L163" s="47"/>
      <c r="M163" s="64">
        <v>3.8738425925925926E-2</v>
      </c>
      <c r="N163" s="64">
        <v>4.2222222222222223E-2</v>
      </c>
      <c r="O163" s="46">
        <f t="shared" ref="O163:O176" si="10">N163-M163</f>
        <v>3.4837962962962973E-3</v>
      </c>
      <c r="P163" s="65">
        <v>43062</v>
      </c>
      <c r="Q163" s="59" t="str">
        <f t="shared" ca="1" si="0"/>
        <v>https://www.youtube.com/embed/JB_lc00AWIE?start=3347&amp;end=3648&amp;autoplay=1</v>
      </c>
      <c r="R163" s="67" t="s">
        <v>63</v>
      </c>
      <c r="S163" s="112" t="s">
        <v>63</v>
      </c>
      <c r="T163" s="112" t="s">
        <v>63</v>
      </c>
      <c r="U163" s="52"/>
      <c r="V163" s="53"/>
      <c r="W163" s="57" t="s">
        <v>64</v>
      </c>
      <c r="X163" s="56"/>
      <c r="Y163" s="38"/>
      <c r="Z163" s="38"/>
      <c r="AH163" s="88"/>
      <c r="AI163" s="88"/>
    </row>
    <row r="164" spans="1:35">
      <c r="A164" s="42">
        <v>754.13</v>
      </c>
      <c r="B164" s="39" t="s">
        <v>54</v>
      </c>
      <c r="C164" s="40"/>
      <c r="D164" s="85" t="s">
        <v>56</v>
      </c>
      <c r="E164" s="38"/>
      <c r="F164" s="43"/>
      <c r="G164" s="63" t="s">
        <v>763</v>
      </c>
      <c r="H164" s="45"/>
      <c r="I164" s="38"/>
      <c r="J164" s="38"/>
      <c r="K164" s="46"/>
      <c r="L164" s="47"/>
      <c r="M164" s="64">
        <v>4.7106481481481478E-2</v>
      </c>
      <c r="N164" s="64">
        <v>5.1099537037037034E-2</v>
      </c>
      <c r="O164" s="46">
        <f t="shared" si="10"/>
        <v>3.9930555555555552E-3</v>
      </c>
      <c r="P164" s="65">
        <v>43062</v>
      </c>
      <c r="Q164" s="59" t="str">
        <f t="shared" ca="1" si="0"/>
        <v>https://www.youtube.com/embed/JB_lc00AWIE?start=4070&amp;end=4415&amp;autoplay=1</v>
      </c>
      <c r="R164" s="67" t="s">
        <v>63</v>
      </c>
      <c r="S164" s="112" t="s">
        <v>63</v>
      </c>
      <c r="T164" s="112" t="s">
        <v>63</v>
      </c>
      <c r="U164" s="52"/>
      <c r="V164" s="53"/>
      <c r="W164" s="57" t="s">
        <v>64</v>
      </c>
      <c r="X164" s="56"/>
      <c r="Y164" s="38"/>
      <c r="Z164" s="38"/>
      <c r="AH164" s="88"/>
      <c r="AI164" s="88"/>
    </row>
    <row r="165" spans="1:35">
      <c r="A165" s="38">
        <v>724</v>
      </c>
      <c r="B165" s="39" t="s">
        <v>54</v>
      </c>
      <c r="C165" s="40"/>
      <c r="D165" s="42" t="s">
        <v>56</v>
      </c>
      <c r="E165" s="38" t="s">
        <v>768</v>
      </c>
      <c r="F165" s="43" t="s">
        <v>769</v>
      </c>
      <c r="G165" s="44"/>
      <c r="H165" s="45"/>
      <c r="I165" s="38"/>
      <c r="J165" s="38">
        <f>304</f>
        <v>304</v>
      </c>
      <c r="K165" s="46">
        <v>2.2141203703703705E-2</v>
      </c>
      <c r="L165" s="47" t="s">
        <v>770</v>
      </c>
      <c r="M165" s="48"/>
      <c r="N165" s="48"/>
      <c r="O165" s="48">
        <f t="shared" si="10"/>
        <v>0</v>
      </c>
      <c r="P165" s="65">
        <v>43064</v>
      </c>
      <c r="Q165" s="14" t="str">
        <f t="shared" ca="1" si="0"/>
        <v/>
      </c>
      <c r="R165" s="51"/>
      <c r="S165" s="51"/>
      <c r="T165" s="51"/>
      <c r="U165" s="40"/>
      <c r="V165" s="54"/>
      <c r="W165" s="55"/>
      <c r="X165" s="56"/>
      <c r="Y165" s="88"/>
      <c r="Z165" s="88"/>
      <c r="AA165" s="88"/>
      <c r="AB165" s="88"/>
      <c r="AH165" s="88"/>
      <c r="AI165" s="88"/>
    </row>
    <row r="166" spans="1:35">
      <c r="A166" s="42">
        <v>724.01</v>
      </c>
      <c r="B166" s="39" t="s">
        <v>54</v>
      </c>
      <c r="C166" s="40"/>
      <c r="D166" s="85" t="s">
        <v>56</v>
      </c>
      <c r="E166" s="38"/>
      <c r="F166" s="58"/>
      <c r="G166" s="63" t="s">
        <v>771</v>
      </c>
      <c r="H166" s="45"/>
      <c r="I166" s="38"/>
      <c r="J166" s="38"/>
      <c r="K166" s="46"/>
      <c r="L166" s="47"/>
      <c r="M166" s="64">
        <v>2.3958333333333331E-3</v>
      </c>
      <c r="N166" s="64">
        <v>6.875E-3</v>
      </c>
      <c r="O166" s="46">
        <f t="shared" si="10"/>
        <v>4.4791666666666669E-3</v>
      </c>
      <c r="P166" s="65">
        <v>43064</v>
      </c>
      <c r="Q166" s="59" t="str">
        <f t="shared" ca="1" si="0"/>
        <v>https://www.youtube.com/embed/4ej2lqB-kjM?start=207&amp;end=594&amp;autoplay=1</v>
      </c>
      <c r="R166" s="67" t="s">
        <v>63</v>
      </c>
      <c r="S166" s="112" t="s">
        <v>63</v>
      </c>
      <c r="T166" s="112" t="s">
        <v>63</v>
      </c>
      <c r="U166" s="52"/>
      <c r="V166" s="53"/>
      <c r="W166" s="57" t="s">
        <v>64</v>
      </c>
      <c r="X166" s="56"/>
      <c r="Y166" s="38"/>
      <c r="Z166" s="38"/>
      <c r="AH166" s="88"/>
      <c r="AI166" s="88"/>
    </row>
    <row r="167" spans="1:35">
      <c r="A167" s="42">
        <v>724.02</v>
      </c>
      <c r="B167" s="39" t="s">
        <v>54</v>
      </c>
      <c r="C167" s="40"/>
      <c r="D167" s="85" t="s">
        <v>56</v>
      </c>
      <c r="E167" s="38"/>
      <c r="F167" s="156"/>
      <c r="G167" s="63" t="s">
        <v>778</v>
      </c>
      <c r="H167" s="45"/>
      <c r="I167" s="38"/>
      <c r="J167" s="38"/>
      <c r="K167" s="46"/>
      <c r="L167" s="47"/>
      <c r="M167" s="64">
        <v>7.3379629629629628E-3</v>
      </c>
      <c r="N167" s="64">
        <v>1.1655092592592592E-2</v>
      </c>
      <c r="O167" s="46">
        <f t="shared" si="10"/>
        <v>4.3171296296296291E-3</v>
      </c>
      <c r="P167" s="65">
        <v>43064</v>
      </c>
      <c r="Q167" s="59" t="str">
        <f t="shared" ca="1" si="0"/>
        <v>https://www.youtube.com/embed/4ej2lqB-kjM?start=634&amp;end=1007&amp;autoplay=1</v>
      </c>
      <c r="R167" s="67" t="s">
        <v>63</v>
      </c>
      <c r="S167" s="112" t="s">
        <v>63</v>
      </c>
      <c r="T167" s="112" t="s">
        <v>63</v>
      </c>
      <c r="U167" s="52"/>
      <c r="V167" s="53"/>
      <c r="W167" s="57" t="s">
        <v>64</v>
      </c>
      <c r="X167" s="56"/>
      <c r="Y167" s="38"/>
      <c r="Z167" s="38"/>
      <c r="AH167" s="88"/>
      <c r="AI167" s="88"/>
    </row>
    <row r="168" spans="1:35">
      <c r="A168" s="42">
        <v>724.03</v>
      </c>
      <c r="B168" s="39" t="s">
        <v>54</v>
      </c>
      <c r="C168" s="40"/>
      <c r="D168" s="85" t="s">
        <v>56</v>
      </c>
      <c r="E168" s="38"/>
      <c r="F168" s="43"/>
      <c r="G168" s="63" t="s">
        <v>783</v>
      </c>
      <c r="H168" s="45"/>
      <c r="I168" s="38"/>
      <c r="J168" s="38"/>
      <c r="K168" s="46"/>
      <c r="L168" s="47"/>
      <c r="M168" s="64">
        <v>1.1666666666666667E-2</v>
      </c>
      <c r="N168" s="64">
        <v>1.4074074074074074E-2</v>
      </c>
      <c r="O168" s="46">
        <f t="shared" si="10"/>
        <v>2.4074074074074067E-3</v>
      </c>
      <c r="P168" s="65">
        <v>43064</v>
      </c>
      <c r="Q168" s="59" t="str">
        <f t="shared" ca="1" si="0"/>
        <v>https://www.youtube.com/embed/4ej2lqB-kjM?start=1008&amp;end=1216&amp;autoplay=1</v>
      </c>
      <c r="R168" s="67" t="s">
        <v>63</v>
      </c>
      <c r="S168" s="112" t="s">
        <v>63</v>
      </c>
      <c r="T168" s="112" t="s">
        <v>63</v>
      </c>
      <c r="U168" s="52"/>
      <c r="V168" s="53"/>
      <c r="W168" s="57" t="s">
        <v>64</v>
      </c>
      <c r="X168" s="56"/>
      <c r="Y168" s="38"/>
      <c r="Z168" s="38"/>
      <c r="AH168" s="88"/>
      <c r="AI168" s="88"/>
    </row>
    <row r="169" spans="1:35">
      <c r="A169" s="42">
        <v>724.04</v>
      </c>
      <c r="B169" s="39" t="s">
        <v>54</v>
      </c>
      <c r="C169" s="40"/>
      <c r="D169" s="85" t="s">
        <v>56</v>
      </c>
      <c r="E169" s="38"/>
      <c r="F169" s="43"/>
      <c r="G169" s="63" t="s">
        <v>787</v>
      </c>
      <c r="H169" s="45"/>
      <c r="I169" s="38"/>
      <c r="J169" s="38"/>
      <c r="K169" s="46"/>
      <c r="L169" s="47"/>
      <c r="M169" s="64">
        <v>1.4085648148148147E-2</v>
      </c>
      <c r="N169" s="64">
        <v>1.7974537037037035E-2</v>
      </c>
      <c r="O169" s="46">
        <f t="shared" si="10"/>
        <v>3.8888888888888879E-3</v>
      </c>
      <c r="P169" s="65">
        <v>43064</v>
      </c>
      <c r="Q169" s="59" t="str">
        <f t="shared" ca="1" si="0"/>
        <v>https://www.youtube.com/embed/4ej2lqB-kjM?start=1217&amp;end=1553&amp;autoplay=1</v>
      </c>
      <c r="R169" s="67" t="s">
        <v>63</v>
      </c>
      <c r="S169" s="112" t="s">
        <v>63</v>
      </c>
      <c r="T169" s="112" t="s">
        <v>63</v>
      </c>
      <c r="U169" s="52"/>
      <c r="V169" s="53"/>
      <c r="W169" s="57" t="s">
        <v>64</v>
      </c>
      <c r="X169" s="56"/>
      <c r="Y169" s="38"/>
      <c r="Z169" s="38"/>
      <c r="AH169" s="88"/>
      <c r="AI169" s="88"/>
    </row>
    <row r="170" spans="1:35">
      <c r="A170" s="42">
        <v>724.05</v>
      </c>
      <c r="B170" s="39" t="s">
        <v>54</v>
      </c>
      <c r="C170" s="40"/>
      <c r="D170" s="85" t="s">
        <v>56</v>
      </c>
      <c r="E170" s="38"/>
      <c r="F170" s="43"/>
      <c r="G170" s="63" t="s">
        <v>791</v>
      </c>
      <c r="H170" s="45"/>
      <c r="I170" s="38"/>
      <c r="J170" s="38"/>
      <c r="K170" s="46"/>
      <c r="L170" s="47"/>
      <c r="M170" s="64">
        <v>1.7986111111111112E-2</v>
      </c>
      <c r="N170" s="64">
        <v>2.1550925925925925E-2</v>
      </c>
      <c r="O170" s="46">
        <f t="shared" si="10"/>
        <v>3.5648148148148123E-3</v>
      </c>
      <c r="P170" s="65">
        <v>43064</v>
      </c>
      <c r="Q170" s="59" t="str">
        <f t="shared" ca="1" si="0"/>
        <v>https://www.youtube.com/embed/4ej2lqB-kjM?start=1554&amp;end=1862&amp;autoplay=1</v>
      </c>
      <c r="R170" s="67" t="s">
        <v>63</v>
      </c>
      <c r="S170" s="112" t="s">
        <v>63</v>
      </c>
      <c r="T170" s="112" t="s">
        <v>63</v>
      </c>
      <c r="U170" s="52"/>
      <c r="V170" s="53"/>
      <c r="W170" s="57" t="s">
        <v>64</v>
      </c>
      <c r="X170" s="56"/>
      <c r="Y170" s="38"/>
      <c r="Z170" s="38"/>
      <c r="AH170" s="88"/>
      <c r="AI170" s="88"/>
    </row>
    <row r="171" spans="1:35">
      <c r="A171" s="38">
        <v>713</v>
      </c>
      <c r="B171" s="39" t="s">
        <v>54</v>
      </c>
      <c r="C171" s="40"/>
      <c r="D171" s="42" t="s">
        <v>56</v>
      </c>
      <c r="E171" s="38" t="s">
        <v>796</v>
      </c>
      <c r="F171" s="43" t="s">
        <v>797</v>
      </c>
      <c r="G171" s="44"/>
      <c r="H171" s="45"/>
      <c r="I171" s="38"/>
      <c r="J171" s="38">
        <f>1*1000</f>
        <v>1000</v>
      </c>
      <c r="K171" s="46">
        <v>1.5243055555555557E-2</v>
      </c>
      <c r="L171" s="47" t="s">
        <v>770</v>
      </c>
      <c r="M171" s="48"/>
      <c r="N171" s="48"/>
      <c r="O171" s="48">
        <f t="shared" si="10"/>
        <v>0</v>
      </c>
      <c r="P171" s="65">
        <v>43064</v>
      </c>
      <c r="Q171" s="14" t="str">
        <f t="shared" ca="1" si="0"/>
        <v/>
      </c>
      <c r="R171" s="51"/>
      <c r="S171" s="51"/>
      <c r="T171" s="51"/>
      <c r="U171" s="40"/>
      <c r="V171" s="54"/>
      <c r="W171" s="55"/>
      <c r="X171" s="56"/>
      <c r="Y171" s="88"/>
      <c r="Z171" s="88"/>
      <c r="AA171" s="88"/>
      <c r="AB171" s="88"/>
      <c r="AH171" s="88"/>
      <c r="AI171" s="88"/>
    </row>
    <row r="172" spans="1:35">
      <c r="A172" s="85">
        <v>713.01</v>
      </c>
      <c r="B172" s="39" t="s">
        <v>54</v>
      </c>
      <c r="C172" s="40"/>
      <c r="D172" s="85" t="s">
        <v>56</v>
      </c>
      <c r="E172" s="38"/>
      <c r="F172" s="43"/>
      <c r="G172" s="63" t="s">
        <v>800</v>
      </c>
      <c r="H172" s="45"/>
      <c r="I172" s="38"/>
      <c r="J172" s="38"/>
      <c r="K172" s="46"/>
      <c r="L172" s="47"/>
      <c r="M172" s="64">
        <v>1.261574074074074E-3</v>
      </c>
      <c r="N172" s="64">
        <v>4.2824074074074075E-3</v>
      </c>
      <c r="O172" s="46">
        <f t="shared" si="10"/>
        <v>3.0208333333333337E-3</v>
      </c>
      <c r="P172" s="65">
        <v>43064</v>
      </c>
      <c r="Q172" s="59" t="str">
        <f t="shared" ca="1" si="0"/>
        <v>https://www.youtube.com/embed/Ts09Fp7M53k?start=109&amp;end=370&amp;autoplay=1</v>
      </c>
      <c r="R172" s="67" t="s">
        <v>63</v>
      </c>
      <c r="S172" s="112" t="s">
        <v>63</v>
      </c>
      <c r="T172" s="112" t="s">
        <v>63</v>
      </c>
      <c r="U172" s="52"/>
      <c r="V172" s="53"/>
      <c r="W172" s="57" t="s">
        <v>64</v>
      </c>
      <c r="X172" s="56"/>
      <c r="Y172" s="38"/>
      <c r="Z172" s="38"/>
      <c r="AH172" s="88"/>
      <c r="AI172" s="88"/>
    </row>
    <row r="173" spans="1:35">
      <c r="A173" s="85">
        <v>713.02</v>
      </c>
      <c r="B173" s="39" t="s">
        <v>54</v>
      </c>
      <c r="C173" s="40"/>
      <c r="D173" s="85" t="s">
        <v>56</v>
      </c>
      <c r="E173" s="38"/>
      <c r="F173" s="43"/>
      <c r="G173" s="63" t="s">
        <v>801</v>
      </c>
      <c r="H173" s="45"/>
      <c r="I173" s="38"/>
      <c r="J173" s="38"/>
      <c r="K173" s="46"/>
      <c r="L173" s="47"/>
      <c r="M173" s="64">
        <v>4.340277777777778E-3</v>
      </c>
      <c r="N173" s="64">
        <v>6.875E-3</v>
      </c>
      <c r="O173" s="46">
        <f t="shared" si="10"/>
        <v>2.5347222222222221E-3</v>
      </c>
      <c r="P173" s="65">
        <v>43064</v>
      </c>
      <c r="Q173" s="59" t="str">
        <f t="shared" ca="1" si="0"/>
        <v>https://www.youtube.com/embed/Ts09Fp7M53k?start=375&amp;end=594&amp;autoplay=1</v>
      </c>
      <c r="R173" s="67" t="s">
        <v>63</v>
      </c>
      <c r="S173" s="112" t="s">
        <v>63</v>
      </c>
      <c r="T173" s="112" t="s">
        <v>63</v>
      </c>
      <c r="U173" s="52"/>
      <c r="V173" s="53"/>
      <c r="W173" s="57" t="s">
        <v>64</v>
      </c>
      <c r="X173" s="56"/>
      <c r="Y173" s="38"/>
      <c r="Z173" s="38"/>
      <c r="AH173" s="88"/>
      <c r="AI173" s="88"/>
    </row>
    <row r="174" spans="1:35">
      <c r="A174" s="85">
        <v>713.03</v>
      </c>
      <c r="B174" s="39" t="s">
        <v>54</v>
      </c>
      <c r="C174" s="40"/>
      <c r="D174" s="85" t="s">
        <v>56</v>
      </c>
      <c r="E174" s="38"/>
      <c r="F174" s="43"/>
      <c r="G174" s="63" t="s">
        <v>803</v>
      </c>
      <c r="H174" s="45"/>
      <c r="I174" s="38"/>
      <c r="J174" s="38"/>
      <c r="K174" s="46"/>
      <c r="L174" s="47"/>
      <c r="M174" s="64">
        <v>6.898148148148148E-3</v>
      </c>
      <c r="N174" s="64">
        <v>1.0046296296296296E-2</v>
      </c>
      <c r="O174" s="46">
        <f t="shared" si="10"/>
        <v>3.1481481481481482E-3</v>
      </c>
      <c r="P174" s="65">
        <v>43064</v>
      </c>
      <c r="Q174" s="59" t="str">
        <f t="shared" ca="1" si="0"/>
        <v>https://www.youtube.com/embed/Ts09Fp7M53k?start=596&amp;end=868&amp;autoplay=1</v>
      </c>
      <c r="R174" s="67" t="s">
        <v>63</v>
      </c>
      <c r="S174" s="112" t="s">
        <v>63</v>
      </c>
      <c r="T174" s="112" t="s">
        <v>63</v>
      </c>
      <c r="U174" s="52"/>
      <c r="V174" s="53"/>
      <c r="W174" s="57" t="s">
        <v>64</v>
      </c>
      <c r="X174" s="56"/>
      <c r="Y174" s="38"/>
      <c r="Z174" s="38"/>
      <c r="AH174" s="88"/>
      <c r="AI174" s="88"/>
    </row>
    <row r="175" spans="1:35">
      <c r="A175" s="85">
        <v>713.04</v>
      </c>
      <c r="B175" s="39" t="s">
        <v>54</v>
      </c>
      <c r="C175" s="40"/>
      <c r="D175" s="85" t="s">
        <v>56</v>
      </c>
      <c r="E175" s="38"/>
      <c r="F175" s="43"/>
      <c r="G175" s="63" t="s">
        <v>806</v>
      </c>
      <c r="H175" s="45"/>
      <c r="I175" s="38"/>
      <c r="J175" s="38"/>
      <c r="K175" s="46"/>
      <c r="L175" s="47"/>
      <c r="M175" s="64">
        <v>1.005787037037037E-2</v>
      </c>
      <c r="N175" s="76">
        <v>1.4988425925925926E-2</v>
      </c>
      <c r="O175" s="77">
        <f t="shared" si="10"/>
        <v>4.9305555555555561E-3</v>
      </c>
      <c r="P175" s="65">
        <v>43064</v>
      </c>
      <c r="Q175" s="59" t="str">
        <f t="shared" ca="1" si="0"/>
        <v>https://www.youtube.com/embed/Ts09Fp7M53k?start=869&amp;end=1295&amp;autoplay=1</v>
      </c>
      <c r="R175" s="67" t="s">
        <v>63</v>
      </c>
      <c r="S175" s="112" t="s">
        <v>63</v>
      </c>
      <c r="T175" s="112" t="s">
        <v>63</v>
      </c>
      <c r="U175" s="52"/>
      <c r="V175" s="53"/>
      <c r="W175" s="57" t="s">
        <v>64</v>
      </c>
      <c r="X175" s="56"/>
      <c r="Y175" s="38"/>
      <c r="Z175" s="38"/>
      <c r="AH175" s="88"/>
      <c r="AI175" s="88"/>
    </row>
    <row r="176" spans="1:35">
      <c r="A176" s="38">
        <v>698</v>
      </c>
      <c r="B176" s="39" t="s">
        <v>54</v>
      </c>
      <c r="C176" s="40"/>
      <c r="D176" s="42" t="s">
        <v>139</v>
      </c>
      <c r="E176" s="38" t="s">
        <v>809</v>
      </c>
      <c r="F176" s="43" t="s">
        <v>810</v>
      </c>
      <c r="G176" s="44"/>
      <c r="H176" s="45"/>
      <c r="I176" s="38"/>
      <c r="J176" s="38">
        <f>16*1000</f>
        <v>16000</v>
      </c>
      <c r="K176" s="46">
        <v>3.8483796296296294E-2</v>
      </c>
      <c r="L176" s="47" t="s">
        <v>811</v>
      </c>
      <c r="M176" s="48"/>
      <c r="N176" s="48"/>
      <c r="O176" s="48">
        <f t="shared" si="10"/>
        <v>0</v>
      </c>
      <c r="P176" s="38"/>
      <c r="Q176" s="14" t="str">
        <f t="shared" ca="1" si="0"/>
        <v/>
      </c>
      <c r="R176" s="51"/>
      <c r="S176" s="51"/>
      <c r="T176" s="51"/>
      <c r="U176" s="40"/>
      <c r="V176" s="54"/>
      <c r="W176" s="55"/>
      <c r="X176" s="56"/>
      <c r="Y176" s="88"/>
      <c r="Z176" s="88"/>
      <c r="AA176" s="88"/>
      <c r="AB176" s="88"/>
      <c r="AH176" s="88"/>
      <c r="AI176" s="88"/>
    </row>
    <row r="177" spans="1:35">
      <c r="A177" s="105"/>
      <c r="B177" s="38"/>
      <c r="C177" s="38"/>
      <c r="D177" s="38"/>
      <c r="E177" s="38"/>
      <c r="F177" s="43"/>
      <c r="G177" s="44"/>
      <c r="H177" s="45"/>
      <c r="I177" s="38"/>
      <c r="J177" s="38"/>
      <c r="K177" s="46"/>
      <c r="L177" s="47"/>
      <c r="M177" s="46"/>
      <c r="N177" s="46"/>
      <c r="O177" s="62"/>
      <c r="P177" s="49"/>
      <c r="Q177" s="14"/>
      <c r="R177" s="50"/>
      <c r="S177" s="50"/>
      <c r="T177" s="50"/>
      <c r="U177" s="52"/>
      <c r="V177" s="53"/>
      <c r="W177" s="60"/>
      <c r="X177" s="56"/>
      <c r="Y177" s="38"/>
      <c r="Z177" s="38"/>
      <c r="AH177" s="88"/>
      <c r="AI177" s="88"/>
    </row>
    <row r="178" spans="1:35">
      <c r="A178" s="105"/>
      <c r="B178" s="38"/>
      <c r="C178" s="38"/>
      <c r="D178" s="38"/>
      <c r="E178" s="38"/>
      <c r="F178" s="43"/>
      <c r="G178" s="44"/>
      <c r="H178" s="45"/>
      <c r="I178" s="38"/>
      <c r="J178" s="38"/>
      <c r="K178" s="46"/>
      <c r="L178" s="47"/>
      <c r="M178" s="46"/>
      <c r="N178" s="46"/>
      <c r="O178" s="62"/>
      <c r="P178" s="49"/>
      <c r="Q178" s="14"/>
      <c r="R178" s="50"/>
      <c r="S178" s="50"/>
      <c r="T178" s="50"/>
      <c r="U178" s="52"/>
      <c r="V178" s="53"/>
      <c r="W178" s="60"/>
      <c r="X178" s="56"/>
      <c r="Y178" s="38"/>
      <c r="Z178" s="38"/>
      <c r="AH178" s="88"/>
      <c r="AI178" s="88"/>
    </row>
    <row r="179" spans="1:35">
      <c r="A179" s="105"/>
      <c r="B179" s="38"/>
      <c r="C179" s="38"/>
      <c r="D179" s="38"/>
      <c r="E179" s="38"/>
      <c r="F179" s="43"/>
      <c r="G179" s="44"/>
      <c r="H179" s="45"/>
      <c r="I179" s="38"/>
      <c r="J179" s="38"/>
      <c r="K179" s="46"/>
      <c r="L179" s="47"/>
      <c r="M179" s="46"/>
      <c r="N179" s="46"/>
      <c r="O179" s="62"/>
      <c r="P179" s="49"/>
      <c r="Q179" s="14"/>
      <c r="R179" s="50"/>
      <c r="S179" s="50"/>
      <c r="T179" s="50"/>
      <c r="U179" s="52"/>
      <c r="V179" s="53"/>
      <c r="W179" s="60"/>
      <c r="X179" s="56"/>
      <c r="Y179" s="38"/>
      <c r="Z179" s="38"/>
      <c r="AH179" s="88"/>
      <c r="AI179" s="88"/>
    </row>
    <row r="180" spans="1:35">
      <c r="A180" s="38">
        <v>738</v>
      </c>
      <c r="B180" s="51"/>
      <c r="C180" s="40"/>
      <c r="D180" s="42" t="s">
        <v>139</v>
      </c>
      <c r="E180" s="38" t="s">
        <v>818</v>
      </c>
      <c r="F180" s="43" t="s">
        <v>819</v>
      </c>
      <c r="G180" s="44"/>
      <c r="H180" s="45"/>
      <c r="I180" s="38"/>
      <c r="J180" s="38">
        <f>1.3*1000</f>
        <v>1300</v>
      </c>
      <c r="K180" s="46">
        <v>2.2812499999999999E-2</v>
      </c>
      <c r="L180" s="47" t="s">
        <v>770</v>
      </c>
      <c r="M180" s="48"/>
      <c r="N180" s="48"/>
      <c r="O180" s="48">
        <f>N180-M180</f>
        <v>0</v>
      </c>
      <c r="P180" s="38"/>
      <c r="Q180" s="14" t="str">
        <f ca="1">HYPERLINK(IF(INT(A180)-A180=0,"",REPLACE(INDIRECT("MasterList!e"&amp;INT(A180)+1),25,8,"embed/")&amp;"?start="&amp;HOUR(M180)*3600+MINUTE(M180)*60+SECOND(M180)&amp;"&amp;end="&amp;HOUR(N180)*3600+MINUTE(N180)*60+SECOND(N180)&amp;"&amp;autoplay=1"))</f>
        <v/>
      </c>
      <c r="R180" s="51"/>
      <c r="S180" s="51"/>
      <c r="T180" s="51"/>
      <c r="U180" s="40"/>
      <c r="V180" s="54"/>
      <c r="W180" s="55"/>
      <c r="X180" s="56"/>
      <c r="Y180" s="88"/>
      <c r="Z180" s="88"/>
      <c r="AA180" s="88"/>
      <c r="AB180" s="88"/>
      <c r="AH180" s="88"/>
      <c r="AI180" s="88"/>
    </row>
    <row r="181" spans="1:35">
      <c r="A181" s="105"/>
      <c r="B181" s="38"/>
      <c r="C181" s="38"/>
      <c r="D181" s="38"/>
      <c r="E181" s="38"/>
      <c r="F181" s="43"/>
      <c r="G181" s="44"/>
      <c r="H181" s="45"/>
      <c r="I181" s="38"/>
      <c r="J181" s="38"/>
      <c r="K181" s="46"/>
      <c r="L181" s="47"/>
      <c r="M181" s="46"/>
      <c r="N181" s="46"/>
      <c r="O181" s="62"/>
      <c r="P181" s="49"/>
      <c r="Q181" s="14"/>
      <c r="R181" s="50"/>
      <c r="S181" s="50"/>
      <c r="T181" s="50"/>
      <c r="U181" s="52"/>
      <c r="V181" s="53"/>
      <c r="W181" s="60"/>
      <c r="X181" s="56"/>
      <c r="Y181" s="38"/>
      <c r="Z181" s="38"/>
      <c r="AH181" s="88"/>
      <c r="AI181" s="88"/>
    </row>
    <row r="182" spans="1:35">
      <c r="A182" s="105"/>
      <c r="B182" s="38"/>
      <c r="C182" s="38"/>
      <c r="D182" s="38"/>
      <c r="E182" s="38"/>
      <c r="F182" s="38"/>
      <c r="G182" s="38"/>
      <c r="H182" s="14"/>
      <c r="I182" s="38"/>
      <c r="J182" s="38"/>
      <c r="K182" s="46"/>
      <c r="L182" s="47"/>
      <c r="M182" s="46"/>
      <c r="N182" s="46"/>
      <c r="O182" s="62"/>
      <c r="P182" s="49"/>
      <c r="Q182" s="14"/>
      <c r="R182" s="50"/>
      <c r="S182" s="50"/>
      <c r="T182" s="50"/>
      <c r="U182" s="52"/>
      <c r="V182" s="53"/>
      <c r="W182" s="60"/>
      <c r="X182" s="56"/>
      <c r="Y182" s="38"/>
      <c r="Z182" s="38"/>
      <c r="AH182" s="88"/>
      <c r="AI182" s="88"/>
    </row>
    <row r="183" spans="1:35">
      <c r="A183" s="38"/>
      <c r="B183" s="38"/>
      <c r="C183" s="38"/>
      <c r="D183" s="38"/>
      <c r="E183" s="38"/>
      <c r="F183" s="43"/>
      <c r="G183" s="44"/>
      <c r="H183" s="45"/>
      <c r="I183" s="38"/>
      <c r="J183" s="38"/>
      <c r="K183" s="46"/>
      <c r="L183" s="47"/>
      <c r="M183" s="46"/>
      <c r="N183" s="46"/>
      <c r="O183" s="38"/>
      <c r="P183" s="38"/>
      <c r="Q183" s="14"/>
      <c r="R183" s="50"/>
      <c r="S183" s="50"/>
      <c r="T183" s="50"/>
      <c r="U183" s="52"/>
      <c r="V183" s="53"/>
      <c r="W183" s="60"/>
      <c r="X183" s="56"/>
      <c r="Y183" s="38"/>
      <c r="Z183" s="38"/>
      <c r="AH183" s="88"/>
      <c r="AI183" s="88"/>
    </row>
    <row r="184" spans="1:35">
      <c r="A184" s="38"/>
      <c r="B184" s="38"/>
      <c r="C184" s="38"/>
      <c r="D184" s="38"/>
      <c r="E184" s="38"/>
      <c r="F184" s="43"/>
      <c r="G184" s="44"/>
      <c r="H184" s="45"/>
      <c r="I184" s="38"/>
      <c r="J184" s="38"/>
      <c r="K184" s="46"/>
      <c r="L184" s="47"/>
      <c r="M184" s="46"/>
      <c r="N184" s="46"/>
      <c r="O184" s="38"/>
      <c r="P184" s="38"/>
      <c r="Q184" s="14"/>
      <c r="R184" s="50"/>
      <c r="S184" s="50"/>
      <c r="T184" s="50"/>
      <c r="U184" s="52"/>
      <c r="V184" s="53"/>
      <c r="W184" s="60"/>
      <c r="X184" s="56"/>
      <c r="Y184" s="38"/>
      <c r="Z184" s="38"/>
      <c r="AH184" s="88"/>
      <c r="AI184" s="88"/>
    </row>
    <row r="185" spans="1:35">
      <c r="A185" s="38"/>
      <c r="B185" s="38"/>
      <c r="C185" s="38"/>
      <c r="D185" s="38"/>
      <c r="E185" s="38"/>
      <c r="F185" s="43"/>
      <c r="G185" s="44"/>
      <c r="H185" s="45"/>
      <c r="I185" s="38"/>
      <c r="J185" s="38"/>
      <c r="K185" s="46"/>
      <c r="L185" s="47"/>
      <c r="M185" s="46"/>
      <c r="N185" s="46"/>
      <c r="O185" s="38"/>
      <c r="P185" s="38"/>
      <c r="Q185" s="14"/>
      <c r="R185" s="50"/>
      <c r="S185" s="50"/>
      <c r="T185" s="50"/>
      <c r="U185" s="52"/>
      <c r="V185" s="53"/>
      <c r="W185" s="60"/>
      <c r="X185" s="56"/>
      <c r="Y185" s="38"/>
      <c r="Z185" s="38"/>
      <c r="AH185" s="88"/>
      <c r="AI185" s="88"/>
    </row>
    <row r="186" spans="1:35">
      <c r="A186" s="38"/>
      <c r="B186" s="38"/>
      <c r="C186" s="38"/>
      <c r="D186" s="38"/>
      <c r="E186" s="38"/>
      <c r="F186" s="43"/>
      <c r="G186" s="44"/>
      <c r="H186" s="45"/>
      <c r="I186" s="38"/>
      <c r="J186" s="38"/>
      <c r="K186" s="46"/>
      <c r="L186" s="47"/>
      <c r="M186" s="46"/>
      <c r="N186" s="46"/>
      <c r="O186" s="38"/>
      <c r="P186" s="38"/>
      <c r="Q186" s="14"/>
      <c r="R186" s="50"/>
      <c r="S186" s="50"/>
      <c r="T186" s="50"/>
      <c r="U186" s="52"/>
      <c r="V186" s="53"/>
      <c r="W186" s="60"/>
      <c r="X186" s="56"/>
      <c r="Y186" s="38"/>
      <c r="Z186" s="38"/>
      <c r="AH186" s="88"/>
      <c r="AI186" s="88"/>
    </row>
    <row r="187" spans="1:35">
      <c r="A187" s="38"/>
      <c r="B187" s="42"/>
      <c r="C187" s="38"/>
      <c r="D187" s="42"/>
      <c r="E187" s="38"/>
      <c r="F187" s="43"/>
      <c r="G187" s="44"/>
      <c r="H187" s="45"/>
      <c r="I187" s="38"/>
      <c r="J187" s="38"/>
      <c r="K187" s="46"/>
      <c r="L187" s="47"/>
      <c r="M187" s="46"/>
      <c r="N187" s="46"/>
      <c r="O187" s="38"/>
      <c r="P187" s="38"/>
      <c r="Q187" s="14"/>
      <c r="R187" s="50"/>
      <c r="S187" s="50"/>
      <c r="T187" s="50"/>
      <c r="U187" s="52"/>
      <c r="V187" s="53"/>
      <c r="W187" s="60"/>
      <c r="X187" s="56"/>
      <c r="Y187" s="38"/>
      <c r="Z187" s="38"/>
      <c r="AH187" s="88"/>
      <c r="AI187" s="88"/>
    </row>
    <row r="188" spans="1:35">
      <c r="A188" s="116"/>
      <c r="B188" s="42"/>
      <c r="C188" s="38"/>
      <c r="D188" s="42"/>
      <c r="E188" s="117"/>
      <c r="F188" s="117"/>
      <c r="G188" s="116"/>
      <c r="H188" s="117"/>
      <c r="I188" s="117"/>
      <c r="J188" s="117"/>
      <c r="K188" s="46"/>
      <c r="L188" s="117"/>
      <c r="M188" s="46"/>
      <c r="N188" s="46"/>
      <c r="O188" s="62"/>
      <c r="P188" s="118"/>
      <c r="Q188" s="14"/>
      <c r="R188" s="119"/>
      <c r="S188" s="119"/>
      <c r="T188" s="119"/>
      <c r="U188" s="120"/>
      <c r="V188" s="121"/>
      <c r="W188" s="122"/>
      <c r="X188" s="123"/>
      <c r="Y188" s="117"/>
      <c r="Z188" s="117"/>
      <c r="AH188" s="88"/>
      <c r="AI188" s="88"/>
    </row>
    <row r="189" spans="1:35">
      <c r="A189" s="38"/>
      <c r="B189" s="38"/>
      <c r="C189" s="38"/>
      <c r="D189" s="38"/>
      <c r="E189" s="38"/>
      <c r="F189" s="43"/>
      <c r="G189" s="44"/>
      <c r="H189" s="45"/>
      <c r="I189" s="38"/>
      <c r="J189" s="38"/>
      <c r="K189" s="46"/>
      <c r="L189" s="47"/>
      <c r="M189" s="46"/>
      <c r="N189" s="46"/>
      <c r="O189" s="38"/>
      <c r="P189" s="38"/>
      <c r="Q189" s="14"/>
      <c r="R189" s="50"/>
      <c r="S189" s="50"/>
      <c r="T189" s="50"/>
      <c r="U189" s="52"/>
      <c r="V189" s="53"/>
      <c r="W189" s="60"/>
      <c r="X189" s="56"/>
      <c r="Y189" s="38"/>
      <c r="Z189" s="38"/>
      <c r="AH189" s="88"/>
      <c r="AI189" s="88"/>
    </row>
    <row r="190" spans="1:35">
      <c r="A190" s="38"/>
      <c r="B190" s="38"/>
      <c r="C190" s="38"/>
      <c r="D190" s="38"/>
      <c r="E190" s="38"/>
      <c r="F190" s="43"/>
      <c r="G190" s="44"/>
      <c r="H190" s="45"/>
      <c r="I190" s="38"/>
      <c r="J190" s="38"/>
      <c r="K190" s="46"/>
      <c r="L190" s="47"/>
      <c r="M190" s="46"/>
      <c r="N190" s="46"/>
      <c r="O190" s="38"/>
      <c r="P190" s="38"/>
      <c r="Q190" s="14"/>
      <c r="R190" s="50"/>
      <c r="S190" s="50"/>
      <c r="T190" s="50"/>
      <c r="U190" s="52"/>
      <c r="V190" s="53"/>
      <c r="W190" s="60"/>
      <c r="X190" s="56"/>
      <c r="Y190" s="38"/>
      <c r="Z190" s="38"/>
      <c r="AH190" s="88"/>
      <c r="AI190" s="88"/>
    </row>
    <row r="191" spans="1:35">
      <c r="A191" s="38"/>
      <c r="B191" s="38"/>
      <c r="C191" s="38"/>
      <c r="D191" s="38"/>
      <c r="E191" s="38"/>
      <c r="F191" s="43"/>
      <c r="G191" s="44"/>
      <c r="H191" s="45"/>
      <c r="I191" s="38"/>
      <c r="J191" s="38"/>
      <c r="K191" s="46"/>
      <c r="L191" s="47"/>
      <c r="M191" s="46"/>
      <c r="N191" s="46"/>
      <c r="O191" s="38"/>
      <c r="P191" s="38"/>
      <c r="Q191" s="14"/>
      <c r="R191" s="50"/>
      <c r="S191" s="50"/>
      <c r="T191" s="50"/>
      <c r="U191" s="52"/>
      <c r="V191" s="53"/>
      <c r="W191" s="60"/>
      <c r="X191" s="56"/>
      <c r="Y191" s="38"/>
      <c r="Z191" s="38"/>
      <c r="AH191" s="88"/>
      <c r="AI191" s="88"/>
    </row>
    <row r="192" spans="1:35">
      <c r="A192" s="38"/>
      <c r="B192" s="38"/>
      <c r="C192" s="38"/>
      <c r="D192" s="38"/>
      <c r="E192" s="38"/>
      <c r="F192" s="43"/>
      <c r="G192" s="44"/>
      <c r="H192" s="45"/>
      <c r="I192" s="38"/>
      <c r="J192" s="38"/>
      <c r="K192" s="46"/>
      <c r="L192" s="47"/>
      <c r="M192" s="46"/>
      <c r="N192" s="46"/>
      <c r="O192" s="38"/>
      <c r="P192" s="38"/>
      <c r="Q192" s="14"/>
      <c r="R192" s="50"/>
      <c r="S192" s="50"/>
      <c r="T192" s="50"/>
      <c r="U192" s="52"/>
      <c r="V192" s="53"/>
      <c r="W192" s="60"/>
      <c r="X192" s="56"/>
      <c r="Y192" s="38"/>
      <c r="Z192" s="38"/>
      <c r="AH192" s="88"/>
      <c r="AI192" s="88"/>
    </row>
    <row r="193" spans="1:35">
      <c r="A193" s="38"/>
      <c r="B193" s="38"/>
      <c r="C193" s="38"/>
      <c r="D193" s="38"/>
      <c r="E193" s="38"/>
      <c r="F193" s="43"/>
      <c r="G193" s="44"/>
      <c r="H193" s="45"/>
      <c r="I193" s="38"/>
      <c r="J193" s="38"/>
      <c r="K193" s="46"/>
      <c r="L193" s="47"/>
      <c r="M193" s="46"/>
      <c r="N193" s="46"/>
      <c r="O193" s="38"/>
      <c r="P193" s="38"/>
      <c r="Q193" s="14"/>
      <c r="R193" s="50"/>
      <c r="S193" s="50"/>
      <c r="T193" s="50"/>
      <c r="U193" s="52"/>
      <c r="V193" s="53"/>
      <c r="W193" s="60"/>
      <c r="X193" s="56"/>
      <c r="Y193" s="38"/>
      <c r="Z193" s="38"/>
      <c r="AH193" s="88"/>
      <c r="AI193" s="88"/>
    </row>
    <row r="194" spans="1:35">
      <c r="A194" s="38"/>
      <c r="B194" s="38"/>
      <c r="C194" s="38"/>
      <c r="D194" s="38"/>
      <c r="E194" s="38"/>
      <c r="F194" s="43"/>
      <c r="G194" s="44"/>
      <c r="H194" s="45"/>
      <c r="I194" s="38"/>
      <c r="J194" s="38"/>
      <c r="K194" s="46"/>
      <c r="L194" s="47"/>
      <c r="M194" s="46"/>
      <c r="N194" s="46"/>
      <c r="O194" s="38"/>
      <c r="P194" s="38"/>
      <c r="Q194" s="14"/>
      <c r="R194" s="50"/>
      <c r="S194" s="50"/>
      <c r="T194" s="50"/>
      <c r="U194" s="52"/>
      <c r="V194" s="53"/>
      <c r="W194" s="60"/>
      <c r="X194" s="56"/>
      <c r="Y194" s="38"/>
      <c r="Z194" s="38"/>
      <c r="AH194" s="88"/>
      <c r="AI194" s="88"/>
    </row>
    <row r="195" spans="1:35">
      <c r="A195" s="38"/>
      <c r="B195" s="38"/>
      <c r="C195" s="38"/>
      <c r="D195" s="38"/>
      <c r="E195" s="38"/>
      <c r="F195" s="43"/>
      <c r="G195" s="44"/>
      <c r="H195" s="45"/>
      <c r="I195" s="38"/>
      <c r="J195" s="38"/>
      <c r="K195" s="46"/>
      <c r="L195" s="47"/>
      <c r="M195" s="46"/>
      <c r="N195" s="46"/>
      <c r="O195" s="38"/>
      <c r="P195" s="38"/>
      <c r="Q195" s="14"/>
      <c r="R195" s="50"/>
      <c r="S195" s="50"/>
      <c r="T195" s="50"/>
      <c r="U195" s="52"/>
      <c r="V195" s="53"/>
      <c r="W195" s="60"/>
      <c r="X195" s="56"/>
      <c r="Y195" s="38"/>
      <c r="Z195" s="38"/>
      <c r="AH195" s="88"/>
      <c r="AI195" s="88"/>
    </row>
    <row r="196" spans="1:35">
      <c r="A196" s="38"/>
      <c r="B196" s="38"/>
      <c r="C196" s="38"/>
      <c r="D196" s="38"/>
      <c r="E196" s="38"/>
      <c r="F196" s="43"/>
      <c r="G196" s="44"/>
      <c r="H196" s="45"/>
      <c r="I196" s="38"/>
      <c r="J196" s="38"/>
      <c r="K196" s="46"/>
      <c r="L196" s="47"/>
      <c r="M196" s="46"/>
      <c r="N196" s="46"/>
      <c r="O196" s="38"/>
      <c r="P196" s="38"/>
      <c r="Q196" s="14"/>
      <c r="R196" s="50"/>
      <c r="S196" s="50"/>
      <c r="T196" s="50"/>
      <c r="U196" s="52"/>
      <c r="V196" s="53"/>
      <c r="W196" s="60"/>
      <c r="X196" s="56"/>
      <c r="Y196" s="38"/>
      <c r="Z196" s="38"/>
      <c r="AH196" s="88"/>
      <c r="AI196" s="88"/>
    </row>
    <row r="197" spans="1:35">
      <c r="A197" s="38"/>
      <c r="B197" s="38"/>
      <c r="C197" s="38"/>
      <c r="D197" s="38"/>
      <c r="E197" s="38"/>
      <c r="F197" s="43"/>
      <c r="G197" s="44"/>
      <c r="H197" s="45"/>
      <c r="I197" s="38"/>
      <c r="J197" s="38"/>
      <c r="K197" s="46"/>
      <c r="L197" s="47"/>
      <c r="M197" s="46"/>
      <c r="N197" s="46"/>
      <c r="O197" s="38"/>
      <c r="P197" s="38"/>
      <c r="Q197" s="14"/>
      <c r="R197" s="50"/>
      <c r="S197" s="50"/>
      <c r="T197" s="50"/>
      <c r="U197" s="52"/>
      <c r="V197" s="53"/>
      <c r="W197" s="60"/>
      <c r="X197" s="56"/>
      <c r="Y197" s="38"/>
      <c r="Z197" s="38"/>
      <c r="AH197" s="88"/>
      <c r="AI197" s="88"/>
    </row>
    <row r="198" spans="1:35">
      <c r="A198" s="38"/>
      <c r="B198" s="38"/>
      <c r="C198" s="38"/>
      <c r="D198" s="38"/>
      <c r="E198" s="38"/>
      <c r="F198" s="43"/>
      <c r="G198" s="44"/>
      <c r="H198" s="45"/>
      <c r="I198" s="38"/>
      <c r="J198" s="38"/>
      <c r="K198" s="46"/>
      <c r="L198" s="47"/>
      <c r="M198" s="46"/>
      <c r="N198" s="46"/>
      <c r="O198" s="38"/>
      <c r="P198" s="38"/>
      <c r="Q198" s="14"/>
      <c r="R198" s="50"/>
      <c r="S198" s="50"/>
      <c r="T198" s="50"/>
      <c r="U198" s="52"/>
      <c r="V198" s="53"/>
      <c r="W198" s="60"/>
      <c r="X198" s="56"/>
      <c r="Y198" s="38"/>
      <c r="Z198" s="38"/>
      <c r="AH198" s="88"/>
      <c r="AI198" s="88"/>
    </row>
    <row r="199" spans="1:35">
      <c r="A199" s="38"/>
      <c r="B199" s="38"/>
      <c r="C199" s="38"/>
      <c r="D199" s="38"/>
      <c r="E199" s="38"/>
      <c r="F199" s="43"/>
      <c r="G199" s="44"/>
      <c r="H199" s="45"/>
      <c r="I199" s="38"/>
      <c r="J199" s="38"/>
      <c r="K199" s="46"/>
      <c r="L199" s="47"/>
      <c r="M199" s="46"/>
      <c r="N199" s="46"/>
      <c r="O199" s="38"/>
      <c r="P199" s="38"/>
      <c r="Q199" s="14"/>
      <c r="R199" s="50"/>
      <c r="S199" s="50"/>
      <c r="T199" s="50"/>
      <c r="U199" s="52"/>
      <c r="V199" s="53"/>
      <c r="W199" s="60"/>
      <c r="X199" s="123"/>
      <c r="Y199" s="117"/>
      <c r="Z199" s="117"/>
      <c r="AH199" s="88"/>
      <c r="AI199" s="88"/>
    </row>
    <row r="200" spans="1:35">
      <c r="A200" s="42"/>
      <c r="B200" s="42"/>
      <c r="C200" s="38"/>
      <c r="D200" s="38"/>
      <c r="E200" s="38"/>
      <c r="F200" s="43"/>
      <c r="G200" s="44"/>
      <c r="H200" s="45"/>
      <c r="I200" s="38"/>
      <c r="J200" s="38"/>
      <c r="K200" s="46"/>
      <c r="L200" s="47"/>
      <c r="M200" s="46"/>
      <c r="N200" s="46"/>
      <c r="O200" s="38"/>
      <c r="P200" s="125"/>
      <c r="Q200" s="14"/>
      <c r="R200" s="38"/>
      <c r="S200" s="38"/>
      <c r="T200" s="38"/>
      <c r="U200" s="38"/>
      <c r="V200" s="38"/>
      <c r="W200" s="38"/>
      <c r="X200" s="56"/>
      <c r="Y200" s="38"/>
      <c r="Z200" s="38"/>
      <c r="AA200" s="38"/>
      <c r="AB200" s="38"/>
      <c r="AC200" s="87"/>
      <c r="AD200" s="87"/>
      <c r="AE200" s="87"/>
      <c r="AF200" s="87"/>
      <c r="AG200" s="87"/>
      <c r="AH200" s="88"/>
      <c r="AI200" s="88"/>
    </row>
    <row r="201" spans="1:35">
      <c r="A201" s="42"/>
      <c r="B201" s="42"/>
      <c r="C201" s="38"/>
      <c r="D201" s="38"/>
      <c r="E201" s="38"/>
      <c r="F201" s="44"/>
      <c r="G201" s="42"/>
      <c r="H201" s="79"/>
      <c r="I201" s="38"/>
      <c r="J201" s="38"/>
      <c r="K201" s="46"/>
      <c r="L201" s="47"/>
      <c r="M201" s="46"/>
      <c r="N201" s="46"/>
      <c r="O201" s="62"/>
      <c r="P201" s="74"/>
      <c r="Q201" s="14"/>
      <c r="R201" s="67"/>
      <c r="S201" s="67"/>
      <c r="T201" s="67"/>
      <c r="U201" s="52"/>
      <c r="V201" s="53"/>
      <c r="W201" s="60"/>
      <c r="X201" s="56"/>
      <c r="Y201" s="38"/>
      <c r="Z201" s="38"/>
      <c r="AA201" s="73"/>
      <c r="AB201" s="73"/>
      <c r="AC201" s="73"/>
      <c r="AD201" s="73"/>
      <c r="AE201" s="73"/>
      <c r="AF201" s="73"/>
      <c r="AG201" s="73"/>
      <c r="AH201" s="88"/>
      <c r="AI201" s="88"/>
    </row>
    <row r="202" spans="1:35">
      <c r="A202" s="42"/>
      <c r="B202" s="42"/>
      <c r="C202" s="38"/>
      <c r="D202" s="38"/>
      <c r="E202" s="38"/>
      <c r="F202" s="44"/>
      <c r="G202" s="42"/>
      <c r="H202" s="79"/>
      <c r="I202" s="38"/>
      <c r="J202" s="38"/>
      <c r="K202" s="46"/>
      <c r="L202" s="47"/>
      <c r="M202" s="46"/>
      <c r="N202" s="46"/>
      <c r="O202" s="62"/>
      <c r="P202" s="74"/>
      <c r="Q202" s="14"/>
      <c r="R202" s="67"/>
      <c r="S202" s="67"/>
      <c r="T202" s="67"/>
      <c r="U202" s="52"/>
      <c r="V202" s="53"/>
      <c r="W202" s="60"/>
      <c r="X202" s="56"/>
      <c r="Y202" s="38"/>
      <c r="Z202" s="38"/>
      <c r="AA202" s="73"/>
      <c r="AB202" s="73"/>
      <c r="AC202" s="73"/>
      <c r="AD202" s="73"/>
      <c r="AE202" s="73"/>
      <c r="AF202" s="73"/>
      <c r="AG202" s="73"/>
      <c r="AH202" s="88"/>
      <c r="AI202" s="88"/>
    </row>
    <row r="203" spans="1:35">
      <c r="A203" s="42"/>
      <c r="B203" s="42"/>
      <c r="C203" s="38"/>
      <c r="D203" s="38"/>
      <c r="E203" s="38"/>
      <c r="F203" s="44"/>
      <c r="G203" s="42"/>
      <c r="H203" s="79"/>
      <c r="I203" s="38"/>
      <c r="J203" s="38"/>
      <c r="K203" s="46"/>
      <c r="L203" s="47"/>
      <c r="M203" s="46"/>
      <c r="N203" s="46"/>
      <c r="O203" s="62"/>
      <c r="P203" s="74"/>
      <c r="Q203" s="14"/>
      <c r="R203" s="67"/>
      <c r="S203" s="67"/>
      <c r="T203" s="67"/>
      <c r="U203" s="52"/>
      <c r="V203" s="53"/>
      <c r="W203" s="60"/>
      <c r="X203" s="71"/>
      <c r="Y203" s="42"/>
      <c r="Z203" s="42"/>
      <c r="AA203" s="73"/>
      <c r="AB203" s="73"/>
      <c r="AC203" s="73"/>
      <c r="AD203" s="73"/>
      <c r="AE203" s="73"/>
      <c r="AF203" s="73"/>
      <c r="AG203" s="73"/>
      <c r="AH203" s="88"/>
      <c r="AI203" s="88"/>
    </row>
    <row r="204" spans="1:35">
      <c r="A204" s="42"/>
      <c r="B204" s="42"/>
      <c r="C204" s="38"/>
      <c r="D204" s="38"/>
      <c r="E204" s="38"/>
      <c r="F204" s="44"/>
      <c r="G204" s="42"/>
      <c r="H204" s="79"/>
      <c r="I204" s="38"/>
      <c r="J204" s="38"/>
      <c r="K204" s="46"/>
      <c r="L204" s="47"/>
      <c r="M204" s="46"/>
      <c r="N204" s="46"/>
      <c r="O204" s="62"/>
      <c r="P204" s="74"/>
      <c r="Q204" s="14"/>
      <c r="R204" s="67"/>
      <c r="S204" s="67"/>
      <c r="T204" s="67"/>
      <c r="U204" s="52"/>
      <c r="V204" s="53"/>
      <c r="W204" s="60"/>
      <c r="X204" s="56"/>
      <c r="Y204" s="38"/>
      <c r="Z204" s="38"/>
      <c r="AA204" s="73"/>
      <c r="AB204" s="73"/>
      <c r="AC204" s="73"/>
      <c r="AD204" s="73"/>
      <c r="AE204" s="73"/>
      <c r="AF204" s="73"/>
      <c r="AG204" s="73"/>
      <c r="AH204" s="88"/>
      <c r="AI204" s="88"/>
    </row>
    <row r="205" spans="1:35">
      <c r="A205" s="42"/>
      <c r="B205" s="42"/>
      <c r="C205" s="38"/>
      <c r="D205" s="38"/>
      <c r="E205" s="38"/>
      <c r="F205" s="44"/>
      <c r="G205" s="42"/>
      <c r="H205" s="79"/>
      <c r="I205" s="38"/>
      <c r="J205" s="38"/>
      <c r="K205" s="46"/>
      <c r="L205" s="47"/>
      <c r="M205" s="46"/>
      <c r="N205" s="46"/>
      <c r="O205" s="62"/>
      <c r="P205" s="74"/>
      <c r="Q205" s="14"/>
      <c r="R205" s="67"/>
      <c r="S205" s="67"/>
      <c r="T205" s="67"/>
      <c r="U205" s="52"/>
      <c r="V205" s="53"/>
      <c r="W205" s="60"/>
      <c r="X205" s="56"/>
      <c r="Y205" s="38"/>
      <c r="Z205" s="38"/>
      <c r="AA205" s="73"/>
      <c r="AB205" s="73"/>
      <c r="AC205" s="73"/>
      <c r="AD205" s="73"/>
      <c r="AE205" s="73"/>
      <c r="AF205" s="73"/>
      <c r="AG205" s="73"/>
      <c r="AH205" s="88"/>
      <c r="AI205" s="88"/>
    </row>
    <row r="206" spans="1:35">
      <c r="A206" s="42"/>
      <c r="B206" s="42"/>
      <c r="C206" s="38"/>
      <c r="D206" s="38"/>
      <c r="E206" s="38"/>
      <c r="F206" s="44"/>
      <c r="G206" s="42"/>
      <c r="H206" s="79"/>
      <c r="I206" s="38"/>
      <c r="J206" s="38"/>
      <c r="K206" s="46"/>
      <c r="L206" s="47"/>
      <c r="M206" s="46"/>
      <c r="N206" s="46"/>
      <c r="O206" s="62"/>
      <c r="P206" s="74"/>
      <c r="Q206" s="14"/>
      <c r="R206" s="67"/>
      <c r="S206" s="67"/>
      <c r="T206" s="67"/>
      <c r="U206" s="52"/>
      <c r="V206" s="53"/>
      <c r="W206" s="60"/>
      <c r="X206" s="56"/>
      <c r="Y206" s="38"/>
      <c r="Z206" s="38"/>
      <c r="AA206" s="73"/>
      <c r="AB206" s="73"/>
      <c r="AC206" s="73"/>
      <c r="AD206" s="73"/>
      <c r="AE206" s="73"/>
      <c r="AF206" s="73"/>
      <c r="AG206" s="73"/>
      <c r="AH206" s="88"/>
      <c r="AI206" s="88"/>
    </row>
    <row r="207" spans="1:35">
      <c r="A207" s="42"/>
      <c r="B207" s="42"/>
      <c r="C207" s="38"/>
      <c r="D207" s="38"/>
      <c r="E207" s="38"/>
      <c r="F207" s="44"/>
      <c r="G207" s="42"/>
      <c r="H207" s="79"/>
      <c r="I207" s="38"/>
      <c r="J207" s="38"/>
      <c r="K207" s="46"/>
      <c r="L207" s="47"/>
      <c r="M207" s="46"/>
      <c r="N207" s="46"/>
      <c r="O207" s="62"/>
      <c r="P207" s="74"/>
      <c r="Q207" s="14"/>
      <c r="R207" s="67"/>
      <c r="S207" s="67"/>
      <c r="T207" s="67"/>
      <c r="U207" s="52"/>
      <c r="V207" s="53"/>
      <c r="W207" s="60"/>
      <c r="X207" s="56"/>
      <c r="Y207" s="38"/>
      <c r="Z207" s="38"/>
      <c r="AA207" s="73"/>
      <c r="AB207" s="73"/>
      <c r="AC207" s="73"/>
      <c r="AD207" s="73"/>
      <c r="AE207" s="73"/>
      <c r="AF207" s="73"/>
      <c r="AG207" s="73"/>
      <c r="AH207" s="88"/>
      <c r="AI207" s="88"/>
    </row>
    <row r="208" spans="1:35">
      <c r="A208" s="38"/>
      <c r="B208" s="38"/>
      <c r="C208" s="38"/>
      <c r="D208" s="38"/>
      <c r="E208" s="38"/>
      <c r="F208" s="43"/>
      <c r="G208" s="44"/>
      <c r="H208" s="45"/>
      <c r="I208" s="38"/>
      <c r="J208" s="38"/>
      <c r="K208" s="46"/>
      <c r="L208" s="47"/>
      <c r="M208" s="46"/>
      <c r="N208" s="46"/>
      <c r="O208" s="38"/>
      <c r="P208" s="38"/>
      <c r="Q208" s="14"/>
      <c r="R208" s="50"/>
      <c r="S208" s="50"/>
      <c r="T208" s="50"/>
      <c r="U208" s="52"/>
      <c r="V208" s="53"/>
      <c r="W208" s="60"/>
      <c r="X208" s="123"/>
      <c r="Y208" s="117"/>
      <c r="Z208" s="117"/>
      <c r="AH208" s="88"/>
      <c r="AI208" s="88"/>
    </row>
    <row r="209" spans="1:35">
      <c r="A209" s="38"/>
      <c r="B209" s="38"/>
      <c r="C209" s="38"/>
      <c r="D209" s="38"/>
      <c r="E209" s="38"/>
      <c r="F209" s="43"/>
      <c r="G209" s="44"/>
      <c r="H209" s="45"/>
      <c r="I209" s="38"/>
      <c r="J209" s="38"/>
      <c r="K209" s="46"/>
      <c r="L209" s="47"/>
      <c r="M209" s="46"/>
      <c r="N209" s="46"/>
      <c r="O209" s="38"/>
      <c r="P209" s="38"/>
      <c r="Q209" s="14"/>
      <c r="R209" s="50"/>
      <c r="S209" s="50"/>
      <c r="T209" s="50"/>
      <c r="U209" s="52"/>
      <c r="V209" s="53"/>
      <c r="W209" s="60"/>
      <c r="X209" s="123"/>
      <c r="Y209" s="117"/>
      <c r="Z209" s="117"/>
      <c r="AH209" s="88"/>
      <c r="AI209" s="88"/>
    </row>
    <row r="210" spans="1:35">
      <c r="A210" s="38"/>
      <c r="B210" s="42"/>
      <c r="C210" s="38"/>
      <c r="D210" s="42"/>
      <c r="E210" s="38"/>
      <c r="F210" s="43"/>
      <c r="G210" s="44"/>
      <c r="H210" s="45"/>
      <c r="I210" s="38"/>
      <c r="J210" s="38"/>
      <c r="K210" s="46"/>
      <c r="L210" s="47"/>
      <c r="M210" s="46"/>
      <c r="N210" s="46"/>
      <c r="O210" s="38"/>
      <c r="P210" s="65"/>
      <c r="Q210" s="14"/>
      <c r="R210" s="50"/>
      <c r="S210" s="50"/>
      <c r="T210" s="50"/>
      <c r="U210" s="52"/>
      <c r="V210" s="53"/>
      <c r="W210" s="60"/>
      <c r="X210" s="123"/>
      <c r="Y210" s="117"/>
      <c r="Z210" s="117"/>
      <c r="AH210" s="88"/>
      <c r="AI210" s="88"/>
    </row>
    <row r="211" spans="1:35">
      <c r="A211" s="126"/>
      <c r="B211" s="42"/>
      <c r="C211" s="38"/>
      <c r="D211" s="42"/>
      <c r="E211" s="117"/>
      <c r="F211" s="117"/>
      <c r="G211" s="116"/>
      <c r="H211" s="117"/>
      <c r="I211" s="117"/>
      <c r="J211" s="117"/>
      <c r="K211" s="46"/>
      <c r="L211" s="117"/>
      <c r="M211" s="46"/>
      <c r="N211" s="46"/>
      <c r="O211" s="62"/>
      <c r="P211" s="118"/>
      <c r="Q211" s="14"/>
      <c r="R211" s="119"/>
      <c r="S211" s="119"/>
      <c r="T211" s="119"/>
      <c r="U211" s="120"/>
      <c r="V211" s="121"/>
      <c r="W211" s="122"/>
      <c r="X211" s="123"/>
      <c r="Y211" s="117"/>
      <c r="Z211" s="117"/>
      <c r="AH211" s="88"/>
      <c r="AI211" s="88"/>
    </row>
    <row r="212" spans="1:35">
      <c r="A212" s="126"/>
      <c r="B212" s="42"/>
      <c r="C212" s="38"/>
      <c r="D212" s="42"/>
      <c r="E212" s="117"/>
      <c r="F212" s="117"/>
      <c r="G212" s="116"/>
      <c r="H212" s="116"/>
      <c r="I212" s="117"/>
      <c r="J212" s="117"/>
      <c r="K212" s="46"/>
      <c r="L212" s="117"/>
      <c r="M212" s="46"/>
      <c r="N212" s="46"/>
      <c r="O212" s="62"/>
      <c r="P212" s="118"/>
      <c r="Q212" s="14"/>
      <c r="R212" s="119"/>
      <c r="S212" s="119"/>
      <c r="T212" s="119"/>
      <c r="U212" s="120"/>
      <c r="V212" s="121"/>
      <c r="W212" s="122"/>
      <c r="X212" s="123"/>
      <c r="Y212" s="117"/>
      <c r="Z212" s="117"/>
      <c r="AH212" s="88"/>
      <c r="AI212" s="88"/>
    </row>
    <row r="213" spans="1:35">
      <c r="A213" s="126"/>
      <c r="B213" s="42"/>
      <c r="C213" s="38"/>
      <c r="D213" s="42"/>
      <c r="E213" s="117"/>
      <c r="F213" s="117"/>
      <c r="G213" s="116"/>
      <c r="H213" s="117"/>
      <c r="I213" s="117"/>
      <c r="J213" s="117"/>
      <c r="K213" s="46"/>
      <c r="L213" s="117"/>
      <c r="M213" s="46"/>
      <c r="N213" s="46"/>
      <c r="O213" s="62"/>
      <c r="P213" s="118"/>
      <c r="Q213" s="14"/>
      <c r="R213" s="119"/>
      <c r="S213" s="119"/>
      <c r="T213" s="119"/>
      <c r="U213" s="120"/>
      <c r="V213" s="121"/>
      <c r="W213" s="122"/>
      <c r="X213" s="123"/>
      <c r="Y213" s="117"/>
      <c r="Z213" s="117"/>
      <c r="AH213" s="88"/>
      <c r="AI213" s="88"/>
    </row>
    <row r="214" spans="1:35">
      <c r="A214" s="126"/>
      <c r="B214" s="42"/>
      <c r="C214" s="38"/>
      <c r="D214" s="42"/>
      <c r="E214" s="117"/>
      <c r="F214" s="117"/>
      <c r="G214" s="116"/>
      <c r="H214" s="117"/>
      <c r="I214" s="117"/>
      <c r="J214" s="117"/>
      <c r="K214" s="46"/>
      <c r="L214" s="117"/>
      <c r="M214" s="46"/>
      <c r="N214" s="46"/>
      <c r="O214" s="62"/>
      <c r="P214" s="118"/>
      <c r="Q214" s="14"/>
      <c r="R214" s="119"/>
      <c r="S214" s="119"/>
      <c r="T214" s="119"/>
      <c r="U214" s="120"/>
      <c r="V214" s="121"/>
      <c r="W214" s="122"/>
      <c r="X214" s="123"/>
      <c r="Y214" s="117"/>
      <c r="Z214" s="117"/>
      <c r="AH214" s="88"/>
      <c r="AI214" s="88"/>
    </row>
    <row r="215" spans="1:35">
      <c r="A215" s="126"/>
      <c r="B215" s="127"/>
      <c r="C215" s="38"/>
      <c r="D215" s="127"/>
      <c r="E215" s="117"/>
      <c r="F215" s="117"/>
      <c r="G215" s="116"/>
      <c r="H215" s="117"/>
      <c r="I215" s="117"/>
      <c r="J215" s="117"/>
      <c r="K215" s="46"/>
      <c r="L215" s="117"/>
      <c r="M215" s="46"/>
      <c r="N215" s="46"/>
      <c r="O215" s="62"/>
      <c r="P215" s="118"/>
      <c r="Q215" s="14"/>
      <c r="R215" s="119"/>
      <c r="S215" s="119"/>
      <c r="T215" s="119"/>
      <c r="U215" s="120"/>
      <c r="V215" s="121"/>
      <c r="W215" s="122"/>
      <c r="X215" s="123"/>
      <c r="Y215" s="117"/>
      <c r="Z215" s="117"/>
      <c r="AH215" s="88"/>
      <c r="AI215" s="88"/>
    </row>
    <row r="216" spans="1:35">
      <c r="A216" s="126"/>
      <c r="B216" s="127"/>
      <c r="C216" s="38"/>
      <c r="D216" s="127"/>
      <c r="E216" s="117"/>
      <c r="F216" s="117"/>
      <c r="G216" s="116"/>
      <c r="H216" s="116"/>
      <c r="I216" s="117"/>
      <c r="J216" s="117"/>
      <c r="K216" s="46"/>
      <c r="L216" s="117"/>
      <c r="M216" s="46"/>
      <c r="N216" s="46"/>
      <c r="O216" s="62"/>
      <c r="P216" s="118"/>
      <c r="Q216" s="14"/>
      <c r="R216" s="119"/>
      <c r="S216" s="119"/>
      <c r="T216" s="119"/>
      <c r="U216" s="120"/>
      <c r="V216" s="121"/>
      <c r="W216" s="122"/>
      <c r="X216" s="123"/>
      <c r="Y216" s="117"/>
      <c r="Z216" s="117"/>
      <c r="AH216" s="88"/>
      <c r="AI216" s="88"/>
    </row>
    <row r="217" spans="1:35">
      <c r="A217" s="126"/>
      <c r="B217" s="127"/>
      <c r="C217" s="38"/>
      <c r="D217" s="127"/>
      <c r="E217" s="117"/>
      <c r="F217" s="117"/>
      <c r="G217" s="116"/>
      <c r="H217" s="117"/>
      <c r="I217" s="117"/>
      <c r="J217" s="117"/>
      <c r="K217" s="46"/>
      <c r="L217" s="117"/>
      <c r="M217" s="46"/>
      <c r="N217" s="46"/>
      <c r="O217" s="62"/>
      <c r="P217" s="118"/>
      <c r="Q217" s="14"/>
      <c r="R217" s="119"/>
      <c r="S217" s="119"/>
      <c r="T217" s="119"/>
      <c r="U217" s="120"/>
      <c r="V217" s="121"/>
      <c r="W217" s="122"/>
      <c r="X217" s="123"/>
      <c r="Y217" s="117"/>
      <c r="Z217" s="117"/>
      <c r="AH217" s="88"/>
      <c r="AI217" s="88"/>
    </row>
    <row r="218" spans="1:35">
      <c r="A218" s="126"/>
      <c r="B218" s="127"/>
      <c r="C218" s="38"/>
      <c r="D218" s="127"/>
      <c r="E218" s="117"/>
      <c r="F218" s="117"/>
      <c r="G218" s="116"/>
      <c r="H218" s="116"/>
      <c r="I218" s="117"/>
      <c r="J218" s="117"/>
      <c r="K218" s="46"/>
      <c r="L218" s="117"/>
      <c r="M218" s="46"/>
      <c r="N218" s="46"/>
      <c r="O218" s="62"/>
      <c r="P218" s="118"/>
      <c r="Q218" s="14"/>
      <c r="R218" s="119"/>
      <c r="S218" s="119"/>
      <c r="T218" s="119"/>
      <c r="U218" s="120"/>
      <c r="V218" s="121"/>
      <c r="W218" s="122"/>
      <c r="X218" s="123"/>
      <c r="Y218" s="117"/>
      <c r="Z218" s="117"/>
      <c r="AH218" s="88"/>
      <c r="AI218" s="88"/>
    </row>
    <row r="219" spans="1:35">
      <c r="A219" s="126"/>
      <c r="B219" s="127"/>
      <c r="C219" s="38"/>
      <c r="D219" s="127"/>
      <c r="E219" s="117"/>
      <c r="F219" s="117"/>
      <c r="G219" s="116"/>
      <c r="H219" s="117"/>
      <c r="I219" s="117"/>
      <c r="J219" s="117"/>
      <c r="K219" s="46"/>
      <c r="L219" s="117"/>
      <c r="M219" s="46"/>
      <c r="N219" s="46"/>
      <c r="O219" s="62"/>
      <c r="P219" s="118"/>
      <c r="Q219" s="14"/>
      <c r="R219" s="119"/>
      <c r="S219" s="119"/>
      <c r="T219" s="119"/>
      <c r="U219" s="120"/>
      <c r="V219" s="121"/>
      <c r="W219" s="122"/>
      <c r="X219" s="123"/>
      <c r="Y219" s="117"/>
      <c r="Z219" s="117"/>
      <c r="AH219" s="88"/>
      <c r="AI219" s="88"/>
    </row>
    <row r="220" spans="1:35">
      <c r="A220" s="126"/>
      <c r="B220" s="127"/>
      <c r="C220" s="38"/>
      <c r="D220" s="127"/>
      <c r="E220" s="117"/>
      <c r="F220" s="117"/>
      <c r="G220" s="116"/>
      <c r="H220" s="117"/>
      <c r="I220" s="117"/>
      <c r="J220" s="117"/>
      <c r="K220" s="46"/>
      <c r="L220" s="117"/>
      <c r="M220" s="46"/>
      <c r="N220" s="46"/>
      <c r="O220" s="62"/>
      <c r="P220" s="118"/>
      <c r="Q220" s="14"/>
      <c r="R220" s="119"/>
      <c r="S220" s="119"/>
      <c r="T220" s="119"/>
      <c r="U220" s="120"/>
      <c r="V220" s="121"/>
      <c r="W220" s="122"/>
      <c r="X220" s="123"/>
      <c r="Y220" s="117"/>
      <c r="Z220" s="117"/>
      <c r="AH220" s="88"/>
      <c r="AI220" s="88"/>
    </row>
    <row r="221" spans="1:35">
      <c r="A221" s="38"/>
      <c r="B221" s="38"/>
      <c r="C221" s="38"/>
      <c r="D221" s="38"/>
      <c r="E221" s="38"/>
      <c r="F221" s="43"/>
      <c r="G221" s="44"/>
      <c r="H221" s="45"/>
      <c r="I221" s="38"/>
      <c r="J221" s="38"/>
      <c r="K221" s="46"/>
      <c r="L221" s="47"/>
      <c r="M221" s="46"/>
      <c r="N221" s="46"/>
      <c r="O221" s="38"/>
      <c r="P221" s="38"/>
      <c r="Q221" s="14"/>
      <c r="R221" s="50"/>
      <c r="S221" s="50"/>
      <c r="T221" s="50"/>
      <c r="U221" s="52"/>
      <c r="V221" s="53"/>
      <c r="W221" s="60"/>
      <c r="X221" s="123"/>
      <c r="Y221" s="117"/>
      <c r="Z221" s="117"/>
      <c r="AH221" s="88"/>
      <c r="AI221" s="88"/>
    </row>
    <row r="222" spans="1:35">
      <c r="A222" s="38"/>
      <c r="B222" s="38"/>
      <c r="C222" s="38"/>
      <c r="D222" s="38"/>
      <c r="E222" s="38"/>
      <c r="F222" s="43"/>
      <c r="G222" s="44"/>
      <c r="H222" s="45"/>
      <c r="I222" s="38"/>
      <c r="J222" s="38"/>
      <c r="K222" s="46"/>
      <c r="L222" s="47"/>
      <c r="M222" s="46"/>
      <c r="N222" s="46"/>
      <c r="O222" s="38"/>
      <c r="P222" s="38"/>
      <c r="Q222" s="14"/>
      <c r="R222" s="50"/>
      <c r="S222" s="50"/>
      <c r="T222" s="50"/>
      <c r="U222" s="52"/>
      <c r="V222" s="53"/>
      <c r="W222" s="60"/>
      <c r="X222" s="123"/>
      <c r="Y222" s="117"/>
      <c r="Z222" s="117"/>
      <c r="AH222" s="88"/>
      <c r="AI222" s="88"/>
    </row>
    <row r="223" spans="1:35">
      <c r="A223" s="38"/>
      <c r="B223" s="38"/>
      <c r="C223" s="38"/>
      <c r="D223" s="38"/>
      <c r="E223" s="38"/>
      <c r="F223" s="43"/>
      <c r="G223" s="44"/>
      <c r="H223" s="45"/>
      <c r="I223" s="38"/>
      <c r="J223" s="38"/>
      <c r="K223" s="46"/>
      <c r="L223" s="47"/>
      <c r="M223" s="46"/>
      <c r="N223" s="46"/>
      <c r="O223" s="38"/>
      <c r="P223" s="38"/>
      <c r="Q223" s="14"/>
      <c r="R223" s="50"/>
      <c r="S223" s="50"/>
      <c r="T223" s="50"/>
      <c r="U223" s="52"/>
      <c r="V223" s="53"/>
      <c r="W223" s="60"/>
      <c r="X223" s="123"/>
      <c r="Y223" s="117"/>
      <c r="Z223" s="117"/>
      <c r="AH223" s="88"/>
      <c r="AI223" s="88"/>
    </row>
    <row r="224" spans="1:35">
      <c r="A224" s="38"/>
      <c r="B224" s="38"/>
      <c r="C224" s="38"/>
      <c r="D224" s="38"/>
      <c r="E224" s="38"/>
      <c r="F224" s="43"/>
      <c r="G224" s="44"/>
      <c r="H224" s="45"/>
      <c r="I224" s="38"/>
      <c r="J224" s="38"/>
      <c r="K224" s="46"/>
      <c r="L224" s="47"/>
      <c r="M224" s="46"/>
      <c r="N224" s="46"/>
      <c r="O224" s="38"/>
      <c r="P224" s="38"/>
      <c r="Q224" s="14"/>
      <c r="R224" s="50"/>
      <c r="S224" s="50"/>
      <c r="T224" s="50"/>
      <c r="U224" s="52"/>
      <c r="V224" s="53"/>
      <c r="W224" s="60"/>
      <c r="X224" s="123"/>
      <c r="Y224" s="117"/>
      <c r="Z224" s="117"/>
      <c r="AH224" s="88"/>
      <c r="AI224" s="88"/>
    </row>
    <row r="225" spans="1:35">
      <c r="A225" s="38"/>
      <c r="B225" s="38"/>
      <c r="C225" s="38"/>
      <c r="D225" s="38"/>
      <c r="E225" s="38"/>
      <c r="F225" s="43"/>
      <c r="G225" s="44"/>
      <c r="H225" s="45"/>
      <c r="I225" s="38"/>
      <c r="J225" s="38"/>
      <c r="K225" s="46"/>
      <c r="L225" s="47"/>
      <c r="M225" s="46"/>
      <c r="N225" s="46"/>
      <c r="O225" s="38"/>
      <c r="P225" s="38"/>
      <c r="Q225" s="14"/>
      <c r="R225" s="50"/>
      <c r="S225" s="50"/>
      <c r="T225" s="50"/>
      <c r="U225" s="52"/>
      <c r="V225" s="53"/>
      <c r="W225" s="60"/>
      <c r="X225" s="123"/>
      <c r="Y225" s="117"/>
      <c r="Z225" s="117"/>
      <c r="AH225" s="88"/>
      <c r="AI225" s="88"/>
    </row>
    <row r="226" spans="1:35">
      <c r="A226" s="38"/>
      <c r="B226" s="38"/>
      <c r="C226" s="38"/>
      <c r="D226" s="38"/>
      <c r="E226" s="38"/>
      <c r="F226" s="43"/>
      <c r="G226" s="44"/>
      <c r="H226" s="45"/>
      <c r="I226" s="38"/>
      <c r="J226" s="38"/>
      <c r="K226" s="46"/>
      <c r="L226" s="47"/>
      <c r="M226" s="46"/>
      <c r="N226" s="46"/>
      <c r="O226" s="38"/>
      <c r="P226" s="38"/>
      <c r="Q226" s="14"/>
      <c r="R226" s="50"/>
      <c r="S226" s="50"/>
      <c r="T226" s="50"/>
      <c r="U226" s="52"/>
      <c r="V226" s="53"/>
      <c r="W226" s="60"/>
      <c r="X226" s="123"/>
      <c r="Y226" s="117"/>
      <c r="Z226" s="117"/>
      <c r="AH226" s="88"/>
      <c r="AI226" s="88"/>
    </row>
    <row r="227" spans="1:35">
      <c r="A227" s="38"/>
      <c r="B227" s="38"/>
      <c r="C227" s="38"/>
      <c r="D227" s="38"/>
      <c r="E227" s="38"/>
      <c r="F227" s="43"/>
      <c r="G227" s="44"/>
      <c r="H227" s="45"/>
      <c r="I227" s="38"/>
      <c r="J227" s="38"/>
      <c r="K227" s="46"/>
      <c r="L227" s="47"/>
      <c r="M227" s="46"/>
      <c r="N227" s="46"/>
      <c r="O227" s="38"/>
      <c r="P227" s="38"/>
      <c r="Q227" s="14"/>
      <c r="R227" s="50"/>
      <c r="S227" s="50"/>
      <c r="T227" s="50"/>
      <c r="U227" s="52"/>
      <c r="V227" s="53"/>
      <c r="W227" s="60"/>
      <c r="X227" s="123"/>
      <c r="Y227" s="117"/>
      <c r="Z227" s="117"/>
      <c r="AH227" s="88"/>
      <c r="AI227" s="88"/>
    </row>
    <row r="228" spans="1:35" ht="20.25" customHeight="1">
      <c r="A228" s="38"/>
      <c r="B228" s="42"/>
      <c r="C228" s="38"/>
      <c r="D228" s="42"/>
      <c r="E228" s="38"/>
      <c r="F228" s="43"/>
      <c r="G228" s="63"/>
      <c r="H228" s="58"/>
      <c r="I228" s="38"/>
      <c r="J228" s="38"/>
      <c r="K228" s="46"/>
      <c r="L228" s="47"/>
      <c r="M228" s="46"/>
      <c r="N228" s="46"/>
      <c r="O228" s="38"/>
      <c r="P228" s="38"/>
      <c r="Q228" s="14"/>
      <c r="R228" s="50"/>
      <c r="S228" s="50"/>
      <c r="T228" s="50"/>
      <c r="U228" s="52"/>
      <c r="V228" s="53"/>
      <c r="W228" s="60"/>
      <c r="X228" s="129"/>
      <c r="Y228" s="116"/>
      <c r="Z228" s="116"/>
      <c r="AH228" s="88"/>
      <c r="AI228" s="88"/>
    </row>
    <row r="229" spans="1:35">
      <c r="A229" s="38"/>
      <c r="B229" s="42"/>
      <c r="C229" s="38"/>
      <c r="D229" s="42"/>
      <c r="E229" s="38"/>
      <c r="F229" s="43"/>
      <c r="G229" s="44"/>
      <c r="H229" s="45"/>
      <c r="I229" s="38"/>
      <c r="J229" s="38"/>
      <c r="K229" s="46"/>
      <c r="L229" s="47"/>
      <c r="M229" s="46"/>
      <c r="N229" s="46"/>
      <c r="O229" s="38"/>
      <c r="P229" s="38"/>
      <c r="Q229" s="14"/>
      <c r="R229" s="67"/>
      <c r="S229" s="67"/>
      <c r="T229" s="67"/>
      <c r="U229" s="52"/>
      <c r="V229" s="53"/>
      <c r="W229" s="57"/>
      <c r="X229" s="123"/>
      <c r="Y229" s="117"/>
      <c r="Z229" s="117"/>
      <c r="AH229" s="88"/>
      <c r="AI229" s="88"/>
    </row>
    <row r="230" spans="1:35">
      <c r="A230" s="42"/>
      <c r="B230" s="42"/>
      <c r="C230" s="38"/>
      <c r="D230" s="42"/>
      <c r="E230" s="38"/>
      <c r="F230" s="44"/>
      <c r="G230" s="42"/>
      <c r="H230" s="79"/>
      <c r="I230" s="38"/>
      <c r="J230" s="38"/>
      <c r="K230" s="46"/>
      <c r="L230" s="47"/>
      <c r="M230" s="46"/>
      <c r="N230" s="46"/>
      <c r="O230" s="62"/>
      <c r="P230" s="118"/>
      <c r="Q230" s="14"/>
      <c r="R230" s="67"/>
      <c r="S230" s="67"/>
      <c r="T230" s="67"/>
      <c r="U230" s="120"/>
      <c r="V230" s="121"/>
      <c r="W230" s="122"/>
      <c r="X230" s="123"/>
      <c r="Y230" s="117"/>
      <c r="Z230" s="117"/>
      <c r="AH230" s="88"/>
      <c r="AI230" s="88"/>
    </row>
    <row r="231" spans="1:35">
      <c r="A231" s="42"/>
      <c r="B231" s="42"/>
      <c r="C231" s="38"/>
      <c r="D231" s="42"/>
      <c r="E231" s="38"/>
      <c r="F231" s="44"/>
      <c r="G231" s="42"/>
      <c r="H231" s="79"/>
      <c r="I231" s="38"/>
      <c r="J231" s="38"/>
      <c r="K231" s="46"/>
      <c r="L231" s="47"/>
      <c r="M231" s="46"/>
      <c r="N231" s="46"/>
      <c r="O231" s="62"/>
      <c r="P231" s="118"/>
      <c r="Q231" s="14"/>
      <c r="R231" s="67"/>
      <c r="S231" s="67"/>
      <c r="T231" s="67"/>
      <c r="U231" s="120"/>
      <c r="V231" s="121"/>
      <c r="W231" s="122"/>
      <c r="X231" s="123"/>
      <c r="Y231" s="117"/>
      <c r="Z231" s="117"/>
      <c r="AH231" s="88"/>
      <c r="AI231" s="88"/>
    </row>
    <row r="232" spans="1:35">
      <c r="A232" s="42"/>
      <c r="B232" s="42"/>
      <c r="C232" s="38"/>
      <c r="D232" s="42"/>
      <c r="E232" s="38"/>
      <c r="F232" s="44"/>
      <c r="G232" s="42"/>
      <c r="H232" s="79"/>
      <c r="I232" s="38"/>
      <c r="J232" s="38"/>
      <c r="K232" s="46"/>
      <c r="L232" s="47"/>
      <c r="M232" s="46"/>
      <c r="N232" s="46"/>
      <c r="O232" s="62"/>
      <c r="P232" s="118"/>
      <c r="Q232" s="14"/>
      <c r="R232" s="67"/>
      <c r="S232" s="67"/>
      <c r="T232" s="67"/>
      <c r="U232" s="120"/>
      <c r="V232" s="121"/>
      <c r="W232" s="122"/>
      <c r="X232" s="123"/>
      <c r="Y232" s="117"/>
      <c r="Z232" s="117"/>
      <c r="AH232" s="88"/>
      <c r="AI232" s="88"/>
    </row>
    <row r="233" spans="1:35">
      <c r="A233" s="42"/>
      <c r="B233" s="42"/>
      <c r="C233" s="38"/>
      <c r="D233" s="42"/>
      <c r="E233" s="38"/>
      <c r="F233" s="44"/>
      <c r="G233" s="42"/>
      <c r="H233" s="79"/>
      <c r="I233" s="38"/>
      <c r="J233" s="38"/>
      <c r="K233" s="46"/>
      <c r="L233" s="47"/>
      <c r="M233" s="46"/>
      <c r="N233" s="46"/>
      <c r="O233" s="62"/>
      <c r="P233" s="118"/>
      <c r="Q233" s="14"/>
      <c r="R233" s="67"/>
      <c r="S233" s="67"/>
      <c r="T233" s="67"/>
      <c r="U233" s="120"/>
      <c r="V233" s="121"/>
      <c r="W233" s="122"/>
      <c r="X233" s="123"/>
      <c r="Y233" s="117"/>
      <c r="Z233" s="117"/>
      <c r="AH233" s="88"/>
      <c r="AI233" s="88"/>
    </row>
    <row r="234" spans="1:35">
      <c r="A234" s="42"/>
      <c r="B234" s="42"/>
      <c r="C234" s="38"/>
      <c r="D234" s="42"/>
      <c r="E234" s="38"/>
      <c r="F234" s="44"/>
      <c r="G234" s="42"/>
      <c r="H234" s="79"/>
      <c r="I234" s="38"/>
      <c r="J234" s="38"/>
      <c r="K234" s="46"/>
      <c r="L234" s="47"/>
      <c r="M234" s="46"/>
      <c r="N234" s="46"/>
      <c r="O234" s="62"/>
      <c r="P234" s="118"/>
      <c r="Q234" s="14"/>
      <c r="R234" s="67"/>
      <c r="S234" s="67"/>
      <c r="T234" s="67"/>
      <c r="U234" s="120"/>
      <c r="V234" s="121"/>
      <c r="W234" s="122"/>
      <c r="X234" s="123"/>
      <c r="Y234" s="117"/>
      <c r="Z234" s="117"/>
      <c r="AH234" s="88"/>
      <c r="AI234" s="88"/>
    </row>
    <row r="235" spans="1:35">
      <c r="A235" s="42"/>
      <c r="B235" s="42"/>
      <c r="C235" s="38"/>
      <c r="D235" s="42"/>
      <c r="E235" s="38"/>
      <c r="F235" s="44"/>
      <c r="G235" s="42"/>
      <c r="H235" s="79"/>
      <c r="I235" s="38"/>
      <c r="J235" s="38"/>
      <c r="K235" s="46"/>
      <c r="L235" s="47"/>
      <c r="M235" s="46"/>
      <c r="N235" s="46"/>
      <c r="O235" s="62"/>
      <c r="P235" s="118"/>
      <c r="Q235" s="14"/>
      <c r="R235" s="67"/>
      <c r="S235" s="67"/>
      <c r="T235" s="67"/>
      <c r="U235" s="120"/>
      <c r="V235" s="121"/>
      <c r="W235" s="122"/>
      <c r="X235" s="123"/>
      <c r="Y235" s="117"/>
      <c r="Z235" s="117"/>
      <c r="AH235" s="88"/>
      <c r="AI235" s="88"/>
    </row>
    <row r="236" spans="1:35">
      <c r="A236" s="42"/>
      <c r="B236" s="42"/>
      <c r="C236" s="38"/>
      <c r="D236" s="42"/>
      <c r="E236" s="38"/>
      <c r="F236" s="44"/>
      <c r="G236" s="42"/>
      <c r="H236" s="79"/>
      <c r="I236" s="38"/>
      <c r="J236" s="38"/>
      <c r="K236" s="46"/>
      <c r="L236" s="47"/>
      <c r="M236" s="46"/>
      <c r="N236" s="46"/>
      <c r="O236" s="62"/>
      <c r="P236" s="118"/>
      <c r="Q236" s="14"/>
      <c r="R236" s="67"/>
      <c r="S236" s="67"/>
      <c r="T236" s="67"/>
      <c r="U236" s="120"/>
      <c r="V236" s="121"/>
      <c r="W236" s="122"/>
      <c r="X236" s="123"/>
      <c r="Y236" s="117"/>
      <c r="Z236" s="117"/>
      <c r="AH236" s="88"/>
      <c r="AI236" s="88"/>
    </row>
    <row r="237" spans="1:35">
      <c r="A237" s="42"/>
      <c r="B237" s="42"/>
      <c r="C237" s="38"/>
      <c r="D237" s="42"/>
      <c r="E237" s="38"/>
      <c r="F237" s="44"/>
      <c r="G237" s="42"/>
      <c r="H237" s="79"/>
      <c r="I237" s="38"/>
      <c r="J237" s="38"/>
      <c r="K237" s="46"/>
      <c r="L237" s="47"/>
      <c r="M237" s="46"/>
      <c r="N237" s="46"/>
      <c r="O237" s="62"/>
      <c r="P237" s="118"/>
      <c r="Q237" s="14"/>
      <c r="R237" s="67"/>
      <c r="S237" s="67"/>
      <c r="T237" s="67"/>
      <c r="U237" s="120"/>
      <c r="V237" s="121"/>
      <c r="W237" s="122"/>
      <c r="X237" s="123"/>
      <c r="Y237" s="117"/>
      <c r="Z237" s="117"/>
      <c r="AH237" s="88"/>
      <c r="AI237" s="88"/>
    </row>
    <row r="238" spans="1:35">
      <c r="A238" s="42"/>
      <c r="B238" s="42"/>
      <c r="C238" s="38"/>
      <c r="D238" s="42"/>
      <c r="E238" s="38"/>
      <c r="F238" s="44"/>
      <c r="G238" s="42"/>
      <c r="H238" s="79"/>
      <c r="I238" s="38"/>
      <c r="J238" s="38"/>
      <c r="K238" s="46"/>
      <c r="L238" s="47"/>
      <c r="M238" s="46"/>
      <c r="N238" s="46"/>
      <c r="O238" s="62"/>
      <c r="P238" s="118"/>
      <c r="Q238" s="14"/>
      <c r="R238" s="67"/>
      <c r="S238" s="67"/>
      <c r="T238" s="67"/>
      <c r="U238" s="120"/>
      <c r="V238" s="121"/>
      <c r="W238" s="122"/>
      <c r="X238" s="123"/>
      <c r="Y238" s="117"/>
      <c r="Z238" s="117"/>
      <c r="AH238" s="88"/>
      <c r="AI238" s="88"/>
    </row>
    <row r="239" spans="1:35">
      <c r="A239" s="42"/>
      <c r="B239" s="42"/>
      <c r="C239" s="38"/>
      <c r="D239" s="42"/>
      <c r="E239" s="38"/>
      <c r="F239" s="44"/>
      <c r="G239" s="42"/>
      <c r="H239" s="79"/>
      <c r="I239" s="38"/>
      <c r="J239" s="38"/>
      <c r="K239" s="46"/>
      <c r="L239" s="47"/>
      <c r="M239" s="46"/>
      <c r="N239" s="46"/>
      <c r="O239" s="62"/>
      <c r="P239" s="118"/>
      <c r="Q239" s="14"/>
      <c r="R239" s="67"/>
      <c r="S239" s="67"/>
      <c r="T239" s="67"/>
      <c r="U239" s="120"/>
      <c r="V239" s="121"/>
      <c r="W239" s="122"/>
      <c r="X239" s="123"/>
      <c r="Y239" s="117"/>
      <c r="Z239" s="117"/>
      <c r="AH239" s="88"/>
      <c r="AI239" s="88"/>
    </row>
    <row r="240" spans="1:35">
      <c r="A240" s="42"/>
      <c r="B240" s="42"/>
      <c r="C240" s="38"/>
      <c r="D240" s="42"/>
      <c r="E240" s="38"/>
      <c r="F240" s="44"/>
      <c r="G240" s="42"/>
      <c r="H240" s="14"/>
      <c r="I240" s="38"/>
      <c r="J240" s="38"/>
      <c r="K240" s="46"/>
      <c r="L240" s="47"/>
      <c r="M240" s="46"/>
      <c r="N240" s="46"/>
      <c r="O240" s="62"/>
      <c r="P240" s="118"/>
      <c r="Q240" s="14"/>
      <c r="R240" s="67"/>
      <c r="S240" s="67"/>
      <c r="T240" s="67"/>
      <c r="U240" s="120"/>
      <c r="V240" s="121"/>
      <c r="W240" s="122"/>
      <c r="X240" s="123"/>
      <c r="Y240" s="117"/>
      <c r="Z240" s="117"/>
      <c r="AH240" s="88"/>
      <c r="AI240" s="88"/>
    </row>
    <row r="241" spans="1:35">
      <c r="A241" s="42"/>
      <c r="B241" s="42"/>
      <c r="C241" s="38"/>
      <c r="D241" s="42"/>
      <c r="E241" s="38"/>
      <c r="F241" s="44"/>
      <c r="G241" s="42"/>
      <c r="H241" s="14"/>
      <c r="I241" s="38"/>
      <c r="J241" s="38"/>
      <c r="K241" s="46"/>
      <c r="L241" s="47"/>
      <c r="M241" s="46"/>
      <c r="N241" s="46"/>
      <c r="O241" s="62"/>
      <c r="P241" s="118"/>
      <c r="Q241" s="14"/>
      <c r="R241" s="67"/>
      <c r="S241" s="67"/>
      <c r="T241" s="67"/>
      <c r="U241" s="120"/>
      <c r="V241" s="121"/>
      <c r="W241" s="122"/>
      <c r="X241" s="123"/>
      <c r="Y241" s="117"/>
      <c r="Z241" s="117"/>
      <c r="AH241" s="88"/>
      <c r="AI241" s="88"/>
    </row>
    <row r="242" spans="1:35">
      <c r="A242" s="42"/>
      <c r="B242" s="42"/>
      <c r="C242" s="38"/>
      <c r="D242" s="42"/>
      <c r="E242" s="38"/>
      <c r="F242" s="44"/>
      <c r="G242" s="42"/>
      <c r="H242" s="14"/>
      <c r="I242" s="38"/>
      <c r="J242" s="38"/>
      <c r="K242" s="46"/>
      <c r="L242" s="47"/>
      <c r="M242" s="46"/>
      <c r="N242" s="46"/>
      <c r="O242" s="62"/>
      <c r="P242" s="118"/>
      <c r="Q242" s="14"/>
      <c r="R242" s="67"/>
      <c r="S242" s="67"/>
      <c r="T242" s="67"/>
      <c r="U242" s="120"/>
      <c r="V242" s="121"/>
      <c r="W242" s="122"/>
      <c r="X242" s="123"/>
      <c r="Y242" s="117"/>
      <c r="Z242" s="117"/>
      <c r="AH242" s="88"/>
      <c r="AI242" s="88"/>
    </row>
    <row r="243" spans="1:35">
      <c r="A243" s="42"/>
      <c r="B243" s="42"/>
      <c r="C243" s="38"/>
      <c r="D243" s="42"/>
      <c r="E243" s="38"/>
      <c r="F243" s="44"/>
      <c r="G243" s="42"/>
      <c r="H243" s="79"/>
      <c r="I243" s="38"/>
      <c r="J243" s="38"/>
      <c r="K243" s="46"/>
      <c r="L243" s="47"/>
      <c r="M243" s="46"/>
      <c r="N243" s="46"/>
      <c r="O243" s="62"/>
      <c r="P243" s="118"/>
      <c r="Q243" s="14"/>
      <c r="R243" s="67"/>
      <c r="S243" s="67"/>
      <c r="T243" s="67"/>
      <c r="U243" s="120"/>
      <c r="V243" s="121"/>
      <c r="W243" s="122"/>
      <c r="X243" s="123"/>
      <c r="Y243" s="117"/>
      <c r="Z243" s="117"/>
      <c r="AH243" s="88"/>
      <c r="AI243" s="88"/>
    </row>
    <row r="244" spans="1:35">
      <c r="A244" s="42"/>
      <c r="B244" s="42"/>
      <c r="C244" s="38"/>
      <c r="D244" s="42"/>
      <c r="E244" s="38"/>
      <c r="F244" s="44"/>
      <c r="G244" s="42"/>
      <c r="H244" s="14"/>
      <c r="I244" s="38"/>
      <c r="J244" s="38"/>
      <c r="K244" s="46"/>
      <c r="L244" s="47"/>
      <c r="M244" s="46"/>
      <c r="N244" s="46"/>
      <c r="O244" s="62"/>
      <c r="P244" s="118"/>
      <c r="Q244" s="14"/>
      <c r="R244" s="67"/>
      <c r="S244" s="67"/>
      <c r="T244" s="67"/>
      <c r="U244" s="120"/>
      <c r="V244" s="121"/>
      <c r="W244" s="122"/>
      <c r="X244" s="123"/>
      <c r="Y244" s="117"/>
      <c r="Z244" s="117"/>
      <c r="AH244" s="88"/>
      <c r="AI244" s="88"/>
    </row>
    <row r="245" spans="1:35">
      <c r="A245" s="42"/>
      <c r="B245" s="42"/>
      <c r="C245" s="38"/>
      <c r="D245" s="42"/>
      <c r="E245" s="38"/>
      <c r="F245" s="38"/>
      <c r="G245" s="42"/>
      <c r="H245" s="79"/>
      <c r="I245" s="38"/>
      <c r="J245" s="38"/>
      <c r="K245" s="46"/>
      <c r="L245" s="47"/>
      <c r="M245" s="46"/>
      <c r="N245" s="46"/>
      <c r="O245" s="62"/>
      <c r="P245" s="118"/>
      <c r="Q245" s="14"/>
      <c r="R245" s="67"/>
      <c r="S245" s="67"/>
      <c r="T245" s="67"/>
      <c r="U245" s="120"/>
      <c r="V245" s="121"/>
      <c r="W245" s="122"/>
      <c r="X245" s="123"/>
      <c r="Y245" s="117"/>
      <c r="Z245" s="117"/>
      <c r="AH245" s="88"/>
      <c r="AI245" s="88"/>
    </row>
    <row r="246" spans="1:35">
      <c r="A246" s="42"/>
      <c r="B246" s="42"/>
      <c r="C246" s="38"/>
      <c r="D246" s="42"/>
      <c r="E246" s="117"/>
      <c r="F246" s="117"/>
      <c r="G246" s="116"/>
      <c r="H246" s="117"/>
      <c r="I246" s="117"/>
      <c r="J246" s="117"/>
      <c r="K246" s="46"/>
      <c r="L246" s="117"/>
      <c r="M246" s="46"/>
      <c r="N246" s="46"/>
      <c r="O246" s="62"/>
      <c r="P246" s="118"/>
      <c r="Q246" s="14"/>
      <c r="R246" s="67"/>
      <c r="S246" s="67"/>
      <c r="T246" s="67"/>
      <c r="U246" s="120"/>
      <c r="V246" s="121"/>
      <c r="W246" s="122"/>
      <c r="X246" s="123"/>
      <c r="Y246" s="117"/>
      <c r="Z246" s="117"/>
      <c r="AH246" s="88"/>
      <c r="AI246" s="88"/>
    </row>
    <row r="247" spans="1:35">
      <c r="A247" s="42"/>
      <c r="B247" s="42"/>
      <c r="C247" s="38"/>
      <c r="D247" s="42"/>
      <c r="E247" s="117"/>
      <c r="F247" s="117"/>
      <c r="G247" s="116"/>
      <c r="H247" s="117"/>
      <c r="I247" s="117"/>
      <c r="J247" s="117"/>
      <c r="K247" s="46"/>
      <c r="L247" s="117"/>
      <c r="M247" s="46"/>
      <c r="N247" s="46"/>
      <c r="O247" s="62"/>
      <c r="P247" s="118"/>
      <c r="Q247" s="14"/>
      <c r="R247" s="67"/>
      <c r="S247" s="67"/>
      <c r="T247" s="67"/>
      <c r="U247" s="120"/>
      <c r="V247" s="121"/>
      <c r="W247" s="122"/>
      <c r="X247" s="123"/>
      <c r="Y247" s="117"/>
      <c r="Z247" s="117"/>
      <c r="AH247" s="88"/>
      <c r="AI247" s="88"/>
    </row>
    <row r="248" spans="1:35">
      <c r="A248" s="42"/>
      <c r="B248" s="42"/>
      <c r="C248" s="38"/>
      <c r="D248" s="42"/>
      <c r="E248" s="117"/>
      <c r="F248" s="117"/>
      <c r="G248" s="116"/>
      <c r="H248" s="117"/>
      <c r="I248" s="117"/>
      <c r="J248" s="117"/>
      <c r="K248" s="46"/>
      <c r="L248" s="117"/>
      <c r="M248" s="46"/>
      <c r="N248" s="46"/>
      <c r="O248" s="62"/>
      <c r="P248" s="118"/>
      <c r="Q248" s="14"/>
      <c r="R248" s="67"/>
      <c r="S248" s="67"/>
      <c r="T248" s="67"/>
      <c r="U248" s="120"/>
      <c r="V248" s="121"/>
      <c r="W248" s="122"/>
      <c r="X248" s="123"/>
      <c r="Y248" s="117"/>
      <c r="Z248" s="117"/>
      <c r="AH248" s="88"/>
      <c r="AI248" s="88"/>
    </row>
    <row r="249" spans="1:35">
      <c r="A249" s="38"/>
      <c r="B249" s="38"/>
      <c r="C249" s="38"/>
      <c r="D249" s="38"/>
      <c r="E249" s="38"/>
      <c r="F249" s="43"/>
      <c r="G249" s="44"/>
      <c r="H249" s="45"/>
      <c r="I249" s="38"/>
      <c r="J249" s="38"/>
      <c r="K249" s="46"/>
      <c r="L249" s="47"/>
      <c r="M249" s="46"/>
      <c r="N249" s="46"/>
      <c r="O249" s="38"/>
      <c r="P249" s="38"/>
      <c r="Q249" s="14"/>
      <c r="R249" s="50"/>
      <c r="S249" s="50"/>
      <c r="T249" s="50"/>
      <c r="U249" s="52"/>
      <c r="V249" s="53"/>
      <c r="W249" s="60"/>
      <c r="X249" s="123"/>
      <c r="Y249" s="117"/>
      <c r="Z249" s="117"/>
      <c r="AH249" s="88"/>
      <c r="AI249" s="88"/>
    </row>
    <row r="250" spans="1:35">
      <c r="A250" s="38"/>
      <c r="B250" s="38"/>
      <c r="C250" s="38"/>
      <c r="D250" s="38"/>
      <c r="E250" s="38"/>
      <c r="F250" s="43"/>
      <c r="G250" s="44"/>
      <c r="H250" s="45"/>
      <c r="I250" s="38"/>
      <c r="J250" s="38"/>
      <c r="K250" s="46"/>
      <c r="L250" s="47"/>
      <c r="M250" s="46"/>
      <c r="N250" s="46"/>
      <c r="O250" s="38"/>
      <c r="P250" s="38"/>
      <c r="Q250" s="14"/>
      <c r="R250" s="50"/>
      <c r="S250" s="50"/>
      <c r="T250" s="50"/>
      <c r="U250" s="52"/>
      <c r="V250" s="53"/>
      <c r="W250" s="60"/>
      <c r="X250" s="123"/>
      <c r="Y250" s="117"/>
      <c r="Z250" s="117"/>
      <c r="AH250" s="88"/>
      <c r="AI250" s="88"/>
    </row>
    <row r="251" spans="1:35">
      <c r="A251" s="38"/>
      <c r="B251" s="38"/>
      <c r="C251" s="38"/>
      <c r="D251" s="38"/>
      <c r="E251" s="38"/>
      <c r="F251" s="43"/>
      <c r="G251" s="44"/>
      <c r="H251" s="45"/>
      <c r="I251" s="38"/>
      <c r="J251" s="38"/>
      <c r="K251" s="46"/>
      <c r="L251" s="47"/>
      <c r="M251" s="46"/>
      <c r="N251" s="46"/>
      <c r="O251" s="38"/>
      <c r="P251" s="38"/>
      <c r="Q251" s="14"/>
      <c r="R251" s="50"/>
      <c r="S251" s="50"/>
      <c r="T251" s="50"/>
      <c r="U251" s="52"/>
      <c r="V251" s="53"/>
      <c r="W251" s="60"/>
      <c r="X251" s="123"/>
      <c r="Y251" s="117"/>
      <c r="Z251" s="117"/>
      <c r="AH251" s="88"/>
      <c r="AI251" s="88"/>
    </row>
    <row r="252" spans="1:35">
      <c r="A252" s="38"/>
      <c r="B252" s="42"/>
      <c r="C252" s="38"/>
      <c r="D252" s="42"/>
      <c r="E252" s="38"/>
      <c r="F252" s="43"/>
      <c r="G252" s="44"/>
      <c r="H252" s="45"/>
      <c r="I252" s="38"/>
      <c r="J252" s="38"/>
      <c r="K252" s="46"/>
      <c r="L252" s="47"/>
      <c r="M252" s="46"/>
      <c r="N252" s="46"/>
      <c r="O252" s="38"/>
      <c r="P252" s="38"/>
      <c r="Q252" s="14"/>
      <c r="R252" s="50"/>
      <c r="S252" s="50"/>
      <c r="T252" s="50"/>
      <c r="U252" s="52"/>
      <c r="V252" s="53"/>
      <c r="W252" s="60"/>
      <c r="X252" s="123"/>
      <c r="Y252" s="117"/>
      <c r="Z252" s="117"/>
      <c r="AH252" s="88"/>
      <c r="AI252" s="88"/>
    </row>
    <row r="253" spans="1:35">
      <c r="A253" s="116"/>
      <c r="B253" s="42"/>
      <c r="C253" s="38"/>
      <c r="D253" s="42"/>
      <c r="E253" s="117"/>
      <c r="F253" s="117"/>
      <c r="G253" s="116"/>
      <c r="H253" s="117"/>
      <c r="I253" s="117"/>
      <c r="J253" s="117"/>
      <c r="K253" s="46"/>
      <c r="L253" s="117"/>
      <c r="M253" s="46"/>
      <c r="N253" s="46"/>
      <c r="O253" s="62"/>
      <c r="P253" s="118"/>
      <c r="Q253" s="14"/>
      <c r="R253" s="119"/>
      <c r="S253" s="119"/>
      <c r="T253" s="119"/>
      <c r="U253" s="120"/>
      <c r="V253" s="121"/>
      <c r="W253" s="122"/>
      <c r="X253" s="123"/>
      <c r="Y253" s="117"/>
      <c r="Z253" s="117"/>
      <c r="AH253" s="88"/>
      <c r="AI253" s="88"/>
    </row>
    <row r="254" spans="1:35">
      <c r="A254" s="116"/>
      <c r="B254" s="42"/>
      <c r="C254" s="38"/>
      <c r="D254" s="42"/>
      <c r="E254" s="117"/>
      <c r="F254" s="117"/>
      <c r="G254" s="116"/>
      <c r="H254" s="117"/>
      <c r="I254" s="117"/>
      <c r="J254" s="117"/>
      <c r="K254" s="46"/>
      <c r="L254" s="117"/>
      <c r="M254" s="46"/>
      <c r="N254" s="46"/>
      <c r="O254" s="62"/>
      <c r="P254" s="118"/>
      <c r="Q254" s="14"/>
      <c r="R254" s="119"/>
      <c r="S254" s="119"/>
      <c r="T254" s="119"/>
      <c r="U254" s="120"/>
      <c r="V254" s="121"/>
      <c r="W254" s="122"/>
      <c r="X254" s="123"/>
      <c r="Y254" s="117"/>
      <c r="Z254" s="117"/>
      <c r="AH254" s="88"/>
      <c r="AI254" s="88"/>
    </row>
    <row r="255" spans="1:35">
      <c r="A255" s="116"/>
      <c r="B255" s="42"/>
      <c r="C255" s="38"/>
      <c r="D255" s="42"/>
      <c r="E255" s="117"/>
      <c r="F255" s="117"/>
      <c r="G255" s="116"/>
      <c r="H255" s="117"/>
      <c r="I255" s="117"/>
      <c r="J255" s="117"/>
      <c r="K255" s="46"/>
      <c r="L255" s="117"/>
      <c r="M255" s="46"/>
      <c r="N255" s="46"/>
      <c r="O255" s="62"/>
      <c r="P255" s="118"/>
      <c r="Q255" s="14"/>
      <c r="R255" s="119"/>
      <c r="S255" s="119"/>
      <c r="T255" s="119"/>
      <c r="U255" s="120"/>
      <c r="V255" s="121"/>
      <c r="W255" s="122"/>
      <c r="X255" s="123"/>
      <c r="Y255" s="117"/>
      <c r="Z255" s="117"/>
      <c r="AH255" s="88"/>
      <c r="AI255" s="88"/>
    </row>
    <row r="256" spans="1:35">
      <c r="A256" s="116"/>
      <c r="B256" s="42"/>
      <c r="C256" s="38"/>
      <c r="D256" s="42"/>
      <c r="E256" s="117"/>
      <c r="F256" s="117"/>
      <c r="G256" s="116"/>
      <c r="H256" s="117"/>
      <c r="I256" s="117"/>
      <c r="J256" s="117"/>
      <c r="K256" s="46"/>
      <c r="L256" s="117"/>
      <c r="M256" s="46"/>
      <c r="N256" s="46"/>
      <c r="O256" s="62"/>
      <c r="P256" s="118"/>
      <c r="Q256" s="14"/>
      <c r="R256" s="119"/>
      <c r="S256" s="119"/>
      <c r="T256" s="119"/>
      <c r="U256" s="120"/>
      <c r="V256" s="121"/>
      <c r="W256" s="122"/>
      <c r="X256" s="123"/>
      <c r="Y256" s="117"/>
      <c r="Z256" s="117"/>
      <c r="AH256" s="88"/>
      <c r="AI256" s="88"/>
    </row>
    <row r="257" spans="1:35">
      <c r="A257" s="126"/>
      <c r="B257" s="42"/>
      <c r="C257" s="38"/>
      <c r="D257" s="42"/>
      <c r="E257" s="117"/>
      <c r="F257" s="117"/>
      <c r="G257" s="116"/>
      <c r="H257" s="117"/>
      <c r="I257" s="117"/>
      <c r="J257" s="117"/>
      <c r="K257" s="46"/>
      <c r="L257" s="117"/>
      <c r="M257" s="46"/>
      <c r="N257" s="46"/>
      <c r="O257" s="62"/>
      <c r="P257" s="118"/>
      <c r="Q257" s="14"/>
      <c r="R257" s="119"/>
      <c r="S257" s="119"/>
      <c r="T257" s="119"/>
      <c r="U257" s="120"/>
      <c r="V257" s="121"/>
      <c r="W257" s="122"/>
      <c r="X257" s="123"/>
      <c r="Y257" s="117"/>
      <c r="Z257" s="117"/>
      <c r="AH257" s="88"/>
      <c r="AI257" s="88"/>
    </row>
    <row r="258" spans="1:35">
      <c r="A258" s="126"/>
      <c r="B258" s="42"/>
      <c r="C258" s="38"/>
      <c r="D258" s="42"/>
      <c r="E258" s="117"/>
      <c r="F258" s="117"/>
      <c r="G258" s="116"/>
      <c r="H258" s="117"/>
      <c r="I258" s="117"/>
      <c r="J258" s="117"/>
      <c r="K258" s="46"/>
      <c r="L258" s="117"/>
      <c r="M258" s="46"/>
      <c r="N258" s="46"/>
      <c r="O258" s="62"/>
      <c r="P258" s="118"/>
      <c r="Q258" s="14"/>
      <c r="R258" s="119"/>
      <c r="S258" s="119"/>
      <c r="T258" s="119"/>
      <c r="U258" s="120"/>
      <c r="V258" s="121"/>
      <c r="W258" s="122"/>
      <c r="X258" s="123"/>
      <c r="Y258" s="117"/>
      <c r="Z258" s="117"/>
      <c r="AH258" s="88"/>
      <c r="AI258" s="88"/>
    </row>
    <row r="259" spans="1:35">
      <c r="A259" s="126"/>
      <c r="B259" s="42"/>
      <c r="C259" s="38"/>
      <c r="D259" s="42"/>
      <c r="E259" s="117"/>
      <c r="F259" s="117"/>
      <c r="G259" s="116"/>
      <c r="H259" s="117"/>
      <c r="I259" s="117"/>
      <c r="J259" s="117"/>
      <c r="K259" s="46"/>
      <c r="L259" s="117"/>
      <c r="M259" s="46"/>
      <c r="N259" s="46"/>
      <c r="O259" s="62"/>
      <c r="P259" s="118"/>
      <c r="Q259" s="14"/>
      <c r="R259" s="119"/>
      <c r="S259" s="119"/>
      <c r="T259" s="119"/>
      <c r="U259" s="120"/>
      <c r="V259" s="121"/>
      <c r="W259" s="122"/>
      <c r="X259" s="123"/>
      <c r="Y259" s="117"/>
      <c r="Z259" s="117"/>
      <c r="AH259" s="88"/>
      <c r="AI259" s="88"/>
    </row>
    <row r="260" spans="1:35">
      <c r="A260" s="126"/>
      <c r="B260" s="42"/>
      <c r="C260" s="38"/>
      <c r="D260" s="42"/>
      <c r="E260" s="117"/>
      <c r="F260" s="117"/>
      <c r="G260" s="116"/>
      <c r="H260" s="117"/>
      <c r="I260" s="117"/>
      <c r="J260" s="117"/>
      <c r="K260" s="46"/>
      <c r="L260" s="117"/>
      <c r="M260" s="46"/>
      <c r="N260" s="46"/>
      <c r="O260" s="62"/>
      <c r="P260" s="118"/>
      <c r="Q260" s="14"/>
      <c r="R260" s="119"/>
      <c r="S260" s="119"/>
      <c r="T260" s="119"/>
      <c r="U260" s="120"/>
      <c r="V260" s="121"/>
      <c r="W260" s="122"/>
      <c r="X260" s="123"/>
      <c r="Y260" s="117"/>
      <c r="Z260" s="117"/>
      <c r="AH260" s="88"/>
      <c r="AI260" s="88"/>
    </row>
    <row r="261" spans="1:35">
      <c r="A261" s="126"/>
      <c r="B261" s="42"/>
      <c r="C261" s="38"/>
      <c r="D261" s="42"/>
      <c r="E261" s="117"/>
      <c r="F261" s="117"/>
      <c r="G261" s="116"/>
      <c r="H261" s="117"/>
      <c r="I261" s="117"/>
      <c r="J261" s="117"/>
      <c r="K261" s="46"/>
      <c r="L261" s="117"/>
      <c r="M261" s="46"/>
      <c r="N261" s="46"/>
      <c r="O261" s="62"/>
      <c r="P261" s="118"/>
      <c r="Q261" s="14"/>
      <c r="R261" s="119"/>
      <c r="S261" s="119"/>
      <c r="T261" s="119"/>
      <c r="U261" s="120"/>
      <c r="V261" s="121"/>
      <c r="W261" s="122"/>
      <c r="X261" s="123"/>
      <c r="Y261" s="117"/>
      <c r="Z261" s="117"/>
      <c r="AH261" s="88"/>
      <c r="AI261" s="88"/>
    </row>
    <row r="262" spans="1:35">
      <c r="A262" s="126"/>
      <c r="B262" s="42"/>
      <c r="C262" s="38"/>
      <c r="D262" s="42"/>
      <c r="E262" s="117"/>
      <c r="F262" s="117"/>
      <c r="G262" s="116"/>
      <c r="H262" s="117"/>
      <c r="I262" s="117"/>
      <c r="J262" s="117"/>
      <c r="K262" s="46"/>
      <c r="L262" s="117"/>
      <c r="M262" s="46"/>
      <c r="N262" s="46"/>
      <c r="O262" s="62"/>
      <c r="P262" s="118"/>
      <c r="Q262" s="14"/>
      <c r="R262" s="119"/>
      <c r="S262" s="119"/>
      <c r="T262" s="119"/>
      <c r="U262" s="120"/>
      <c r="V262" s="121"/>
      <c r="W262" s="122"/>
      <c r="X262" s="123"/>
      <c r="Y262" s="117"/>
      <c r="Z262" s="117"/>
      <c r="AH262" s="88"/>
      <c r="AI262" s="88"/>
    </row>
    <row r="263" spans="1:35">
      <c r="A263" s="126"/>
      <c r="B263" s="42"/>
      <c r="C263" s="38"/>
      <c r="D263" s="42"/>
      <c r="E263" s="117"/>
      <c r="F263" s="117"/>
      <c r="G263" s="116"/>
      <c r="H263" s="116"/>
      <c r="I263" s="117"/>
      <c r="J263" s="117"/>
      <c r="K263" s="46"/>
      <c r="L263" s="117"/>
      <c r="M263" s="46"/>
      <c r="N263" s="46"/>
      <c r="O263" s="62"/>
      <c r="P263" s="118"/>
      <c r="Q263" s="14"/>
      <c r="R263" s="119"/>
      <c r="S263" s="119"/>
      <c r="T263" s="119"/>
      <c r="U263" s="120"/>
      <c r="V263" s="121"/>
      <c r="W263" s="122"/>
      <c r="X263" s="123"/>
      <c r="Y263" s="117"/>
      <c r="Z263" s="117"/>
      <c r="AH263" s="88"/>
      <c r="AI263" s="88"/>
    </row>
    <row r="264" spans="1:35">
      <c r="A264" s="126"/>
      <c r="B264" s="42"/>
      <c r="C264" s="38"/>
      <c r="D264" s="42"/>
      <c r="E264" s="117"/>
      <c r="F264" s="117"/>
      <c r="G264" s="116"/>
      <c r="H264" s="117"/>
      <c r="I264" s="117"/>
      <c r="J264" s="117"/>
      <c r="K264" s="46"/>
      <c r="L264" s="117"/>
      <c r="M264" s="46"/>
      <c r="N264" s="46"/>
      <c r="O264" s="62"/>
      <c r="P264" s="118"/>
      <c r="Q264" s="14"/>
      <c r="R264" s="119"/>
      <c r="S264" s="119"/>
      <c r="T264" s="119"/>
      <c r="U264" s="120"/>
      <c r="V264" s="121"/>
      <c r="W264" s="122"/>
      <c r="X264" s="123"/>
      <c r="Y264" s="117"/>
      <c r="Z264" s="117"/>
      <c r="AH264" s="88"/>
      <c r="AI264" s="88"/>
    </row>
    <row r="265" spans="1:35">
      <c r="A265" s="126"/>
      <c r="B265" s="42"/>
      <c r="C265" s="38"/>
      <c r="D265" s="42"/>
      <c r="E265" s="117"/>
      <c r="F265" s="117"/>
      <c r="G265" s="116"/>
      <c r="H265" s="117"/>
      <c r="I265" s="117"/>
      <c r="J265" s="117"/>
      <c r="K265" s="46"/>
      <c r="L265" s="117"/>
      <c r="M265" s="46"/>
      <c r="N265" s="46"/>
      <c r="O265" s="62"/>
      <c r="P265" s="118"/>
      <c r="Q265" s="14"/>
      <c r="R265" s="119"/>
      <c r="S265" s="119"/>
      <c r="T265" s="119"/>
      <c r="U265" s="120"/>
      <c r="V265" s="121"/>
      <c r="W265" s="122"/>
      <c r="X265" s="123"/>
      <c r="Y265" s="117"/>
      <c r="Z265" s="117"/>
      <c r="AH265" s="88"/>
      <c r="AI265" s="88"/>
    </row>
    <row r="266" spans="1:35">
      <c r="A266" s="126"/>
      <c r="B266" s="42"/>
      <c r="C266" s="38"/>
      <c r="D266" s="42"/>
      <c r="E266" s="117"/>
      <c r="F266" s="117"/>
      <c r="G266" s="116"/>
      <c r="H266" s="117"/>
      <c r="I266" s="117"/>
      <c r="J266" s="117"/>
      <c r="K266" s="46"/>
      <c r="L266" s="117"/>
      <c r="M266" s="46"/>
      <c r="N266" s="46"/>
      <c r="O266" s="62"/>
      <c r="P266" s="118"/>
      <c r="Q266" s="14"/>
      <c r="R266" s="119"/>
      <c r="S266" s="119"/>
      <c r="T266" s="119"/>
      <c r="U266" s="120"/>
      <c r="V266" s="121"/>
      <c r="W266" s="122"/>
      <c r="X266" s="123"/>
      <c r="Y266" s="117"/>
      <c r="Z266" s="117"/>
      <c r="AH266" s="88"/>
      <c r="AI266" s="88"/>
    </row>
    <row r="267" spans="1:35">
      <c r="A267" s="38"/>
      <c r="B267" s="38"/>
      <c r="C267" s="38"/>
      <c r="D267" s="38"/>
      <c r="E267" s="38"/>
      <c r="F267" s="43"/>
      <c r="G267" s="44"/>
      <c r="H267" s="45"/>
      <c r="I267" s="38"/>
      <c r="J267" s="38"/>
      <c r="K267" s="46"/>
      <c r="L267" s="47"/>
      <c r="M267" s="46"/>
      <c r="N267" s="46"/>
      <c r="O267" s="38"/>
      <c r="P267" s="38"/>
      <c r="Q267" s="14"/>
      <c r="R267" s="50"/>
      <c r="S267" s="50"/>
      <c r="T267" s="50"/>
      <c r="U267" s="52"/>
      <c r="V267" s="53"/>
      <c r="W267" s="60"/>
      <c r="X267" s="123"/>
      <c r="Y267" s="117"/>
      <c r="Z267" s="117"/>
      <c r="AH267" s="88"/>
      <c r="AI267" s="88"/>
    </row>
    <row r="268" spans="1:35">
      <c r="A268" s="38"/>
      <c r="B268" s="38"/>
      <c r="C268" s="38"/>
      <c r="D268" s="38"/>
      <c r="E268" s="38"/>
      <c r="F268" s="43"/>
      <c r="G268" s="44"/>
      <c r="H268" s="45"/>
      <c r="I268" s="38"/>
      <c r="J268" s="38"/>
      <c r="K268" s="46"/>
      <c r="L268" s="47"/>
      <c r="M268" s="46"/>
      <c r="N268" s="46"/>
      <c r="O268" s="38"/>
      <c r="P268" s="38"/>
      <c r="Q268" s="14"/>
      <c r="R268" s="50"/>
      <c r="S268" s="50"/>
      <c r="T268" s="50"/>
      <c r="U268" s="52"/>
      <c r="V268" s="53"/>
      <c r="W268" s="60"/>
      <c r="X268" s="123"/>
      <c r="Y268" s="117"/>
      <c r="Z268" s="117"/>
      <c r="AH268" s="88"/>
      <c r="AI268" s="88"/>
    </row>
    <row r="269" spans="1:35">
      <c r="A269" s="38"/>
      <c r="B269" s="38"/>
      <c r="C269" s="38"/>
      <c r="D269" s="38"/>
      <c r="E269" s="38"/>
      <c r="F269" s="43"/>
      <c r="G269" s="44"/>
      <c r="H269" s="45"/>
      <c r="I269" s="38"/>
      <c r="J269" s="38"/>
      <c r="K269" s="46"/>
      <c r="L269" s="47"/>
      <c r="M269" s="46"/>
      <c r="N269" s="46"/>
      <c r="O269" s="38"/>
      <c r="P269" s="38"/>
      <c r="Q269" s="14"/>
      <c r="R269" s="50"/>
      <c r="S269" s="50"/>
      <c r="T269" s="50"/>
      <c r="U269" s="52"/>
      <c r="V269" s="53"/>
      <c r="W269" s="60"/>
      <c r="X269" s="123"/>
      <c r="Y269" s="117"/>
      <c r="Z269" s="117"/>
      <c r="AH269" s="88"/>
      <c r="AI269" s="88"/>
    </row>
    <row r="270" spans="1:35">
      <c r="A270" s="38"/>
      <c r="B270" s="38"/>
      <c r="C270" s="38"/>
      <c r="D270" s="38"/>
      <c r="E270" s="38"/>
      <c r="F270" s="43"/>
      <c r="G270" s="44"/>
      <c r="H270" s="45"/>
      <c r="I270" s="38"/>
      <c r="J270" s="38"/>
      <c r="K270" s="46"/>
      <c r="L270" s="47"/>
      <c r="M270" s="46"/>
      <c r="N270" s="46"/>
      <c r="O270" s="38"/>
      <c r="P270" s="38"/>
      <c r="Q270" s="14"/>
      <c r="R270" s="50"/>
      <c r="S270" s="50"/>
      <c r="T270" s="50"/>
      <c r="U270" s="52"/>
      <c r="V270" s="53"/>
      <c r="W270" s="60"/>
      <c r="X270" s="123"/>
      <c r="Y270" s="117"/>
      <c r="Z270" s="117"/>
      <c r="AH270" s="88"/>
      <c r="AI270" s="88"/>
    </row>
    <row r="271" spans="1:35">
      <c r="A271" s="38"/>
      <c r="B271" s="38"/>
      <c r="C271" s="38"/>
      <c r="D271" s="38"/>
      <c r="E271" s="38"/>
      <c r="F271" s="43"/>
      <c r="G271" s="44"/>
      <c r="H271" s="45"/>
      <c r="I271" s="38"/>
      <c r="J271" s="38"/>
      <c r="K271" s="46"/>
      <c r="L271" s="47"/>
      <c r="M271" s="46"/>
      <c r="N271" s="46"/>
      <c r="O271" s="38"/>
      <c r="P271" s="38"/>
      <c r="Q271" s="14"/>
      <c r="R271" s="50"/>
      <c r="S271" s="50"/>
      <c r="T271" s="50"/>
      <c r="U271" s="52"/>
      <c r="V271" s="53"/>
      <c r="W271" s="60"/>
      <c r="X271" s="123"/>
      <c r="Y271" s="117"/>
      <c r="Z271" s="117"/>
      <c r="AH271" s="88"/>
      <c r="AI271" s="88"/>
    </row>
    <row r="272" spans="1:35">
      <c r="A272" s="38"/>
      <c r="B272" s="38"/>
      <c r="C272" s="38"/>
      <c r="D272" s="38"/>
      <c r="E272" s="38"/>
      <c r="F272" s="43"/>
      <c r="G272" s="44"/>
      <c r="H272" s="45"/>
      <c r="I272" s="38"/>
      <c r="J272" s="38"/>
      <c r="K272" s="46"/>
      <c r="L272" s="47"/>
      <c r="M272" s="46"/>
      <c r="N272" s="46"/>
      <c r="O272" s="38"/>
      <c r="P272" s="38"/>
      <c r="Q272" s="14"/>
      <c r="R272" s="50"/>
      <c r="S272" s="50"/>
      <c r="T272" s="50"/>
      <c r="U272" s="52"/>
      <c r="V272" s="53"/>
      <c r="W272" s="60"/>
      <c r="X272" s="123"/>
      <c r="Y272" s="117"/>
      <c r="Z272" s="117"/>
      <c r="AH272" s="88"/>
      <c r="AI272" s="88"/>
    </row>
    <row r="273" spans="1:35">
      <c r="A273" s="38"/>
      <c r="B273" s="38"/>
      <c r="C273" s="38"/>
      <c r="D273" s="38"/>
      <c r="E273" s="38"/>
      <c r="F273" s="43"/>
      <c r="G273" s="44"/>
      <c r="H273" s="45"/>
      <c r="I273" s="38"/>
      <c r="J273" s="38"/>
      <c r="K273" s="46"/>
      <c r="L273" s="47"/>
      <c r="M273" s="46"/>
      <c r="N273" s="46"/>
      <c r="O273" s="38"/>
      <c r="P273" s="38"/>
      <c r="Q273" s="14"/>
      <c r="R273" s="50"/>
      <c r="S273" s="50"/>
      <c r="T273" s="50"/>
      <c r="U273" s="52"/>
      <c r="V273" s="53"/>
      <c r="W273" s="60"/>
      <c r="X273" s="123"/>
      <c r="Y273" s="117"/>
      <c r="Z273" s="117"/>
      <c r="AH273" s="88"/>
      <c r="AI273" s="88"/>
    </row>
    <row r="274" spans="1:35">
      <c r="A274" s="38"/>
      <c r="B274" s="38"/>
      <c r="C274" s="38"/>
      <c r="D274" s="38"/>
      <c r="E274" s="38"/>
      <c r="F274" s="43"/>
      <c r="G274" s="44"/>
      <c r="H274" s="45"/>
      <c r="I274" s="38"/>
      <c r="J274" s="38"/>
      <c r="K274" s="46"/>
      <c r="L274" s="47"/>
      <c r="M274" s="46"/>
      <c r="N274" s="46"/>
      <c r="O274" s="38"/>
      <c r="P274" s="38"/>
      <c r="Q274" s="14"/>
      <c r="R274" s="50"/>
      <c r="S274" s="50"/>
      <c r="T274" s="50"/>
      <c r="U274" s="52"/>
      <c r="V274" s="53"/>
      <c r="W274" s="60"/>
      <c r="X274" s="123"/>
      <c r="Y274" s="117"/>
      <c r="Z274" s="117"/>
      <c r="AH274" s="88"/>
      <c r="AI274" s="88"/>
    </row>
    <row r="275" spans="1:35">
      <c r="A275" s="38"/>
      <c r="B275" s="38"/>
      <c r="C275" s="38"/>
      <c r="D275" s="38"/>
      <c r="E275" s="38"/>
      <c r="F275" s="43"/>
      <c r="G275" s="44"/>
      <c r="H275" s="45"/>
      <c r="I275" s="38"/>
      <c r="J275" s="38"/>
      <c r="K275" s="46"/>
      <c r="L275" s="47"/>
      <c r="M275" s="46"/>
      <c r="N275" s="46"/>
      <c r="O275" s="38"/>
      <c r="P275" s="38"/>
      <c r="Q275" s="14"/>
      <c r="R275" s="50"/>
      <c r="S275" s="50"/>
      <c r="T275" s="50"/>
      <c r="U275" s="52"/>
      <c r="V275" s="53"/>
      <c r="W275" s="60"/>
      <c r="X275" s="123"/>
      <c r="Y275" s="117"/>
      <c r="Z275" s="117"/>
      <c r="AH275" s="88"/>
      <c r="AI275" s="88"/>
    </row>
    <row r="276" spans="1:35">
      <c r="A276" s="38"/>
      <c r="B276" s="38"/>
      <c r="C276" s="38"/>
      <c r="D276" s="38"/>
      <c r="E276" s="38"/>
      <c r="F276" s="43"/>
      <c r="G276" s="44"/>
      <c r="H276" s="45"/>
      <c r="I276" s="38"/>
      <c r="J276" s="38"/>
      <c r="K276" s="46"/>
      <c r="L276" s="47"/>
      <c r="M276" s="46"/>
      <c r="N276" s="46"/>
      <c r="O276" s="38"/>
      <c r="P276" s="38"/>
      <c r="Q276" s="14"/>
      <c r="R276" s="50"/>
      <c r="S276" s="50"/>
      <c r="T276" s="50"/>
      <c r="U276" s="52"/>
      <c r="V276" s="53"/>
      <c r="W276" s="60"/>
      <c r="X276" s="123"/>
      <c r="Y276" s="117"/>
      <c r="Z276" s="117"/>
      <c r="AH276" s="88"/>
      <c r="AI276" s="88"/>
    </row>
    <row r="277" spans="1:35">
      <c r="A277" s="38"/>
      <c r="B277" s="38"/>
      <c r="C277" s="38"/>
      <c r="D277" s="38"/>
      <c r="E277" s="38"/>
      <c r="F277" s="43"/>
      <c r="G277" s="44"/>
      <c r="H277" s="45"/>
      <c r="I277" s="38"/>
      <c r="J277" s="38"/>
      <c r="K277" s="46"/>
      <c r="L277" s="47"/>
      <c r="M277" s="46"/>
      <c r="N277" s="46"/>
      <c r="O277" s="38"/>
      <c r="P277" s="38"/>
      <c r="Q277" s="14"/>
      <c r="R277" s="50"/>
      <c r="S277" s="50"/>
      <c r="T277" s="50"/>
      <c r="U277" s="52"/>
      <c r="V277" s="53"/>
      <c r="W277" s="60"/>
      <c r="X277" s="123"/>
      <c r="Y277" s="117"/>
      <c r="Z277" s="117"/>
      <c r="AH277" s="88"/>
      <c r="AI277" s="88"/>
    </row>
    <row r="278" spans="1:35">
      <c r="A278" s="38"/>
      <c r="B278" s="38"/>
      <c r="C278" s="38"/>
      <c r="D278" s="38"/>
      <c r="E278" s="38"/>
      <c r="F278" s="43"/>
      <c r="G278" s="44"/>
      <c r="H278" s="45"/>
      <c r="I278" s="38"/>
      <c r="J278" s="38"/>
      <c r="K278" s="46"/>
      <c r="L278" s="47"/>
      <c r="M278" s="46"/>
      <c r="N278" s="46"/>
      <c r="O278" s="38"/>
      <c r="P278" s="38"/>
      <c r="Q278" s="14"/>
      <c r="R278" s="50"/>
      <c r="S278" s="50"/>
      <c r="T278" s="50"/>
      <c r="U278" s="52"/>
      <c r="V278" s="53"/>
      <c r="W278" s="60"/>
      <c r="X278" s="123"/>
      <c r="Y278" s="117"/>
      <c r="Z278" s="117"/>
      <c r="AH278" s="88"/>
      <c r="AI278" s="88"/>
    </row>
    <row r="279" spans="1:35">
      <c r="A279" s="38"/>
      <c r="B279" s="38"/>
      <c r="C279" s="38"/>
      <c r="D279" s="38"/>
      <c r="E279" s="38"/>
      <c r="F279" s="43"/>
      <c r="G279" s="44"/>
      <c r="H279" s="45"/>
      <c r="I279" s="38"/>
      <c r="J279" s="38"/>
      <c r="K279" s="46"/>
      <c r="L279" s="47"/>
      <c r="M279" s="46"/>
      <c r="N279" s="46"/>
      <c r="O279" s="38"/>
      <c r="P279" s="38"/>
      <c r="Q279" s="14"/>
      <c r="R279" s="50"/>
      <c r="S279" s="50"/>
      <c r="T279" s="50"/>
      <c r="U279" s="52"/>
      <c r="V279" s="53"/>
      <c r="W279" s="60"/>
      <c r="X279" s="123"/>
      <c r="Y279" s="117"/>
      <c r="Z279" s="117"/>
      <c r="AH279" s="88"/>
      <c r="AI279" s="88"/>
    </row>
    <row r="280" spans="1:35">
      <c r="A280" s="38"/>
      <c r="B280" s="38"/>
      <c r="C280" s="38"/>
      <c r="D280" s="38"/>
      <c r="E280" s="38"/>
      <c r="F280" s="43"/>
      <c r="G280" s="44"/>
      <c r="H280" s="45"/>
      <c r="I280" s="38"/>
      <c r="J280" s="38"/>
      <c r="K280" s="46"/>
      <c r="L280" s="47"/>
      <c r="M280" s="46"/>
      <c r="N280" s="46"/>
      <c r="O280" s="38"/>
      <c r="P280" s="38"/>
      <c r="Q280" s="14"/>
      <c r="R280" s="50"/>
      <c r="S280" s="50"/>
      <c r="T280" s="50"/>
      <c r="U280" s="52"/>
      <c r="V280" s="53"/>
      <c r="W280" s="60"/>
      <c r="X280" s="123"/>
      <c r="Y280" s="117"/>
      <c r="Z280" s="117"/>
      <c r="AH280" s="88"/>
      <c r="AI280" s="88"/>
    </row>
    <row r="281" spans="1:35">
      <c r="A281" s="38"/>
      <c r="B281" s="38"/>
      <c r="C281" s="38"/>
      <c r="D281" s="38"/>
      <c r="E281" s="38"/>
      <c r="F281" s="43"/>
      <c r="G281" s="44"/>
      <c r="H281" s="45"/>
      <c r="I281" s="38"/>
      <c r="J281" s="38"/>
      <c r="K281" s="46"/>
      <c r="L281" s="47"/>
      <c r="M281" s="46"/>
      <c r="N281" s="46"/>
      <c r="O281" s="38"/>
      <c r="P281" s="38"/>
      <c r="Q281" s="14"/>
      <c r="R281" s="50"/>
      <c r="S281" s="50"/>
      <c r="T281" s="50"/>
      <c r="U281" s="52"/>
      <c r="V281" s="53"/>
      <c r="W281" s="60"/>
      <c r="X281" s="123"/>
      <c r="Y281" s="117"/>
      <c r="Z281" s="117"/>
      <c r="AH281" s="88"/>
      <c r="AI281" s="88"/>
    </row>
    <row r="282" spans="1:35">
      <c r="A282" s="38"/>
      <c r="B282" s="38"/>
      <c r="C282" s="38"/>
      <c r="D282" s="38"/>
      <c r="E282" s="38"/>
      <c r="F282" s="43"/>
      <c r="G282" s="44"/>
      <c r="H282" s="45"/>
      <c r="I282" s="38"/>
      <c r="J282" s="38"/>
      <c r="K282" s="46"/>
      <c r="L282" s="47"/>
      <c r="M282" s="46"/>
      <c r="N282" s="46"/>
      <c r="O282" s="38"/>
      <c r="P282" s="38"/>
      <c r="Q282" s="14"/>
      <c r="R282" s="50"/>
      <c r="S282" s="50"/>
      <c r="T282" s="50"/>
      <c r="U282" s="52"/>
      <c r="V282" s="53"/>
      <c r="W282" s="60"/>
      <c r="X282" s="123"/>
      <c r="Y282" s="117"/>
      <c r="Z282" s="117"/>
      <c r="AH282" s="88"/>
      <c r="AI282" s="88"/>
    </row>
    <row r="283" spans="1:35">
      <c r="A283" s="38"/>
      <c r="B283" s="38"/>
      <c r="C283" s="38"/>
      <c r="D283" s="38"/>
      <c r="E283" s="38"/>
      <c r="F283" s="43"/>
      <c r="G283" s="44"/>
      <c r="H283" s="45"/>
      <c r="I283" s="38"/>
      <c r="J283" s="38"/>
      <c r="K283" s="46"/>
      <c r="L283" s="47"/>
      <c r="M283" s="46"/>
      <c r="N283" s="46"/>
      <c r="O283" s="38"/>
      <c r="P283" s="38"/>
      <c r="Q283" s="14"/>
      <c r="R283" s="50"/>
      <c r="S283" s="50"/>
      <c r="T283" s="50"/>
      <c r="U283" s="52"/>
      <c r="V283" s="53"/>
      <c r="W283" s="60"/>
      <c r="X283" s="123"/>
      <c r="Y283" s="117"/>
      <c r="Z283" s="117"/>
      <c r="AH283" s="88"/>
      <c r="AI283" s="88"/>
    </row>
    <row r="284" spans="1:35">
      <c r="A284" s="38"/>
      <c r="B284" s="38"/>
      <c r="C284" s="38"/>
      <c r="D284" s="38"/>
      <c r="E284" s="38"/>
      <c r="F284" s="43"/>
      <c r="G284" s="44"/>
      <c r="H284" s="45"/>
      <c r="I284" s="38"/>
      <c r="J284" s="38"/>
      <c r="K284" s="46"/>
      <c r="L284" s="47"/>
      <c r="M284" s="46"/>
      <c r="N284" s="46"/>
      <c r="O284" s="38"/>
      <c r="P284" s="38"/>
      <c r="Q284" s="14"/>
      <c r="R284" s="50"/>
      <c r="S284" s="50"/>
      <c r="T284" s="50"/>
      <c r="U284" s="52"/>
      <c r="V284" s="53"/>
      <c r="W284" s="60"/>
      <c r="X284" s="123"/>
      <c r="Y284" s="117"/>
      <c r="Z284" s="117"/>
      <c r="AH284" s="88"/>
      <c r="AI284" s="88"/>
    </row>
    <row r="285" spans="1:35">
      <c r="A285" s="38"/>
      <c r="B285" s="38"/>
      <c r="C285" s="38"/>
      <c r="D285" s="38"/>
      <c r="E285" s="38"/>
      <c r="F285" s="43"/>
      <c r="G285" s="44"/>
      <c r="H285" s="45"/>
      <c r="I285" s="38"/>
      <c r="J285" s="38"/>
      <c r="K285" s="46"/>
      <c r="L285" s="47"/>
      <c r="M285" s="46"/>
      <c r="N285" s="46"/>
      <c r="O285" s="38"/>
      <c r="P285" s="38"/>
      <c r="Q285" s="14"/>
      <c r="R285" s="50"/>
      <c r="S285" s="50"/>
      <c r="T285" s="50"/>
      <c r="U285" s="52"/>
      <c r="V285" s="53"/>
      <c r="W285" s="60"/>
      <c r="X285" s="123"/>
      <c r="Y285" s="117"/>
      <c r="Z285" s="117"/>
      <c r="AH285" s="88"/>
      <c r="AI285" s="88"/>
    </row>
    <row r="286" spans="1:35">
      <c r="A286" s="38"/>
      <c r="B286" s="38"/>
      <c r="C286" s="38"/>
      <c r="D286" s="38"/>
      <c r="E286" s="38"/>
      <c r="F286" s="43"/>
      <c r="G286" s="44"/>
      <c r="H286" s="45"/>
      <c r="I286" s="38"/>
      <c r="J286" s="38"/>
      <c r="K286" s="46"/>
      <c r="L286" s="47"/>
      <c r="M286" s="46"/>
      <c r="N286" s="46"/>
      <c r="O286" s="38"/>
      <c r="P286" s="38"/>
      <c r="Q286" s="14"/>
      <c r="R286" s="50"/>
      <c r="S286" s="50"/>
      <c r="T286" s="50"/>
      <c r="U286" s="52"/>
      <c r="V286" s="53"/>
      <c r="W286" s="60"/>
      <c r="X286" s="123"/>
      <c r="Y286" s="117"/>
      <c r="Z286" s="117"/>
      <c r="AH286" s="88"/>
      <c r="AI286" s="88"/>
    </row>
    <row r="287" spans="1:35">
      <c r="A287" s="38"/>
      <c r="B287" s="38"/>
      <c r="C287" s="38"/>
      <c r="D287" s="38"/>
      <c r="E287" s="38"/>
      <c r="F287" s="43"/>
      <c r="G287" s="44"/>
      <c r="H287" s="45"/>
      <c r="I287" s="38"/>
      <c r="J287" s="38"/>
      <c r="K287" s="46"/>
      <c r="L287" s="47"/>
      <c r="M287" s="46"/>
      <c r="N287" s="46"/>
      <c r="O287" s="38"/>
      <c r="P287" s="38"/>
      <c r="Q287" s="14"/>
      <c r="R287" s="50"/>
      <c r="S287" s="50"/>
      <c r="T287" s="50"/>
      <c r="U287" s="52"/>
      <c r="V287" s="53"/>
      <c r="W287" s="60"/>
      <c r="X287" s="123"/>
      <c r="Y287" s="117"/>
      <c r="Z287" s="117"/>
      <c r="AH287" s="88"/>
      <c r="AI287" s="88"/>
    </row>
    <row r="288" spans="1:35">
      <c r="A288" s="38"/>
      <c r="B288" s="38"/>
      <c r="C288" s="38"/>
      <c r="D288" s="38"/>
      <c r="E288" s="38"/>
      <c r="F288" s="43"/>
      <c r="G288" s="44"/>
      <c r="H288" s="45"/>
      <c r="I288" s="38"/>
      <c r="J288" s="38"/>
      <c r="K288" s="46"/>
      <c r="L288" s="47"/>
      <c r="M288" s="46"/>
      <c r="N288" s="46"/>
      <c r="O288" s="38"/>
      <c r="P288" s="38"/>
      <c r="Q288" s="14"/>
      <c r="R288" s="50"/>
      <c r="S288" s="50"/>
      <c r="T288" s="50"/>
      <c r="U288" s="52"/>
      <c r="V288" s="53"/>
      <c r="W288" s="60"/>
      <c r="X288" s="123"/>
      <c r="Y288" s="117"/>
      <c r="Z288" s="117"/>
      <c r="AH288" s="88"/>
      <c r="AI288" s="88"/>
    </row>
    <row r="289" spans="1:35">
      <c r="A289" s="38"/>
      <c r="B289" s="38"/>
      <c r="C289" s="38"/>
      <c r="D289" s="38"/>
      <c r="E289" s="38"/>
      <c r="F289" s="43"/>
      <c r="G289" s="44"/>
      <c r="H289" s="45"/>
      <c r="I289" s="38"/>
      <c r="J289" s="38"/>
      <c r="K289" s="46"/>
      <c r="L289" s="47"/>
      <c r="M289" s="46"/>
      <c r="N289" s="46"/>
      <c r="O289" s="38"/>
      <c r="P289" s="38"/>
      <c r="Q289" s="14"/>
      <c r="R289" s="50"/>
      <c r="S289" s="50"/>
      <c r="T289" s="50"/>
      <c r="U289" s="52"/>
      <c r="V289" s="53"/>
      <c r="W289" s="60"/>
      <c r="X289" s="123"/>
      <c r="Y289" s="117"/>
      <c r="Z289" s="117"/>
      <c r="AH289" s="88"/>
      <c r="AI289" s="88"/>
    </row>
    <row r="290" spans="1:35">
      <c r="A290" s="38"/>
      <c r="B290" s="38"/>
      <c r="C290" s="38"/>
      <c r="D290" s="38"/>
      <c r="E290" s="38"/>
      <c r="F290" s="43"/>
      <c r="G290" s="44"/>
      <c r="H290" s="45"/>
      <c r="I290" s="38"/>
      <c r="J290" s="38"/>
      <c r="K290" s="46"/>
      <c r="L290" s="47"/>
      <c r="M290" s="46"/>
      <c r="N290" s="46"/>
      <c r="O290" s="38"/>
      <c r="P290" s="38"/>
      <c r="Q290" s="14"/>
      <c r="R290" s="50"/>
      <c r="S290" s="50"/>
      <c r="T290" s="50"/>
      <c r="U290" s="52"/>
      <c r="V290" s="53"/>
      <c r="W290" s="60"/>
      <c r="X290" s="123"/>
      <c r="Y290" s="117"/>
      <c r="Z290" s="117"/>
      <c r="AH290" s="88"/>
      <c r="AI290" s="88"/>
    </row>
    <row r="291" spans="1:35">
      <c r="A291" s="38"/>
      <c r="B291" s="38"/>
      <c r="C291" s="38"/>
      <c r="D291" s="38"/>
      <c r="E291" s="38"/>
      <c r="F291" s="43"/>
      <c r="G291" s="44"/>
      <c r="H291" s="45"/>
      <c r="I291" s="38"/>
      <c r="J291" s="38"/>
      <c r="K291" s="46"/>
      <c r="L291" s="47"/>
      <c r="M291" s="46"/>
      <c r="N291" s="46"/>
      <c r="O291" s="38"/>
      <c r="P291" s="38"/>
      <c r="Q291" s="14"/>
      <c r="R291" s="50"/>
      <c r="S291" s="50"/>
      <c r="T291" s="50"/>
      <c r="U291" s="52"/>
      <c r="V291" s="53"/>
      <c r="W291" s="60"/>
      <c r="X291" s="123"/>
      <c r="Y291" s="117"/>
      <c r="Z291" s="117"/>
      <c r="AH291" s="88"/>
      <c r="AI291" s="88"/>
    </row>
    <row r="292" spans="1:35">
      <c r="A292" s="38"/>
      <c r="B292" s="38"/>
      <c r="C292" s="38"/>
      <c r="D292" s="38"/>
      <c r="E292" s="38"/>
      <c r="F292" s="43"/>
      <c r="G292" s="44"/>
      <c r="H292" s="45"/>
      <c r="I292" s="38"/>
      <c r="J292" s="38"/>
      <c r="K292" s="46"/>
      <c r="L292" s="47"/>
      <c r="M292" s="46"/>
      <c r="N292" s="46"/>
      <c r="O292" s="38"/>
      <c r="P292" s="38"/>
      <c r="Q292" s="14"/>
      <c r="R292" s="50"/>
      <c r="S292" s="50"/>
      <c r="T292" s="50"/>
      <c r="U292" s="52"/>
      <c r="V292" s="53"/>
      <c r="W292" s="60"/>
      <c r="X292" s="123"/>
      <c r="Y292" s="117"/>
      <c r="Z292" s="117"/>
      <c r="AH292" s="88"/>
      <c r="AI292" s="88"/>
    </row>
    <row r="293" spans="1:35">
      <c r="A293" s="38"/>
      <c r="B293" s="38"/>
      <c r="C293" s="38"/>
      <c r="D293" s="38"/>
      <c r="E293" s="38"/>
      <c r="F293" s="43"/>
      <c r="G293" s="44"/>
      <c r="H293" s="45"/>
      <c r="I293" s="38"/>
      <c r="J293" s="38"/>
      <c r="K293" s="46"/>
      <c r="L293" s="47"/>
      <c r="M293" s="46"/>
      <c r="N293" s="46"/>
      <c r="O293" s="38"/>
      <c r="P293" s="38"/>
      <c r="Q293" s="14"/>
      <c r="R293" s="50"/>
      <c r="S293" s="50"/>
      <c r="T293" s="50"/>
      <c r="U293" s="52"/>
      <c r="V293" s="53"/>
      <c r="W293" s="60"/>
      <c r="X293" s="123"/>
      <c r="Y293" s="117"/>
      <c r="Z293" s="117"/>
      <c r="AH293" s="88"/>
      <c r="AI293" s="88"/>
    </row>
    <row r="294" spans="1:35">
      <c r="A294" s="38"/>
      <c r="B294" s="38"/>
      <c r="C294" s="38"/>
      <c r="D294" s="38"/>
      <c r="E294" s="38"/>
      <c r="F294" s="43"/>
      <c r="G294" s="44"/>
      <c r="H294" s="45"/>
      <c r="I294" s="38"/>
      <c r="J294" s="38"/>
      <c r="K294" s="46"/>
      <c r="L294" s="47"/>
      <c r="M294" s="46"/>
      <c r="N294" s="46"/>
      <c r="O294" s="38"/>
      <c r="P294" s="38"/>
      <c r="Q294" s="14"/>
      <c r="R294" s="50"/>
      <c r="S294" s="50"/>
      <c r="T294" s="50"/>
      <c r="U294" s="52"/>
      <c r="V294" s="53"/>
      <c r="W294" s="60"/>
      <c r="X294" s="123"/>
      <c r="Y294" s="117"/>
      <c r="Z294" s="117"/>
      <c r="AH294" s="88"/>
      <c r="AI294" s="88"/>
    </row>
    <row r="295" spans="1:35">
      <c r="A295" s="38"/>
      <c r="B295" s="38"/>
      <c r="C295" s="38"/>
      <c r="D295" s="38"/>
      <c r="E295" s="38"/>
      <c r="F295" s="43"/>
      <c r="G295" s="44"/>
      <c r="H295" s="45"/>
      <c r="I295" s="38"/>
      <c r="J295" s="38"/>
      <c r="K295" s="46"/>
      <c r="L295" s="47"/>
      <c r="M295" s="46"/>
      <c r="N295" s="46"/>
      <c r="O295" s="38"/>
      <c r="P295" s="38"/>
      <c r="Q295" s="14"/>
      <c r="R295" s="50"/>
      <c r="S295" s="50"/>
      <c r="T295" s="50"/>
      <c r="U295" s="52"/>
      <c r="V295" s="53"/>
      <c r="W295" s="60"/>
      <c r="X295" s="123"/>
      <c r="Y295" s="117"/>
      <c r="Z295" s="117"/>
      <c r="AH295" s="88"/>
      <c r="AI295" s="88"/>
    </row>
    <row r="296" spans="1:35">
      <c r="A296" s="38"/>
      <c r="B296" s="38"/>
      <c r="C296" s="38"/>
      <c r="D296" s="38"/>
      <c r="E296" s="38"/>
      <c r="F296" s="43"/>
      <c r="G296" s="44"/>
      <c r="H296" s="45"/>
      <c r="I296" s="38"/>
      <c r="J296" s="38"/>
      <c r="K296" s="46"/>
      <c r="L296" s="47"/>
      <c r="M296" s="46"/>
      <c r="N296" s="46"/>
      <c r="O296" s="38"/>
      <c r="P296" s="38"/>
      <c r="Q296" s="14"/>
      <c r="R296" s="50"/>
      <c r="S296" s="50"/>
      <c r="T296" s="50"/>
      <c r="U296" s="52"/>
      <c r="V296" s="53"/>
      <c r="W296" s="60"/>
      <c r="X296" s="123"/>
      <c r="Y296" s="117"/>
      <c r="Z296" s="117"/>
      <c r="AH296" s="88"/>
      <c r="AI296" s="88"/>
    </row>
    <row r="297" spans="1:35">
      <c r="A297" s="38"/>
      <c r="B297" s="38"/>
      <c r="C297" s="38"/>
      <c r="D297" s="38"/>
      <c r="E297" s="38"/>
      <c r="F297" s="43"/>
      <c r="G297" s="44"/>
      <c r="H297" s="45"/>
      <c r="I297" s="38"/>
      <c r="J297" s="38"/>
      <c r="K297" s="46"/>
      <c r="L297" s="47"/>
      <c r="M297" s="46"/>
      <c r="N297" s="46"/>
      <c r="O297" s="38"/>
      <c r="P297" s="38"/>
      <c r="Q297" s="14"/>
      <c r="R297" s="50"/>
      <c r="S297" s="50"/>
      <c r="T297" s="50"/>
      <c r="U297" s="52"/>
      <c r="V297" s="53"/>
      <c r="W297" s="60"/>
      <c r="X297" s="123"/>
      <c r="Y297" s="117"/>
      <c r="Z297" s="117"/>
      <c r="AH297" s="88"/>
      <c r="AI297" s="88"/>
    </row>
    <row r="298" spans="1:35">
      <c r="A298" s="38"/>
      <c r="B298" s="38"/>
      <c r="C298" s="38"/>
      <c r="D298" s="38"/>
      <c r="E298" s="38"/>
      <c r="F298" s="43"/>
      <c r="G298" s="44"/>
      <c r="H298" s="45"/>
      <c r="I298" s="38"/>
      <c r="J298" s="38"/>
      <c r="K298" s="46"/>
      <c r="L298" s="47"/>
      <c r="M298" s="46"/>
      <c r="N298" s="46"/>
      <c r="O298" s="38"/>
      <c r="P298" s="38"/>
      <c r="Q298" s="14"/>
      <c r="R298" s="50"/>
      <c r="S298" s="50"/>
      <c r="T298" s="50"/>
      <c r="U298" s="52"/>
      <c r="V298" s="53"/>
      <c r="W298" s="60"/>
      <c r="X298" s="123"/>
      <c r="Y298" s="117"/>
      <c r="Z298" s="117"/>
      <c r="AH298" s="88"/>
      <c r="AI298" s="88"/>
    </row>
    <row r="299" spans="1:35">
      <c r="A299" s="38"/>
      <c r="B299" s="38"/>
      <c r="C299" s="38"/>
      <c r="D299" s="38"/>
      <c r="E299" s="38"/>
      <c r="F299" s="43"/>
      <c r="G299" s="44"/>
      <c r="H299" s="45"/>
      <c r="I299" s="38"/>
      <c r="J299" s="38"/>
      <c r="K299" s="46"/>
      <c r="L299" s="47"/>
      <c r="M299" s="46"/>
      <c r="N299" s="46"/>
      <c r="O299" s="38"/>
      <c r="P299" s="38"/>
      <c r="Q299" s="14"/>
      <c r="R299" s="50"/>
      <c r="S299" s="50"/>
      <c r="T299" s="50"/>
      <c r="U299" s="52"/>
      <c r="V299" s="53"/>
      <c r="W299" s="60"/>
      <c r="X299" s="123"/>
      <c r="Y299" s="117"/>
      <c r="Z299" s="117"/>
      <c r="AH299" s="88"/>
      <c r="AI299" s="88"/>
    </row>
    <row r="300" spans="1:35">
      <c r="A300" s="38"/>
      <c r="B300" s="38"/>
      <c r="C300" s="38"/>
      <c r="D300" s="38"/>
      <c r="E300" s="38"/>
      <c r="F300" s="43"/>
      <c r="G300" s="44"/>
      <c r="H300" s="45"/>
      <c r="I300" s="38"/>
      <c r="J300" s="38"/>
      <c r="K300" s="46"/>
      <c r="L300" s="47"/>
      <c r="M300" s="46"/>
      <c r="N300" s="46"/>
      <c r="O300" s="38"/>
      <c r="P300" s="38"/>
      <c r="Q300" s="14"/>
      <c r="R300" s="50"/>
      <c r="S300" s="50"/>
      <c r="T300" s="50"/>
      <c r="U300" s="52"/>
      <c r="V300" s="53"/>
      <c r="W300" s="60"/>
      <c r="X300" s="123"/>
      <c r="Y300" s="117"/>
      <c r="Z300" s="117"/>
      <c r="AH300" s="88"/>
      <c r="AI300" s="88"/>
    </row>
    <row r="301" spans="1:35">
      <c r="A301" s="38"/>
      <c r="B301" s="38"/>
      <c r="C301" s="38"/>
      <c r="D301" s="38"/>
      <c r="E301" s="38"/>
      <c r="F301" s="43"/>
      <c r="G301" s="44"/>
      <c r="H301" s="45"/>
      <c r="I301" s="38"/>
      <c r="J301" s="38"/>
      <c r="K301" s="46"/>
      <c r="L301" s="47"/>
      <c r="M301" s="46"/>
      <c r="N301" s="46"/>
      <c r="O301" s="38"/>
      <c r="P301" s="38"/>
      <c r="Q301" s="14"/>
      <c r="R301" s="50"/>
      <c r="S301" s="50"/>
      <c r="T301" s="50"/>
      <c r="U301" s="52"/>
      <c r="V301" s="53"/>
      <c r="W301" s="60"/>
      <c r="X301" s="123"/>
      <c r="Y301" s="117"/>
      <c r="Z301" s="117"/>
      <c r="AH301" s="88"/>
      <c r="AI301" s="88"/>
    </row>
    <row r="302" spans="1:35">
      <c r="A302" s="38"/>
      <c r="B302" s="38"/>
      <c r="C302" s="38"/>
      <c r="D302" s="38"/>
      <c r="E302" s="38"/>
      <c r="F302" s="43"/>
      <c r="G302" s="44"/>
      <c r="H302" s="45"/>
      <c r="I302" s="38"/>
      <c r="J302" s="38"/>
      <c r="K302" s="46"/>
      <c r="L302" s="47"/>
      <c r="M302" s="46"/>
      <c r="N302" s="46"/>
      <c r="O302" s="38"/>
      <c r="P302" s="38"/>
      <c r="Q302" s="14"/>
      <c r="R302" s="50"/>
      <c r="S302" s="50"/>
      <c r="T302" s="50"/>
      <c r="U302" s="52"/>
      <c r="V302" s="53"/>
      <c r="W302" s="60"/>
      <c r="X302" s="123"/>
      <c r="Y302" s="117"/>
      <c r="Z302" s="117"/>
      <c r="AH302" s="88"/>
      <c r="AI302" s="88"/>
    </row>
    <row r="303" spans="1:35">
      <c r="A303" s="38"/>
      <c r="B303" s="38"/>
      <c r="C303" s="38"/>
      <c r="D303" s="38"/>
      <c r="E303" s="38"/>
      <c r="F303" s="43"/>
      <c r="G303" s="44"/>
      <c r="H303" s="45"/>
      <c r="I303" s="38"/>
      <c r="J303" s="38"/>
      <c r="K303" s="46"/>
      <c r="L303" s="47"/>
      <c r="M303" s="46"/>
      <c r="N303" s="46"/>
      <c r="O303" s="38"/>
      <c r="P303" s="38"/>
      <c r="Q303" s="14"/>
      <c r="R303" s="50"/>
      <c r="S303" s="50"/>
      <c r="T303" s="50"/>
      <c r="U303" s="52"/>
      <c r="V303" s="53"/>
      <c r="W303" s="60"/>
      <c r="X303" s="123"/>
      <c r="Y303" s="117"/>
      <c r="Z303" s="117"/>
      <c r="AH303" s="88"/>
      <c r="AI303" s="88"/>
    </row>
    <row r="304" spans="1:35">
      <c r="A304" s="38"/>
      <c r="B304" s="38"/>
      <c r="C304" s="38"/>
      <c r="D304" s="38"/>
      <c r="E304" s="38"/>
      <c r="F304" s="43"/>
      <c r="G304" s="44"/>
      <c r="H304" s="45"/>
      <c r="I304" s="38"/>
      <c r="J304" s="38"/>
      <c r="K304" s="46"/>
      <c r="L304" s="47"/>
      <c r="M304" s="46"/>
      <c r="N304" s="46"/>
      <c r="O304" s="38"/>
      <c r="P304" s="38"/>
      <c r="Q304" s="14"/>
      <c r="R304" s="50"/>
      <c r="S304" s="50"/>
      <c r="T304" s="50"/>
      <c r="U304" s="52"/>
      <c r="V304" s="53"/>
      <c r="W304" s="60"/>
      <c r="X304" s="123"/>
      <c r="Y304" s="117"/>
      <c r="Z304" s="117"/>
      <c r="AH304" s="88"/>
      <c r="AI304" s="88"/>
    </row>
    <row r="305" spans="1:35">
      <c r="A305" s="38"/>
      <c r="B305" s="38"/>
      <c r="C305" s="38"/>
      <c r="D305" s="38"/>
      <c r="E305" s="38"/>
      <c r="F305" s="43"/>
      <c r="G305" s="44"/>
      <c r="H305" s="45"/>
      <c r="I305" s="38"/>
      <c r="J305" s="38"/>
      <c r="K305" s="46"/>
      <c r="L305" s="47"/>
      <c r="M305" s="46"/>
      <c r="N305" s="46"/>
      <c r="O305" s="38"/>
      <c r="P305" s="38"/>
      <c r="Q305" s="14"/>
      <c r="R305" s="50"/>
      <c r="S305" s="50"/>
      <c r="T305" s="50"/>
      <c r="U305" s="52"/>
      <c r="V305" s="53"/>
      <c r="W305" s="60"/>
      <c r="X305" s="123"/>
      <c r="Y305" s="117"/>
      <c r="Z305" s="117"/>
      <c r="AH305" s="88"/>
      <c r="AI305" s="88"/>
    </row>
    <row r="306" spans="1:35">
      <c r="A306" s="38"/>
      <c r="B306" s="38"/>
      <c r="C306" s="38"/>
      <c r="D306" s="38"/>
      <c r="E306" s="38"/>
      <c r="F306" s="43"/>
      <c r="G306" s="44"/>
      <c r="H306" s="45"/>
      <c r="I306" s="38"/>
      <c r="J306" s="38"/>
      <c r="K306" s="46"/>
      <c r="L306" s="47"/>
      <c r="M306" s="46"/>
      <c r="N306" s="46"/>
      <c r="O306" s="38"/>
      <c r="P306" s="38"/>
      <c r="Q306" s="14"/>
      <c r="R306" s="50"/>
      <c r="S306" s="50"/>
      <c r="T306" s="50"/>
      <c r="U306" s="52"/>
      <c r="V306" s="53"/>
      <c r="W306" s="60"/>
      <c r="X306" s="123"/>
      <c r="Y306" s="117"/>
      <c r="Z306" s="117"/>
      <c r="AH306" s="88"/>
      <c r="AI306" s="88"/>
    </row>
    <row r="307" spans="1:35">
      <c r="A307" s="38"/>
      <c r="B307" s="38"/>
      <c r="C307" s="38"/>
      <c r="D307" s="38"/>
      <c r="E307" s="38"/>
      <c r="F307" s="43"/>
      <c r="G307" s="44"/>
      <c r="H307" s="45"/>
      <c r="I307" s="38"/>
      <c r="J307" s="38"/>
      <c r="K307" s="46"/>
      <c r="L307" s="47"/>
      <c r="M307" s="46"/>
      <c r="N307" s="46"/>
      <c r="O307" s="38"/>
      <c r="P307" s="38"/>
      <c r="Q307" s="14"/>
      <c r="R307" s="50"/>
      <c r="S307" s="50"/>
      <c r="T307" s="50"/>
      <c r="U307" s="52"/>
      <c r="V307" s="53"/>
      <c r="W307" s="60"/>
      <c r="X307" s="123"/>
      <c r="Y307" s="117"/>
      <c r="Z307" s="117"/>
      <c r="AH307" s="88"/>
      <c r="AI307" s="88"/>
    </row>
    <row r="308" spans="1:35">
      <c r="A308" s="38"/>
      <c r="B308" s="38"/>
      <c r="C308" s="38"/>
      <c r="D308" s="38"/>
      <c r="E308" s="38"/>
      <c r="F308" s="43"/>
      <c r="G308" s="44"/>
      <c r="H308" s="45"/>
      <c r="I308" s="38"/>
      <c r="J308" s="38"/>
      <c r="K308" s="46"/>
      <c r="L308" s="47"/>
      <c r="M308" s="46"/>
      <c r="N308" s="46"/>
      <c r="O308" s="38"/>
      <c r="P308" s="38"/>
      <c r="Q308" s="14"/>
      <c r="R308" s="50"/>
      <c r="S308" s="50"/>
      <c r="T308" s="50"/>
      <c r="U308" s="52"/>
      <c r="V308" s="53"/>
      <c r="W308" s="60"/>
      <c r="X308" s="123"/>
      <c r="Y308" s="117"/>
      <c r="Z308" s="117"/>
      <c r="AH308" s="88"/>
      <c r="AI308" s="88"/>
    </row>
    <row r="309" spans="1:35">
      <c r="A309" s="38"/>
      <c r="B309" s="38"/>
      <c r="C309" s="38"/>
      <c r="D309" s="38"/>
      <c r="E309" s="38"/>
      <c r="F309" s="43"/>
      <c r="G309" s="44"/>
      <c r="H309" s="45"/>
      <c r="I309" s="38"/>
      <c r="J309" s="38"/>
      <c r="K309" s="46"/>
      <c r="L309" s="47"/>
      <c r="M309" s="46"/>
      <c r="N309" s="46"/>
      <c r="O309" s="38"/>
      <c r="P309" s="38"/>
      <c r="Q309" s="14"/>
      <c r="R309" s="50"/>
      <c r="S309" s="50"/>
      <c r="T309" s="50"/>
      <c r="U309" s="52"/>
      <c r="V309" s="53"/>
      <c r="W309" s="60"/>
      <c r="X309" s="123"/>
      <c r="Y309" s="117"/>
      <c r="Z309" s="117"/>
      <c r="AH309" s="88"/>
      <c r="AI309" s="88"/>
    </row>
    <row r="310" spans="1:35">
      <c r="A310" s="38"/>
      <c r="B310" s="38"/>
      <c r="C310" s="38"/>
      <c r="D310" s="38"/>
      <c r="E310" s="38"/>
      <c r="F310" s="43"/>
      <c r="G310" s="44"/>
      <c r="H310" s="45"/>
      <c r="I310" s="38"/>
      <c r="J310" s="38"/>
      <c r="K310" s="46"/>
      <c r="L310" s="47"/>
      <c r="M310" s="46"/>
      <c r="N310" s="46"/>
      <c r="O310" s="38"/>
      <c r="P310" s="38"/>
      <c r="Q310" s="14"/>
      <c r="R310" s="50"/>
      <c r="S310" s="50"/>
      <c r="T310" s="50"/>
      <c r="U310" s="52"/>
      <c r="V310" s="53"/>
      <c r="W310" s="60"/>
      <c r="X310" s="123"/>
      <c r="Y310" s="117"/>
      <c r="Z310" s="117"/>
      <c r="AH310" s="88"/>
      <c r="AI310" s="88"/>
    </row>
    <row r="311" spans="1:35">
      <c r="A311" s="38"/>
      <c r="B311" s="38"/>
      <c r="C311" s="38"/>
      <c r="D311" s="38"/>
      <c r="E311" s="38"/>
      <c r="F311" s="43"/>
      <c r="G311" s="44"/>
      <c r="H311" s="45"/>
      <c r="I311" s="38"/>
      <c r="J311" s="38"/>
      <c r="K311" s="46"/>
      <c r="L311" s="47"/>
      <c r="M311" s="46"/>
      <c r="N311" s="46"/>
      <c r="O311" s="38"/>
      <c r="P311" s="38"/>
      <c r="Q311" s="14"/>
      <c r="R311" s="50"/>
      <c r="S311" s="50"/>
      <c r="T311" s="50"/>
      <c r="U311" s="52"/>
      <c r="V311" s="53"/>
      <c r="W311" s="60"/>
      <c r="X311" s="123"/>
      <c r="Y311" s="117"/>
      <c r="Z311" s="117"/>
      <c r="AH311" s="88"/>
      <c r="AI311" s="88"/>
    </row>
    <row r="312" spans="1:35">
      <c r="A312" s="38"/>
      <c r="B312" s="38"/>
      <c r="C312" s="38"/>
      <c r="D312" s="38"/>
      <c r="E312" s="38"/>
      <c r="F312" s="43"/>
      <c r="G312" s="44"/>
      <c r="H312" s="45"/>
      <c r="I312" s="38"/>
      <c r="J312" s="38"/>
      <c r="K312" s="46"/>
      <c r="L312" s="47"/>
      <c r="M312" s="46"/>
      <c r="N312" s="46"/>
      <c r="O312" s="38"/>
      <c r="P312" s="38"/>
      <c r="Q312" s="14"/>
      <c r="R312" s="50"/>
      <c r="S312" s="50"/>
      <c r="T312" s="50"/>
      <c r="U312" s="52"/>
      <c r="V312" s="53"/>
      <c r="W312" s="60"/>
      <c r="X312" s="123"/>
      <c r="Y312" s="117"/>
      <c r="Z312" s="117"/>
      <c r="AH312" s="88"/>
      <c r="AI312" s="88"/>
    </row>
    <row r="313" spans="1:35">
      <c r="A313" s="38"/>
      <c r="B313" s="38"/>
      <c r="C313" s="38"/>
      <c r="D313" s="38"/>
      <c r="E313" s="38"/>
      <c r="F313" s="43"/>
      <c r="G313" s="44"/>
      <c r="H313" s="45"/>
      <c r="I313" s="38"/>
      <c r="J313" s="38"/>
      <c r="K313" s="46"/>
      <c r="L313" s="47"/>
      <c r="M313" s="46"/>
      <c r="N313" s="46"/>
      <c r="O313" s="38"/>
      <c r="P313" s="38"/>
      <c r="Q313" s="14"/>
      <c r="R313" s="50"/>
      <c r="S313" s="50"/>
      <c r="T313" s="50"/>
      <c r="U313" s="52"/>
      <c r="V313" s="53"/>
      <c r="W313" s="60"/>
      <c r="X313" s="123"/>
      <c r="Y313" s="117"/>
      <c r="Z313" s="117"/>
      <c r="AH313" s="88"/>
      <c r="AI313" s="88"/>
    </row>
    <row r="314" spans="1:35">
      <c r="A314" s="38"/>
      <c r="B314" s="38"/>
      <c r="C314" s="38"/>
      <c r="D314" s="38"/>
      <c r="E314" s="38"/>
      <c r="F314" s="43"/>
      <c r="G314" s="44"/>
      <c r="H314" s="45"/>
      <c r="I314" s="38"/>
      <c r="J314" s="38"/>
      <c r="K314" s="46"/>
      <c r="L314" s="47"/>
      <c r="M314" s="46"/>
      <c r="N314" s="46"/>
      <c r="O314" s="38"/>
      <c r="P314" s="38"/>
      <c r="Q314" s="14"/>
      <c r="R314" s="50"/>
      <c r="S314" s="50"/>
      <c r="T314" s="50"/>
      <c r="U314" s="52"/>
      <c r="V314" s="53"/>
      <c r="W314" s="60"/>
      <c r="X314" s="123"/>
      <c r="Y314" s="117"/>
      <c r="Z314" s="117"/>
      <c r="AH314" s="88"/>
      <c r="AI314" s="88"/>
    </row>
    <row r="315" spans="1:35">
      <c r="A315" s="38"/>
      <c r="B315" s="38"/>
      <c r="C315" s="38"/>
      <c r="D315" s="38"/>
      <c r="E315" s="38"/>
      <c r="F315" s="43"/>
      <c r="G315" s="44"/>
      <c r="H315" s="45"/>
      <c r="I315" s="38"/>
      <c r="J315" s="38"/>
      <c r="K315" s="46"/>
      <c r="L315" s="47"/>
      <c r="M315" s="46"/>
      <c r="N315" s="46"/>
      <c r="O315" s="38"/>
      <c r="P315" s="38"/>
      <c r="Q315" s="14"/>
      <c r="R315" s="50"/>
      <c r="S315" s="50"/>
      <c r="T315" s="50"/>
      <c r="U315" s="52"/>
      <c r="V315" s="53"/>
      <c r="W315" s="60"/>
      <c r="X315" s="123"/>
      <c r="Y315" s="117"/>
      <c r="Z315" s="117"/>
      <c r="AH315" s="88"/>
      <c r="AI315" s="88"/>
    </row>
    <row r="316" spans="1:35">
      <c r="A316" s="38"/>
      <c r="B316" s="38"/>
      <c r="C316" s="38"/>
      <c r="D316" s="38"/>
      <c r="E316" s="38"/>
      <c r="F316" s="43"/>
      <c r="G316" s="44"/>
      <c r="H316" s="45"/>
      <c r="I316" s="38"/>
      <c r="J316" s="38"/>
      <c r="K316" s="46"/>
      <c r="L316" s="47"/>
      <c r="M316" s="46"/>
      <c r="N316" s="46"/>
      <c r="O316" s="38"/>
      <c r="P316" s="38"/>
      <c r="Q316" s="14"/>
      <c r="R316" s="50"/>
      <c r="S316" s="50"/>
      <c r="T316" s="50"/>
      <c r="U316" s="52"/>
      <c r="V316" s="53"/>
      <c r="W316" s="60"/>
      <c r="X316" s="123"/>
      <c r="Y316" s="117"/>
      <c r="Z316" s="117"/>
      <c r="AH316" s="88"/>
      <c r="AI316" s="88"/>
    </row>
    <row r="317" spans="1:35">
      <c r="A317" s="38"/>
      <c r="B317" s="38"/>
      <c r="C317" s="38"/>
      <c r="D317" s="38"/>
      <c r="E317" s="38"/>
      <c r="F317" s="43"/>
      <c r="G317" s="44"/>
      <c r="H317" s="45"/>
      <c r="I317" s="38"/>
      <c r="J317" s="38"/>
      <c r="K317" s="46"/>
      <c r="L317" s="47"/>
      <c r="M317" s="46"/>
      <c r="N317" s="46"/>
      <c r="O317" s="38"/>
      <c r="P317" s="38"/>
      <c r="Q317" s="14"/>
      <c r="R317" s="50"/>
      <c r="S317" s="50"/>
      <c r="T317" s="50"/>
      <c r="U317" s="52"/>
      <c r="V317" s="53"/>
      <c r="W317" s="60"/>
      <c r="X317" s="123"/>
      <c r="Y317" s="117"/>
      <c r="Z317" s="117"/>
      <c r="AH317" s="88"/>
      <c r="AI317" s="88"/>
    </row>
    <row r="318" spans="1:35">
      <c r="A318" s="38"/>
      <c r="B318" s="38"/>
      <c r="C318" s="38"/>
      <c r="D318" s="38"/>
      <c r="E318" s="38"/>
      <c r="F318" s="43"/>
      <c r="G318" s="44"/>
      <c r="H318" s="45"/>
      <c r="I318" s="38"/>
      <c r="J318" s="38"/>
      <c r="K318" s="46"/>
      <c r="L318" s="47"/>
      <c r="M318" s="46"/>
      <c r="N318" s="46"/>
      <c r="O318" s="38"/>
      <c r="P318" s="38"/>
      <c r="Q318" s="14"/>
      <c r="R318" s="50"/>
      <c r="S318" s="50"/>
      <c r="T318" s="50"/>
      <c r="U318" s="52"/>
      <c r="V318" s="53"/>
      <c r="W318" s="60"/>
      <c r="X318" s="123"/>
      <c r="Y318" s="117"/>
      <c r="Z318" s="117"/>
      <c r="AH318" s="88"/>
      <c r="AI318" s="88"/>
    </row>
    <row r="319" spans="1:35">
      <c r="A319" s="38"/>
      <c r="B319" s="38"/>
      <c r="C319" s="38"/>
      <c r="D319" s="38"/>
      <c r="E319" s="38"/>
      <c r="F319" s="43"/>
      <c r="G319" s="44"/>
      <c r="H319" s="45"/>
      <c r="I319" s="38"/>
      <c r="J319" s="38"/>
      <c r="K319" s="46"/>
      <c r="L319" s="47"/>
      <c r="M319" s="46"/>
      <c r="N319" s="46"/>
      <c r="O319" s="38"/>
      <c r="P319" s="38"/>
      <c r="Q319" s="14"/>
      <c r="R319" s="50"/>
      <c r="S319" s="50"/>
      <c r="T319" s="50"/>
      <c r="U319" s="52"/>
      <c r="V319" s="53"/>
      <c r="W319" s="60"/>
      <c r="X319" s="123"/>
      <c r="Y319" s="117"/>
      <c r="Z319" s="117"/>
      <c r="AH319" s="88"/>
      <c r="AI319" s="88"/>
    </row>
    <row r="320" spans="1:35">
      <c r="A320" s="38"/>
      <c r="B320" s="38"/>
      <c r="C320" s="38"/>
      <c r="D320" s="38"/>
      <c r="E320" s="38"/>
      <c r="F320" s="43"/>
      <c r="G320" s="44"/>
      <c r="H320" s="45"/>
      <c r="I320" s="38"/>
      <c r="J320" s="38"/>
      <c r="K320" s="46"/>
      <c r="L320" s="47"/>
      <c r="M320" s="46"/>
      <c r="N320" s="46"/>
      <c r="O320" s="38"/>
      <c r="P320" s="38"/>
      <c r="Q320" s="14"/>
      <c r="R320" s="50"/>
      <c r="S320" s="50"/>
      <c r="T320" s="50"/>
      <c r="U320" s="52"/>
      <c r="V320" s="53"/>
      <c r="W320" s="60"/>
      <c r="X320" s="123"/>
      <c r="Y320" s="117"/>
      <c r="Z320" s="117"/>
      <c r="AH320" s="88"/>
      <c r="AI320" s="88"/>
    </row>
    <row r="321" spans="1:35">
      <c r="A321" s="38"/>
      <c r="B321" s="38"/>
      <c r="C321" s="38"/>
      <c r="D321" s="38"/>
      <c r="E321" s="38"/>
      <c r="F321" s="43"/>
      <c r="G321" s="44"/>
      <c r="H321" s="45"/>
      <c r="I321" s="38"/>
      <c r="J321" s="38"/>
      <c r="K321" s="46"/>
      <c r="L321" s="47"/>
      <c r="M321" s="46"/>
      <c r="N321" s="46"/>
      <c r="O321" s="38"/>
      <c r="P321" s="38"/>
      <c r="Q321" s="14"/>
      <c r="R321" s="50"/>
      <c r="S321" s="50"/>
      <c r="T321" s="50"/>
      <c r="U321" s="52"/>
      <c r="V321" s="53"/>
      <c r="W321" s="60"/>
      <c r="X321" s="123"/>
      <c r="Y321" s="117"/>
      <c r="Z321" s="117"/>
      <c r="AH321" s="88"/>
      <c r="AI321" s="88"/>
    </row>
    <row r="322" spans="1:35">
      <c r="A322" s="38"/>
      <c r="B322" s="38"/>
      <c r="C322" s="38"/>
      <c r="D322" s="38"/>
      <c r="E322" s="38"/>
      <c r="F322" s="43"/>
      <c r="G322" s="44"/>
      <c r="H322" s="45"/>
      <c r="I322" s="38"/>
      <c r="J322" s="38"/>
      <c r="K322" s="46"/>
      <c r="L322" s="47"/>
      <c r="M322" s="46"/>
      <c r="N322" s="46"/>
      <c r="O322" s="38"/>
      <c r="P322" s="38"/>
      <c r="Q322" s="14"/>
      <c r="R322" s="50"/>
      <c r="S322" s="50"/>
      <c r="T322" s="50"/>
      <c r="U322" s="52"/>
      <c r="V322" s="53"/>
      <c r="W322" s="60"/>
      <c r="X322" s="123"/>
      <c r="Y322" s="117"/>
      <c r="Z322" s="117"/>
      <c r="AH322" s="88"/>
      <c r="AI322" s="88"/>
    </row>
    <row r="323" spans="1:35">
      <c r="A323" s="38"/>
      <c r="B323" s="38"/>
      <c r="C323" s="38"/>
      <c r="D323" s="38"/>
      <c r="E323" s="38"/>
      <c r="F323" s="43"/>
      <c r="G323" s="44"/>
      <c r="H323" s="45"/>
      <c r="I323" s="38"/>
      <c r="J323" s="38"/>
      <c r="K323" s="46"/>
      <c r="L323" s="47"/>
      <c r="M323" s="46"/>
      <c r="N323" s="46"/>
      <c r="O323" s="38"/>
      <c r="P323" s="38"/>
      <c r="Q323" s="14"/>
      <c r="R323" s="50"/>
      <c r="S323" s="50"/>
      <c r="T323" s="50"/>
      <c r="U323" s="52"/>
      <c r="V323" s="53"/>
      <c r="W323" s="60"/>
      <c r="X323" s="123"/>
      <c r="Y323" s="117"/>
      <c r="Z323" s="117"/>
      <c r="AH323" s="88"/>
      <c r="AI323" s="88"/>
    </row>
    <row r="324" spans="1:35">
      <c r="A324" s="38"/>
      <c r="B324" s="38"/>
      <c r="C324" s="38"/>
      <c r="D324" s="38"/>
      <c r="E324" s="38"/>
      <c r="F324" s="43"/>
      <c r="G324" s="44"/>
      <c r="H324" s="45"/>
      <c r="I324" s="38"/>
      <c r="J324" s="38"/>
      <c r="K324" s="46"/>
      <c r="L324" s="47"/>
      <c r="M324" s="46"/>
      <c r="N324" s="46"/>
      <c r="O324" s="38"/>
      <c r="P324" s="38"/>
      <c r="Q324" s="14"/>
      <c r="R324" s="50"/>
      <c r="S324" s="50"/>
      <c r="T324" s="50"/>
      <c r="U324" s="52"/>
      <c r="V324" s="53"/>
      <c r="W324" s="60"/>
      <c r="X324" s="123"/>
      <c r="Y324" s="117"/>
      <c r="Z324" s="117"/>
      <c r="AH324" s="88"/>
      <c r="AI324" s="88"/>
    </row>
    <row r="325" spans="1:35">
      <c r="A325" s="38"/>
      <c r="B325" s="38"/>
      <c r="C325" s="38"/>
      <c r="D325" s="38"/>
      <c r="E325" s="38"/>
      <c r="F325" s="43"/>
      <c r="G325" s="44"/>
      <c r="H325" s="45"/>
      <c r="I325" s="38"/>
      <c r="J325" s="38"/>
      <c r="K325" s="46"/>
      <c r="L325" s="47"/>
      <c r="M325" s="46"/>
      <c r="N325" s="46"/>
      <c r="O325" s="38"/>
      <c r="P325" s="38"/>
      <c r="Q325" s="14"/>
      <c r="R325" s="50"/>
      <c r="S325" s="50"/>
      <c r="T325" s="50"/>
      <c r="U325" s="52"/>
      <c r="V325" s="53"/>
      <c r="W325" s="60"/>
      <c r="X325" s="123"/>
      <c r="Y325" s="117"/>
      <c r="Z325" s="117"/>
      <c r="AH325" s="88"/>
      <c r="AI325" s="88"/>
    </row>
    <row r="326" spans="1:35">
      <c r="A326" s="38"/>
      <c r="B326" s="38"/>
      <c r="C326" s="38"/>
      <c r="D326" s="38"/>
      <c r="E326" s="38"/>
      <c r="F326" s="43"/>
      <c r="G326" s="44"/>
      <c r="H326" s="45"/>
      <c r="I326" s="38"/>
      <c r="J326" s="38"/>
      <c r="K326" s="46"/>
      <c r="L326" s="47"/>
      <c r="M326" s="46"/>
      <c r="N326" s="46"/>
      <c r="O326" s="38"/>
      <c r="P326" s="38"/>
      <c r="Q326" s="14"/>
      <c r="R326" s="50"/>
      <c r="S326" s="50"/>
      <c r="T326" s="50"/>
      <c r="U326" s="52"/>
      <c r="V326" s="53"/>
      <c r="W326" s="60"/>
      <c r="X326" s="123"/>
      <c r="Y326" s="117"/>
      <c r="Z326" s="117"/>
      <c r="AH326" s="88"/>
      <c r="AI326" s="88"/>
    </row>
    <row r="327" spans="1:35">
      <c r="A327" s="38"/>
      <c r="B327" s="38"/>
      <c r="C327" s="38"/>
      <c r="D327" s="38"/>
      <c r="E327" s="38"/>
      <c r="F327" s="43"/>
      <c r="G327" s="44"/>
      <c r="H327" s="45"/>
      <c r="I327" s="38"/>
      <c r="J327" s="38"/>
      <c r="K327" s="46"/>
      <c r="L327" s="47"/>
      <c r="M327" s="46"/>
      <c r="N327" s="46"/>
      <c r="O327" s="38"/>
      <c r="P327" s="38"/>
      <c r="Q327" s="14"/>
      <c r="R327" s="50"/>
      <c r="S327" s="50"/>
      <c r="T327" s="50"/>
      <c r="U327" s="52"/>
      <c r="V327" s="53"/>
      <c r="W327" s="60"/>
      <c r="X327" s="123"/>
      <c r="Y327" s="117"/>
      <c r="Z327" s="117"/>
      <c r="AH327" s="88"/>
      <c r="AI327" s="88"/>
    </row>
    <row r="328" spans="1:35">
      <c r="A328" s="38"/>
      <c r="B328" s="38"/>
      <c r="C328" s="38"/>
      <c r="D328" s="38"/>
      <c r="E328" s="38"/>
      <c r="F328" s="43"/>
      <c r="G328" s="44"/>
      <c r="H328" s="45"/>
      <c r="I328" s="38"/>
      <c r="J328" s="38"/>
      <c r="K328" s="46"/>
      <c r="L328" s="47"/>
      <c r="M328" s="46"/>
      <c r="N328" s="46"/>
      <c r="O328" s="38"/>
      <c r="P328" s="38"/>
      <c r="Q328" s="14"/>
      <c r="R328" s="50"/>
      <c r="S328" s="50"/>
      <c r="T328" s="50"/>
      <c r="U328" s="52"/>
      <c r="V328" s="53"/>
      <c r="W328" s="60"/>
      <c r="X328" s="123"/>
      <c r="Y328" s="117"/>
      <c r="Z328" s="117"/>
      <c r="AH328" s="88"/>
      <c r="AI328" s="88"/>
    </row>
    <row r="329" spans="1:35">
      <c r="A329" s="38"/>
      <c r="B329" s="38"/>
      <c r="C329" s="38"/>
      <c r="D329" s="38"/>
      <c r="E329" s="38"/>
      <c r="F329" s="43"/>
      <c r="G329" s="44"/>
      <c r="H329" s="45"/>
      <c r="I329" s="38"/>
      <c r="J329" s="38"/>
      <c r="K329" s="46"/>
      <c r="L329" s="47"/>
      <c r="M329" s="46"/>
      <c r="N329" s="46"/>
      <c r="O329" s="38"/>
      <c r="P329" s="38"/>
      <c r="Q329" s="14"/>
      <c r="R329" s="50"/>
      <c r="S329" s="50"/>
      <c r="T329" s="50"/>
      <c r="U329" s="52"/>
      <c r="V329" s="53"/>
      <c r="W329" s="60"/>
      <c r="X329" s="123"/>
      <c r="Y329" s="117"/>
      <c r="Z329" s="117"/>
      <c r="AH329" s="88"/>
      <c r="AI329" s="88"/>
    </row>
    <row r="330" spans="1:35">
      <c r="A330" s="38"/>
      <c r="B330" s="38"/>
      <c r="C330" s="38"/>
      <c r="D330" s="38"/>
      <c r="E330" s="38"/>
      <c r="F330" s="43"/>
      <c r="G330" s="44"/>
      <c r="H330" s="45"/>
      <c r="I330" s="38"/>
      <c r="J330" s="38"/>
      <c r="K330" s="46"/>
      <c r="L330" s="47"/>
      <c r="M330" s="46"/>
      <c r="N330" s="46"/>
      <c r="O330" s="38"/>
      <c r="P330" s="38"/>
      <c r="Q330" s="14"/>
      <c r="R330" s="50"/>
      <c r="S330" s="50"/>
      <c r="T330" s="50"/>
      <c r="U330" s="52"/>
      <c r="V330" s="53"/>
      <c r="W330" s="60"/>
      <c r="X330" s="123"/>
      <c r="Y330" s="117"/>
      <c r="Z330" s="117"/>
      <c r="AH330" s="88"/>
      <c r="AI330" s="88"/>
    </row>
    <row r="331" spans="1:35">
      <c r="A331" s="38"/>
      <c r="B331" s="38"/>
      <c r="C331" s="38"/>
      <c r="D331" s="38"/>
      <c r="E331" s="38"/>
      <c r="F331" s="43"/>
      <c r="G331" s="44"/>
      <c r="H331" s="45"/>
      <c r="I331" s="38"/>
      <c r="J331" s="38"/>
      <c r="K331" s="46"/>
      <c r="L331" s="47"/>
      <c r="M331" s="46"/>
      <c r="N331" s="46"/>
      <c r="O331" s="38"/>
      <c r="P331" s="38"/>
      <c r="Q331" s="14"/>
      <c r="R331" s="50"/>
      <c r="S331" s="50"/>
      <c r="T331" s="50"/>
      <c r="U331" s="52"/>
      <c r="V331" s="53"/>
      <c r="W331" s="60"/>
      <c r="X331" s="123"/>
      <c r="Y331" s="117"/>
      <c r="Z331" s="117"/>
      <c r="AH331" s="88"/>
      <c r="AI331" s="88"/>
    </row>
    <row r="332" spans="1:35">
      <c r="A332" s="38"/>
      <c r="B332" s="38"/>
      <c r="C332" s="38"/>
      <c r="D332" s="38"/>
      <c r="E332" s="38"/>
      <c r="F332" s="43"/>
      <c r="G332" s="44"/>
      <c r="H332" s="45"/>
      <c r="I332" s="38"/>
      <c r="J332" s="38"/>
      <c r="K332" s="46"/>
      <c r="L332" s="47"/>
      <c r="M332" s="46"/>
      <c r="N332" s="46"/>
      <c r="O332" s="38"/>
      <c r="P332" s="38"/>
      <c r="Q332" s="14"/>
      <c r="R332" s="50"/>
      <c r="S332" s="50"/>
      <c r="T332" s="50"/>
      <c r="U332" s="52"/>
      <c r="V332" s="53"/>
      <c r="W332" s="60"/>
      <c r="X332" s="123"/>
      <c r="Y332" s="117"/>
      <c r="Z332" s="117"/>
      <c r="AH332" s="88"/>
      <c r="AI332" s="88"/>
    </row>
    <row r="333" spans="1:35">
      <c r="A333" s="38"/>
      <c r="B333" s="38"/>
      <c r="C333" s="38"/>
      <c r="D333" s="38"/>
      <c r="E333" s="38"/>
      <c r="F333" s="43"/>
      <c r="G333" s="44"/>
      <c r="H333" s="45"/>
      <c r="I333" s="38"/>
      <c r="J333" s="38"/>
      <c r="K333" s="46"/>
      <c r="L333" s="47"/>
      <c r="M333" s="46"/>
      <c r="N333" s="46"/>
      <c r="O333" s="38"/>
      <c r="P333" s="38"/>
      <c r="Q333" s="14"/>
      <c r="R333" s="50"/>
      <c r="S333" s="50"/>
      <c r="T333" s="50"/>
      <c r="U333" s="52"/>
      <c r="V333" s="53"/>
      <c r="W333" s="60"/>
      <c r="X333" s="123"/>
      <c r="Y333" s="117"/>
      <c r="Z333" s="117"/>
      <c r="AH333" s="88"/>
      <c r="AI333" s="88"/>
    </row>
    <row r="334" spans="1:35">
      <c r="A334" s="38"/>
      <c r="B334" s="38"/>
      <c r="C334" s="38"/>
      <c r="D334" s="38"/>
      <c r="E334" s="38"/>
      <c r="F334" s="43"/>
      <c r="G334" s="44"/>
      <c r="H334" s="45"/>
      <c r="I334" s="38"/>
      <c r="J334" s="38"/>
      <c r="K334" s="46"/>
      <c r="L334" s="47"/>
      <c r="M334" s="46"/>
      <c r="N334" s="46"/>
      <c r="O334" s="38"/>
      <c r="P334" s="38"/>
      <c r="Q334" s="14"/>
      <c r="R334" s="50"/>
      <c r="S334" s="50"/>
      <c r="T334" s="50"/>
      <c r="U334" s="52"/>
      <c r="V334" s="53"/>
      <c r="W334" s="60"/>
      <c r="X334" s="123"/>
      <c r="Y334" s="117"/>
      <c r="Z334" s="117"/>
      <c r="AH334" s="88"/>
      <c r="AI334" s="88"/>
    </row>
    <row r="335" spans="1:35">
      <c r="A335" s="38"/>
      <c r="B335" s="38"/>
      <c r="C335" s="38"/>
      <c r="D335" s="38"/>
      <c r="E335" s="38"/>
      <c r="F335" s="43"/>
      <c r="G335" s="44"/>
      <c r="H335" s="45"/>
      <c r="I335" s="38"/>
      <c r="J335" s="38"/>
      <c r="K335" s="46"/>
      <c r="L335" s="47"/>
      <c r="M335" s="46"/>
      <c r="N335" s="46"/>
      <c r="O335" s="38"/>
      <c r="P335" s="38"/>
      <c r="Q335" s="14"/>
      <c r="R335" s="50"/>
      <c r="S335" s="50"/>
      <c r="T335" s="50"/>
      <c r="U335" s="52"/>
      <c r="V335" s="53"/>
      <c r="W335" s="60"/>
      <c r="X335" s="123"/>
      <c r="Y335" s="117"/>
      <c r="Z335" s="117"/>
      <c r="AH335" s="88"/>
      <c r="AI335" s="88"/>
    </row>
    <row r="336" spans="1:35">
      <c r="A336" s="38"/>
      <c r="B336" s="38"/>
      <c r="C336" s="38"/>
      <c r="D336" s="38"/>
      <c r="E336" s="38"/>
      <c r="F336" s="43"/>
      <c r="G336" s="44"/>
      <c r="H336" s="45"/>
      <c r="I336" s="38"/>
      <c r="J336" s="38"/>
      <c r="K336" s="46"/>
      <c r="L336" s="47"/>
      <c r="M336" s="46"/>
      <c r="N336" s="46"/>
      <c r="O336" s="38"/>
      <c r="P336" s="38"/>
      <c r="Q336" s="14"/>
      <c r="R336" s="50"/>
      <c r="S336" s="50"/>
      <c r="T336" s="50"/>
      <c r="U336" s="52"/>
      <c r="V336" s="53"/>
      <c r="W336" s="60"/>
      <c r="X336" s="123"/>
      <c r="Y336" s="117"/>
      <c r="Z336" s="117"/>
      <c r="AH336" s="88"/>
      <c r="AI336" s="88"/>
    </row>
    <row r="337" spans="1:35">
      <c r="A337" s="38"/>
      <c r="B337" s="38"/>
      <c r="C337" s="38"/>
      <c r="D337" s="38"/>
      <c r="E337" s="38"/>
      <c r="F337" s="43"/>
      <c r="G337" s="44"/>
      <c r="H337" s="45"/>
      <c r="I337" s="38"/>
      <c r="J337" s="38"/>
      <c r="K337" s="46"/>
      <c r="L337" s="47"/>
      <c r="M337" s="46"/>
      <c r="N337" s="46"/>
      <c r="O337" s="38"/>
      <c r="P337" s="38"/>
      <c r="Q337" s="14"/>
      <c r="R337" s="50"/>
      <c r="S337" s="50"/>
      <c r="T337" s="50"/>
      <c r="U337" s="52"/>
      <c r="V337" s="53"/>
      <c r="W337" s="60"/>
      <c r="X337" s="123"/>
      <c r="Y337" s="117"/>
      <c r="Z337" s="117"/>
      <c r="AH337" s="88"/>
      <c r="AI337" s="88"/>
    </row>
    <row r="338" spans="1:35">
      <c r="A338" s="38"/>
      <c r="B338" s="38"/>
      <c r="C338" s="38"/>
      <c r="D338" s="38"/>
      <c r="E338" s="38"/>
      <c r="F338" s="43"/>
      <c r="G338" s="44"/>
      <c r="H338" s="45"/>
      <c r="I338" s="38"/>
      <c r="J338" s="38"/>
      <c r="K338" s="46"/>
      <c r="L338" s="47"/>
      <c r="M338" s="46"/>
      <c r="N338" s="46"/>
      <c r="O338" s="38"/>
      <c r="P338" s="38"/>
      <c r="Q338" s="14"/>
      <c r="R338" s="50"/>
      <c r="S338" s="50"/>
      <c r="T338" s="50"/>
      <c r="U338" s="52"/>
      <c r="V338" s="53"/>
      <c r="W338" s="60"/>
      <c r="X338" s="123"/>
      <c r="Y338" s="117"/>
      <c r="Z338" s="117"/>
      <c r="AH338" s="88"/>
      <c r="AI338" s="88"/>
    </row>
    <row r="339" spans="1:35">
      <c r="A339" s="38"/>
      <c r="B339" s="38"/>
      <c r="C339" s="38"/>
      <c r="D339" s="38"/>
      <c r="E339" s="38"/>
      <c r="F339" s="43"/>
      <c r="G339" s="44"/>
      <c r="H339" s="45"/>
      <c r="I339" s="38"/>
      <c r="J339" s="38"/>
      <c r="K339" s="46"/>
      <c r="L339" s="47"/>
      <c r="M339" s="46"/>
      <c r="N339" s="46"/>
      <c r="O339" s="38"/>
      <c r="P339" s="38"/>
      <c r="Q339" s="14"/>
      <c r="R339" s="50"/>
      <c r="S339" s="50"/>
      <c r="T339" s="50"/>
      <c r="U339" s="52"/>
      <c r="V339" s="53"/>
      <c r="W339" s="60"/>
      <c r="X339" s="123"/>
      <c r="Y339" s="117"/>
      <c r="Z339" s="117"/>
      <c r="AH339" s="88"/>
      <c r="AI339" s="88"/>
    </row>
    <row r="340" spans="1:35">
      <c r="A340" s="38"/>
      <c r="B340" s="38"/>
      <c r="C340" s="38"/>
      <c r="D340" s="38"/>
      <c r="E340" s="38"/>
      <c r="F340" s="43"/>
      <c r="G340" s="44"/>
      <c r="H340" s="45"/>
      <c r="I340" s="38"/>
      <c r="J340" s="38"/>
      <c r="K340" s="46"/>
      <c r="L340" s="47"/>
      <c r="M340" s="46"/>
      <c r="N340" s="46"/>
      <c r="O340" s="38"/>
      <c r="P340" s="38"/>
      <c r="Q340" s="14"/>
      <c r="R340" s="50"/>
      <c r="S340" s="50"/>
      <c r="T340" s="50"/>
      <c r="U340" s="52"/>
      <c r="V340" s="53"/>
      <c r="W340" s="60"/>
      <c r="X340" s="123"/>
      <c r="Y340" s="117"/>
      <c r="Z340" s="117"/>
      <c r="AH340" s="88"/>
      <c r="AI340" s="88"/>
    </row>
    <row r="341" spans="1:35">
      <c r="A341" s="38"/>
      <c r="B341" s="38"/>
      <c r="C341" s="38"/>
      <c r="D341" s="38"/>
      <c r="E341" s="38"/>
      <c r="F341" s="43"/>
      <c r="G341" s="44"/>
      <c r="H341" s="45"/>
      <c r="I341" s="38"/>
      <c r="J341" s="38"/>
      <c r="K341" s="46"/>
      <c r="L341" s="47"/>
      <c r="M341" s="46"/>
      <c r="N341" s="46"/>
      <c r="O341" s="38"/>
      <c r="P341" s="38"/>
      <c r="Q341" s="14"/>
      <c r="R341" s="50"/>
      <c r="S341" s="50"/>
      <c r="T341" s="50"/>
      <c r="U341" s="52"/>
      <c r="V341" s="53"/>
      <c r="W341" s="60"/>
      <c r="X341" s="123"/>
      <c r="Y341" s="117"/>
      <c r="Z341" s="117"/>
      <c r="AH341" s="88"/>
      <c r="AI341" s="88"/>
    </row>
    <row r="342" spans="1:35">
      <c r="A342" s="38"/>
      <c r="B342" s="38"/>
      <c r="C342" s="38"/>
      <c r="D342" s="38"/>
      <c r="E342" s="38"/>
      <c r="F342" s="43"/>
      <c r="G342" s="44"/>
      <c r="H342" s="45"/>
      <c r="I342" s="38"/>
      <c r="J342" s="38"/>
      <c r="K342" s="46"/>
      <c r="L342" s="47"/>
      <c r="M342" s="46"/>
      <c r="N342" s="46"/>
      <c r="O342" s="38"/>
      <c r="P342" s="38"/>
      <c r="Q342" s="14"/>
      <c r="R342" s="50"/>
      <c r="S342" s="50"/>
      <c r="T342" s="50"/>
      <c r="U342" s="52"/>
      <c r="V342" s="53"/>
      <c r="W342" s="60"/>
      <c r="X342" s="123"/>
      <c r="Y342" s="117"/>
      <c r="Z342" s="117"/>
      <c r="AH342" s="88"/>
      <c r="AI342" s="88"/>
    </row>
    <row r="343" spans="1:35">
      <c r="A343" s="38"/>
      <c r="B343" s="38"/>
      <c r="C343" s="38"/>
      <c r="D343" s="38"/>
      <c r="E343" s="38"/>
      <c r="F343" s="43"/>
      <c r="G343" s="44"/>
      <c r="H343" s="45"/>
      <c r="I343" s="38"/>
      <c r="J343" s="38"/>
      <c r="K343" s="46"/>
      <c r="L343" s="47"/>
      <c r="M343" s="46"/>
      <c r="N343" s="46"/>
      <c r="O343" s="38"/>
      <c r="P343" s="38"/>
      <c r="Q343" s="14"/>
      <c r="R343" s="50"/>
      <c r="S343" s="50"/>
      <c r="T343" s="50"/>
      <c r="U343" s="52"/>
      <c r="V343" s="53"/>
      <c r="W343" s="60"/>
      <c r="X343" s="123"/>
      <c r="Y343" s="117"/>
      <c r="Z343" s="117"/>
      <c r="AH343" s="88"/>
      <c r="AI343" s="88"/>
    </row>
    <row r="344" spans="1:35">
      <c r="A344" s="38"/>
      <c r="B344" s="38"/>
      <c r="C344" s="38"/>
      <c r="D344" s="38"/>
      <c r="E344" s="38"/>
      <c r="F344" s="43"/>
      <c r="G344" s="44"/>
      <c r="H344" s="45"/>
      <c r="I344" s="38"/>
      <c r="J344" s="38"/>
      <c r="K344" s="46"/>
      <c r="L344" s="47"/>
      <c r="M344" s="46"/>
      <c r="N344" s="46"/>
      <c r="O344" s="38"/>
      <c r="P344" s="38"/>
      <c r="Q344" s="14"/>
      <c r="R344" s="50"/>
      <c r="S344" s="50"/>
      <c r="T344" s="50"/>
      <c r="U344" s="52"/>
      <c r="V344" s="53"/>
      <c r="W344" s="60"/>
      <c r="X344" s="123"/>
      <c r="Y344" s="117"/>
      <c r="Z344" s="117"/>
      <c r="AH344" s="88"/>
      <c r="AI344" s="88"/>
    </row>
    <row r="345" spans="1:35">
      <c r="A345" s="38"/>
      <c r="B345" s="38"/>
      <c r="C345" s="38"/>
      <c r="D345" s="38"/>
      <c r="E345" s="38"/>
      <c r="F345" s="43"/>
      <c r="G345" s="44"/>
      <c r="H345" s="45"/>
      <c r="I345" s="38"/>
      <c r="J345" s="38"/>
      <c r="K345" s="46"/>
      <c r="L345" s="47"/>
      <c r="M345" s="46"/>
      <c r="N345" s="46"/>
      <c r="O345" s="38"/>
      <c r="P345" s="38"/>
      <c r="Q345" s="14"/>
      <c r="R345" s="50"/>
      <c r="S345" s="50"/>
      <c r="T345" s="50"/>
      <c r="U345" s="52"/>
      <c r="V345" s="53"/>
      <c r="W345" s="60"/>
      <c r="X345" s="123"/>
      <c r="Y345" s="117"/>
      <c r="Z345" s="117"/>
      <c r="AH345" s="88"/>
      <c r="AI345" s="88"/>
    </row>
    <row r="346" spans="1:35">
      <c r="A346" s="38"/>
      <c r="B346" s="38"/>
      <c r="C346" s="38"/>
      <c r="D346" s="38"/>
      <c r="E346" s="38"/>
      <c r="F346" s="43"/>
      <c r="G346" s="44"/>
      <c r="H346" s="45"/>
      <c r="I346" s="38"/>
      <c r="J346" s="38"/>
      <c r="K346" s="46"/>
      <c r="L346" s="47"/>
      <c r="M346" s="46"/>
      <c r="N346" s="46"/>
      <c r="O346" s="38"/>
      <c r="P346" s="38"/>
      <c r="Q346" s="14"/>
      <c r="R346" s="50"/>
      <c r="S346" s="50"/>
      <c r="T346" s="50"/>
      <c r="U346" s="52"/>
      <c r="V346" s="53"/>
      <c r="W346" s="60"/>
      <c r="X346" s="123"/>
      <c r="Y346" s="117"/>
      <c r="Z346" s="117"/>
      <c r="AH346" s="88"/>
      <c r="AI346" s="88"/>
    </row>
    <row r="347" spans="1:35">
      <c r="A347" s="38"/>
      <c r="B347" s="38"/>
      <c r="C347" s="38"/>
      <c r="D347" s="38"/>
      <c r="E347" s="38"/>
      <c r="F347" s="43"/>
      <c r="G347" s="44"/>
      <c r="H347" s="45"/>
      <c r="I347" s="38"/>
      <c r="J347" s="38"/>
      <c r="K347" s="46"/>
      <c r="L347" s="47"/>
      <c r="M347" s="46"/>
      <c r="N347" s="46"/>
      <c r="O347" s="38"/>
      <c r="P347" s="38"/>
      <c r="Q347" s="14"/>
      <c r="R347" s="50"/>
      <c r="S347" s="50"/>
      <c r="T347" s="50"/>
      <c r="U347" s="52"/>
      <c r="V347" s="53"/>
      <c r="W347" s="60"/>
      <c r="X347" s="123"/>
      <c r="Y347" s="117"/>
      <c r="Z347" s="117"/>
      <c r="AH347" s="88"/>
      <c r="AI347" s="88"/>
    </row>
    <row r="348" spans="1:35">
      <c r="A348" s="38"/>
      <c r="B348" s="38"/>
      <c r="C348" s="38"/>
      <c r="D348" s="38"/>
      <c r="E348" s="38"/>
      <c r="F348" s="43"/>
      <c r="G348" s="44"/>
      <c r="H348" s="45"/>
      <c r="I348" s="38"/>
      <c r="J348" s="38"/>
      <c r="K348" s="46"/>
      <c r="L348" s="47"/>
      <c r="M348" s="46"/>
      <c r="N348" s="46"/>
      <c r="O348" s="38"/>
      <c r="P348" s="38"/>
      <c r="Q348" s="14"/>
      <c r="R348" s="50"/>
      <c r="S348" s="50"/>
      <c r="T348" s="50"/>
      <c r="U348" s="52"/>
      <c r="V348" s="53"/>
      <c r="W348" s="60"/>
      <c r="X348" s="123"/>
      <c r="Y348" s="117"/>
      <c r="Z348" s="117"/>
      <c r="AH348" s="88"/>
      <c r="AI348" s="88"/>
    </row>
    <row r="349" spans="1:35">
      <c r="A349" s="38"/>
      <c r="B349" s="38"/>
      <c r="C349" s="38"/>
      <c r="D349" s="38"/>
      <c r="E349" s="38"/>
      <c r="F349" s="43"/>
      <c r="G349" s="44"/>
      <c r="H349" s="45"/>
      <c r="I349" s="38"/>
      <c r="J349" s="38"/>
      <c r="K349" s="46"/>
      <c r="L349" s="47"/>
      <c r="M349" s="46"/>
      <c r="N349" s="46"/>
      <c r="O349" s="38"/>
      <c r="P349" s="38"/>
      <c r="Q349" s="14"/>
      <c r="R349" s="50"/>
      <c r="S349" s="50"/>
      <c r="T349" s="50"/>
      <c r="U349" s="52"/>
      <c r="V349" s="53"/>
      <c r="W349" s="60"/>
      <c r="X349" s="123"/>
      <c r="Y349" s="117"/>
      <c r="Z349" s="117"/>
      <c r="AH349" s="88"/>
      <c r="AI349" s="88"/>
    </row>
    <row r="350" spans="1:35">
      <c r="A350" s="38"/>
      <c r="B350" s="38"/>
      <c r="C350" s="38"/>
      <c r="D350" s="38"/>
      <c r="E350" s="38"/>
      <c r="F350" s="43"/>
      <c r="G350" s="44"/>
      <c r="H350" s="45"/>
      <c r="I350" s="38"/>
      <c r="J350" s="38"/>
      <c r="K350" s="46"/>
      <c r="L350" s="47"/>
      <c r="M350" s="46"/>
      <c r="N350" s="46"/>
      <c r="O350" s="38"/>
      <c r="P350" s="38"/>
      <c r="Q350" s="14"/>
      <c r="R350" s="50"/>
      <c r="S350" s="50"/>
      <c r="T350" s="50"/>
      <c r="U350" s="52"/>
      <c r="V350" s="53"/>
      <c r="W350" s="60"/>
      <c r="X350" s="123"/>
      <c r="Y350" s="117"/>
      <c r="Z350" s="117"/>
      <c r="AH350" s="88"/>
      <c r="AI350" s="88"/>
    </row>
    <row r="351" spans="1:35">
      <c r="A351" s="38"/>
      <c r="B351" s="38"/>
      <c r="C351" s="38"/>
      <c r="D351" s="38"/>
      <c r="E351" s="38"/>
      <c r="F351" s="43"/>
      <c r="G351" s="44"/>
      <c r="H351" s="45"/>
      <c r="I351" s="38"/>
      <c r="J351" s="38"/>
      <c r="K351" s="46"/>
      <c r="L351" s="47"/>
      <c r="M351" s="46"/>
      <c r="N351" s="46"/>
      <c r="O351" s="38"/>
      <c r="P351" s="38"/>
      <c r="Q351" s="14"/>
      <c r="R351" s="50"/>
      <c r="S351" s="50"/>
      <c r="T351" s="50"/>
      <c r="U351" s="52"/>
      <c r="V351" s="53"/>
      <c r="W351" s="60"/>
      <c r="X351" s="123"/>
      <c r="Y351" s="117"/>
      <c r="Z351" s="117"/>
      <c r="AH351" s="88"/>
      <c r="AI351" s="88"/>
    </row>
    <row r="352" spans="1:35">
      <c r="A352" s="38"/>
      <c r="B352" s="38"/>
      <c r="C352" s="38"/>
      <c r="D352" s="38"/>
      <c r="E352" s="38"/>
      <c r="F352" s="43"/>
      <c r="G352" s="44"/>
      <c r="H352" s="45"/>
      <c r="I352" s="38"/>
      <c r="J352" s="38"/>
      <c r="K352" s="46"/>
      <c r="L352" s="47"/>
      <c r="M352" s="46"/>
      <c r="N352" s="46"/>
      <c r="O352" s="38"/>
      <c r="P352" s="38"/>
      <c r="Q352" s="14"/>
      <c r="R352" s="50"/>
      <c r="S352" s="50"/>
      <c r="T352" s="50"/>
      <c r="U352" s="52"/>
      <c r="V352" s="53"/>
      <c r="W352" s="60"/>
      <c r="X352" s="123"/>
      <c r="Y352" s="117"/>
      <c r="Z352" s="117"/>
      <c r="AH352" s="88"/>
      <c r="AI352" s="88"/>
    </row>
    <row r="353" spans="1:35">
      <c r="A353" s="38"/>
      <c r="B353" s="38"/>
      <c r="C353" s="38"/>
      <c r="D353" s="38"/>
      <c r="E353" s="38"/>
      <c r="F353" s="43"/>
      <c r="G353" s="44"/>
      <c r="H353" s="45"/>
      <c r="I353" s="38"/>
      <c r="J353" s="38"/>
      <c r="K353" s="46"/>
      <c r="L353" s="47"/>
      <c r="M353" s="46"/>
      <c r="N353" s="46"/>
      <c r="O353" s="38"/>
      <c r="P353" s="38"/>
      <c r="Q353" s="14"/>
      <c r="R353" s="50"/>
      <c r="S353" s="50"/>
      <c r="T353" s="50"/>
      <c r="U353" s="52"/>
      <c r="V353" s="53"/>
      <c r="W353" s="60"/>
      <c r="X353" s="123"/>
      <c r="Y353" s="117"/>
      <c r="Z353" s="117"/>
      <c r="AH353" s="88"/>
      <c r="AI353" s="88"/>
    </row>
    <row r="354" spans="1:35">
      <c r="A354" s="38"/>
      <c r="B354" s="38"/>
      <c r="C354" s="38"/>
      <c r="D354" s="38"/>
      <c r="E354" s="38"/>
      <c r="F354" s="43"/>
      <c r="G354" s="44"/>
      <c r="H354" s="45"/>
      <c r="I354" s="38"/>
      <c r="J354" s="38"/>
      <c r="K354" s="46"/>
      <c r="L354" s="47"/>
      <c r="M354" s="46"/>
      <c r="N354" s="46"/>
      <c r="O354" s="38"/>
      <c r="P354" s="38"/>
      <c r="Q354" s="14"/>
      <c r="R354" s="50"/>
      <c r="S354" s="50"/>
      <c r="T354" s="50"/>
      <c r="U354" s="52"/>
      <c r="V354" s="53"/>
      <c r="W354" s="60"/>
      <c r="X354" s="123"/>
      <c r="Y354" s="117"/>
      <c r="Z354" s="117"/>
      <c r="AH354" s="88"/>
      <c r="AI354" s="88"/>
    </row>
    <row r="355" spans="1:35">
      <c r="A355" s="38"/>
      <c r="B355" s="38"/>
      <c r="C355" s="38"/>
      <c r="D355" s="38"/>
      <c r="E355" s="38"/>
      <c r="F355" s="43"/>
      <c r="G355" s="44"/>
      <c r="H355" s="45"/>
      <c r="I355" s="38"/>
      <c r="J355" s="38"/>
      <c r="K355" s="46"/>
      <c r="L355" s="47"/>
      <c r="M355" s="46"/>
      <c r="N355" s="46"/>
      <c r="O355" s="38"/>
      <c r="P355" s="38"/>
      <c r="Q355" s="14"/>
      <c r="R355" s="50"/>
      <c r="S355" s="50"/>
      <c r="T355" s="50"/>
      <c r="U355" s="52"/>
      <c r="V355" s="53"/>
      <c r="W355" s="60"/>
      <c r="X355" s="123"/>
      <c r="Y355" s="117"/>
      <c r="Z355" s="117"/>
      <c r="AH355" s="88"/>
      <c r="AI355" s="88"/>
    </row>
    <row r="356" spans="1:35">
      <c r="A356" s="38"/>
      <c r="B356" s="38"/>
      <c r="C356" s="38"/>
      <c r="D356" s="38"/>
      <c r="E356" s="38"/>
      <c r="F356" s="43"/>
      <c r="G356" s="44"/>
      <c r="H356" s="45"/>
      <c r="I356" s="38"/>
      <c r="J356" s="38"/>
      <c r="K356" s="46"/>
      <c r="L356" s="47"/>
      <c r="M356" s="46"/>
      <c r="N356" s="46"/>
      <c r="O356" s="38"/>
      <c r="P356" s="38"/>
      <c r="Q356" s="14"/>
      <c r="R356" s="50"/>
      <c r="S356" s="50"/>
      <c r="T356" s="50"/>
      <c r="U356" s="52"/>
      <c r="V356" s="53"/>
      <c r="W356" s="60"/>
      <c r="X356" s="123"/>
      <c r="Y356" s="117"/>
      <c r="Z356" s="117"/>
      <c r="AH356" s="88"/>
      <c r="AI356" s="88"/>
    </row>
    <row r="357" spans="1:35">
      <c r="A357" s="38"/>
      <c r="B357" s="38"/>
      <c r="C357" s="38"/>
      <c r="D357" s="38"/>
      <c r="E357" s="38"/>
      <c r="F357" s="43"/>
      <c r="G357" s="44"/>
      <c r="H357" s="45"/>
      <c r="I357" s="38"/>
      <c r="J357" s="38"/>
      <c r="K357" s="46"/>
      <c r="L357" s="47"/>
      <c r="M357" s="46"/>
      <c r="N357" s="46"/>
      <c r="O357" s="38"/>
      <c r="P357" s="38"/>
      <c r="Q357" s="14"/>
      <c r="R357" s="50"/>
      <c r="S357" s="50"/>
      <c r="T357" s="50"/>
      <c r="U357" s="52"/>
      <c r="V357" s="53"/>
      <c r="W357" s="60"/>
      <c r="X357" s="123"/>
      <c r="Y357" s="117"/>
      <c r="Z357" s="117"/>
      <c r="AH357" s="88"/>
      <c r="AI357" s="88"/>
    </row>
    <row r="358" spans="1:35">
      <c r="A358" s="38"/>
      <c r="B358" s="38"/>
      <c r="C358" s="38"/>
      <c r="D358" s="38"/>
      <c r="E358" s="38"/>
      <c r="F358" s="43"/>
      <c r="G358" s="44"/>
      <c r="H358" s="45"/>
      <c r="I358" s="38"/>
      <c r="J358" s="38"/>
      <c r="K358" s="46"/>
      <c r="L358" s="47"/>
      <c r="M358" s="46"/>
      <c r="N358" s="46"/>
      <c r="O358" s="38"/>
      <c r="P358" s="38"/>
      <c r="Q358" s="14"/>
      <c r="R358" s="50"/>
      <c r="S358" s="50"/>
      <c r="T358" s="50"/>
      <c r="U358" s="52"/>
      <c r="V358" s="53"/>
      <c r="W358" s="60"/>
      <c r="X358" s="123"/>
      <c r="Y358" s="117"/>
      <c r="Z358" s="117"/>
      <c r="AH358" s="88"/>
      <c r="AI358" s="88"/>
    </row>
    <row r="359" spans="1:35">
      <c r="A359" s="38"/>
      <c r="B359" s="38"/>
      <c r="C359" s="38"/>
      <c r="D359" s="38"/>
      <c r="E359" s="38"/>
      <c r="F359" s="43"/>
      <c r="G359" s="44"/>
      <c r="H359" s="45"/>
      <c r="I359" s="38"/>
      <c r="J359" s="38"/>
      <c r="K359" s="46"/>
      <c r="L359" s="47"/>
      <c r="M359" s="46"/>
      <c r="N359" s="46"/>
      <c r="O359" s="38"/>
      <c r="P359" s="38"/>
      <c r="Q359" s="14"/>
      <c r="R359" s="50"/>
      <c r="S359" s="50"/>
      <c r="T359" s="50"/>
      <c r="U359" s="52"/>
      <c r="V359" s="53"/>
      <c r="W359" s="60"/>
      <c r="X359" s="123"/>
      <c r="Y359" s="117"/>
      <c r="Z359" s="117"/>
      <c r="AH359" s="88"/>
      <c r="AI359" s="88"/>
    </row>
    <row r="360" spans="1:35">
      <c r="A360" s="38"/>
      <c r="B360" s="38"/>
      <c r="C360" s="38"/>
      <c r="D360" s="38"/>
      <c r="E360" s="38"/>
      <c r="F360" s="43"/>
      <c r="G360" s="44"/>
      <c r="H360" s="45"/>
      <c r="I360" s="38"/>
      <c r="J360" s="38"/>
      <c r="K360" s="46"/>
      <c r="L360" s="47"/>
      <c r="M360" s="46"/>
      <c r="N360" s="46"/>
      <c r="O360" s="38"/>
      <c r="P360" s="38"/>
      <c r="Q360" s="14"/>
      <c r="R360" s="50"/>
      <c r="S360" s="50"/>
      <c r="T360" s="50"/>
      <c r="U360" s="52"/>
      <c r="V360" s="53"/>
      <c r="W360" s="60"/>
      <c r="X360" s="123"/>
      <c r="Y360" s="117"/>
      <c r="Z360" s="117"/>
      <c r="AH360" s="88"/>
      <c r="AI360" s="88"/>
    </row>
    <row r="361" spans="1:35">
      <c r="A361" s="38"/>
      <c r="B361" s="38"/>
      <c r="C361" s="38"/>
      <c r="D361" s="38"/>
      <c r="E361" s="38"/>
      <c r="F361" s="43"/>
      <c r="G361" s="44"/>
      <c r="H361" s="45"/>
      <c r="I361" s="38"/>
      <c r="J361" s="38"/>
      <c r="K361" s="46"/>
      <c r="L361" s="47"/>
      <c r="M361" s="46"/>
      <c r="N361" s="46"/>
      <c r="O361" s="38"/>
      <c r="P361" s="38"/>
      <c r="Q361" s="14"/>
      <c r="R361" s="50"/>
      <c r="S361" s="50"/>
      <c r="T361" s="50"/>
      <c r="U361" s="52"/>
      <c r="V361" s="53"/>
      <c r="W361" s="60"/>
      <c r="X361" s="123"/>
      <c r="Y361" s="117"/>
      <c r="Z361" s="117"/>
      <c r="AH361" s="88"/>
      <c r="AI361" s="88"/>
    </row>
    <row r="362" spans="1:35">
      <c r="A362" s="38"/>
      <c r="B362" s="38"/>
      <c r="C362" s="38"/>
      <c r="D362" s="38"/>
      <c r="E362" s="38"/>
      <c r="F362" s="43"/>
      <c r="G362" s="44"/>
      <c r="H362" s="45"/>
      <c r="I362" s="38"/>
      <c r="J362" s="38"/>
      <c r="K362" s="46"/>
      <c r="L362" s="47"/>
      <c r="M362" s="46"/>
      <c r="N362" s="46"/>
      <c r="O362" s="38"/>
      <c r="P362" s="38"/>
      <c r="Q362" s="14"/>
      <c r="R362" s="50"/>
      <c r="S362" s="50"/>
      <c r="T362" s="50"/>
      <c r="U362" s="52"/>
      <c r="V362" s="53"/>
      <c r="W362" s="60"/>
      <c r="X362" s="123"/>
      <c r="Y362" s="117"/>
      <c r="Z362" s="117"/>
      <c r="AH362" s="88"/>
      <c r="AI362" s="88"/>
    </row>
    <row r="363" spans="1:35">
      <c r="A363" s="38"/>
      <c r="B363" s="38"/>
      <c r="C363" s="38"/>
      <c r="D363" s="38"/>
      <c r="E363" s="38"/>
      <c r="F363" s="43"/>
      <c r="G363" s="44"/>
      <c r="H363" s="45"/>
      <c r="I363" s="38"/>
      <c r="J363" s="38"/>
      <c r="K363" s="46"/>
      <c r="L363" s="47"/>
      <c r="M363" s="46"/>
      <c r="N363" s="46"/>
      <c r="O363" s="38"/>
      <c r="P363" s="38"/>
      <c r="Q363" s="14"/>
      <c r="R363" s="50"/>
      <c r="S363" s="50"/>
      <c r="T363" s="50"/>
      <c r="U363" s="52"/>
      <c r="V363" s="53"/>
      <c r="W363" s="60"/>
      <c r="X363" s="123"/>
      <c r="Y363" s="117"/>
      <c r="Z363" s="117"/>
      <c r="AH363" s="88"/>
      <c r="AI363" s="88"/>
    </row>
    <row r="364" spans="1:35">
      <c r="A364" s="38"/>
      <c r="B364" s="38"/>
      <c r="C364" s="38"/>
      <c r="D364" s="38"/>
      <c r="E364" s="38"/>
      <c r="F364" s="43"/>
      <c r="G364" s="44"/>
      <c r="H364" s="45"/>
      <c r="I364" s="38"/>
      <c r="J364" s="38"/>
      <c r="K364" s="46"/>
      <c r="L364" s="47"/>
      <c r="M364" s="46"/>
      <c r="N364" s="46"/>
      <c r="O364" s="38"/>
      <c r="P364" s="38"/>
      <c r="Q364" s="14"/>
      <c r="R364" s="50"/>
      <c r="S364" s="50"/>
      <c r="T364" s="50"/>
      <c r="U364" s="52"/>
      <c r="V364" s="53"/>
      <c r="W364" s="60"/>
      <c r="X364" s="123"/>
      <c r="Y364" s="117"/>
      <c r="Z364" s="117"/>
      <c r="AH364" s="88"/>
      <c r="AI364" s="88"/>
    </row>
    <row r="365" spans="1:35">
      <c r="A365" s="38"/>
      <c r="B365" s="38"/>
      <c r="C365" s="38"/>
      <c r="D365" s="38"/>
      <c r="E365" s="38"/>
      <c r="F365" s="43"/>
      <c r="G365" s="44"/>
      <c r="H365" s="45"/>
      <c r="I365" s="38"/>
      <c r="J365" s="38"/>
      <c r="K365" s="46"/>
      <c r="L365" s="47"/>
      <c r="M365" s="46"/>
      <c r="N365" s="46"/>
      <c r="O365" s="38"/>
      <c r="P365" s="38"/>
      <c r="Q365" s="14"/>
      <c r="R365" s="50"/>
      <c r="S365" s="50"/>
      <c r="T365" s="50"/>
      <c r="U365" s="52"/>
      <c r="V365" s="53"/>
      <c r="W365" s="60"/>
      <c r="X365" s="123"/>
      <c r="Y365" s="117"/>
      <c r="Z365" s="117"/>
      <c r="AH365" s="88"/>
      <c r="AI365" s="88"/>
    </row>
    <row r="366" spans="1:35">
      <c r="A366" s="38"/>
      <c r="B366" s="38"/>
      <c r="C366" s="38"/>
      <c r="D366" s="38"/>
      <c r="E366" s="38"/>
      <c r="F366" s="43"/>
      <c r="G366" s="44"/>
      <c r="H366" s="45"/>
      <c r="I366" s="38"/>
      <c r="J366" s="38"/>
      <c r="K366" s="46"/>
      <c r="L366" s="47"/>
      <c r="M366" s="46"/>
      <c r="N366" s="46"/>
      <c r="O366" s="38"/>
      <c r="P366" s="38"/>
      <c r="Q366" s="14"/>
      <c r="R366" s="50"/>
      <c r="S366" s="50"/>
      <c r="T366" s="50"/>
      <c r="U366" s="52"/>
      <c r="V366" s="53"/>
      <c r="W366" s="60"/>
      <c r="X366" s="123"/>
      <c r="Y366" s="117"/>
      <c r="Z366" s="117"/>
      <c r="AH366" s="88"/>
      <c r="AI366" s="88"/>
    </row>
    <row r="367" spans="1:35">
      <c r="A367" s="38"/>
      <c r="B367" s="38"/>
      <c r="C367" s="38"/>
      <c r="D367" s="38"/>
      <c r="E367" s="38"/>
      <c r="F367" s="43"/>
      <c r="G367" s="44"/>
      <c r="H367" s="45"/>
      <c r="I367" s="38"/>
      <c r="J367" s="38"/>
      <c r="K367" s="46"/>
      <c r="L367" s="47"/>
      <c r="M367" s="46"/>
      <c r="N367" s="46"/>
      <c r="O367" s="38"/>
      <c r="P367" s="38"/>
      <c r="Q367" s="14"/>
      <c r="R367" s="50"/>
      <c r="S367" s="50"/>
      <c r="T367" s="50"/>
      <c r="U367" s="52"/>
      <c r="V367" s="53"/>
      <c r="W367" s="60"/>
      <c r="X367" s="123"/>
      <c r="Y367" s="117"/>
      <c r="Z367" s="117"/>
      <c r="AH367" s="88"/>
      <c r="AI367" s="88"/>
    </row>
    <row r="368" spans="1:35">
      <c r="A368" s="38"/>
      <c r="B368" s="38"/>
      <c r="C368" s="38"/>
      <c r="D368" s="38"/>
      <c r="E368" s="38"/>
      <c r="F368" s="43"/>
      <c r="G368" s="44"/>
      <c r="H368" s="45"/>
      <c r="I368" s="38"/>
      <c r="J368" s="38"/>
      <c r="K368" s="46"/>
      <c r="L368" s="47"/>
      <c r="M368" s="46"/>
      <c r="N368" s="46"/>
      <c r="O368" s="38"/>
      <c r="P368" s="38"/>
      <c r="Q368" s="14"/>
      <c r="R368" s="50"/>
      <c r="S368" s="50"/>
      <c r="T368" s="50"/>
      <c r="U368" s="52"/>
      <c r="V368" s="53"/>
      <c r="W368" s="60"/>
      <c r="X368" s="123"/>
      <c r="Y368" s="117"/>
      <c r="Z368" s="117"/>
      <c r="AH368" s="88"/>
      <c r="AI368" s="88"/>
    </row>
    <row r="369" spans="1:35">
      <c r="A369" s="38"/>
      <c r="B369" s="38"/>
      <c r="C369" s="38"/>
      <c r="D369" s="38"/>
      <c r="E369" s="38"/>
      <c r="F369" s="43"/>
      <c r="G369" s="44"/>
      <c r="H369" s="45"/>
      <c r="I369" s="38"/>
      <c r="J369" s="38"/>
      <c r="K369" s="46"/>
      <c r="L369" s="47"/>
      <c r="M369" s="46"/>
      <c r="N369" s="46"/>
      <c r="O369" s="38"/>
      <c r="P369" s="38"/>
      <c r="Q369" s="14"/>
      <c r="R369" s="50"/>
      <c r="S369" s="50"/>
      <c r="T369" s="50"/>
      <c r="U369" s="52"/>
      <c r="V369" s="53"/>
      <c r="W369" s="60"/>
      <c r="X369" s="123"/>
      <c r="Y369" s="117"/>
      <c r="Z369" s="117"/>
      <c r="AH369" s="88"/>
      <c r="AI369" s="88"/>
    </row>
    <row r="370" spans="1:35">
      <c r="A370" s="38"/>
      <c r="B370" s="38"/>
      <c r="C370" s="38"/>
      <c r="D370" s="38"/>
      <c r="E370" s="38"/>
      <c r="F370" s="43"/>
      <c r="G370" s="44"/>
      <c r="H370" s="45"/>
      <c r="I370" s="38"/>
      <c r="J370" s="38"/>
      <c r="K370" s="46"/>
      <c r="L370" s="47"/>
      <c r="M370" s="46"/>
      <c r="N370" s="46"/>
      <c r="O370" s="38"/>
      <c r="P370" s="38"/>
      <c r="Q370" s="14"/>
      <c r="R370" s="50"/>
      <c r="S370" s="50"/>
      <c r="T370" s="50"/>
      <c r="U370" s="52"/>
      <c r="V370" s="53"/>
      <c r="W370" s="60"/>
      <c r="X370" s="123"/>
      <c r="Y370" s="117"/>
      <c r="Z370" s="117"/>
      <c r="AH370" s="88"/>
      <c r="AI370" s="88"/>
    </row>
    <row r="371" spans="1:35">
      <c r="A371" s="38"/>
      <c r="B371" s="38"/>
      <c r="C371" s="38"/>
      <c r="D371" s="38"/>
      <c r="E371" s="38"/>
      <c r="F371" s="43"/>
      <c r="G371" s="44"/>
      <c r="H371" s="45"/>
      <c r="I371" s="38"/>
      <c r="J371" s="38"/>
      <c r="K371" s="46"/>
      <c r="L371" s="47"/>
      <c r="M371" s="46"/>
      <c r="N371" s="46"/>
      <c r="O371" s="38"/>
      <c r="P371" s="38"/>
      <c r="Q371" s="14"/>
      <c r="R371" s="50"/>
      <c r="S371" s="50"/>
      <c r="T371" s="50"/>
      <c r="U371" s="52"/>
      <c r="V371" s="53"/>
      <c r="W371" s="60"/>
      <c r="X371" s="123"/>
      <c r="Y371" s="117"/>
      <c r="Z371" s="117"/>
      <c r="AH371" s="88"/>
      <c r="AI371" s="88"/>
    </row>
    <row r="372" spans="1:35">
      <c r="A372" s="38"/>
      <c r="B372" s="38"/>
      <c r="C372" s="38"/>
      <c r="D372" s="38"/>
      <c r="E372" s="38"/>
      <c r="F372" s="43"/>
      <c r="G372" s="44"/>
      <c r="H372" s="45"/>
      <c r="I372" s="38"/>
      <c r="J372" s="38"/>
      <c r="K372" s="46"/>
      <c r="L372" s="47"/>
      <c r="M372" s="46"/>
      <c r="N372" s="46"/>
      <c r="O372" s="38"/>
      <c r="P372" s="38"/>
      <c r="Q372" s="14"/>
      <c r="R372" s="50"/>
      <c r="S372" s="50"/>
      <c r="T372" s="50"/>
      <c r="U372" s="52"/>
      <c r="V372" s="53"/>
      <c r="W372" s="60"/>
      <c r="X372" s="123"/>
      <c r="Y372" s="117"/>
      <c r="Z372" s="117"/>
      <c r="AH372" s="88"/>
      <c r="AI372" s="88"/>
    </row>
    <row r="373" spans="1:35">
      <c r="A373" s="38"/>
      <c r="B373" s="38"/>
      <c r="C373" s="38"/>
      <c r="D373" s="38"/>
      <c r="E373" s="38"/>
      <c r="F373" s="43"/>
      <c r="G373" s="44"/>
      <c r="H373" s="45"/>
      <c r="I373" s="38"/>
      <c r="J373" s="38"/>
      <c r="K373" s="46"/>
      <c r="L373" s="47"/>
      <c r="M373" s="46"/>
      <c r="N373" s="46"/>
      <c r="O373" s="38"/>
      <c r="P373" s="38"/>
      <c r="Q373" s="14"/>
      <c r="R373" s="50"/>
      <c r="S373" s="50"/>
      <c r="T373" s="50"/>
      <c r="U373" s="52"/>
      <c r="V373" s="53"/>
      <c r="W373" s="60"/>
      <c r="X373" s="123"/>
      <c r="Y373" s="117"/>
      <c r="Z373" s="117"/>
      <c r="AH373" s="88"/>
      <c r="AI373" s="88"/>
    </row>
    <row r="374" spans="1:35">
      <c r="A374" s="38"/>
      <c r="B374" s="38"/>
      <c r="C374" s="38"/>
      <c r="D374" s="38"/>
      <c r="E374" s="38"/>
      <c r="F374" s="43"/>
      <c r="G374" s="44"/>
      <c r="H374" s="45"/>
      <c r="I374" s="38"/>
      <c r="J374" s="38"/>
      <c r="K374" s="46"/>
      <c r="L374" s="47"/>
      <c r="M374" s="46"/>
      <c r="N374" s="46"/>
      <c r="O374" s="38"/>
      <c r="P374" s="38"/>
      <c r="Q374" s="14"/>
      <c r="R374" s="50"/>
      <c r="S374" s="50"/>
      <c r="T374" s="50"/>
      <c r="U374" s="52"/>
      <c r="V374" s="53"/>
      <c r="W374" s="60"/>
      <c r="X374" s="123"/>
      <c r="Y374" s="117"/>
      <c r="Z374" s="117"/>
      <c r="AH374" s="88"/>
      <c r="AI374" s="88"/>
    </row>
    <row r="375" spans="1:35">
      <c r="A375" s="38"/>
      <c r="B375" s="38"/>
      <c r="C375" s="38"/>
      <c r="D375" s="38"/>
      <c r="E375" s="38"/>
      <c r="F375" s="43"/>
      <c r="G375" s="44"/>
      <c r="H375" s="45"/>
      <c r="I375" s="38"/>
      <c r="J375" s="38"/>
      <c r="K375" s="46"/>
      <c r="L375" s="47"/>
      <c r="M375" s="46"/>
      <c r="N375" s="46"/>
      <c r="O375" s="38"/>
      <c r="P375" s="38"/>
      <c r="Q375" s="14"/>
      <c r="R375" s="50"/>
      <c r="S375" s="50"/>
      <c r="T375" s="50"/>
      <c r="U375" s="52"/>
      <c r="V375" s="53"/>
      <c r="W375" s="60"/>
      <c r="X375" s="123"/>
      <c r="Y375" s="117"/>
      <c r="Z375" s="117"/>
      <c r="AH375" s="88"/>
      <c r="AI375" s="88"/>
    </row>
    <row r="376" spans="1:35">
      <c r="A376" s="38"/>
      <c r="B376" s="38"/>
      <c r="C376" s="38"/>
      <c r="D376" s="38"/>
      <c r="E376" s="38"/>
      <c r="F376" s="43"/>
      <c r="G376" s="44"/>
      <c r="H376" s="45"/>
      <c r="I376" s="38"/>
      <c r="J376" s="38"/>
      <c r="K376" s="46"/>
      <c r="L376" s="47"/>
      <c r="M376" s="46"/>
      <c r="N376" s="46"/>
      <c r="O376" s="38"/>
      <c r="P376" s="38"/>
      <c r="Q376" s="14"/>
      <c r="R376" s="50"/>
      <c r="S376" s="50"/>
      <c r="T376" s="50"/>
      <c r="U376" s="52"/>
      <c r="V376" s="53"/>
      <c r="W376" s="60"/>
      <c r="X376" s="123"/>
      <c r="Y376" s="117"/>
      <c r="Z376" s="117"/>
      <c r="AH376" s="88"/>
      <c r="AI376" s="88"/>
    </row>
    <row r="377" spans="1:35">
      <c r="A377" s="38"/>
      <c r="B377" s="38"/>
      <c r="C377" s="38"/>
      <c r="D377" s="38"/>
      <c r="E377" s="38"/>
      <c r="F377" s="43"/>
      <c r="G377" s="44"/>
      <c r="H377" s="45"/>
      <c r="I377" s="38"/>
      <c r="J377" s="38"/>
      <c r="K377" s="46"/>
      <c r="L377" s="47"/>
      <c r="M377" s="46"/>
      <c r="N377" s="46"/>
      <c r="O377" s="38"/>
      <c r="P377" s="38"/>
      <c r="Q377" s="14"/>
      <c r="R377" s="50"/>
      <c r="S377" s="50"/>
      <c r="T377" s="50"/>
      <c r="U377" s="52"/>
      <c r="V377" s="53"/>
      <c r="W377" s="60"/>
      <c r="X377" s="123"/>
      <c r="Y377" s="117"/>
      <c r="Z377" s="117"/>
      <c r="AH377" s="88"/>
      <c r="AI377" s="88"/>
    </row>
    <row r="378" spans="1:35">
      <c r="A378" s="38"/>
      <c r="B378" s="38"/>
      <c r="C378" s="38"/>
      <c r="D378" s="38"/>
      <c r="E378" s="38"/>
      <c r="F378" s="43"/>
      <c r="G378" s="44"/>
      <c r="H378" s="45"/>
      <c r="I378" s="38"/>
      <c r="J378" s="38"/>
      <c r="K378" s="46"/>
      <c r="L378" s="47"/>
      <c r="M378" s="46"/>
      <c r="N378" s="46"/>
      <c r="O378" s="38"/>
      <c r="P378" s="38"/>
      <c r="Q378" s="14"/>
      <c r="R378" s="50"/>
      <c r="S378" s="50"/>
      <c r="T378" s="50"/>
      <c r="U378" s="52"/>
      <c r="V378" s="53"/>
      <c r="W378" s="60"/>
      <c r="X378" s="123"/>
      <c r="Y378" s="117"/>
      <c r="Z378" s="117"/>
      <c r="AH378" s="88"/>
      <c r="AI378" s="88"/>
    </row>
    <row r="379" spans="1:35">
      <c r="A379" s="38"/>
      <c r="B379" s="38"/>
      <c r="C379" s="38"/>
      <c r="D379" s="38"/>
      <c r="E379" s="38"/>
      <c r="F379" s="43"/>
      <c r="G379" s="44"/>
      <c r="H379" s="45"/>
      <c r="I379" s="38"/>
      <c r="J379" s="38"/>
      <c r="K379" s="46"/>
      <c r="L379" s="47"/>
      <c r="M379" s="46"/>
      <c r="N379" s="46"/>
      <c r="O379" s="38"/>
      <c r="P379" s="38"/>
      <c r="Q379" s="14"/>
      <c r="R379" s="50"/>
      <c r="S379" s="50"/>
      <c r="T379" s="50"/>
      <c r="U379" s="52"/>
      <c r="V379" s="53"/>
      <c r="W379" s="60"/>
      <c r="X379" s="123"/>
      <c r="Y379" s="117"/>
      <c r="Z379" s="117"/>
      <c r="AH379" s="88"/>
      <c r="AI379" s="88"/>
    </row>
    <row r="380" spans="1:35">
      <c r="A380" s="38"/>
      <c r="B380" s="38"/>
      <c r="C380" s="38"/>
      <c r="D380" s="38"/>
      <c r="E380" s="38"/>
      <c r="F380" s="43"/>
      <c r="G380" s="44"/>
      <c r="H380" s="45"/>
      <c r="I380" s="38"/>
      <c r="J380" s="38"/>
      <c r="K380" s="46"/>
      <c r="L380" s="47"/>
      <c r="M380" s="46"/>
      <c r="N380" s="46"/>
      <c r="O380" s="38"/>
      <c r="P380" s="38"/>
      <c r="Q380" s="14"/>
      <c r="R380" s="50"/>
      <c r="S380" s="50"/>
      <c r="T380" s="50"/>
      <c r="U380" s="52"/>
      <c r="V380" s="53"/>
      <c r="W380" s="60"/>
      <c r="X380" s="123"/>
      <c r="Y380" s="117"/>
      <c r="Z380" s="117"/>
      <c r="AH380" s="88"/>
      <c r="AI380" s="88"/>
    </row>
    <row r="381" spans="1:35">
      <c r="A381" s="38"/>
      <c r="B381" s="38"/>
      <c r="C381" s="38"/>
      <c r="D381" s="38"/>
      <c r="E381" s="38"/>
      <c r="F381" s="43"/>
      <c r="G381" s="44"/>
      <c r="H381" s="45"/>
      <c r="I381" s="38"/>
      <c r="J381" s="38"/>
      <c r="K381" s="46"/>
      <c r="L381" s="47"/>
      <c r="M381" s="46"/>
      <c r="N381" s="46"/>
      <c r="O381" s="38"/>
      <c r="P381" s="38"/>
      <c r="Q381" s="14"/>
      <c r="R381" s="50"/>
      <c r="S381" s="50"/>
      <c r="T381" s="50"/>
      <c r="U381" s="52"/>
      <c r="V381" s="53"/>
      <c r="W381" s="60"/>
      <c r="X381" s="123"/>
      <c r="Y381" s="117"/>
      <c r="Z381" s="117"/>
      <c r="AH381" s="88"/>
      <c r="AI381" s="88"/>
    </row>
    <row r="382" spans="1:35">
      <c r="A382" s="38"/>
      <c r="B382" s="38"/>
      <c r="C382" s="38"/>
      <c r="D382" s="38"/>
      <c r="E382" s="38"/>
      <c r="F382" s="43"/>
      <c r="G382" s="44"/>
      <c r="H382" s="45"/>
      <c r="I382" s="38"/>
      <c r="J382" s="38"/>
      <c r="K382" s="46"/>
      <c r="L382" s="47"/>
      <c r="M382" s="46"/>
      <c r="N382" s="46"/>
      <c r="O382" s="38"/>
      <c r="P382" s="38"/>
      <c r="Q382" s="14"/>
      <c r="R382" s="50"/>
      <c r="S382" s="50"/>
      <c r="T382" s="50"/>
      <c r="U382" s="52"/>
      <c r="V382" s="53"/>
      <c r="W382" s="60"/>
      <c r="X382" s="123"/>
      <c r="Y382" s="117"/>
      <c r="Z382" s="117"/>
      <c r="AH382" s="88"/>
      <c r="AI382" s="88"/>
    </row>
    <row r="383" spans="1:35">
      <c r="A383" s="38"/>
      <c r="B383" s="38"/>
      <c r="C383" s="38"/>
      <c r="D383" s="38"/>
      <c r="E383" s="38"/>
      <c r="F383" s="43"/>
      <c r="G383" s="44"/>
      <c r="H383" s="45"/>
      <c r="I383" s="38"/>
      <c r="J383" s="38"/>
      <c r="K383" s="46"/>
      <c r="L383" s="47"/>
      <c r="M383" s="46"/>
      <c r="N383" s="46"/>
      <c r="O383" s="38"/>
      <c r="P383" s="38"/>
      <c r="Q383" s="14"/>
      <c r="R383" s="50"/>
      <c r="S383" s="50"/>
      <c r="T383" s="50"/>
      <c r="U383" s="52"/>
      <c r="V383" s="53"/>
      <c r="W383" s="60"/>
      <c r="X383" s="123"/>
      <c r="Y383" s="117"/>
      <c r="Z383" s="117"/>
      <c r="AH383" s="88"/>
      <c r="AI383" s="88"/>
    </row>
    <row r="384" spans="1:35">
      <c r="A384" s="38"/>
      <c r="B384" s="38"/>
      <c r="C384" s="38"/>
      <c r="D384" s="38"/>
      <c r="E384" s="38"/>
      <c r="F384" s="43"/>
      <c r="G384" s="44"/>
      <c r="H384" s="45"/>
      <c r="I384" s="38"/>
      <c r="J384" s="38"/>
      <c r="K384" s="46"/>
      <c r="L384" s="47"/>
      <c r="M384" s="46"/>
      <c r="N384" s="46"/>
      <c r="O384" s="38"/>
      <c r="P384" s="38"/>
      <c r="Q384" s="14"/>
      <c r="R384" s="50"/>
      <c r="S384" s="50"/>
      <c r="T384" s="50"/>
      <c r="U384" s="52"/>
      <c r="V384" s="53"/>
      <c r="W384" s="60"/>
      <c r="X384" s="123"/>
      <c r="Y384" s="117"/>
      <c r="Z384" s="117"/>
      <c r="AH384" s="88"/>
      <c r="AI384" s="88"/>
    </row>
    <row r="385" spans="1:35">
      <c r="A385" s="38"/>
      <c r="B385" s="38"/>
      <c r="C385" s="38"/>
      <c r="D385" s="38"/>
      <c r="E385" s="38"/>
      <c r="F385" s="43"/>
      <c r="G385" s="44"/>
      <c r="H385" s="45"/>
      <c r="I385" s="38"/>
      <c r="J385" s="38"/>
      <c r="K385" s="46"/>
      <c r="L385" s="47"/>
      <c r="M385" s="46"/>
      <c r="N385" s="46"/>
      <c r="O385" s="38"/>
      <c r="P385" s="38"/>
      <c r="Q385" s="14"/>
      <c r="R385" s="50"/>
      <c r="S385" s="50"/>
      <c r="T385" s="50"/>
      <c r="U385" s="52"/>
      <c r="V385" s="53"/>
      <c r="W385" s="60"/>
      <c r="X385" s="123"/>
      <c r="Y385" s="117"/>
      <c r="Z385" s="117"/>
      <c r="AH385" s="88"/>
      <c r="AI385" s="88"/>
    </row>
    <row r="386" spans="1:35">
      <c r="A386" s="38"/>
      <c r="B386" s="38"/>
      <c r="C386" s="38"/>
      <c r="D386" s="38"/>
      <c r="E386" s="38"/>
      <c r="F386" s="43"/>
      <c r="G386" s="44"/>
      <c r="H386" s="45"/>
      <c r="I386" s="38"/>
      <c r="J386" s="38"/>
      <c r="K386" s="46"/>
      <c r="L386" s="47"/>
      <c r="M386" s="46"/>
      <c r="N386" s="46"/>
      <c r="O386" s="38"/>
      <c r="P386" s="38"/>
      <c r="Q386" s="14"/>
      <c r="R386" s="50"/>
      <c r="S386" s="50"/>
      <c r="T386" s="50"/>
      <c r="U386" s="52"/>
      <c r="V386" s="53"/>
      <c r="W386" s="60"/>
      <c r="X386" s="123"/>
      <c r="Y386" s="117"/>
      <c r="Z386" s="117"/>
      <c r="AH386" s="88"/>
      <c r="AI386" s="88"/>
    </row>
    <row r="387" spans="1:35">
      <c r="A387" s="38"/>
      <c r="B387" s="38"/>
      <c r="C387" s="38"/>
      <c r="D387" s="38"/>
      <c r="E387" s="38"/>
      <c r="F387" s="43"/>
      <c r="G387" s="44"/>
      <c r="H387" s="45"/>
      <c r="I387" s="38"/>
      <c r="J387" s="38"/>
      <c r="K387" s="46"/>
      <c r="L387" s="47"/>
      <c r="M387" s="46"/>
      <c r="N387" s="46"/>
      <c r="O387" s="38"/>
      <c r="P387" s="38"/>
      <c r="Q387" s="14"/>
      <c r="R387" s="50"/>
      <c r="S387" s="50"/>
      <c r="T387" s="50"/>
      <c r="U387" s="52"/>
      <c r="V387" s="53"/>
      <c r="W387" s="60"/>
      <c r="X387" s="123"/>
      <c r="Y387" s="117"/>
      <c r="Z387" s="117"/>
      <c r="AH387" s="88"/>
      <c r="AI387" s="88"/>
    </row>
    <row r="388" spans="1:35">
      <c r="A388" s="38"/>
      <c r="B388" s="38"/>
      <c r="C388" s="38"/>
      <c r="D388" s="38"/>
      <c r="E388" s="38"/>
      <c r="F388" s="43"/>
      <c r="G388" s="44"/>
      <c r="H388" s="45"/>
      <c r="I388" s="38"/>
      <c r="J388" s="38"/>
      <c r="K388" s="46"/>
      <c r="L388" s="47"/>
      <c r="M388" s="46"/>
      <c r="N388" s="46"/>
      <c r="O388" s="38"/>
      <c r="P388" s="38"/>
      <c r="Q388" s="14"/>
      <c r="R388" s="50"/>
      <c r="S388" s="50"/>
      <c r="T388" s="50"/>
      <c r="U388" s="52"/>
      <c r="V388" s="53"/>
      <c r="W388" s="60"/>
      <c r="X388" s="123"/>
      <c r="Y388" s="117"/>
      <c r="Z388" s="117"/>
      <c r="AH388" s="88"/>
      <c r="AI388" s="88"/>
    </row>
    <row r="389" spans="1:35">
      <c r="A389" s="38"/>
      <c r="B389" s="38"/>
      <c r="C389" s="38"/>
      <c r="D389" s="38"/>
      <c r="E389" s="38"/>
      <c r="F389" s="43"/>
      <c r="G389" s="44"/>
      <c r="H389" s="45"/>
      <c r="I389" s="38"/>
      <c r="J389" s="38"/>
      <c r="K389" s="46"/>
      <c r="L389" s="47"/>
      <c r="M389" s="46"/>
      <c r="N389" s="46"/>
      <c r="O389" s="38"/>
      <c r="P389" s="38"/>
      <c r="Q389" s="14"/>
      <c r="R389" s="50"/>
      <c r="S389" s="50"/>
      <c r="T389" s="50"/>
      <c r="U389" s="52"/>
      <c r="V389" s="53"/>
      <c r="W389" s="60"/>
      <c r="X389" s="123"/>
      <c r="Y389" s="117"/>
      <c r="Z389" s="117"/>
      <c r="AH389" s="88"/>
      <c r="AI389" s="88"/>
    </row>
    <row r="390" spans="1:35">
      <c r="A390" s="38"/>
      <c r="B390" s="38"/>
      <c r="C390" s="38"/>
      <c r="D390" s="38"/>
      <c r="E390" s="38"/>
      <c r="F390" s="43"/>
      <c r="G390" s="44"/>
      <c r="H390" s="45"/>
      <c r="I390" s="38"/>
      <c r="J390" s="38"/>
      <c r="K390" s="46"/>
      <c r="L390" s="47"/>
      <c r="M390" s="46"/>
      <c r="N390" s="46"/>
      <c r="O390" s="38"/>
      <c r="P390" s="38"/>
      <c r="Q390" s="14"/>
      <c r="R390" s="50"/>
      <c r="S390" s="50"/>
      <c r="T390" s="50"/>
      <c r="U390" s="52"/>
      <c r="V390" s="53"/>
      <c r="W390" s="60"/>
      <c r="X390" s="123"/>
      <c r="Y390" s="117"/>
      <c r="Z390" s="117"/>
      <c r="AH390" s="88"/>
      <c r="AI390" s="88"/>
    </row>
    <row r="391" spans="1:35">
      <c r="A391" s="38"/>
      <c r="B391" s="38"/>
      <c r="C391" s="38"/>
      <c r="D391" s="38"/>
      <c r="E391" s="38"/>
      <c r="F391" s="43"/>
      <c r="G391" s="44"/>
      <c r="H391" s="45"/>
      <c r="I391" s="38"/>
      <c r="J391" s="38"/>
      <c r="K391" s="46"/>
      <c r="L391" s="47"/>
      <c r="M391" s="46"/>
      <c r="N391" s="46"/>
      <c r="O391" s="38"/>
      <c r="P391" s="38"/>
      <c r="Q391" s="14"/>
      <c r="R391" s="50"/>
      <c r="S391" s="50"/>
      <c r="T391" s="50"/>
      <c r="U391" s="52"/>
      <c r="V391" s="53"/>
      <c r="W391" s="60"/>
      <c r="X391" s="123"/>
      <c r="Y391" s="117"/>
      <c r="Z391" s="117"/>
      <c r="AH391" s="88"/>
      <c r="AI391" s="88"/>
    </row>
    <row r="392" spans="1:35">
      <c r="A392" s="38"/>
      <c r="B392" s="38"/>
      <c r="C392" s="38"/>
      <c r="D392" s="38"/>
      <c r="E392" s="38"/>
      <c r="F392" s="43"/>
      <c r="G392" s="44"/>
      <c r="H392" s="45"/>
      <c r="I392" s="38"/>
      <c r="J392" s="38"/>
      <c r="K392" s="46"/>
      <c r="L392" s="47"/>
      <c r="M392" s="46"/>
      <c r="N392" s="46"/>
      <c r="O392" s="38"/>
      <c r="P392" s="38"/>
      <c r="Q392" s="14"/>
      <c r="R392" s="50"/>
      <c r="S392" s="50"/>
      <c r="T392" s="50"/>
      <c r="U392" s="52"/>
      <c r="V392" s="53"/>
      <c r="W392" s="60"/>
      <c r="X392" s="123"/>
      <c r="Y392" s="117"/>
      <c r="Z392" s="117"/>
      <c r="AH392" s="88"/>
      <c r="AI392" s="88"/>
    </row>
    <row r="393" spans="1:35">
      <c r="A393" s="38"/>
      <c r="B393" s="38"/>
      <c r="C393" s="38"/>
      <c r="D393" s="38"/>
      <c r="E393" s="38"/>
      <c r="F393" s="43"/>
      <c r="G393" s="44"/>
      <c r="H393" s="45"/>
      <c r="I393" s="38"/>
      <c r="J393" s="38"/>
      <c r="K393" s="46"/>
      <c r="L393" s="47"/>
      <c r="M393" s="46"/>
      <c r="N393" s="46"/>
      <c r="O393" s="38"/>
      <c r="P393" s="38"/>
      <c r="Q393" s="14"/>
      <c r="R393" s="50"/>
      <c r="S393" s="50"/>
      <c r="T393" s="50"/>
      <c r="U393" s="52"/>
      <c r="V393" s="53"/>
      <c r="W393" s="60"/>
      <c r="X393" s="123"/>
      <c r="Y393" s="117"/>
      <c r="Z393" s="117"/>
      <c r="AH393" s="88"/>
      <c r="AI393" s="88"/>
    </row>
    <row r="394" spans="1:35">
      <c r="A394" s="38"/>
      <c r="B394" s="38"/>
      <c r="C394" s="38"/>
      <c r="D394" s="38"/>
      <c r="E394" s="38"/>
      <c r="F394" s="43"/>
      <c r="G394" s="44"/>
      <c r="H394" s="45"/>
      <c r="I394" s="38"/>
      <c r="J394" s="38"/>
      <c r="K394" s="46"/>
      <c r="L394" s="47"/>
      <c r="M394" s="46"/>
      <c r="N394" s="46"/>
      <c r="O394" s="38"/>
      <c r="P394" s="38"/>
      <c r="Q394" s="14"/>
      <c r="R394" s="50"/>
      <c r="S394" s="50"/>
      <c r="T394" s="50"/>
      <c r="U394" s="52"/>
      <c r="V394" s="53"/>
      <c r="W394" s="60"/>
      <c r="X394" s="123"/>
      <c r="Y394" s="117"/>
      <c r="Z394" s="117"/>
      <c r="AH394" s="88"/>
      <c r="AI394" s="88"/>
    </row>
    <row r="395" spans="1:35">
      <c r="A395" s="38"/>
      <c r="B395" s="38"/>
      <c r="C395" s="38"/>
      <c r="D395" s="38"/>
      <c r="E395" s="38"/>
      <c r="F395" s="43"/>
      <c r="G395" s="44"/>
      <c r="H395" s="45"/>
      <c r="I395" s="38"/>
      <c r="J395" s="38"/>
      <c r="K395" s="46"/>
      <c r="L395" s="47"/>
      <c r="M395" s="46"/>
      <c r="N395" s="46"/>
      <c r="O395" s="38"/>
      <c r="P395" s="38"/>
      <c r="Q395" s="14"/>
      <c r="R395" s="50"/>
      <c r="S395" s="50"/>
      <c r="T395" s="50"/>
      <c r="U395" s="52"/>
      <c r="V395" s="53"/>
      <c r="W395" s="60"/>
      <c r="X395" s="123"/>
      <c r="Y395" s="117"/>
      <c r="Z395" s="117"/>
      <c r="AH395" s="88"/>
      <c r="AI395" s="88"/>
    </row>
    <row r="396" spans="1:35">
      <c r="A396" s="38"/>
      <c r="B396" s="38"/>
      <c r="C396" s="38"/>
      <c r="D396" s="38"/>
      <c r="E396" s="38"/>
      <c r="F396" s="43"/>
      <c r="G396" s="44"/>
      <c r="H396" s="45"/>
      <c r="I396" s="38"/>
      <c r="J396" s="38"/>
      <c r="K396" s="46"/>
      <c r="L396" s="47"/>
      <c r="M396" s="46"/>
      <c r="N396" s="46"/>
      <c r="O396" s="38"/>
      <c r="P396" s="38"/>
      <c r="Q396" s="14"/>
      <c r="R396" s="50"/>
      <c r="S396" s="50"/>
      <c r="T396" s="50"/>
      <c r="U396" s="52"/>
      <c r="V396" s="53"/>
      <c r="W396" s="60"/>
      <c r="X396" s="123"/>
      <c r="Y396" s="117"/>
      <c r="Z396" s="117"/>
      <c r="AH396" s="88"/>
      <c r="AI396" s="88"/>
    </row>
    <row r="397" spans="1:35">
      <c r="A397" s="38"/>
      <c r="B397" s="38"/>
      <c r="C397" s="38"/>
      <c r="D397" s="38"/>
      <c r="E397" s="38"/>
      <c r="F397" s="43"/>
      <c r="G397" s="44"/>
      <c r="H397" s="45"/>
      <c r="I397" s="38"/>
      <c r="J397" s="38"/>
      <c r="K397" s="46"/>
      <c r="L397" s="47"/>
      <c r="M397" s="46"/>
      <c r="N397" s="46"/>
      <c r="O397" s="38"/>
      <c r="P397" s="38"/>
      <c r="Q397" s="14"/>
      <c r="R397" s="50"/>
      <c r="S397" s="50"/>
      <c r="T397" s="50"/>
      <c r="U397" s="52"/>
      <c r="V397" s="53"/>
      <c r="W397" s="60"/>
      <c r="X397" s="123"/>
      <c r="Y397" s="117"/>
      <c r="Z397" s="117"/>
      <c r="AH397" s="88"/>
      <c r="AI397" s="88"/>
    </row>
    <row r="398" spans="1:35">
      <c r="A398" s="38"/>
      <c r="B398" s="38"/>
      <c r="C398" s="38"/>
      <c r="D398" s="38"/>
      <c r="E398" s="38"/>
      <c r="F398" s="43"/>
      <c r="G398" s="44"/>
      <c r="H398" s="45"/>
      <c r="I398" s="38"/>
      <c r="J398" s="38"/>
      <c r="K398" s="46"/>
      <c r="L398" s="47"/>
      <c r="M398" s="46"/>
      <c r="N398" s="46"/>
      <c r="O398" s="38"/>
      <c r="P398" s="38"/>
      <c r="Q398" s="14"/>
      <c r="R398" s="50"/>
      <c r="S398" s="50"/>
      <c r="T398" s="50"/>
      <c r="U398" s="52"/>
      <c r="V398" s="53"/>
      <c r="W398" s="60"/>
      <c r="X398" s="123"/>
      <c r="Y398" s="117"/>
      <c r="Z398" s="117"/>
      <c r="AH398" s="88"/>
      <c r="AI398" s="88"/>
    </row>
    <row r="399" spans="1:35">
      <c r="A399" s="38"/>
      <c r="B399" s="38"/>
      <c r="C399" s="38"/>
      <c r="D399" s="38"/>
      <c r="E399" s="38"/>
      <c r="F399" s="43"/>
      <c r="G399" s="44"/>
      <c r="H399" s="45"/>
      <c r="I399" s="38"/>
      <c r="J399" s="38"/>
      <c r="K399" s="46"/>
      <c r="L399" s="47"/>
      <c r="M399" s="46"/>
      <c r="N399" s="46"/>
      <c r="O399" s="38"/>
      <c r="P399" s="38"/>
      <c r="Q399" s="14"/>
      <c r="R399" s="50"/>
      <c r="S399" s="50"/>
      <c r="T399" s="50"/>
      <c r="U399" s="52"/>
      <c r="V399" s="53"/>
      <c r="W399" s="60"/>
      <c r="X399" s="123"/>
      <c r="Y399" s="117"/>
      <c r="Z399" s="117"/>
      <c r="AH399" s="88"/>
      <c r="AI399" s="88"/>
    </row>
    <row r="400" spans="1:35">
      <c r="A400" s="38"/>
      <c r="B400" s="38"/>
      <c r="C400" s="38"/>
      <c r="D400" s="38"/>
      <c r="E400" s="38"/>
      <c r="F400" s="43"/>
      <c r="G400" s="44"/>
      <c r="H400" s="45"/>
      <c r="I400" s="38"/>
      <c r="J400" s="38"/>
      <c r="K400" s="46"/>
      <c r="L400" s="47"/>
      <c r="M400" s="46"/>
      <c r="N400" s="46"/>
      <c r="O400" s="38"/>
      <c r="P400" s="38"/>
      <c r="Q400" s="14"/>
      <c r="R400" s="50"/>
      <c r="S400" s="50"/>
      <c r="T400" s="50"/>
      <c r="U400" s="52"/>
      <c r="V400" s="53"/>
      <c r="W400" s="60"/>
      <c r="X400" s="123"/>
      <c r="Y400" s="117"/>
      <c r="Z400" s="117"/>
      <c r="AH400" s="88"/>
      <c r="AI400" s="88"/>
    </row>
    <row r="401" spans="1:35">
      <c r="A401" s="38"/>
      <c r="B401" s="38"/>
      <c r="C401" s="38"/>
      <c r="D401" s="38"/>
      <c r="E401" s="38"/>
      <c r="F401" s="43"/>
      <c r="G401" s="44"/>
      <c r="H401" s="45"/>
      <c r="I401" s="38"/>
      <c r="J401" s="38"/>
      <c r="K401" s="46"/>
      <c r="L401" s="47"/>
      <c r="M401" s="46"/>
      <c r="N401" s="46"/>
      <c r="O401" s="38"/>
      <c r="P401" s="38"/>
      <c r="Q401" s="14"/>
      <c r="R401" s="50"/>
      <c r="S401" s="50"/>
      <c r="T401" s="50"/>
      <c r="U401" s="52"/>
      <c r="V401" s="53"/>
      <c r="W401" s="60"/>
      <c r="X401" s="123"/>
      <c r="Y401" s="117"/>
      <c r="Z401" s="117"/>
      <c r="AH401" s="88"/>
      <c r="AI401" s="88"/>
    </row>
    <row r="402" spans="1:35">
      <c r="A402" s="38"/>
      <c r="B402" s="38"/>
      <c r="C402" s="38"/>
      <c r="D402" s="38"/>
      <c r="E402" s="38"/>
      <c r="F402" s="43"/>
      <c r="G402" s="44"/>
      <c r="H402" s="45"/>
      <c r="I402" s="38"/>
      <c r="J402" s="38"/>
      <c r="K402" s="46"/>
      <c r="L402" s="47"/>
      <c r="M402" s="46"/>
      <c r="N402" s="46"/>
      <c r="O402" s="38"/>
      <c r="P402" s="38"/>
      <c r="Q402" s="14"/>
      <c r="R402" s="50"/>
      <c r="S402" s="50"/>
      <c r="T402" s="50"/>
      <c r="U402" s="52"/>
      <c r="V402" s="53"/>
      <c r="W402" s="60"/>
      <c r="X402" s="123"/>
      <c r="Y402" s="117"/>
      <c r="Z402" s="117"/>
      <c r="AH402" s="88"/>
      <c r="AI402" s="88"/>
    </row>
    <row r="403" spans="1:35">
      <c r="A403" s="38"/>
      <c r="B403" s="38"/>
      <c r="C403" s="38"/>
      <c r="D403" s="38"/>
      <c r="E403" s="38"/>
      <c r="F403" s="43"/>
      <c r="G403" s="44"/>
      <c r="H403" s="45"/>
      <c r="I403" s="38"/>
      <c r="J403" s="38"/>
      <c r="K403" s="46"/>
      <c r="L403" s="47"/>
      <c r="M403" s="46"/>
      <c r="N403" s="46"/>
      <c r="O403" s="38"/>
      <c r="P403" s="38"/>
      <c r="Q403" s="14"/>
      <c r="R403" s="50"/>
      <c r="S403" s="50"/>
      <c r="T403" s="50"/>
      <c r="U403" s="52"/>
      <c r="V403" s="53"/>
      <c r="W403" s="60"/>
      <c r="X403" s="123"/>
      <c r="Y403" s="117"/>
      <c r="Z403" s="117"/>
      <c r="AH403" s="88"/>
      <c r="AI403" s="88"/>
    </row>
    <row r="404" spans="1:35">
      <c r="A404" s="38"/>
      <c r="B404" s="38"/>
      <c r="C404" s="38"/>
      <c r="D404" s="38"/>
      <c r="E404" s="38"/>
      <c r="F404" s="43"/>
      <c r="G404" s="44"/>
      <c r="H404" s="45"/>
      <c r="I404" s="38"/>
      <c r="J404" s="38"/>
      <c r="K404" s="46"/>
      <c r="L404" s="47"/>
      <c r="M404" s="46"/>
      <c r="N404" s="46"/>
      <c r="O404" s="38"/>
      <c r="P404" s="38"/>
      <c r="Q404" s="14"/>
      <c r="R404" s="50"/>
      <c r="S404" s="50"/>
      <c r="T404" s="50"/>
      <c r="U404" s="52"/>
      <c r="V404" s="53"/>
      <c r="W404" s="60"/>
      <c r="X404" s="123"/>
      <c r="Y404" s="117"/>
      <c r="Z404" s="117"/>
      <c r="AH404" s="88"/>
      <c r="AI404" s="88"/>
    </row>
    <row r="405" spans="1:35">
      <c r="A405" s="38"/>
      <c r="B405" s="38"/>
      <c r="C405" s="38"/>
      <c r="D405" s="38"/>
      <c r="E405" s="38"/>
      <c r="F405" s="43"/>
      <c r="G405" s="44"/>
      <c r="H405" s="45"/>
      <c r="I405" s="38"/>
      <c r="J405" s="38"/>
      <c r="K405" s="46"/>
      <c r="L405" s="47"/>
      <c r="M405" s="46"/>
      <c r="N405" s="46"/>
      <c r="O405" s="38"/>
      <c r="P405" s="38"/>
      <c r="Q405" s="14"/>
      <c r="R405" s="50"/>
      <c r="S405" s="50"/>
      <c r="T405" s="50"/>
      <c r="U405" s="52"/>
      <c r="V405" s="53"/>
      <c r="W405" s="60"/>
      <c r="X405" s="123"/>
      <c r="Y405" s="117"/>
      <c r="Z405" s="117"/>
      <c r="AH405" s="88"/>
      <c r="AI405" s="88"/>
    </row>
    <row r="406" spans="1:35">
      <c r="A406" s="38"/>
      <c r="B406" s="38"/>
      <c r="C406" s="38"/>
      <c r="D406" s="38"/>
      <c r="E406" s="38"/>
      <c r="F406" s="43"/>
      <c r="G406" s="44"/>
      <c r="H406" s="45"/>
      <c r="I406" s="38"/>
      <c r="J406" s="38"/>
      <c r="K406" s="46"/>
      <c r="L406" s="47"/>
      <c r="M406" s="46"/>
      <c r="N406" s="46"/>
      <c r="O406" s="38"/>
      <c r="P406" s="38"/>
      <c r="Q406" s="14"/>
      <c r="R406" s="50"/>
      <c r="S406" s="50"/>
      <c r="T406" s="50"/>
      <c r="U406" s="52"/>
      <c r="V406" s="53"/>
      <c r="W406" s="60"/>
      <c r="X406" s="123"/>
      <c r="Y406" s="117"/>
      <c r="Z406" s="117"/>
      <c r="AH406" s="88"/>
      <c r="AI406" s="88"/>
    </row>
    <row r="407" spans="1:35">
      <c r="A407" s="38"/>
      <c r="B407" s="38"/>
      <c r="C407" s="38"/>
      <c r="D407" s="38"/>
      <c r="E407" s="38"/>
      <c r="F407" s="43"/>
      <c r="G407" s="44"/>
      <c r="H407" s="45"/>
      <c r="I407" s="38"/>
      <c r="J407" s="38"/>
      <c r="K407" s="46"/>
      <c r="L407" s="47"/>
      <c r="M407" s="46"/>
      <c r="N407" s="46"/>
      <c r="O407" s="38"/>
      <c r="P407" s="38"/>
      <c r="Q407" s="14"/>
      <c r="R407" s="50"/>
      <c r="S407" s="50"/>
      <c r="T407" s="50"/>
      <c r="U407" s="52"/>
      <c r="V407" s="53"/>
      <c r="W407" s="60"/>
      <c r="X407" s="123"/>
      <c r="Y407" s="117"/>
      <c r="Z407" s="117"/>
      <c r="AH407" s="88"/>
      <c r="AI407" s="88"/>
    </row>
    <row r="408" spans="1:35">
      <c r="A408" s="38"/>
      <c r="B408" s="38"/>
      <c r="C408" s="38"/>
      <c r="D408" s="38"/>
      <c r="E408" s="38"/>
      <c r="F408" s="43"/>
      <c r="G408" s="44"/>
      <c r="H408" s="45"/>
      <c r="I408" s="38"/>
      <c r="J408" s="38"/>
      <c r="K408" s="46"/>
      <c r="L408" s="47"/>
      <c r="M408" s="46"/>
      <c r="N408" s="46"/>
      <c r="O408" s="38"/>
      <c r="P408" s="38"/>
      <c r="Q408" s="14"/>
      <c r="R408" s="50"/>
      <c r="S408" s="50"/>
      <c r="T408" s="50"/>
      <c r="U408" s="52"/>
      <c r="V408" s="53"/>
      <c r="W408" s="60"/>
      <c r="X408" s="123"/>
      <c r="Y408" s="117"/>
      <c r="Z408" s="117"/>
      <c r="AH408" s="88"/>
      <c r="AI408" s="88"/>
    </row>
    <row r="409" spans="1:35">
      <c r="A409" s="38"/>
      <c r="B409" s="38"/>
      <c r="C409" s="38"/>
      <c r="D409" s="38"/>
      <c r="E409" s="38"/>
      <c r="F409" s="43"/>
      <c r="G409" s="44"/>
      <c r="H409" s="45"/>
      <c r="I409" s="38"/>
      <c r="J409" s="38"/>
      <c r="K409" s="46"/>
      <c r="L409" s="47"/>
      <c r="M409" s="46"/>
      <c r="N409" s="46"/>
      <c r="O409" s="38"/>
      <c r="P409" s="38"/>
      <c r="Q409" s="14"/>
      <c r="R409" s="50"/>
      <c r="S409" s="50"/>
      <c r="T409" s="50"/>
      <c r="U409" s="52"/>
      <c r="V409" s="53"/>
      <c r="W409" s="60"/>
      <c r="X409" s="123"/>
      <c r="Y409" s="117"/>
      <c r="Z409" s="117"/>
      <c r="AH409" s="88"/>
      <c r="AI409" s="88"/>
    </row>
    <row r="410" spans="1:35">
      <c r="A410" s="38"/>
      <c r="B410" s="38"/>
      <c r="C410" s="38"/>
      <c r="D410" s="38"/>
      <c r="E410" s="38"/>
      <c r="F410" s="43"/>
      <c r="G410" s="44"/>
      <c r="H410" s="45"/>
      <c r="I410" s="38"/>
      <c r="J410" s="38"/>
      <c r="K410" s="46"/>
      <c r="L410" s="47"/>
      <c r="M410" s="46"/>
      <c r="N410" s="46"/>
      <c r="O410" s="38"/>
      <c r="P410" s="38"/>
      <c r="Q410" s="14"/>
      <c r="R410" s="50"/>
      <c r="S410" s="50"/>
      <c r="T410" s="50"/>
      <c r="U410" s="52"/>
      <c r="V410" s="53"/>
      <c r="W410" s="60"/>
      <c r="X410" s="123"/>
      <c r="Y410" s="117"/>
      <c r="Z410" s="117"/>
      <c r="AH410" s="88"/>
      <c r="AI410" s="88"/>
    </row>
    <row r="411" spans="1:35">
      <c r="A411" s="38"/>
      <c r="B411" s="38"/>
      <c r="C411" s="38"/>
      <c r="D411" s="38"/>
      <c r="E411" s="38"/>
      <c r="F411" s="43"/>
      <c r="G411" s="44"/>
      <c r="H411" s="45"/>
      <c r="I411" s="38"/>
      <c r="J411" s="38"/>
      <c r="K411" s="46"/>
      <c r="L411" s="47"/>
      <c r="M411" s="46"/>
      <c r="N411" s="46"/>
      <c r="O411" s="38"/>
      <c r="P411" s="38"/>
      <c r="Q411" s="14"/>
      <c r="R411" s="50"/>
      <c r="S411" s="50"/>
      <c r="T411" s="50"/>
      <c r="U411" s="52"/>
      <c r="V411" s="53"/>
      <c r="W411" s="60"/>
      <c r="X411" s="123"/>
      <c r="Y411" s="117"/>
      <c r="Z411" s="117"/>
      <c r="AH411" s="88"/>
      <c r="AI411" s="88"/>
    </row>
    <row r="412" spans="1:35">
      <c r="A412" s="38"/>
      <c r="B412" s="38"/>
      <c r="C412" s="38"/>
      <c r="D412" s="38"/>
      <c r="E412" s="38"/>
      <c r="F412" s="43"/>
      <c r="G412" s="44"/>
      <c r="H412" s="45"/>
      <c r="I412" s="38"/>
      <c r="J412" s="38"/>
      <c r="K412" s="46"/>
      <c r="L412" s="47"/>
      <c r="M412" s="46"/>
      <c r="N412" s="46"/>
      <c r="O412" s="38"/>
      <c r="P412" s="38"/>
      <c r="Q412" s="14"/>
      <c r="R412" s="50"/>
      <c r="S412" s="50"/>
      <c r="T412" s="50"/>
      <c r="U412" s="52"/>
      <c r="V412" s="53"/>
      <c r="W412" s="60"/>
      <c r="X412" s="123"/>
      <c r="Y412" s="117"/>
      <c r="Z412" s="117"/>
      <c r="AH412" s="88"/>
      <c r="AI412" s="88"/>
    </row>
    <row r="413" spans="1:35">
      <c r="A413" s="38"/>
      <c r="B413" s="38"/>
      <c r="C413" s="38"/>
      <c r="D413" s="38"/>
      <c r="E413" s="38"/>
      <c r="F413" s="43"/>
      <c r="G413" s="44"/>
      <c r="H413" s="45"/>
      <c r="I413" s="38"/>
      <c r="J413" s="38"/>
      <c r="K413" s="46"/>
      <c r="L413" s="47"/>
      <c r="M413" s="46"/>
      <c r="N413" s="46"/>
      <c r="O413" s="38"/>
      <c r="P413" s="38"/>
      <c r="Q413" s="14"/>
      <c r="R413" s="50"/>
      <c r="S413" s="50"/>
      <c r="T413" s="50"/>
      <c r="U413" s="52"/>
      <c r="V413" s="53"/>
      <c r="W413" s="60"/>
      <c r="X413" s="123"/>
      <c r="Y413" s="117"/>
      <c r="Z413" s="117"/>
      <c r="AH413" s="88"/>
      <c r="AI413" s="88"/>
    </row>
    <row r="414" spans="1:35">
      <c r="A414" s="38"/>
      <c r="B414" s="38"/>
      <c r="C414" s="38"/>
      <c r="D414" s="38"/>
      <c r="E414" s="38"/>
      <c r="F414" s="43"/>
      <c r="G414" s="44"/>
      <c r="H414" s="45"/>
      <c r="I414" s="38"/>
      <c r="J414" s="38"/>
      <c r="K414" s="46"/>
      <c r="L414" s="47"/>
      <c r="M414" s="46"/>
      <c r="N414" s="46"/>
      <c r="O414" s="38"/>
      <c r="P414" s="38"/>
      <c r="Q414" s="14"/>
      <c r="R414" s="50"/>
      <c r="S414" s="50"/>
      <c r="T414" s="50"/>
      <c r="U414" s="52"/>
      <c r="V414" s="53"/>
      <c r="W414" s="60"/>
      <c r="X414" s="123"/>
      <c r="Y414" s="117"/>
      <c r="Z414" s="117"/>
      <c r="AH414" s="88"/>
      <c r="AI414" s="88"/>
    </row>
    <row r="415" spans="1:35">
      <c r="A415" s="38"/>
      <c r="B415" s="38"/>
      <c r="C415" s="38"/>
      <c r="D415" s="38"/>
      <c r="E415" s="38"/>
      <c r="F415" s="43"/>
      <c r="G415" s="44"/>
      <c r="H415" s="45"/>
      <c r="I415" s="38"/>
      <c r="J415" s="38"/>
      <c r="K415" s="46"/>
      <c r="L415" s="47"/>
      <c r="M415" s="46"/>
      <c r="N415" s="46"/>
      <c r="O415" s="38"/>
      <c r="P415" s="38"/>
      <c r="Q415" s="14"/>
      <c r="R415" s="50"/>
      <c r="S415" s="50"/>
      <c r="T415" s="50"/>
      <c r="U415" s="52"/>
      <c r="V415" s="53"/>
      <c r="W415" s="60"/>
      <c r="X415" s="123"/>
      <c r="Y415" s="117"/>
      <c r="Z415" s="117"/>
      <c r="AH415" s="88"/>
      <c r="AI415" s="88"/>
    </row>
    <row r="416" spans="1:35">
      <c r="A416" s="38"/>
      <c r="B416" s="38"/>
      <c r="C416" s="38"/>
      <c r="D416" s="38"/>
      <c r="E416" s="38"/>
      <c r="F416" s="43"/>
      <c r="G416" s="44"/>
      <c r="H416" s="45"/>
      <c r="I416" s="38"/>
      <c r="J416" s="38"/>
      <c r="K416" s="46"/>
      <c r="L416" s="47"/>
      <c r="M416" s="46"/>
      <c r="N416" s="46"/>
      <c r="O416" s="38"/>
      <c r="P416" s="38"/>
      <c r="Q416" s="14"/>
      <c r="R416" s="50"/>
      <c r="S416" s="50"/>
      <c r="T416" s="50"/>
      <c r="U416" s="52"/>
      <c r="V416" s="53"/>
      <c r="W416" s="60"/>
      <c r="X416" s="123"/>
      <c r="Y416" s="117"/>
      <c r="Z416" s="117"/>
      <c r="AH416" s="88"/>
      <c r="AI416" s="88"/>
    </row>
    <row r="417" spans="1:35">
      <c r="A417" s="38"/>
      <c r="B417" s="38"/>
      <c r="C417" s="38"/>
      <c r="D417" s="38"/>
      <c r="E417" s="38"/>
      <c r="F417" s="43"/>
      <c r="G417" s="44"/>
      <c r="H417" s="45"/>
      <c r="I417" s="38"/>
      <c r="J417" s="38"/>
      <c r="K417" s="46"/>
      <c r="L417" s="47"/>
      <c r="M417" s="46"/>
      <c r="N417" s="46"/>
      <c r="O417" s="38"/>
      <c r="P417" s="38"/>
      <c r="Q417" s="14"/>
      <c r="R417" s="50"/>
      <c r="S417" s="50"/>
      <c r="T417" s="50"/>
      <c r="U417" s="52"/>
      <c r="V417" s="53"/>
      <c r="W417" s="60"/>
      <c r="X417" s="123"/>
      <c r="Y417" s="117"/>
      <c r="Z417" s="117"/>
      <c r="AH417" s="88"/>
      <c r="AI417" s="88"/>
    </row>
    <row r="418" spans="1:35">
      <c r="A418" s="38"/>
      <c r="B418" s="38"/>
      <c r="C418" s="38"/>
      <c r="D418" s="38"/>
      <c r="E418" s="38"/>
      <c r="F418" s="43"/>
      <c r="G418" s="44"/>
      <c r="H418" s="45"/>
      <c r="I418" s="38"/>
      <c r="J418" s="38"/>
      <c r="K418" s="46"/>
      <c r="L418" s="47"/>
      <c r="M418" s="46"/>
      <c r="N418" s="46"/>
      <c r="O418" s="38"/>
      <c r="P418" s="38"/>
      <c r="Q418" s="14"/>
      <c r="R418" s="50"/>
      <c r="S418" s="50"/>
      <c r="T418" s="50"/>
      <c r="U418" s="52"/>
      <c r="V418" s="53"/>
      <c r="W418" s="60"/>
      <c r="X418" s="123"/>
      <c r="Y418" s="117"/>
      <c r="Z418" s="117"/>
      <c r="AH418" s="88"/>
      <c r="AI418" s="88"/>
    </row>
    <row r="419" spans="1:35">
      <c r="A419" s="38"/>
      <c r="B419" s="38"/>
      <c r="C419" s="38"/>
      <c r="D419" s="38"/>
      <c r="E419" s="38"/>
      <c r="F419" s="43"/>
      <c r="G419" s="44"/>
      <c r="H419" s="45"/>
      <c r="I419" s="38"/>
      <c r="J419" s="38"/>
      <c r="K419" s="46"/>
      <c r="L419" s="47"/>
      <c r="M419" s="46"/>
      <c r="N419" s="46"/>
      <c r="O419" s="38"/>
      <c r="P419" s="38"/>
      <c r="Q419" s="14"/>
      <c r="R419" s="50"/>
      <c r="S419" s="50"/>
      <c r="T419" s="50"/>
      <c r="U419" s="52"/>
      <c r="V419" s="53"/>
      <c r="W419" s="60"/>
      <c r="X419" s="123"/>
      <c r="Y419" s="117"/>
      <c r="Z419" s="117"/>
      <c r="AH419" s="88"/>
      <c r="AI419" s="88"/>
    </row>
    <row r="420" spans="1:35">
      <c r="A420" s="38"/>
      <c r="B420" s="38"/>
      <c r="C420" s="38"/>
      <c r="D420" s="38"/>
      <c r="E420" s="38"/>
      <c r="F420" s="43"/>
      <c r="G420" s="44"/>
      <c r="H420" s="45"/>
      <c r="I420" s="38"/>
      <c r="J420" s="38"/>
      <c r="K420" s="46"/>
      <c r="L420" s="47"/>
      <c r="M420" s="46"/>
      <c r="N420" s="46"/>
      <c r="O420" s="38"/>
      <c r="P420" s="38"/>
      <c r="Q420" s="14"/>
      <c r="R420" s="50"/>
      <c r="S420" s="50"/>
      <c r="T420" s="50"/>
      <c r="U420" s="52"/>
      <c r="V420" s="53"/>
      <c r="W420" s="60"/>
      <c r="X420" s="123"/>
      <c r="Y420" s="117"/>
      <c r="Z420" s="117"/>
      <c r="AH420" s="88"/>
      <c r="AI420" s="88"/>
    </row>
    <row r="421" spans="1:35">
      <c r="A421" s="38"/>
      <c r="B421" s="38"/>
      <c r="C421" s="38"/>
      <c r="D421" s="38"/>
      <c r="E421" s="38"/>
      <c r="F421" s="43"/>
      <c r="G421" s="44"/>
      <c r="H421" s="45"/>
      <c r="I421" s="38"/>
      <c r="J421" s="38"/>
      <c r="K421" s="46"/>
      <c r="L421" s="47"/>
      <c r="M421" s="46"/>
      <c r="N421" s="46"/>
      <c r="O421" s="38"/>
      <c r="P421" s="38"/>
      <c r="Q421" s="14"/>
      <c r="R421" s="50"/>
      <c r="S421" s="50"/>
      <c r="T421" s="50"/>
      <c r="U421" s="52"/>
      <c r="V421" s="53"/>
      <c r="W421" s="60"/>
      <c r="X421" s="123"/>
      <c r="Y421" s="117"/>
      <c r="Z421" s="117"/>
      <c r="AH421" s="88"/>
      <c r="AI421" s="88"/>
    </row>
    <row r="422" spans="1:35">
      <c r="A422" s="38"/>
      <c r="B422" s="38"/>
      <c r="C422" s="38"/>
      <c r="D422" s="38"/>
      <c r="E422" s="38"/>
      <c r="F422" s="43"/>
      <c r="G422" s="44"/>
      <c r="H422" s="45"/>
      <c r="I422" s="38"/>
      <c r="J422" s="38"/>
      <c r="K422" s="46"/>
      <c r="L422" s="47"/>
      <c r="M422" s="46"/>
      <c r="N422" s="46"/>
      <c r="O422" s="38"/>
      <c r="P422" s="38"/>
      <c r="Q422" s="14"/>
      <c r="R422" s="50"/>
      <c r="S422" s="50"/>
      <c r="T422" s="50"/>
      <c r="U422" s="52"/>
      <c r="V422" s="53"/>
      <c r="W422" s="60"/>
      <c r="X422" s="123"/>
      <c r="Y422" s="117"/>
      <c r="Z422" s="117"/>
      <c r="AH422" s="88"/>
      <c r="AI422" s="88"/>
    </row>
    <row r="423" spans="1:35">
      <c r="A423" s="38"/>
      <c r="B423" s="38"/>
      <c r="C423" s="38"/>
      <c r="D423" s="38"/>
      <c r="E423" s="38"/>
      <c r="F423" s="43"/>
      <c r="G423" s="44"/>
      <c r="H423" s="45"/>
      <c r="I423" s="38"/>
      <c r="J423" s="38"/>
      <c r="K423" s="46"/>
      <c r="L423" s="47"/>
      <c r="M423" s="46"/>
      <c r="N423" s="46"/>
      <c r="O423" s="38"/>
      <c r="P423" s="38"/>
      <c r="Q423" s="14"/>
      <c r="R423" s="50"/>
      <c r="S423" s="50"/>
      <c r="T423" s="50"/>
      <c r="U423" s="52"/>
      <c r="V423" s="53"/>
      <c r="W423" s="60"/>
      <c r="X423" s="123"/>
      <c r="Y423" s="117"/>
      <c r="Z423" s="117"/>
      <c r="AH423" s="88"/>
      <c r="AI423" s="88"/>
    </row>
    <row r="424" spans="1:35">
      <c r="A424" s="38"/>
      <c r="B424" s="38"/>
      <c r="C424" s="38"/>
      <c r="D424" s="38"/>
      <c r="E424" s="38"/>
      <c r="F424" s="43"/>
      <c r="G424" s="44"/>
      <c r="H424" s="45"/>
      <c r="I424" s="38"/>
      <c r="J424" s="38"/>
      <c r="K424" s="46"/>
      <c r="L424" s="47"/>
      <c r="M424" s="46"/>
      <c r="N424" s="46"/>
      <c r="O424" s="38"/>
      <c r="P424" s="38"/>
      <c r="Q424" s="14"/>
      <c r="R424" s="50"/>
      <c r="S424" s="50"/>
      <c r="T424" s="50"/>
      <c r="U424" s="52"/>
      <c r="V424" s="53"/>
      <c r="W424" s="60"/>
      <c r="X424" s="123"/>
      <c r="Y424" s="117"/>
      <c r="Z424" s="117"/>
      <c r="AH424" s="88"/>
      <c r="AI424" s="88"/>
    </row>
    <row r="425" spans="1:35">
      <c r="A425" s="38"/>
      <c r="B425" s="38"/>
      <c r="C425" s="38"/>
      <c r="D425" s="38"/>
      <c r="E425" s="38"/>
      <c r="F425" s="43"/>
      <c r="G425" s="44"/>
      <c r="H425" s="45"/>
      <c r="I425" s="38"/>
      <c r="J425" s="38"/>
      <c r="K425" s="46"/>
      <c r="L425" s="47"/>
      <c r="M425" s="46"/>
      <c r="N425" s="46"/>
      <c r="O425" s="38"/>
      <c r="P425" s="38"/>
      <c r="Q425" s="14"/>
      <c r="R425" s="50"/>
      <c r="S425" s="50"/>
      <c r="T425" s="50"/>
      <c r="U425" s="52"/>
      <c r="V425" s="53"/>
      <c r="W425" s="60"/>
      <c r="X425" s="123"/>
      <c r="Y425" s="117"/>
      <c r="Z425" s="117"/>
      <c r="AH425" s="88"/>
      <c r="AI425" s="88"/>
    </row>
    <row r="426" spans="1:35">
      <c r="A426" s="38"/>
      <c r="B426" s="38"/>
      <c r="C426" s="38"/>
      <c r="D426" s="38"/>
      <c r="E426" s="38"/>
      <c r="F426" s="43"/>
      <c r="G426" s="44"/>
      <c r="H426" s="45"/>
      <c r="I426" s="38"/>
      <c r="J426" s="38"/>
      <c r="K426" s="46"/>
      <c r="L426" s="47"/>
      <c r="M426" s="46"/>
      <c r="N426" s="46"/>
      <c r="O426" s="38"/>
      <c r="P426" s="38"/>
      <c r="Q426" s="14"/>
      <c r="R426" s="50"/>
      <c r="S426" s="50"/>
      <c r="T426" s="50"/>
      <c r="U426" s="52"/>
      <c r="V426" s="53"/>
      <c r="W426" s="60"/>
      <c r="X426" s="123"/>
      <c r="Y426" s="117"/>
      <c r="Z426" s="117"/>
      <c r="AH426" s="88"/>
      <c r="AI426" s="88"/>
    </row>
    <row r="427" spans="1:35">
      <c r="A427" s="38"/>
      <c r="B427" s="38"/>
      <c r="C427" s="38"/>
      <c r="D427" s="38"/>
      <c r="E427" s="38"/>
      <c r="F427" s="43"/>
      <c r="G427" s="44"/>
      <c r="H427" s="45"/>
      <c r="I427" s="38"/>
      <c r="J427" s="38"/>
      <c r="K427" s="46"/>
      <c r="L427" s="47"/>
      <c r="M427" s="46"/>
      <c r="N427" s="46"/>
      <c r="O427" s="38"/>
      <c r="P427" s="38"/>
      <c r="Q427" s="14"/>
      <c r="R427" s="50"/>
      <c r="S427" s="50"/>
      <c r="T427" s="50"/>
      <c r="U427" s="52"/>
      <c r="V427" s="53"/>
      <c r="W427" s="60"/>
      <c r="X427" s="123"/>
      <c r="Y427" s="117"/>
      <c r="Z427" s="117"/>
      <c r="AH427" s="88"/>
      <c r="AI427" s="88"/>
    </row>
    <row r="428" spans="1:35">
      <c r="A428" s="38"/>
      <c r="B428" s="38"/>
      <c r="C428" s="38"/>
      <c r="D428" s="38"/>
      <c r="E428" s="38"/>
      <c r="F428" s="43"/>
      <c r="G428" s="44"/>
      <c r="H428" s="45"/>
      <c r="I428" s="38"/>
      <c r="J428" s="38"/>
      <c r="K428" s="46"/>
      <c r="L428" s="47"/>
      <c r="M428" s="46"/>
      <c r="N428" s="46"/>
      <c r="O428" s="38"/>
      <c r="P428" s="38"/>
      <c r="Q428" s="14"/>
      <c r="R428" s="50"/>
      <c r="S428" s="50"/>
      <c r="T428" s="50"/>
      <c r="U428" s="52"/>
      <c r="V428" s="53"/>
      <c r="W428" s="60"/>
      <c r="X428" s="123"/>
      <c r="Y428" s="117"/>
      <c r="Z428" s="117"/>
      <c r="AH428" s="88"/>
      <c r="AI428" s="88"/>
    </row>
    <row r="429" spans="1:35">
      <c r="A429" s="38"/>
      <c r="B429" s="38"/>
      <c r="C429" s="38"/>
      <c r="D429" s="38"/>
      <c r="E429" s="38"/>
      <c r="F429" s="43"/>
      <c r="G429" s="44"/>
      <c r="H429" s="45"/>
      <c r="I429" s="38"/>
      <c r="J429" s="38"/>
      <c r="K429" s="46"/>
      <c r="L429" s="47"/>
      <c r="M429" s="46"/>
      <c r="N429" s="46"/>
      <c r="O429" s="38"/>
      <c r="P429" s="38"/>
      <c r="Q429" s="14"/>
      <c r="R429" s="50"/>
      <c r="S429" s="50"/>
      <c r="T429" s="50"/>
      <c r="U429" s="52"/>
      <c r="V429" s="53"/>
      <c r="W429" s="60"/>
      <c r="X429" s="123"/>
      <c r="Y429" s="117"/>
      <c r="Z429" s="117"/>
      <c r="AH429" s="88"/>
      <c r="AI429" s="88"/>
    </row>
    <row r="430" spans="1:35">
      <c r="A430" s="38"/>
      <c r="B430" s="38"/>
      <c r="C430" s="38"/>
      <c r="D430" s="38"/>
      <c r="E430" s="38"/>
      <c r="F430" s="43"/>
      <c r="G430" s="44"/>
      <c r="H430" s="45"/>
      <c r="I430" s="38"/>
      <c r="J430" s="38"/>
      <c r="K430" s="46"/>
      <c r="L430" s="47"/>
      <c r="M430" s="46"/>
      <c r="N430" s="46"/>
      <c r="O430" s="38"/>
      <c r="P430" s="38"/>
      <c r="Q430" s="14"/>
      <c r="R430" s="50"/>
      <c r="S430" s="50"/>
      <c r="T430" s="50"/>
      <c r="U430" s="52"/>
      <c r="V430" s="53"/>
      <c r="W430" s="60"/>
      <c r="X430" s="123"/>
      <c r="Y430" s="117"/>
      <c r="Z430" s="117"/>
      <c r="AH430" s="88"/>
      <c r="AI430" s="88"/>
    </row>
    <row r="431" spans="1:35">
      <c r="A431" s="38"/>
      <c r="B431" s="38"/>
      <c r="C431" s="38"/>
      <c r="D431" s="38"/>
      <c r="E431" s="38"/>
      <c r="F431" s="43"/>
      <c r="G431" s="44"/>
      <c r="H431" s="45"/>
      <c r="I431" s="38"/>
      <c r="J431" s="38"/>
      <c r="K431" s="46"/>
      <c r="L431" s="47"/>
      <c r="M431" s="46"/>
      <c r="N431" s="46"/>
      <c r="O431" s="38"/>
      <c r="P431" s="38"/>
      <c r="Q431" s="14"/>
      <c r="R431" s="50"/>
      <c r="S431" s="50"/>
      <c r="T431" s="50"/>
      <c r="U431" s="52"/>
      <c r="V431" s="53"/>
      <c r="W431" s="60"/>
      <c r="X431" s="123"/>
      <c r="Y431" s="117"/>
      <c r="Z431" s="117"/>
      <c r="AH431" s="88"/>
      <c r="AI431" s="88"/>
    </row>
    <row r="432" spans="1:35">
      <c r="A432" s="38"/>
      <c r="B432" s="38"/>
      <c r="C432" s="38"/>
      <c r="D432" s="38"/>
      <c r="E432" s="38"/>
      <c r="F432" s="43"/>
      <c r="G432" s="44"/>
      <c r="H432" s="45"/>
      <c r="I432" s="38"/>
      <c r="J432" s="38"/>
      <c r="K432" s="46"/>
      <c r="L432" s="47"/>
      <c r="M432" s="46"/>
      <c r="N432" s="46"/>
      <c r="O432" s="38"/>
      <c r="P432" s="38"/>
      <c r="Q432" s="14"/>
      <c r="R432" s="50"/>
      <c r="S432" s="50"/>
      <c r="T432" s="50"/>
      <c r="U432" s="52"/>
      <c r="V432" s="53"/>
      <c r="W432" s="60"/>
      <c r="X432" s="123"/>
      <c r="Y432" s="117"/>
      <c r="Z432" s="117"/>
      <c r="AH432" s="88"/>
      <c r="AI432" s="88"/>
    </row>
    <row r="433" spans="1:35">
      <c r="A433" s="38"/>
      <c r="B433" s="38"/>
      <c r="C433" s="38"/>
      <c r="D433" s="38"/>
      <c r="E433" s="38"/>
      <c r="F433" s="43"/>
      <c r="G433" s="44"/>
      <c r="H433" s="45"/>
      <c r="I433" s="38"/>
      <c r="J433" s="38"/>
      <c r="K433" s="46"/>
      <c r="L433" s="47"/>
      <c r="M433" s="46"/>
      <c r="N433" s="46"/>
      <c r="O433" s="38"/>
      <c r="P433" s="38"/>
      <c r="Q433" s="14"/>
      <c r="R433" s="50"/>
      <c r="S433" s="50"/>
      <c r="T433" s="50"/>
      <c r="U433" s="52"/>
      <c r="V433" s="53"/>
      <c r="W433" s="60"/>
      <c r="X433" s="123"/>
      <c r="Y433" s="117"/>
      <c r="Z433" s="117"/>
      <c r="AH433" s="88"/>
      <c r="AI433" s="88"/>
    </row>
    <row r="434" spans="1:35">
      <c r="A434" s="38"/>
      <c r="B434" s="38"/>
      <c r="C434" s="38"/>
      <c r="D434" s="38"/>
      <c r="E434" s="38"/>
      <c r="F434" s="43"/>
      <c r="G434" s="44"/>
      <c r="H434" s="45"/>
      <c r="I434" s="38"/>
      <c r="J434" s="38"/>
      <c r="K434" s="46"/>
      <c r="L434" s="47"/>
      <c r="M434" s="46"/>
      <c r="N434" s="46"/>
      <c r="O434" s="38"/>
      <c r="P434" s="38"/>
      <c r="Q434" s="14"/>
      <c r="R434" s="50"/>
      <c r="S434" s="50"/>
      <c r="T434" s="50"/>
      <c r="U434" s="52"/>
      <c r="V434" s="53"/>
      <c r="W434" s="60"/>
      <c r="X434" s="123"/>
      <c r="Y434" s="117"/>
      <c r="Z434" s="117"/>
      <c r="AH434" s="88"/>
      <c r="AI434" s="88"/>
    </row>
    <row r="435" spans="1:35">
      <c r="A435" s="38"/>
      <c r="B435" s="38"/>
      <c r="C435" s="38"/>
      <c r="D435" s="38"/>
      <c r="E435" s="38"/>
      <c r="F435" s="43"/>
      <c r="G435" s="44"/>
      <c r="H435" s="45"/>
      <c r="I435" s="38"/>
      <c r="J435" s="38"/>
      <c r="K435" s="46"/>
      <c r="L435" s="47"/>
      <c r="M435" s="46"/>
      <c r="N435" s="46"/>
      <c r="O435" s="38"/>
      <c r="P435" s="38"/>
      <c r="Q435" s="14"/>
      <c r="R435" s="50"/>
      <c r="S435" s="50"/>
      <c r="T435" s="50"/>
      <c r="U435" s="52"/>
      <c r="V435" s="53"/>
      <c r="W435" s="60"/>
      <c r="X435" s="123"/>
      <c r="Y435" s="117"/>
      <c r="Z435" s="117"/>
      <c r="AH435" s="88"/>
      <c r="AI435" s="88"/>
    </row>
    <row r="436" spans="1:35">
      <c r="A436" s="38"/>
      <c r="B436" s="38"/>
      <c r="C436" s="38"/>
      <c r="D436" s="38"/>
      <c r="E436" s="38"/>
      <c r="F436" s="43"/>
      <c r="G436" s="44"/>
      <c r="H436" s="45"/>
      <c r="I436" s="38"/>
      <c r="J436" s="38"/>
      <c r="K436" s="46"/>
      <c r="L436" s="47"/>
      <c r="M436" s="46"/>
      <c r="N436" s="46"/>
      <c r="O436" s="38"/>
      <c r="P436" s="38"/>
      <c r="Q436" s="14"/>
      <c r="R436" s="50"/>
      <c r="S436" s="50"/>
      <c r="T436" s="50"/>
      <c r="U436" s="52"/>
      <c r="V436" s="53"/>
      <c r="W436" s="60"/>
      <c r="X436" s="123"/>
      <c r="Y436" s="117"/>
      <c r="Z436" s="117"/>
      <c r="AH436" s="88"/>
      <c r="AI436" s="88"/>
    </row>
    <row r="437" spans="1:35">
      <c r="A437" s="38"/>
      <c r="B437" s="38"/>
      <c r="C437" s="38"/>
      <c r="D437" s="38"/>
      <c r="E437" s="38"/>
      <c r="F437" s="43"/>
      <c r="G437" s="44"/>
      <c r="H437" s="45"/>
      <c r="I437" s="38"/>
      <c r="J437" s="38"/>
      <c r="K437" s="46"/>
      <c r="L437" s="47"/>
      <c r="M437" s="46"/>
      <c r="N437" s="46"/>
      <c r="O437" s="38"/>
      <c r="P437" s="38"/>
      <c r="Q437" s="14"/>
      <c r="R437" s="50"/>
      <c r="S437" s="50"/>
      <c r="T437" s="50"/>
      <c r="U437" s="52"/>
      <c r="V437" s="53"/>
      <c r="W437" s="60"/>
      <c r="X437" s="123"/>
      <c r="Y437" s="117"/>
      <c r="Z437" s="117"/>
      <c r="AH437" s="88"/>
      <c r="AI437" s="88"/>
    </row>
    <row r="438" spans="1:35">
      <c r="A438" s="38"/>
      <c r="B438" s="38"/>
      <c r="C438" s="38"/>
      <c r="D438" s="38"/>
      <c r="E438" s="38"/>
      <c r="F438" s="43"/>
      <c r="G438" s="44"/>
      <c r="H438" s="45"/>
      <c r="I438" s="38"/>
      <c r="J438" s="38"/>
      <c r="K438" s="46"/>
      <c r="L438" s="47"/>
      <c r="M438" s="46"/>
      <c r="N438" s="46"/>
      <c r="O438" s="38"/>
      <c r="P438" s="38"/>
      <c r="Q438" s="14"/>
      <c r="R438" s="50"/>
      <c r="S438" s="50"/>
      <c r="T438" s="50"/>
      <c r="U438" s="52"/>
      <c r="V438" s="53"/>
      <c r="W438" s="60"/>
      <c r="X438" s="123"/>
      <c r="Y438" s="117"/>
      <c r="Z438" s="117"/>
      <c r="AH438" s="88"/>
      <c r="AI438" s="88"/>
    </row>
    <row r="439" spans="1:35">
      <c r="A439" s="38"/>
      <c r="B439" s="38"/>
      <c r="C439" s="38"/>
      <c r="D439" s="38"/>
      <c r="E439" s="38"/>
      <c r="F439" s="43"/>
      <c r="G439" s="44"/>
      <c r="H439" s="45"/>
      <c r="I439" s="38"/>
      <c r="J439" s="38"/>
      <c r="K439" s="46"/>
      <c r="L439" s="47"/>
      <c r="M439" s="46"/>
      <c r="N439" s="46"/>
      <c r="O439" s="38"/>
      <c r="P439" s="38"/>
      <c r="Q439" s="14"/>
      <c r="R439" s="50"/>
      <c r="S439" s="50"/>
      <c r="T439" s="50"/>
      <c r="U439" s="52"/>
      <c r="V439" s="53"/>
      <c r="W439" s="60"/>
      <c r="X439" s="123"/>
      <c r="Y439" s="117"/>
      <c r="Z439" s="117"/>
      <c r="AH439" s="88"/>
      <c r="AI439" s="88"/>
    </row>
    <row r="440" spans="1:35">
      <c r="A440" s="38"/>
      <c r="B440" s="38"/>
      <c r="C440" s="38"/>
      <c r="D440" s="38"/>
      <c r="E440" s="38"/>
      <c r="F440" s="43"/>
      <c r="G440" s="44"/>
      <c r="H440" s="45"/>
      <c r="I440" s="38"/>
      <c r="J440" s="38"/>
      <c r="K440" s="46"/>
      <c r="L440" s="47"/>
      <c r="M440" s="46"/>
      <c r="N440" s="46"/>
      <c r="O440" s="38"/>
      <c r="P440" s="38"/>
      <c r="Q440" s="14"/>
      <c r="R440" s="50"/>
      <c r="S440" s="50"/>
      <c r="T440" s="50"/>
      <c r="U440" s="52"/>
      <c r="V440" s="53"/>
      <c r="W440" s="60"/>
      <c r="X440" s="123"/>
      <c r="Y440" s="117"/>
      <c r="Z440" s="117"/>
      <c r="AH440" s="88"/>
      <c r="AI440" s="88"/>
    </row>
    <row r="441" spans="1:35">
      <c r="A441" s="38"/>
      <c r="B441" s="38"/>
      <c r="C441" s="38"/>
      <c r="D441" s="38"/>
      <c r="E441" s="38"/>
      <c r="F441" s="43"/>
      <c r="G441" s="44"/>
      <c r="H441" s="45"/>
      <c r="I441" s="38"/>
      <c r="J441" s="38"/>
      <c r="K441" s="46"/>
      <c r="L441" s="47"/>
      <c r="M441" s="46"/>
      <c r="N441" s="46"/>
      <c r="O441" s="38"/>
      <c r="P441" s="38"/>
      <c r="Q441" s="14"/>
      <c r="R441" s="50"/>
      <c r="S441" s="50"/>
      <c r="T441" s="50"/>
      <c r="U441" s="52"/>
      <c r="V441" s="53"/>
      <c r="W441" s="60"/>
      <c r="X441" s="123"/>
      <c r="Y441" s="117"/>
      <c r="Z441" s="117"/>
      <c r="AH441" s="88"/>
      <c r="AI441" s="88"/>
    </row>
    <row r="442" spans="1:35">
      <c r="A442" s="38"/>
      <c r="B442" s="38"/>
      <c r="C442" s="38"/>
      <c r="D442" s="38"/>
      <c r="E442" s="38"/>
      <c r="F442" s="43"/>
      <c r="G442" s="44"/>
      <c r="H442" s="45"/>
      <c r="I442" s="38"/>
      <c r="J442" s="38"/>
      <c r="K442" s="46"/>
      <c r="L442" s="47"/>
      <c r="M442" s="46"/>
      <c r="N442" s="46"/>
      <c r="O442" s="38"/>
      <c r="P442" s="38"/>
      <c r="Q442" s="14"/>
      <c r="R442" s="50"/>
      <c r="S442" s="50"/>
      <c r="T442" s="50"/>
      <c r="U442" s="52"/>
      <c r="V442" s="53"/>
      <c r="W442" s="60"/>
      <c r="X442" s="123"/>
      <c r="Y442" s="117"/>
      <c r="Z442" s="117"/>
      <c r="AH442" s="88"/>
      <c r="AI442" s="88"/>
    </row>
    <row r="443" spans="1:35">
      <c r="A443" s="38"/>
      <c r="B443" s="38"/>
      <c r="C443" s="38"/>
      <c r="D443" s="38"/>
      <c r="E443" s="38"/>
      <c r="F443" s="43"/>
      <c r="G443" s="44"/>
      <c r="H443" s="45"/>
      <c r="I443" s="38"/>
      <c r="J443" s="38"/>
      <c r="K443" s="46"/>
      <c r="L443" s="47"/>
      <c r="M443" s="46"/>
      <c r="N443" s="46"/>
      <c r="O443" s="38"/>
      <c r="P443" s="38"/>
      <c r="Q443" s="14"/>
      <c r="R443" s="50"/>
      <c r="S443" s="50"/>
      <c r="T443" s="50"/>
      <c r="U443" s="52"/>
      <c r="V443" s="53"/>
      <c r="W443" s="60"/>
      <c r="X443" s="123"/>
      <c r="Y443" s="117"/>
      <c r="Z443" s="117"/>
      <c r="AH443" s="88"/>
      <c r="AI443" s="88"/>
    </row>
    <row r="444" spans="1:35">
      <c r="A444" s="38"/>
      <c r="B444" s="38"/>
      <c r="C444" s="38"/>
      <c r="D444" s="38"/>
      <c r="E444" s="38"/>
      <c r="F444" s="43"/>
      <c r="G444" s="44"/>
      <c r="H444" s="45"/>
      <c r="I444" s="38"/>
      <c r="J444" s="38"/>
      <c r="K444" s="46"/>
      <c r="L444" s="47"/>
      <c r="M444" s="46"/>
      <c r="N444" s="46"/>
      <c r="O444" s="38"/>
      <c r="P444" s="38"/>
      <c r="Q444" s="14"/>
      <c r="R444" s="50"/>
      <c r="S444" s="50"/>
      <c r="T444" s="50"/>
      <c r="U444" s="52"/>
      <c r="V444" s="53"/>
      <c r="W444" s="60"/>
      <c r="X444" s="123"/>
      <c r="Y444" s="117"/>
      <c r="Z444" s="117"/>
      <c r="AH444" s="88"/>
      <c r="AI444" s="88"/>
    </row>
    <row r="445" spans="1:35">
      <c r="A445" s="38"/>
      <c r="B445" s="38"/>
      <c r="C445" s="38"/>
      <c r="D445" s="38"/>
      <c r="E445" s="38"/>
      <c r="F445" s="43"/>
      <c r="G445" s="44"/>
      <c r="H445" s="45"/>
      <c r="I445" s="38"/>
      <c r="J445" s="38"/>
      <c r="K445" s="46"/>
      <c r="L445" s="47"/>
      <c r="M445" s="46"/>
      <c r="N445" s="46"/>
      <c r="O445" s="38"/>
      <c r="P445" s="38"/>
      <c r="Q445" s="14"/>
      <c r="R445" s="50"/>
      <c r="S445" s="50"/>
      <c r="T445" s="50"/>
      <c r="U445" s="52"/>
      <c r="V445" s="53"/>
      <c r="W445" s="60"/>
      <c r="X445" s="123"/>
      <c r="Y445" s="117"/>
      <c r="Z445" s="117"/>
      <c r="AH445" s="88"/>
      <c r="AI445" s="88"/>
    </row>
    <row r="446" spans="1:35">
      <c r="A446" s="38"/>
      <c r="B446" s="38"/>
      <c r="C446" s="38"/>
      <c r="D446" s="38"/>
      <c r="E446" s="38"/>
      <c r="F446" s="43"/>
      <c r="G446" s="44"/>
      <c r="H446" s="45"/>
      <c r="I446" s="38"/>
      <c r="J446" s="38"/>
      <c r="K446" s="46"/>
      <c r="L446" s="47"/>
      <c r="M446" s="46"/>
      <c r="N446" s="46"/>
      <c r="O446" s="38"/>
      <c r="P446" s="38"/>
      <c r="Q446" s="14"/>
      <c r="R446" s="50"/>
      <c r="S446" s="50"/>
      <c r="T446" s="50"/>
      <c r="U446" s="52"/>
      <c r="V446" s="53"/>
      <c r="W446" s="60"/>
      <c r="X446" s="123"/>
      <c r="Y446" s="117"/>
      <c r="Z446" s="117"/>
      <c r="AH446" s="88"/>
      <c r="AI446" s="88"/>
    </row>
    <row r="447" spans="1:35">
      <c r="A447" s="38"/>
      <c r="B447" s="38"/>
      <c r="C447" s="38"/>
      <c r="D447" s="38"/>
      <c r="E447" s="38"/>
      <c r="F447" s="43"/>
      <c r="G447" s="44"/>
      <c r="H447" s="45"/>
      <c r="I447" s="38"/>
      <c r="J447" s="38"/>
      <c r="K447" s="46"/>
      <c r="L447" s="47"/>
      <c r="M447" s="46"/>
      <c r="N447" s="46"/>
      <c r="O447" s="38"/>
      <c r="P447" s="38"/>
      <c r="Q447" s="14"/>
      <c r="R447" s="50"/>
      <c r="S447" s="50"/>
      <c r="T447" s="50"/>
      <c r="U447" s="52"/>
      <c r="V447" s="53"/>
      <c r="W447" s="60"/>
      <c r="X447" s="123"/>
      <c r="Y447" s="117"/>
      <c r="Z447" s="117"/>
      <c r="AH447" s="88"/>
      <c r="AI447" s="88"/>
    </row>
    <row r="448" spans="1:35">
      <c r="A448" s="38"/>
      <c r="B448" s="38"/>
      <c r="C448" s="38"/>
      <c r="D448" s="38"/>
      <c r="E448" s="38"/>
      <c r="F448" s="43"/>
      <c r="G448" s="44"/>
      <c r="H448" s="45"/>
      <c r="I448" s="38"/>
      <c r="J448" s="38"/>
      <c r="K448" s="46"/>
      <c r="L448" s="47"/>
      <c r="M448" s="46"/>
      <c r="N448" s="46"/>
      <c r="O448" s="38"/>
      <c r="P448" s="38"/>
      <c r="Q448" s="14"/>
      <c r="R448" s="50"/>
      <c r="S448" s="50"/>
      <c r="T448" s="50"/>
      <c r="U448" s="52"/>
      <c r="V448" s="53"/>
      <c r="W448" s="60"/>
      <c r="X448" s="123"/>
      <c r="Y448" s="117"/>
      <c r="Z448" s="117"/>
      <c r="AH448" s="88"/>
      <c r="AI448" s="88"/>
    </row>
    <row r="449" spans="1:35">
      <c r="A449" s="38"/>
      <c r="B449" s="38"/>
      <c r="C449" s="38"/>
      <c r="D449" s="38"/>
      <c r="E449" s="38"/>
      <c r="F449" s="43"/>
      <c r="G449" s="44"/>
      <c r="H449" s="45"/>
      <c r="I449" s="38"/>
      <c r="J449" s="38"/>
      <c r="K449" s="46"/>
      <c r="L449" s="47"/>
      <c r="M449" s="46"/>
      <c r="N449" s="46"/>
      <c r="O449" s="38"/>
      <c r="P449" s="38"/>
      <c r="Q449" s="14"/>
      <c r="R449" s="50"/>
      <c r="S449" s="50"/>
      <c r="T449" s="50"/>
      <c r="U449" s="52"/>
      <c r="V449" s="53"/>
      <c r="W449" s="60"/>
      <c r="X449" s="123"/>
      <c r="Y449" s="117"/>
      <c r="Z449" s="117"/>
      <c r="AH449" s="88"/>
      <c r="AI449" s="88"/>
    </row>
    <row r="450" spans="1:35">
      <c r="A450" s="38"/>
      <c r="B450" s="38"/>
      <c r="C450" s="38"/>
      <c r="D450" s="38"/>
      <c r="E450" s="38"/>
      <c r="F450" s="43"/>
      <c r="G450" s="44"/>
      <c r="H450" s="45"/>
      <c r="I450" s="38"/>
      <c r="J450" s="38"/>
      <c r="K450" s="46"/>
      <c r="L450" s="47"/>
      <c r="M450" s="46"/>
      <c r="N450" s="46"/>
      <c r="O450" s="38"/>
      <c r="P450" s="38"/>
      <c r="Q450" s="14"/>
      <c r="R450" s="50"/>
      <c r="S450" s="50"/>
      <c r="T450" s="50"/>
      <c r="U450" s="52"/>
      <c r="V450" s="53"/>
      <c r="W450" s="60"/>
      <c r="X450" s="123"/>
      <c r="Y450" s="117"/>
      <c r="Z450" s="117"/>
      <c r="AH450" s="88"/>
      <c r="AI450" s="88"/>
    </row>
    <row r="451" spans="1:35">
      <c r="A451" s="38"/>
      <c r="B451" s="38"/>
      <c r="C451" s="38"/>
      <c r="D451" s="38"/>
      <c r="E451" s="38"/>
      <c r="F451" s="43"/>
      <c r="G451" s="44"/>
      <c r="H451" s="45"/>
      <c r="I451" s="38"/>
      <c r="J451" s="38"/>
      <c r="K451" s="46"/>
      <c r="L451" s="47"/>
      <c r="M451" s="46"/>
      <c r="N451" s="46"/>
      <c r="O451" s="38"/>
      <c r="P451" s="38"/>
      <c r="Q451" s="14"/>
      <c r="R451" s="50"/>
      <c r="S451" s="50"/>
      <c r="T451" s="50"/>
      <c r="U451" s="52"/>
      <c r="V451" s="53"/>
      <c r="W451" s="60"/>
      <c r="X451" s="123"/>
      <c r="Y451" s="117"/>
      <c r="Z451" s="117"/>
      <c r="AH451" s="88"/>
      <c r="AI451" s="88"/>
    </row>
    <row r="452" spans="1:35">
      <c r="A452" s="38"/>
      <c r="B452" s="38"/>
      <c r="C452" s="38"/>
      <c r="D452" s="38"/>
      <c r="E452" s="38"/>
      <c r="F452" s="43"/>
      <c r="G452" s="44"/>
      <c r="H452" s="45"/>
      <c r="I452" s="38"/>
      <c r="J452" s="38"/>
      <c r="K452" s="46"/>
      <c r="L452" s="47"/>
      <c r="M452" s="46"/>
      <c r="N452" s="46"/>
      <c r="O452" s="38"/>
      <c r="P452" s="38"/>
      <c r="Q452" s="14"/>
      <c r="R452" s="50"/>
      <c r="S452" s="50"/>
      <c r="T452" s="50"/>
      <c r="U452" s="52"/>
      <c r="V452" s="53"/>
      <c r="W452" s="60"/>
      <c r="X452" s="123"/>
      <c r="Y452" s="117"/>
      <c r="Z452" s="117"/>
      <c r="AH452" s="88"/>
      <c r="AI452" s="88"/>
    </row>
    <row r="453" spans="1:35">
      <c r="A453" s="38"/>
      <c r="B453" s="38"/>
      <c r="C453" s="38"/>
      <c r="D453" s="38"/>
      <c r="E453" s="38"/>
      <c r="F453" s="43"/>
      <c r="G453" s="44"/>
      <c r="H453" s="45"/>
      <c r="I453" s="38"/>
      <c r="J453" s="38"/>
      <c r="K453" s="46"/>
      <c r="L453" s="47"/>
      <c r="M453" s="46"/>
      <c r="N453" s="46"/>
      <c r="O453" s="38"/>
      <c r="P453" s="38"/>
      <c r="Q453" s="14"/>
      <c r="R453" s="50"/>
      <c r="S453" s="50"/>
      <c r="T453" s="50"/>
      <c r="U453" s="52"/>
      <c r="V453" s="53"/>
      <c r="W453" s="60"/>
      <c r="X453" s="123"/>
      <c r="Y453" s="117"/>
      <c r="Z453" s="117"/>
      <c r="AH453" s="88"/>
      <c r="AI453" s="88"/>
    </row>
    <row r="454" spans="1:35">
      <c r="A454" s="38"/>
      <c r="B454" s="38"/>
      <c r="C454" s="38"/>
      <c r="D454" s="38"/>
      <c r="E454" s="38"/>
      <c r="F454" s="43"/>
      <c r="G454" s="44"/>
      <c r="H454" s="45"/>
      <c r="I454" s="38"/>
      <c r="J454" s="38"/>
      <c r="K454" s="46"/>
      <c r="L454" s="47"/>
      <c r="M454" s="46"/>
      <c r="N454" s="46"/>
      <c r="O454" s="38"/>
      <c r="P454" s="38"/>
      <c r="Q454" s="14"/>
      <c r="R454" s="50"/>
      <c r="S454" s="50"/>
      <c r="T454" s="50"/>
      <c r="U454" s="52"/>
      <c r="V454" s="53"/>
      <c r="W454" s="60"/>
      <c r="X454" s="123"/>
      <c r="Y454" s="117"/>
      <c r="Z454" s="117"/>
      <c r="AH454" s="88"/>
      <c r="AI454" s="88"/>
    </row>
    <row r="455" spans="1:35">
      <c r="A455" s="38"/>
      <c r="B455" s="38"/>
      <c r="C455" s="38"/>
      <c r="D455" s="38"/>
      <c r="E455" s="38"/>
      <c r="F455" s="43"/>
      <c r="G455" s="44"/>
      <c r="H455" s="45"/>
      <c r="I455" s="38"/>
      <c r="J455" s="38"/>
      <c r="K455" s="46"/>
      <c r="L455" s="47"/>
      <c r="M455" s="46"/>
      <c r="N455" s="46"/>
      <c r="O455" s="38"/>
      <c r="P455" s="38"/>
      <c r="Q455" s="14"/>
      <c r="R455" s="50"/>
      <c r="S455" s="50"/>
      <c r="T455" s="50"/>
      <c r="U455" s="52"/>
      <c r="V455" s="53"/>
      <c r="W455" s="60"/>
      <c r="X455" s="123"/>
      <c r="Y455" s="117"/>
      <c r="Z455" s="117"/>
      <c r="AH455" s="88"/>
      <c r="AI455" s="88"/>
    </row>
    <row r="456" spans="1:35">
      <c r="A456" s="38"/>
      <c r="B456" s="38"/>
      <c r="C456" s="38"/>
      <c r="D456" s="38"/>
      <c r="E456" s="38"/>
      <c r="F456" s="43"/>
      <c r="G456" s="44"/>
      <c r="H456" s="45"/>
      <c r="I456" s="38"/>
      <c r="J456" s="38"/>
      <c r="K456" s="46"/>
      <c r="L456" s="47"/>
      <c r="M456" s="46"/>
      <c r="N456" s="46"/>
      <c r="O456" s="38"/>
      <c r="P456" s="38"/>
      <c r="Q456" s="14"/>
      <c r="R456" s="50"/>
      <c r="S456" s="50"/>
      <c r="T456" s="50"/>
      <c r="U456" s="52"/>
      <c r="V456" s="53"/>
      <c r="W456" s="60"/>
      <c r="X456" s="123"/>
      <c r="Y456" s="117"/>
      <c r="Z456" s="117"/>
      <c r="AH456" s="88"/>
      <c r="AI456" s="88"/>
    </row>
    <row r="457" spans="1:35">
      <c r="A457" s="38"/>
      <c r="B457" s="38"/>
      <c r="C457" s="38"/>
      <c r="D457" s="38"/>
      <c r="E457" s="38"/>
      <c r="F457" s="43"/>
      <c r="G457" s="44"/>
      <c r="H457" s="45"/>
      <c r="I457" s="38"/>
      <c r="J457" s="38"/>
      <c r="K457" s="46"/>
      <c r="L457" s="47"/>
      <c r="M457" s="46"/>
      <c r="N457" s="46"/>
      <c r="O457" s="38"/>
      <c r="P457" s="38"/>
      <c r="Q457" s="14"/>
      <c r="R457" s="50"/>
      <c r="S457" s="50"/>
      <c r="T457" s="50"/>
      <c r="U457" s="52"/>
      <c r="V457" s="53"/>
      <c r="W457" s="60"/>
      <c r="X457" s="123"/>
      <c r="Y457" s="117"/>
      <c r="Z457" s="117"/>
      <c r="AH457" s="88"/>
      <c r="AI457" s="88"/>
    </row>
    <row r="458" spans="1:35">
      <c r="A458" s="38"/>
      <c r="B458" s="38"/>
      <c r="C458" s="38"/>
      <c r="D458" s="38"/>
      <c r="E458" s="38"/>
      <c r="F458" s="43"/>
      <c r="G458" s="44"/>
      <c r="H458" s="45"/>
      <c r="I458" s="38"/>
      <c r="J458" s="38"/>
      <c r="K458" s="46"/>
      <c r="L458" s="47"/>
      <c r="M458" s="46"/>
      <c r="N458" s="46"/>
      <c r="O458" s="38"/>
      <c r="P458" s="38"/>
      <c r="Q458" s="14"/>
      <c r="R458" s="50"/>
      <c r="S458" s="50"/>
      <c r="T458" s="50"/>
      <c r="U458" s="52"/>
      <c r="V458" s="53"/>
      <c r="W458" s="60"/>
      <c r="X458" s="123"/>
      <c r="Y458" s="117"/>
      <c r="Z458" s="117"/>
      <c r="AH458" s="88"/>
      <c r="AI458" s="88"/>
    </row>
    <row r="459" spans="1:35">
      <c r="A459" s="38"/>
      <c r="B459" s="38"/>
      <c r="C459" s="38"/>
      <c r="D459" s="38"/>
      <c r="E459" s="38"/>
      <c r="F459" s="43"/>
      <c r="G459" s="44"/>
      <c r="H459" s="45"/>
      <c r="I459" s="38"/>
      <c r="J459" s="38"/>
      <c r="K459" s="46"/>
      <c r="L459" s="47"/>
      <c r="M459" s="46"/>
      <c r="N459" s="46"/>
      <c r="O459" s="38"/>
      <c r="P459" s="38"/>
      <c r="Q459" s="14"/>
      <c r="R459" s="50"/>
      <c r="S459" s="50"/>
      <c r="T459" s="50"/>
      <c r="U459" s="52"/>
      <c r="V459" s="53"/>
      <c r="W459" s="60"/>
      <c r="X459" s="123"/>
      <c r="Y459" s="117"/>
      <c r="Z459" s="117"/>
      <c r="AH459" s="88"/>
      <c r="AI459" s="88"/>
    </row>
    <row r="460" spans="1:35">
      <c r="A460" s="38"/>
      <c r="B460" s="38"/>
      <c r="C460" s="38"/>
      <c r="D460" s="38"/>
      <c r="E460" s="38"/>
      <c r="F460" s="43"/>
      <c r="G460" s="44"/>
      <c r="H460" s="45"/>
      <c r="I460" s="38"/>
      <c r="J460" s="38"/>
      <c r="K460" s="46"/>
      <c r="L460" s="47"/>
      <c r="M460" s="46"/>
      <c r="N460" s="46"/>
      <c r="O460" s="38"/>
      <c r="P460" s="38"/>
      <c r="Q460" s="14"/>
      <c r="R460" s="50"/>
      <c r="S460" s="50"/>
      <c r="T460" s="50"/>
      <c r="U460" s="52"/>
      <c r="V460" s="53"/>
      <c r="W460" s="60"/>
      <c r="X460" s="123"/>
      <c r="Y460" s="117"/>
      <c r="Z460" s="117"/>
      <c r="AH460" s="88"/>
      <c r="AI460" s="88"/>
    </row>
    <row r="461" spans="1:35">
      <c r="A461" s="38"/>
      <c r="B461" s="38"/>
      <c r="C461" s="38"/>
      <c r="D461" s="38"/>
      <c r="E461" s="38"/>
      <c r="F461" s="43"/>
      <c r="G461" s="44"/>
      <c r="H461" s="45"/>
      <c r="I461" s="38"/>
      <c r="J461" s="38"/>
      <c r="K461" s="46"/>
      <c r="L461" s="47"/>
      <c r="M461" s="46"/>
      <c r="N461" s="46"/>
      <c r="O461" s="38"/>
      <c r="P461" s="38"/>
      <c r="Q461" s="14"/>
      <c r="R461" s="50"/>
      <c r="S461" s="50"/>
      <c r="T461" s="50"/>
      <c r="U461" s="52"/>
      <c r="V461" s="53"/>
      <c r="W461" s="60"/>
      <c r="X461" s="123"/>
      <c r="Y461" s="117"/>
      <c r="Z461" s="117"/>
      <c r="AH461" s="88"/>
      <c r="AI461" s="88"/>
    </row>
    <row r="462" spans="1:35">
      <c r="A462" s="38"/>
      <c r="B462" s="38"/>
      <c r="C462" s="38"/>
      <c r="D462" s="38"/>
      <c r="E462" s="38"/>
      <c r="F462" s="43"/>
      <c r="G462" s="44"/>
      <c r="H462" s="45"/>
      <c r="I462" s="38"/>
      <c r="J462" s="38"/>
      <c r="K462" s="46"/>
      <c r="L462" s="47"/>
      <c r="M462" s="46"/>
      <c r="N462" s="46"/>
      <c r="O462" s="38"/>
      <c r="P462" s="38"/>
      <c r="Q462" s="14"/>
      <c r="R462" s="50"/>
      <c r="S462" s="50"/>
      <c r="T462" s="50"/>
      <c r="U462" s="52"/>
      <c r="V462" s="53"/>
      <c r="W462" s="60"/>
      <c r="X462" s="123"/>
      <c r="Y462" s="117"/>
      <c r="Z462" s="117"/>
      <c r="AH462" s="88"/>
      <c r="AI462" s="88"/>
    </row>
    <row r="463" spans="1:35">
      <c r="A463" s="38"/>
      <c r="B463" s="38"/>
      <c r="C463" s="38"/>
      <c r="D463" s="38"/>
      <c r="E463" s="38"/>
      <c r="F463" s="43"/>
      <c r="G463" s="44"/>
      <c r="H463" s="45"/>
      <c r="I463" s="38"/>
      <c r="J463" s="38"/>
      <c r="K463" s="46"/>
      <c r="L463" s="47"/>
      <c r="M463" s="46"/>
      <c r="N463" s="46"/>
      <c r="O463" s="38"/>
      <c r="P463" s="38"/>
      <c r="Q463" s="14"/>
      <c r="R463" s="50"/>
      <c r="S463" s="50"/>
      <c r="T463" s="50"/>
      <c r="U463" s="52"/>
      <c r="V463" s="53"/>
      <c r="W463" s="60"/>
      <c r="X463" s="123"/>
      <c r="Y463" s="117"/>
      <c r="Z463" s="117"/>
      <c r="AH463" s="88"/>
      <c r="AI463" s="88"/>
    </row>
    <row r="464" spans="1:35">
      <c r="A464" s="38"/>
      <c r="B464" s="38"/>
      <c r="C464" s="38"/>
      <c r="D464" s="38"/>
      <c r="E464" s="38"/>
      <c r="F464" s="43"/>
      <c r="G464" s="44"/>
      <c r="H464" s="45"/>
      <c r="I464" s="38"/>
      <c r="J464" s="38"/>
      <c r="K464" s="46"/>
      <c r="L464" s="47"/>
      <c r="M464" s="46"/>
      <c r="N464" s="46"/>
      <c r="O464" s="38"/>
      <c r="P464" s="38"/>
      <c r="Q464" s="14"/>
      <c r="R464" s="50"/>
      <c r="S464" s="50"/>
      <c r="T464" s="50"/>
      <c r="U464" s="52"/>
      <c r="V464" s="53"/>
      <c r="W464" s="60"/>
      <c r="X464" s="123"/>
      <c r="Y464" s="117"/>
      <c r="Z464" s="117"/>
      <c r="AH464" s="88"/>
      <c r="AI464" s="88"/>
    </row>
    <row r="465" spans="1:35">
      <c r="A465" s="38"/>
      <c r="B465" s="38"/>
      <c r="C465" s="38"/>
      <c r="D465" s="38"/>
      <c r="E465" s="38"/>
      <c r="F465" s="43"/>
      <c r="G465" s="44"/>
      <c r="H465" s="45"/>
      <c r="I465" s="38"/>
      <c r="J465" s="38"/>
      <c r="K465" s="46"/>
      <c r="L465" s="47"/>
      <c r="M465" s="46"/>
      <c r="N465" s="46"/>
      <c r="O465" s="38"/>
      <c r="P465" s="38"/>
      <c r="Q465" s="14"/>
      <c r="R465" s="50"/>
      <c r="S465" s="50"/>
      <c r="T465" s="50"/>
      <c r="U465" s="52"/>
      <c r="V465" s="53"/>
      <c r="W465" s="60"/>
      <c r="X465" s="123"/>
      <c r="Y465" s="117"/>
      <c r="Z465" s="117"/>
      <c r="AH465" s="88"/>
      <c r="AI465" s="88"/>
    </row>
    <row r="466" spans="1:35">
      <c r="A466" s="38"/>
      <c r="B466" s="38"/>
      <c r="C466" s="38"/>
      <c r="D466" s="38"/>
      <c r="E466" s="38"/>
      <c r="F466" s="43"/>
      <c r="G466" s="44"/>
      <c r="H466" s="45"/>
      <c r="I466" s="38"/>
      <c r="J466" s="38"/>
      <c r="K466" s="46"/>
      <c r="L466" s="47"/>
      <c r="M466" s="46"/>
      <c r="N466" s="46"/>
      <c r="O466" s="38"/>
      <c r="P466" s="38"/>
      <c r="Q466" s="14"/>
      <c r="R466" s="50"/>
      <c r="S466" s="50"/>
      <c r="T466" s="50"/>
      <c r="U466" s="52"/>
      <c r="V466" s="53"/>
      <c r="W466" s="60"/>
      <c r="X466" s="123"/>
      <c r="Y466" s="117"/>
      <c r="Z466" s="117"/>
      <c r="AH466" s="88"/>
      <c r="AI466" s="88"/>
    </row>
    <row r="467" spans="1:35">
      <c r="A467" s="38"/>
      <c r="B467" s="38"/>
      <c r="C467" s="38"/>
      <c r="D467" s="38"/>
      <c r="E467" s="38"/>
      <c r="F467" s="43"/>
      <c r="G467" s="44"/>
      <c r="H467" s="45"/>
      <c r="I467" s="38"/>
      <c r="J467" s="38"/>
      <c r="K467" s="46"/>
      <c r="L467" s="47"/>
      <c r="M467" s="46"/>
      <c r="N467" s="46"/>
      <c r="O467" s="38"/>
      <c r="P467" s="38"/>
      <c r="Q467" s="14"/>
      <c r="R467" s="50"/>
      <c r="S467" s="50"/>
      <c r="T467" s="50"/>
      <c r="U467" s="52"/>
      <c r="V467" s="53"/>
      <c r="W467" s="60"/>
      <c r="X467" s="123"/>
      <c r="Y467" s="117"/>
      <c r="Z467" s="117"/>
      <c r="AH467" s="88"/>
      <c r="AI467" s="88"/>
    </row>
    <row r="468" spans="1:35">
      <c r="A468" s="38"/>
      <c r="B468" s="38"/>
      <c r="C468" s="38"/>
      <c r="D468" s="38"/>
      <c r="E468" s="38"/>
      <c r="F468" s="43"/>
      <c r="G468" s="44"/>
      <c r="H468" s="45"/>
      <c r="I468" s="38"/>
      <c r="J468" s="38"/>
      <c r="K468" s="46"/>
      <c r="L468" s="47"/>
      <c r="M468" s="46"/>
      <c r="N468" s="46"/>
      <c r="O468" s="38"/>
      <c r="P468" s="38"/>
      <c r="Q468" s="14"/>
      <c r="R468" s="50"/>
      <c r="S468" s="50"/>
      <c r="T468" s="50"/>
      <c r="U468" s="52"/>
      <c r="V468" s="53"/>
      <c r="W468" s="60"/>
      <c r="X468" s="123"/>
      <c r="Y468" s="117"/>
      <c r="Z468" s="117"/>
      <c r="AH468" s="88"/>
      <c r="AI468" s="88"/>
    </row>
    <row r="469" spans="1:35">
      <c r="A469" s="38"/>
      <c r="B469" s="38"/>
      <c r="C469" s="38"/>
      <c r="D469" s="38"/>
      <c r="E469" s="38"/>
      <c r="F469" s="43"/>
      <c r="G469" s="44"/>
      <c r="H469" s="45"/>
      <c r="I469" s="38"/>
      <c r="J469" s="38"/>
      <c r="K469" s="46"/>
      <c r="L469" s="47"/>
      <c r="M469" s="46"/>
      <c r="N469" s="46"/>
      <c r="O469" s="38"/>
      <c r="P469" s="38"/>
      <c r="Q469" s="14"/>
      <c r="R469" s="50"/>
      <c r="S469" s="50"/>
      <c r="T469" s="50"/>
      <c r="U469" s="52"/>
      <c r="V469" s="53"/>
      <c r="W469" s="60"/>
      <c r="X469" s="123"/>
      <c r="Y469" s="117"/>
      <c r="Z469" s="117"/>
      <c r="AH469" s="88"/>
      <c r="AI469" s="88"/>
    </row>
    <row r="470" spans="1:35">
      <c r="A470" s="38"/>
      <c r="B470" s="38"/>
      <c r="C470" s="38"/>
      <c r="D470" s="38"/>
      <c r="E470" s="38"/>
      <c r="F470" s="43"/>
      <c r="G470" s="44"/>
      <c r="H470" s="45"/>
      <c r="I470" s="38"/>
      <c r="J470" s="38"/>
      <c r="K470" s="46"/>
      <c r="L470" s="47"/>
      <c r="M470" s="46"/>
      <c r="N470" s="46"/>
      <c r="O470" s="38"/>
      <c r="P470" s="38"/>
      <c r="Q470" s="14"/>
      <c r="R470" s="50"/>
      <c r="S470" s="50"/>
      <c r="T470" s="50"/>
      <c r="U470" s="52"/>
      <c r="V470" s="53"/>
      <c r="W470" s="60"/>
      <c r="X470" s="123"/>
      <c r="Y470" s="117"/>
      <c r="Z470" s="117"/>
      <c r="AH470" s="88"/>
      <c r="AI470" s="88"/>
    </row>
    <row r="471" spans="1:35">
      <c r="A471" s="38"/>
      <c r="B471" s="38"/>
      <c r="C471" s="38"/>
      <c r="D471" s="38"/>
      <c r="E471" s="38"/>
      <c r="F471" s="43"/>
      <c r="G471" s="44"/>
      <c r="H471" s="45"/>
      <c r="I471" s="38"/>
      <c r="J471" s="38"/>
      <c r="K471" s="46"/>
      <c r="L471" s="47"/>
      <c r="M471" s="46"/>
      <c r="N471" s="46"/>
      <c r="O471" s="38"/>
      <c r="P471" s="38"/>
      <c r="Q471" s="14"/>
      <c r="R471" s="50"/>
      <c r="S471" s="50"/>
      <c r="T471" s="50"/>
      <c r="U471" s="52"/>
      <c r="V471" s="53"/>
      <c r="W471" s="60"/>
      <c r="X471" s="123"/>
      <c r="Y471" s="117"/>
      <c r="Z471" s="117"/>
      <c r="AH471" s="88"/>
      <c r="AI471" s="88"/>
    </row>
    <row r="472" spans="1:35">
      <c r="A472" s="38"/>
      <c r="B472" s="38"/>
      <c r="C472" s="38"/>
      <c r="D472" s="38"/>
      <c r="E472" s="38"/>
      <c r="F472" s="43"/>
      <c r="G472" s="44"/>
      <c r="H472" s="45"/>
      <c r="I472" s="38"/>
      <c r="J472" s="38"/>
      <c r="K472" s="46"/>
      <c r="L472" s="47"/>
      <c r="M472" s="46"/>
      <c r="N472" s="46"/>
      <c r="O472" s="38"/>
      <c r="P472" s="38"/>
      <c r="Q472" s="14"/>
      <c r="R472" s="50"/>
      <c r="S472" s="50"/>
      <c r="T472" s="50"/>
      <c r="U472" s="52"/>
      <c r="V472" s="53"/>
      <c r="W472" s="60"/>
      <c r="X472" s="123"/>
      <c r="Y472" s="117"/>
      <c r="Z472" s="117"/>
      <c r="AH472" s="88"/>
      <c r="AI472" s="88"/>
    </row>
    <row r="473" spans="1:35">
      <c r="A473" s="38"/>
      <c r="B473" s="38"/>
      <c r="C473" s="38"/>
      <c r="D473" s="38"/>
      <c r="E473" s="38"/>
      <c r="F473" s="43"/>
      <c r="G473" s="44"/>
      <c r="H473" s="45"/>
      <c r="I473" s="38"/>
      <c r="J473" s="38"/>
      <c r="K473" s="46"/>
      <c r="L473" s="47"/>
      <c r="M473" s="46"/>
      <c r="N473" s="46"/>
      <c r="O473" s="38"/>
      <c r="P473" s="38"/>
      <c r="Q473" s="14"/>
      <c r="R473" s="50"/>
      <c r="S473" s="50"/>
      <c r="T473" s="50"/>
      <c r="U473" s="52"/>
      <c r="V473" s="53"/>
      <c r="W473" s="60"/>
      <c r="X473" s="123"/>
      <c r="Y473" s="117"/>
      <c r="Z473" s="117"/>
      <c r="AH473" s="88"/>
      <c r="AI473" s="88"/>
    </row>
    <row r="474" spans="1:35">
      <c r="A474" s="38"/>
      <c r="B474" s="38"/>
      <c r="C474" s="38"/>
      <c r="D474" s="38"/>
      <c r="E474" s="38"/>
      <c r="F474" s="43"/>
      <c r="G474" s="44"/>
      <c r="H474" s="45"/>
      <c r="I474" s="38"/>
      <c r="J474" s="38"/>
      <c r="K474" s="46"/>
      <c r="L474" s="47"/>
      <c r="M474" s="46"/>
      <c r="N474" s="46"/>
      <c r="O474" s="38"/>
      <c r="P474" s="38"/>
      <c r="Q474" s="14"/>
      <c r="R474" s="50"/>
      <c r="S474" s="50"/>
      <c r="T474" s="50"/>
      <c r="U474" s="52"/>
      <c r="V474" s="53"/>
      <c r="W474" s="60"/>
      <c r="X474" s="123"/>
      <c r="Y474" s="117"/>
      <c r="Z474" s="117"/>
      <c r="AH474" s="88"/>
      <c r="AI474" s="88"/>
    </row>
    <row r="475" spans="1:35">
      <c r="A475" s="38"/>
      <c r="B475" s="38"/>
      <c r="C475" s="38"/>
      <c r="D475" s="38"/>
      <c r="E475" s="38"/>
      <c r="F475" s="43"/>
      <c r="G475" s="44"/>
      <c r="H475" s="45"/>
      <c r="I475" s="38"/>
      <c r="J475" s="38"/>
      <c r="K475" s="46"/>
      <c r="L475" s="47"/>
      <c r="M475" s="46"/>
      <c r="N475" s="46"/>
      <c r="O475" s="38"/>
      <c r="P475" s="38"/>
      <c r="Q475" s="14"/>
      <c r="R475" s="50"/>
      <c r="S475" s="50"/>
      <c r="T475" s="50"/>
      <c r="U475" s="52"/>
      <c r="V475" s="53"/>
      <c r="W475" s="60"/>
      <c r="X475" s="123"/>
      <c r="Y475" s="117"/>
      <c r="Z475" s="117"/>
      <c r="AH475" s="88"/>
      <c r="AI475" s="88"/>
    </row>
    <row r="476" spans="1:35">
      <c r="A476" s="38"/>
      <c r="B476" s="38"/>
      <c r="C476" s="38"/>
      <c r="D476" s="38"/>
      <c r="E476" s="38"/>
      <c r="F476" s="43"/>
      <c r="G476" s="44"/>
      <c r="H476" s="45"/>
      <c r="I476" s="38"/>
      <c r="J476" s="38"/>
      <c r="K476" s="46"/>
      <c r="L476" s="47"/>
      <c r="M476" s="46"/>
      <c r="N476" s="46"/>
      <c r="O476" s="38"/>
      <c r="P476" s="38"/>
      <c r="Q476" s="14"/>
      <c r="R476" s="50"/>
      <c r="S476" s="50"/>
      <c r="T476" s="50"/>
      <c r="U476" s="52"/>
      <c r="V476" s="53"/>
      <c r="W476" s="60"/>
      <c r="X476" s="123"/>
      <c r="Y476" s="117"/>
      <c r="Z476" s="117"/>
      <c r="AH476" s="88"/>
      <c r="AI476" s="88"/>
    </row>
    <row r="477" spans="1:35">
      <c r="A477" s="38"/>
      <c r="B477" s="38"/>
      <c r="C477" s="38"/>
      <c r="D477" s="38"/>
      <c r="E477" s="38"/>
      <c r="F477" s="43"/>
      <c r="G477" s="44"/>
      <c r="H477" s="45"/>
      <c r="I477" s="38"/>
      <c r="J477" s="38"/>
      <c r="K477" s="46"/>
      <c r="L477" s="47"/>
      <c r="M477" s="46"/>
      <c r="N477" s="46"/>
      <c r="O477" s="38"/>
      <c r="P477" s="38"/>
      <c r="Q477" s="14"/>
      <c r="R477" s="50"/>
      <c r="S477" s="50"/>
      <c r="T477" s="50"/>
      <c r="U477" s="52"/>
      <c r="V477" s="53"/>
      <c r="W477" s="60"/>
      <c r="X477" s="123"/>
      <c r="Y477" s="117"/>
      <c r="Z477" s="117"/>
      <c r="AH477" s="88"/>
      <c r="AI477" s="88"/>
    </row>
    <row r="478" spans="1:35">
      <c r="A478" s="38"/>
      <c r="B478" s="38"/>
      <c r="C478" s="38"/>
      <c r="D478" s="38"/>
      <c r="E478" s="38"/>
      <c r="F478" s="43"/>
      <c r="G478" s="44"/>
      <c r="H478" s="45"/>
      <c r="I478" s="38"/>
      <c r="J478" s="38"/>
      <c r="K478" s="46"/>
      <c r="L478" s="47"/>
      <c r="M478" s="46"/>
      <c r="N478" s="46"/>
      <c r="O478" s="38"/>
      <c r="P478" s="38"/>
      <c r="Q478" s="14"/>
      <c r="R478" s="50"/>
      <c r="S478" s="50"/>
      <c r="T478" s="50"/>
      <c r="U478" s="52"/>
      <c r="V478" s="53"/>
      <c r="W478" s="60"/>
      <c r="X478" s="123"/>
      <c r="Y478" s="117"/>
      <c r="Z478" s="117"/>
      <c r="AH478" s="88"/>
      <c r="AI478" s="88"/>
    </row>
    <row r="479" spans="1:35">
      <c r="A479" s="38"/>
      <c r="B479" s="38"/>
      <c r="C479" s="38"/>
      <c r="D479" s="38"/>
      <c r="E479" s="38"/>
      <c r="F479" s="43"/>
      <c r="G479" s="44"/>
      <c r="H479" s="45"/>
      <c r="I479" s="38"/>
      <c r="J479" s="38"/>
      <c r="K479" s="46"/>
      <c r="L479" s="47"/>
      <c r="M479" s="46"/>
      <c r="N479" s="46"/>
      <c r="O479" s="38"/>
      <c r="P479" s="38"/>
      <c r="Q479" s="14"/>
      <c r="R479" s="50"/>
      <c r="S479" s="50"/>
      <c r="T479" s="50"/>
      <c r="U479" s="52"/>
      <c r="V479" s="53"/>
      <c r="W479" s="60"/>
      <c r="X479" s="123"/>
      <c r="Y479" s="117"/>
      <c r="Z479" s="117"/>
      <c r="AH479" s="88"/>
      <c r="AI479" s="88"/>
    </row>
    <row r="480" spans="1:35">
      <c r="A480" s="38"/>
      <c r="B480" s="38"/>
      <c r="C480" s="38"/>
      <c r="D480" s="38"/>
      <c r="E480" s="38"/>
      <c r="F480" s="43"/>
      <c r="G480" s="44"/>
      <c r="H480" s="45"/>
      <c r="I480" s="38"/>
      <c r="J480" s="38"/>
      <c r="K480" s="46"/>
      <c r="L480" s="47"/>
      <c r="M480" s="46"/>
      <c r="N480" s="46"/>
      <c r="O480" s="38"/>
      <c r="P480" s="38"/>
      <c r="Q480" s="14"/>
      <c r="R480" s="50"/>
      <c r="S480" s="50"/>
      <c r="T480" s="50"/>
      <c r="U480" s="52"/>
      <c r="V480" s="53"/>
      <c r="W480" s="60"/>
      <c r="X480" s="123"/>
      <c r="Y480" s="117"/>
      <c r="Z480" s="117"/>
      <c r="AH480" s="88"/>
      <c r="AI480" s="88"/>
    </row>
    <row r="481" spans="1:35">
      <c r="A481" s="38"/>
      <c r="B481" s="38"/>
      <c r="C481" s="38"/>
      <c r="D481" s="38"/>
      <c r="E481" s="38"/>
      <c r="F481" s="43"/>
      <c r="G481" s="44"/>
      <c r="H481" s="45"/>
      <c r="I481" s="38"/>
      <c r="J481" s="38"/>
      <c r="K481" s="46"/>
      <c r="L481" s="47"/>
      <c r="M481" s="46"/>
      <c r="N481" s="46"/>
      <c r="O481" s="38"/>
      <c r="P481" s="38"/>
      <c r="Q481" s="14"/>
      <c r="R481" s="50"/>
      <c r="S481" s="50"/>
      <c r="T481" s="50"/>
      <c r="U481" s="52"/>
      <c r="V481" s="53"/>
      <c r="W481" s="60"/>
      <c r="X481" s="123"/>
      <c r="Y481" s="117"/>
      <c r="Z481" s="117"/>
      <c r="AH481" s="88"/>
      <c r="AI481" s="88"/>
    </row>
    <row r="482" spans="1:35">
      <c r="A482" s="38"/>
      <c r="B482" s="38"/>
      <c r="C482" s="38"/>
      <c r="D482" s="38"/>
      <c r="E482" s="38"/>
      <c r="F482" s="43"/>
      <c r="G482" s="44"/>
      <c r="H482" s="45"/>
      <c r="I482" s="38"/>
      <c r="J482" s="38"/>
      <c r="K482" s="46"/>
      <c r="L482" s="47"/>
      <c r="M482" s="46"/>
      <c r="N482" s="46"/>
      <c r="O482" s="38"/>
      <c r="P482" s="38"/>
      <c r="Q482" s="14"/>
      <c r="R482" s="50"/>
      <c r="S482" s="50"/>
      <c r="T482" s="50"/>
      <c r="U482" s="52"/>
      <c r="V482" s="53"/>
      <c r="W482" s="60"/>
      <c r="X482" s="123"/>
      <c r="Y482" s="117"/>
      <c r="Z482" s="117"/>
      <c r="AH482" s="88"/>
      <c r="AI482" s="88"/>
    </row>
    <row r="483" spans="1:35">
      <c r="A483" s="38"/>
      <c r="B483" s="38"/>
      <c r="C483" s="38"/>
      <c r="D483" s="38"/>
      <c r="E483" s="38"/>
      <c r="F483" s="43"/>
      <c r="G483" s="44"/>
      <c r="H483" s="45"/>
      <c r="I483" s="38"/>
      <c r="J483" s="38"/>
      <c r="K483" s="46"/>
      <c r="L483" s="47"/>
      <c r="M483" s="46"/>
      <c r="N483" s="46"/>
      <c r="O483" s="38"/>
      <c r="P483" s="38"/>
      <c r="Q483" s="14"/>
      <c r="R483" s="50"/>
      <c r="S483" s="50"/>
      <c r="T483" s="50"/>
      <c r="U483" s="52"/>
      <c r="V483" s="53"/>
      <c r="W483" s="60"/>
      <c r="X483" s="123"/>
      <c r="Y483" s="117"/>
      <c r="Z483" s="117"/>
      <c r="AH483" s="88"/>
      <c r="AI483" s="88"/>
    </row>
    <row r="484" spans="1:35">
      <c r="A484" s="38"/>
      <c r="B484" s="38"/>
      <c r="C484" s="38"/>
      <c r="D484" s="38"/>
      <c r="E484" s="38"/>
      <c r="F484" s="43"/>
      <c r="G484" s="44"/>
      <c r="H484" s="45"/>
      <c r="I484" s="38"/>
      <c r="J484" s="38"/>
      <c r="K484" s="46"/>
      <c r="L484" s="47"/>
      <c r="M484" s="46"/>
      <c r="N484" s="46"/>
      <c r="O484" s="38"/>
      <c r="P484" s="38"/>
      <c r="Q484" s="14"/>
      <c r="R484" s="50"/>
      <c r="S484" s="50"/>
      <c r="T484" s="50"/>
      <c r="U484" s="52"/>
      <c r="V484" s="53"/>
      <c r="W484" s="60"/>
      <c r="X484" s="123"/>
      <c r="Y484" s="117"/>
      <c r="Z484" s="117"/>
      <c r="AH484" s="88"/>
      <c r="AI484" s="88"/>
    </row>
    <row r="485" spans="1:35">
      <c r="A485" s="38"/>
      <c r="B485" s="38"/>
      <c r="C485" s="38"/>
      <c r="D485" s="38"/>
      <c r="E485" s="38"/>
      <c r="F485" s="43"/>
      <c r="G485" s="44"/>
      <c r="H485" s="45"/>
      <c r="I485" s="38"/>
      <c r="J485" s="38"/>
      <c r="K485" s="46"/>
      <c r="L485" s="47"/>
      <c r="M485" s="46"/>
      <c r="N485" s="46"/>
      <c r="O485" s="38"/>
      <c r="P485" s="38"/>
      <c r="Q485" s="14"/>
      <c r="R485" s="50"/>
      <c r="S485" s="50"/>
      <c r="T485" s="50"/>
      <c r="U485" s="52"/>
      <c r="V485" s="53"/>
      <c r="W485" s="60"/>
      <c r="X485" s="123"/>
      <c r="Y485" s="117"/>
      <c r="Z485" s="117"/>
      <c r="AH485" s="88"/>
      <c r="AI485" s="88"/>
    </row>
    <row r="486" spans="1:35">
      <c r="A486" s="38"/>
      <c r="B486" s="38"/>
      <c r="C486" s="38"/>
      <c r="D486" s="38"/>
      <c r="E486" s="38"/>
      <c r="F486" s="43"/>
      <c r="G486" s="44"/>
      <c r="H486" s="45"/>
      <c r="I486" s="38"/>
      <c r="J486" s="38"/>
      <c r="K486" s="46"/>
      <c r="L486" s="47"/>
      <c r="M486" s="46"/>
      <c r="N486" s="46"/>
      <c r="O486" s="38"/>
      <c r="P486" s="38"/>
      <c r="Q486" s="14"/>
      <c r="R486" s="50"/>
      <c r="S486" s="50"/>
      <c r="T486" s="50"/>
      <c r="U486" s="52"/>
      <c r="V486" s="53"/>
      <c r="W486" s="60"/>
      <c r="X486" s="123"/>
      <c r="Y486" s="117"/>
      <c r="Z486" s="117"/>
      <c r="AH486" s="88"/>
      <c r="AI486" s="88"/>
    </row>
    <row r="487" spans="1:35">
      <c r="A487" s="38"/>
      <c r="B487" s="38"/>
      <c r="C487" s="38"/>
      <c r="D487" s="38"/>
      <c r="E487" s="38"/>
      <c r="F487" s="43"/>
      <c r="G487" s="44"/>
      <c r="H487" s="45"/>
      <c r="I487" s="38"/>
      <c r="J487" s="38"/>
      <c r="K487" s="46"/>
      <c r="L487" s="47"/>
      <c r="M487" s="46"/>
      <c r="N487" s="46"/>
      <c r="O487" s="38"/>
      <c r="P487" s="38"/>
      <c r="Q487" s="14"/>
      <c r="R487" s="50"/>
      <c r="S487" s="50"/>
      <c r="T487" s="50"/>
      <c r="U487" s="52"/>
      <c r="V487" s="53"/>
      <c r="W487" s="60"/>
      <c r="X487" s="123"/>
      <c r="Y487" s="117"/>
      <c r="Z487" s="117"/>
      <c r="AH487" s="88"/>
      <c r="AI487" s="88"/>
    </row>
    <row r="488" spans="1:35">
      <c r="A488" s="38"/>
      <c r="B488" s="38"/>
      <c r="C488" s="38"/>
      <c r="D488" s="38"/>
      <c r="E488" s="38"/>
      <c r="F488" s="43"/>
      <c r="G488" s="44"/>
      <c r="H488" s="45"/>
      <c r="I488" s="38"/>
      <c r="J488" s="38"/>
      <c r="K488" s="46"/>
      <c r="L488" s="47"/>
      <c r="M488" s="46"/>
      <c r="N488" s="46"/>
      <c r="O488" s="38"/>
      <c r="P488" s="38"/>
      <c r="Q488" s="14"/>
      <c r="R488" s="50"/>
      <c r="S488" s="50"/>
      <c r="T488" s="50"/>
      <c r="U488" s="52"/>
      <c r="V488" s="53"/>
      <c r="W488" s="60"/>
      <c r="X488" s="123"/>
      <c r="Y488" s="117"/>
      <c r="Z488" s="117"/>
      <c r="AH488" s="88"/>
      <c r="AI488" s="88"/>
    </row>
    <row r="489" spans="1:35">
      <c r="A489" s="38"/>
      <c r="B489" s="38"/>
      <c r="C489" s="38"/>
      <c r="D489" s="38"/>
      <c r="E489" s="38"/>
      <c r="F489" s="43"/>
      <c r="G489" s="44"/>
      <c r="H489" s="45"/>
      <c r="I489" s="38"/>
      <c r="J489" s="38"/>
      <c r="K489" s="46"/>
      <c r="L489" s="47"/>
      <c r="M489" s="46"/>
      <c r="N489" s="46"/>
      <c r="O489" s="38"/>
      <c r="P489" s="38"/>
      <c r="Q489" s="14"/>
      <c r="R489" s="50"/>
      <c r="S489" s="50"/>
      <c r="T489" s="50"/>
      <c r="U489" s="52"/>
      <c r="V489" s="53"/>
      <c r="W489" s="60"/>
      <c r="X489" s="123"/>
      <c r="Y489" s="117"/>
      <c r="Z489" s="117"/>
      <c r="AH489" s="88"/>
      <c r="AI489" s="88"/>
    </row>
    <row r="490" spans="1:35">
      <c r="A490" s="38"/>
      <c r="B490" s="38"/>
      <c r="C490" s="38"/>
      <c r="D490" s="38"/>
      <c r="E490" s="38"/>
      <c r="F490" s="43"/>
      <c r="G490" s="44"/>
      <c r="H490" s="45"/>
      <c r="I490" s="38"/>
      <c r="J490" s="38"/>
      <c r="K490" s="46"/>
      <c r="L490" s="47"/>
      <c r="M490" s="46"/>
      <c r="N490" s="46"/>
      <c r="O490" s="38"/>
      <c r="P490" s="38"/>
      <c r="Q490" s="14"/>
      <c r="R490" s="50"/>
      <c r="S490" s="50"/>
      <c r="T490" s="50"/>
      <c r="U490" s="52"/>
      <c r="V490" s="53"/>
      <c r="W490" s="60"/>
      <c r="X490" s="123"/>
      <c r="Y490" s="117"/>
      <c r="Z490" s="117"/>
      <c r="AH490" s="88"/>
      <c r="AI490" s="88"/>
    </row>
    <row r="491" spans="1:35">
      <c r="A491" s="38"/>
      <c r="B491" s="38"/>
      <c r="C491" s="38"/>
      <c r="D491" s="38"/>
      <c r="E491" s="38"/>
      <c r="F491" s="43"/>
      <c r="G491" s="44"/>
      <c r="H491" s="45"/>
      <c r="I491" s="38"/>
      <c r="J491" s="38"/>
      <c r="K491" s="46"/>
      <c r="L491" s="47"/>
      <c r="M491" s="46"/>
      <c r="N491" s="46"/>
      <c r="O491" s="38"/>
      <c r="P491" s="38"/>
      <c r="Q491" s="14"/>
      <c r="R491" s="50"/>
      <c r="S491" s="50"/>
      <c r="T491" s="50"/>
      <c r="U491" s="52"/>
      <c r="V491" s="53"/>
      <c r="W491" s="60"/>
      <c r="X491" s="123"/>
      <c r="Y491" s="117"/>
      <c r="Z491" s="117"/>
      <c r="AH491" s="88"/>
      <c r="AI491" s="88"/>
    </row>
    <row r="492" spans="1:35">
      <c r="A492" s="38"/>
      <c r="B492" s="38"/>
      <c r="C492" s="38"/>
      <c r="D492" s="38"/>
      <c r="E492" s="38"/>
      <c r="F492" s="43"/>
      <c r="G492" s="44"/>
      <c r="H492" s="45"/>
      <c r="I492" s="38"/>
      <c r="J492" s="38"/>
      <c r="K492" s="46"/>
      <c r="L492" s="47"/>
      <c r="M492" s="46"/>
      <c r="N492" s="46"/>
      <c r="O492" s="38"/>
      <c r="P492" s="38"/>
      <c r="Q492" s="14"/>
      <c r="R492" s="50"/>
      <c r="S492" s="50"/>
      <c r="T492" s="50"/>
      <c r="U492" s="52"/>
      <c r="V492" s="53"/>
      <c r="W492" s="60"/>
      <c r="X492" s="123"/>
      <c r="Y492" s="117"/>
      <c r="Z492" s="117"/>
      <c r="AH492" s="88"/>
      <c r="AI492" s="88"/>
    </row>
    <row r="493" spans="1:35">
      <c r="A493" s="38"/>
      <c r="B493" s="38"/>
      <c r="C493" s="38"/>
      <c r="D493" s="38"/>
      <c r="E493" s="38"/>
      <c r="F493" s="43"/>
      <c r="G493" s="44"/>
      <c r="H493" s="45"/>
      <c r="I493" s="38"/>
      <c r="J493" s="38"/>
      <c r="K493" s="46"/>
      <c r="L493" s="47"/>
      <c r="M493" s="46"/>
      <c r="N493" s="46"/>
      <c r="O493" s="38"/>
      <c r="P493" s="38"/>
      <c r="Q493" s="14"/>
      <c r="R493" s="50"/>
      <c r="S493" s="50"/>
      <c r="T493" s="50"/>
      <c r="U493" s="52"/>
      <c r="V493" s="53"/>
      <c r="W493" s="60"/>
      <c r="X493" s="123"/>
      <c r="Y493" s="117"/>
      <c r="Z493" s="117"/>
      <c r="AH493" s="88"/>
      <c r="AI493" s="88"/>
    </row>
    <row r="494" spans="1:35">
      <c r="A494" s="38"/>
      <c r="B494" s="38"/>
      <c r="C494" s="38"/>
      <c r="D494" s="38"/>
      <c r="E494" s="38"/>
      <c r="F494" s="43"/>
      <c r="G494" s="44"/>
      <c r="H494" s="45"/>
      <c r="I494" s="38"/>
      <c r="J494" s="38"/>
      <c r="K494" s="46"/>
      <c r="L494" s="47"/>
      <c r="M494" s="46"/>
      <c r="N494" s="46"/>
      <c r="O494" s="38"/>
      <c r="P494" s="38"/>
      <c r="Q494" s="14"/>
      <c r="R494" s="50"/>
      <c r="S494" s="50"/>
      <c r="T494" s="50"/>
      <c r="U494" s="52"/>
      <c r="V494" s="53"/>
      <c r="W494" s="60"/>
      <c r="X494" s="123"/>
      <c r="Y494" s="117"/>
      <c r="Z494" s="117"/>
      <c r="AH494" s="88"/>
      <c r="AI494" s="88"/>
    </row>
    <row r="495" spans="1:35">
      <c r="A495" s="38"/>
      <c r="B495" s="38"/>
      <c r="C495" s="38"/>
      <c r="D495" s="38"/>
      <c r="E495" s="38"/>
      <c r="F495" s="43"/>
      <c r="G495" s="44"/>
      <c r="H495" s="45"/>
      <c r="I495" s="38"/>
      <c r="J495" s="38"/>
      <c r="K495" s="46"/>
      <c r="L495" s="47"/>
      <c r="M495" s="46"/>
      <c r="N495" s="46"/>
      <c r="O495" s="38"/>
      <c r="P495" s="38"/>
      <c r="Q495" s="14"/>
      <c r="R495" s="50"/>
      <c r="S495" s="50"/>
      <c r="T495" s="50"/>
      <c r="U495" s="52"/>
      <c r="V495" s="53"/>
      <c r="W495" s="60"/>
      <c r="X495" s="123"/>
      <c r="Y495" s="117"/>
      <c r="Z495" s="117"/>
      <c r="AH495" s="88"/>
      <c r="AI495" s="88"/>
    </row>
    <row r="496" spans="1:35">
      <c r="A496" s="38"/>
      <c r="B496" s="38"/>
      <c r="C496" s="38"/>
      <c r="D496" s="38"/>
      <c r="E496" s="38"/>
      <c r="F496" s="43"/>
      <c r="G496" s="44"/>
      <c r="H496" s="45"/>
      <c r="I496" s="38"/>
      <c r="J496" s="38"/>
      <c r="K496" s="46"/>
      <c r="L496" s="47"/>
      <c r="M496" s="46"/>
      <c r="N496" s="46"/>
      <c r="O496" s="38"/>
      <c r="P496" s="38"/>
      <c r="Q496" s="14"/>
      <c r="R496" s="50"/>
      <c r="S496" s="50"/>
      <c r="T496" s="50"/>
      <c r="U496" s="52"/>
      <c r="V496" s="53"/>
      <c r="W496" s="60"/>
      <c r="X496" s="123"/>
      <c r="Y496" s="117"/>
      <c r="Z496" s="117"/>
      <c r="AH496" s="88"/>
      <c r="AI496" s="88"/>
    </row>
    <row r="497" spans="1:35">
      <c r="A497" s="38"/>
      <c r="B497" s="38"/>
      <c r="C497" s="38"/>
      <c r="D497" s="38"/>
      <c r="E497" s="38"/>
      <c r="F497" s="43"/>
      <c r="G497" s="44"/>
      <c r="H497" s="45"/>
      <c r="I497" s="38"/>
      <c r="J497" s="38"/>
      <c r="K497" s="46"/>
      <c r="L497" s="47"/>
      <c r="M497" s="46"/>
      <c r="N497" s="46"/>
      <c r="O497" s="38"/>
      <c r="P497" s="38"/>
      <c r="Q497" s="14"/>
      <c r="R497" s="50"/>
      <c r="S497" s="50"/>
      <c r="T497" s="50"/>
      <c r="U497" s="52"/>
      <c r="V497" s="53"/>
      <c r="W497" s="60"/>
      <c r="X497" s="123"/>
      <c r="Y497" s="117"/>
      <c r="Z497" s="117"/>
      <c r="AH497" s="88"/>
      <c r="AI497" s="88"/>
    </row>
    <row r="498" spans="1:35">
      <c r="A498" s="38"/>
      <c r="B498" s="38"/>
      <c r="C498" s="38"/>
      <c r="D498" s="38"/>
      <c r="E498" s="38"/>
      <c r="F498" s="43"/>
      <c r="G498" s="44"/>
      <c r="H498" s="45"/>
      <c r="I498" s="38"/>
      <c r="J498" s="38"/>
      <c r="K498" s="46"/>
      <c r="L498" s="47"/>
      <c r="M498" s="46"/>
      <c r="N498" s="46"/>
      <c r="O498" s="38"/>
      <c r="P498" s="38"/>
      <c r="Q498" s="14"/>
      <c r="R498" s="50"/>
      <c r="S498" s="50"/>
      <c r="T498" s="50"/>
      <c r="U498" s="52"/>
      <c r="V498" s="53"/>
      <c r="W498" s="60"/>
      <c r="X498" s="123"/>
      <c r="Y498" s="117"/>
      <c r="Z498" s="117"/>
      <c r="AH498" s="88"/>
      <c r="AI498" s="88"/>
    </row>
    <row r="499" spans="1:35">
      <c r="A499" s="38"/>
      <c r="B499" s="38"/>
      <c r="C499" s="38"/>
      <c r="D499" s="38"/>
      <c r="E499" s="38"/>
      <c r="F499" s="43"/>
      <c r="G499" s="44"/>
      <c r="H499" s="45"/>
      <c r="I499" s="38"/>
      <c r="J499" s="38"/>
      <c r="K499" s="46"/>
      <c r="L499" s="47"/>
      <c r="M499" s="46"/>
      <c r="N499" s="46"/>
      <c r="O499" s="38"/>
      <c r="P499" s="38"/>
      <c r="Q499" s="14"/>
      <c r="R499" s="50"/>
      <c r="S499" s="50"/>
      <c r="T499" s="50"/>
      <c r="U499" s="52"/>
      <c r="V499" s="53"/>
      <c r="W499" s="60"/>
      <c r="X499" s="123"/>
      <c r="Y499" s="117"/>
      <c r="Z499" s="117"/>
      <c r="AH499" s="88"/>
      <c r="AI499" s="88"/>
    </row>
    <row r="500" spans="1:35">
      <c r="A500" s="38"/>
      <c r="B500" s="38"/>
      <c r="C500" s="38"/>
      <c r="D500" s="38"/>
      <c r="E500" s="38"/>
      <c r="F500" s="43"/>
      <c r="G500" s="44"/>
      <c r="H500" s="45"/>
      <c r="I500" s="38"/>
      <c r="J500" s="38"/>
      <c r="K500" s="46"/>
      <c r="L500" s="47"/>
      <c r="M500" s="46"/>
      <c r="N500" s="46"/>
      <c r="O500" s="38"/>
      <c r="P500" s="38"/>
      <c r="Q500" s="14"/>
      <c r="R500" s="50"/>
      <c r="S500" s="50"/>
      <c r="T500" s="50"/>
      <c r="U500" s="52"/>
      <c r="V500" s="53"/>
      <c r="W500" s="60"/>
      <c r="X500" s="123"/>
      <c r="Y500" s="117"/>
      <c r="Z500" s="117"/>
      <c r="AH500" s="88"/>
      <c r="AI500" s="88"/>
    </row>
    <row r="501" spans="1:35">
      <c r="A501" s="38"/>
      <c r="B501" s="38"/>
      <c r="C501" s="38"/>
      <c r="D501" s="38"/>
      <c r="E501" s="38"/>
      <c r="F501" s="43"/>
      <c r="G501" s="44"/>
      <c r="H501" s="45"/>
      <c r="I501" s="38"/>
      <c r="J501" s="38"/>
      <c r="K501" s="46"/>
      <c r="L501" s="47"/>
      <c r="M501" s="46"/>
      <c r="N501" s="46"/>
      <c r="O501" s="38"/>
      <c r="P501" s="38"/>
      <c r="Q501" s="14"/>
      <c r="R501" s="50"/>
      <c r="S501" s="50"/>
      <c r="T501" s="50"/>
      <c r="U501" s="52"/>
      <c r="V501" s="53"/>
      <c r="W501" s="60"/>
      <c r="X501" s="123"/>
      <c r="Y501" s="117"/>
      <c r="Z501" s="117"/>
      <c r="AH501" s="88"/>
      <c r="AI501" s="88"/>
    </row>
    <row r="502" spans="1:35">
      <c r="A502" s="38"/>
      <c r="B502" s="38"/>
      <c r="C502" s="38"/>
      <c r="D502" s="38"/>
      <c r="E502" s="38"/>
      <c r="F502" s="43"/>
      <c r="G502" s="44"/>
      <c r="H502" s="45"/>
      <c r="I502" s="38"/>
      <c r="J502" s="38"/>
      <c r="K502" s="46"/>
      <c r="L502" s="47"/>
      <c r="M502" s="46"/>
      <c r="N502" s="46"/>
      <c r="O502" s="38"/>
      <c r="P502" s="38"/>
      <c r="Q502" s="14"/>
      <c r="R502" s="50"/>
      <c r="S502" s="50"/>
      <c r="T502" s="50"/>
      <c r="U502" s="52"/>
      <c r="V502" s="53"/>
      <c r="W502" s="60"/>
      <c r="X502" s="123"/>
      <c r="Y502" s="117"/>
      <c r="Z502" s="117"/>
      <c r="AH502" s="88"/>
      <c r="AI502" s="88"/>
    </row>
    <row r="503" spans="1:35">
      <c r="A503" s="38"/>
      <c r="B503" s="38"/>
      <c r="C503" s="38"/>
      <c r="D503" s="38"/>
      <c r="E503" s="38"/>
      <c r="F503" s="43"/>
      <c r="G503" s="44"/>
      <c r="H503" s="45"/>
      <c r="I503" s="38"/>
      <c r="J503" s="38"/>
      <c r="K503" s="46"/>
      <c r="L503" s="47"/>
      <c r="M503" s="46"/>
      <c r="N503" s="46"/>
      <c r="O503" s="38"/>
      <c r="P503" s="38"/>
      <c r="Q503" s="14"/>
      <c r="R503" s="50"/>
      <c r="S503" s="50"/>
      <c r="T503" s="50"/>
      <c r="U503" s="52"/>
      <c r="V503" s="53"/>
      <c r="W503" s="60"/>
      <c r="X503" s="123"/>
      <c r="Y503" s="117"/>
      <c r="Z503" s="117"/>
      <c r="AH503" s="88"/>
      <c r="AI503" s="88"/>
    </row>
    <row r="504" spans="1:35">
      <c r="A504" s="38"/>
      <c r="B504" s="38"/>
      <c r="C504" s="38"/>
      <c r="D504" s="38"/>
      <c r="E504" s="38"/>
      <c r="F504" s="43"/>
      <c r="G504" s="44"/>
      <c r="H504" s="45"/>
      <c r="I504" s="38"/>
      <c r="J504" s="38"/>
      <c r="K504" s="46"/>
      <c r="L504" s="47"/>
      <c r="M504" s="46"/>
      <c r="N504" s="46"/>
      <c r="O504" s="38"/>
      <c r="P504" s="38"/>
      <c r="Q504" s="14"/>
      <c r="R504" s="50"/>
      <c r="S504" s="50"/>
      <c r="T504" s="50"/>
      <c r="U504" s="52"/>
      <c r="V504" s="53"/>
      <c r="W504" s="60"/>
      <c r="X504" s="123"/>
      <c r="Y504" s="117"/>
      <c r="Z504" s="117"/>
      <c r="AH504" s="88"/>
      <c r="AI504" s="88"/>
    </row>
    <row r="505" spans="1:35">
      <c r="A505" s="38"/>
      <c r="B505" s="38"/>
      <c r="C505" s="38"/>
      <c r="D505" s="38"/>
      <c r="E505" s="38"/>
      <c r="F505" s="43"/>
      <c r="G505" s="44"/>
      <c r="H505" s="45"/>
      <c r="I505" s="38"/>
      <c r="J505" s="38"/>
      <c r="K505" s="46"/>
      <c r="L505" s="47"/>
      <c r="M505" s="46"/>
      <c r="N505" s="46"/>
      <c r="O505" s="38"/>
      <c r="P505" s="38"/>
      <c r="Q505" s="14"/>
      <c r="R505" s="50"/>
      <c r="S505" s="50"/>
      <c r="T505" s="50"/>
      <c r="U505" s="52"/>
      <c r="V505" s="53"/>
      <c r="W505" s="60"/>
      <c r="X505" s="123"/>
      <c r="Y505" s="117"/>
      <c r="Z505" s="117"/>
      <c r="AH505" s="88"/>
      <c r="AI505" s="88"/>
    </row>
    <row r="506" spans="1:35">
      <c r="A506" s="38"/>
      <c r="B506" s="38"/>
      <c r="C506" s="38"/>
      <c r="D506" s="38"/>
      <c r="E506" s="38"/>
      <c r="F506" s="43"/>
      <c r="G506" s="44"/>
      <c r="H506" s="45"/>
      <c r="I506" s="38"/>
      <c r="J506" s="38"/>
      <c r="K506" s="46"/>
      <c r="L506" s="47"/>
      <c r="M506" s="46"/>
      <c r="N506" s="46"/>
      <c r="O506" s="38"/>
      <c r="P506" s="38"/>
      <c r="Q506" s="14"/>
      <c r="R506" s="50"/>
      <c r="S506" s="50"/>
      <c r="T506" s="50"/>
      <c r="U506" s="52"/>
      <c r="V506" s="53"/>
      <c r="W506" s="60"/>
      <c r="X506" s="123"/>
      <c r="Y506" s="117"/>
      <c r="Z506" s="117"/>
      <c r="AH506" s="88"/>
      <c r="AI506" s="88"/>
    </row>
    <row r="507" spans="1:35">
      <c r="A507" s="38"/>
      <c r="B507" s="38"/>
      <c r="C507" s="38"/>
      <c r="D507" s="38"/>
      <c r="E507" s="38"/>
      <c r="F507" s="43"/>
      <c r="G507" s="44"/>
      <c r="H507" s="45"/>
      <c r="I507" s="38"/>
      <c r="J507" s="38"/>
      <c r="K507" s="46"/>
      <c r="L507" s="47"/>
      <c r="M507" s="46"/>
      <c r="N507" s="46"/>
      <c r="O507" s="38"/>
      <c r="P507" s="38"/>
      <c r="Q507" s="14"/>
      <c r="R507" s="50"/>
      <c r="S507" s="50"/>
      <c r="T507" s="50"/>
      <c r="U507" s="52"/>
      <c r="V507" s="53"/>
      <c r="W507" s="60"/>
      <c r="X507" s="123"/>
      <c r="Y507" s="117"/>
      <c r="Z507" s="117"/>
      <c r="AH507" s="88"/>
      <c r="AI507" s="88"/>
    </row>
    <row r="508" spans="1:35">
      <c r="A508" s="38"/>
      <c r="B508" s="38"/>
      <c r="C508" s="38"/>
      <c r="D508" s="38"/>
      <c r="E508" s="38"/>
      <c r="F508" s="43"/>
      <c r="G508" s="44"/>
      <c r="H508" s="45"/>
      <c r="I508" s="38"/>
      <c r="J508" s="38"/>
      <c r="K508" s="46"/>
      <c r="L508" s="47"/>
      <c r="M508" s="46"/>
      <c r="N508" s="46"/>
      <c r="O508" s="38"/>
      <c r="P508" s="38"/>
      <c r="Q508" s="14"/>
      <c r="R508" s="50"/>
      <c r="S508" s="50"/>
      <c r="T508" s="50"/>
      <c r="U508" s="52"/>
      <c r="V508" s="53"/>
      <c r="W508" s="60"/>
      <c r="X508" s="123"/>
      <c r="Y508" s="117"/>
      <c r="Z508" s="117"/>
      <c r="AH508" s="88"/>
      <c r="AI508" s="88"/>
    </row>
    <row r="509" spans="1:35">
      <c r="A509" s="38"/>
      <c r="B509" s="38"/>
      <c r="C509" s="38"/>
      <c r="D509" s="38"/>
      <c r="E509" s="38"/>
      <c r="F509" s="43"/>
      <c r="G509" s="44"/>
      <c r="H509" s="45"/>
      <c r="I509" s="38"/>
      <c r="J509" s="38"/>
      <c r="K509" s="46"/>
      <c r="L509" s="47"/>
      <c r="M509" s="46"/>
      <c r="N509" s="46"/>
      <c r="O509" s="38"/>
      <c r="P509" s="38"/>
      <c r="Q509" s="14"/>
      <c r="R509" s="50"/>
      <c r="S509" s="50"/>
      <c r="T509" s="50"/>
      <c r="U509" s="52"/>
      <c r="V509" s="53"/>
      <c r="W509" s="60"/>
      <c r="X509" s="123"/>
      <c r="Y509" s="117"/>
      <c r="Z509" s="117"/>
      <c r="AH509" s="88"/>
      <c r="AI509" s="88"/>
    </row>
    <row r="510" spans="1:35">
      <c r="A510" s="38"/>
      <c r="B510" s="38"/>
      <c r="C510" s="38"/>
      <c r="D510" s="38"/>
      <c r="E510" s="38"/>
      <c r="F510" s="43"/>
      <c r="G510" s="44"/>
      <c r="H510" s="45"/>
      <c r="I510" s="38"/>
      <c r="J510" s="38"/>
      <c r="K510" s="46"/>
      <c r="L510" s="47"/>
      <c r="M510" s="46"/>
      <c r="N510" s="46"/>
      <c r="O510" s="38"/>
      <c r="P510" s="38"/>
      <c r="Q510" s="14"/>
      <c r="R510" s="50"/>
      <c r="S510" s="50"/>
      <c r="T510" s="50"/>
      <c r="U510" s="52"/>
      <c r="V510" s="53"/>
      <c r="W510" s="60"/>
      <c r="X510" s="123"/>
      <c r="Y510" s="117"/>
      <c r="Z510" s="117"/>
      <c r="AH510" s="88"/>
      <c r="AI510" s="88"/>
    </row>
    <row r="511" spans="1:35">
      <c r="A511" s="38"/>
      <c r="B511" s="38"/>
      <c r="C511" s="38"/>
      <c r="D511" s="38"/>
      <c r="E511" s="38"/>
      <c r="F511" s="43"/>
      <c r="G511" s="44"/>
      <c r="H511" s="45"/>
      <c r="I511" s="38"/>
      <c r="J511" s="38"/>
      <c r="K511" s="46"/>
      <c r="L511" s="47"/>
      <c r="M511" s="46"/>
      <c r="N511" s="46"/>
      <c r="O511" s="38"/>
      <c r="P511" s="38"/>
      <c r="Q511" s="14"/>
      <c r="R511" s="50"/>
      <c r="S511" s="50"/>
      <c r="T511" s="50"/>
      <c r="U511" s="52"/>
      <c r="V511" s="53"/>
      <c r="W511" s="60"/>
      <c r="X511" s="123"/>
      <c r="Y511" s="117"/>
      <c r="Z511" s="117"/>
      <c r="AH511" s="88"/>
      <c r="AI511" s="88"/>
    </row>
    <row r="512" spans="1:35">
      <c r="A512" s="38"/>
      <c r="B512" s="38"/>
      <c r="C512" s="38"/>
      <c r="D512" s="38"/>
      <c r="E512" s="38"/>
      <c r="F512" s="43"/>
      <c r="G512" s="44"/>
      <c r="H512" s="45"/>
      <c r="I512" s="38"/>
      <c r="J512" s="38"/>
      <c r="K512" s="46"/>
      <c r="L512" s="47"/>
      <c r="M512" s="46"/>
      <c r="N512" s="46"/>
      <c r="O512" s="38"/>
      <c r="P512" s="38"/>
      <c r="Q512" s="14"/>
      <c r="R512" s="50"/>
      <c r="S512" s="50"/>
      <c r="T512" s="50"/>
      <c r="U512" s="52"/>
      <c r="V512" s="53"/>
      <c r="W512" s="60"/>
      <c r="X512" s="123"/>
      <c r="Y512" s="117"/>
      <c r="Z512" s="117"/>
      <c r="AH512" s="88"/>
      <c r="AI512" s="88"/>
    </row>
    <row r="513" spans="1:35">
      <c r="A513" s="38"/>
      <c r="B513" s="38"/>
      <c r="C513" s="38"/>
      <c r="D513" s="38"/>
      <c r="E513" s="38"/>
      <c r="F513" s="43"/>
      <c r="G513" s="44"/>
      <c r="H513" s="45"/>
      <c r="I513" s="38"/>
      <c r="J513" s="38"/>
      <c r="K513" s="46"/>
      <c r="L513" s="47"/>
      <c r="M513" s="46"/>
      <c r="N513" s="46"/>
      <c r="O513" s="38"/>
      <c r="P513" s="38"/>
      <c r="Q513" s="14"/>
      <c r="R513" s="50"/>
      <c r="S513" s="50"/>
      <c r="T513" s="50"/>
      <c r="U513" s="52"/>
      <c r="V513" s="53"/>
      <c r="W513" s="60"/>
      <c r="X513" s="123"/>
      <c r="Y513" s="117"/>
      <c r="Z513" s="117"/>
      <c r="AH513" s="88"/>
      <c r="AI513" s="88"/>
    </row>
    <row r="514" spans="1:35">
      <c r="A514" s="38"/>
      <c r="B514" s="38"/>
      <c r="C514" s="38"/>
      <c r="D514" s="38"/>
      <c r="E514" s="38"/>
      <c r="F514" s="43"/>
      <c r="G514" s="44"/>
      <c r="H514" s="45"/>
      <c r="I514" s="38"/>
      <c r="J514" s="38"/>
      <c r="K514" s="46"/>
      <c r="L514" s="47"/>
      <c r="M514" s="46"/>
      <c r="N514" s="46"/>
      <c r="O514" s="38"/>
      <c r="P514" s="38"/>
      <c r="Q514" s="14"/>
      <c r="R514" s="50"/>
      <c r="S514" s="50"/>
      <c r="T514" s="50"/>
      <c r="U514" s="52"/>
      <c r="V514" s="53"/>
      <c r="W514" s="60"/>
      <c r="X514" s="123"/>
      <c r="Y514" s="117"/>
      <c r="Z514" s="117"/>
      <c r="AH514" s="88"/>
      <c r="AI514" s="88"/>
    </row>
    <row r="515" spans="1:35">
      <c r="A515" s="38"/>
      <c r="B515" s="38"/>
      <c r="C515" s="38"/>
      <c r="D515" s="38"/>
      <c r="E515" s="38"/>
      <c r="F515" s="43"/>
      <c r="G515" s="44"/>
      <c r="H515" s="45"/>
      <c r="I515" s="38"/>
      <c r="J515" s="38"/>
      <c r="K515" s="46"/>
      <c r="L515" s="47"/>
      <c r="M515" s="46"/>
      <c r="N515" s="46"/>
      <c r="O515" s="38"/>
      <c r="P515" s="38"/>
      <c r="Q515" s="14"/>
      <c r="R515" s="50"/>
      <c r="S515" s="50"/>
      <c r="T515" s="50"/>
      <c r="U515" s="52"/>
      <c r="V515" s="53"/>
      <c r="W515" s="60"/>
      <c r="X515" s="123"/>
      <c r="Y515" s="117"/>
      <c r="Z515" s="117"/>
      <c r="AH515" s="88"/>
      <c r="AI515" s="88"/>
    </row>
    <row r="516" spans="1:35">
      <c r="A516" s="38"/>
      <c r="B516" s="38"/>
      <c r="C516" s="38"/>
      <c r="D516" s="38"/>
      <c r="E516" s="38"/>
      <c r="F516" s="43"/>
      <c r="G516" s="44"/>
      <c r="H516" s="45"/>
      <c r="I516" s="38"/>
      <c r="J516" s="38"/>
      <c r="K516" s="46"/>
      <c r="L516" s="47"/>
      <c r="M516" s="46"/>
      <c r="N516" s="46"/>
      <c r="O516" s="38"/>
      <c r="P516" s="38"/>
      <c r="Q516" s="14"/>
      <c r="R516" s="50"/>
      <c r="S516" s="50"/>
      <c r="T516" s="50"/>
      <c r="U516" s="52"/>
      <c r="V516" s="53"/>
      <c r="W516" s="60"/>
      <c r="X516" s="123"/>
      <c r="Y516" s="117"/>
      <c r="Z516" s="117"/>
      <c r="AH516" s="88"/>
      <c r="AI516" s="88"/>
    </row>
    <row r="517" spans="1:35">
      <c r="A517" s="38"/>
      <c r="B517" s="38"/>
      <c r="C517" s="38"/>
      <c r="D517" s="38"/>
      <c r="E517" s="38"/>
      <c r="F517" s="43"/>
      <c r="G517" s="44"/>
      <c r="H517" s="45"/>
      <c r="I517" s="38"/>
      <c r="J517" s="38"/>
      <c r="K517" s="46"/>
      <c r="L517" s="47"/>
      <c r="M517" s="46"/>
      <c r="N517" s="46"/>
      <c r="O517" s="38"/>
      <c r="P517" s="38"/>
      <c r="Q517" s="14"/>
      <c r="R517" s="50"/>
      <c r="S517" s="50"/>
      <c r="T517" s="50"/>
      <c r="U517" s="52"/>
      <c r="V517" s="53"/>
      <c r="W517" s="60"/>
      <c r="X517" s="123"/>
      <c r="Y517" s="117"/>
      <c r="Z517" s="117"/>
      <c r="AH517" s="88"/>
      <c r="AI517" s="88"/>
    </row>
    <row r="518" spans="1:35">
      <c r="A518" s="38"/>
      <c r="B518" s="38"/>
      <c r="C518" s="38"/>
      <c r="D518" s="38"/>
      <c r="E518" s="38"/>
      <c r="F518" s="43"/>
      <c r="G518" s="44"/>
      <c r="H518" s="45"/>
      <c r="I518" s="38"/>
      <c r="J518" s="38"/>
      <c r="K518" s="46"/>
      <c r="L518" s="47"/>
      <c r="M518" s="46"/>
      <c r="N518" s="46"/>
      <c r="O518" s="38"/>
      <c r="P518" s="38"/>
      <c r="Q518" s="14"/>
      <c r="R518" s="50"/>
      <c r="S518" s="50"/>
      <c r="T518" s="50"/>
      <c r="U518" s="52"/>
      <c r="V518" s="53"/>
      <c r="W518" s="60"/>
      <c r="X518" s="123"/>
      <c r="Y518" s="117"/>
      <c r="Z518" s="117"/>
      <c r="AH518" s="88"/>
      <c r="AI518" s="88"/>
    </row>
    <row r="519" spans="1:35">
      <c r="A519" s="38"/>
      <c r="B519" s="38"/>
      <c r="C519" s="38"/>
      <c r="D519" s="38"/>
      <c r="E519" s="38"/>
      <c r="F519" s="43"/>
      <c r="G519" s="44"/>
      <c r="H519" s="45"/>
      <c r="I519" s="38"/>
      <c r="J519" s="38"/>
      <c r="K519" s="46"/>
      <c r="L519" s="47"/>
      <c r="M519" s="46"/>
      <c r="N519" s="46"/>
      <c r="O519" s="38"/>
      <c r="P519" s="38"/>
      <c r="Q519" s="14"/>
      <c r="R519" s="50"/>
      <c r="S519" s="50"/>
      <c r="T519" s="50"/>
      <c r="U519" s="52"/>
      <c r="V519" s="53"/>
      <c r="W519" s="60"/>
      <c r="X519" s="123"/>
      <c r="Y519" s="117"/>
      <c r="Z519" s="117"/>
      <c r="AH519" s="88"/>
      <c r="AI519" s="88"/>
    </row>
    <row r="520" spans="1:35">
      <c r="A520" s="38"/>
      <c r="B520" s="38"/>
      <c r="C520" s="38"/>
      <c r="D520" s="38"/>
      <c r="E520" s="38"/>
      <c r="F520" s="43"/>
      <c r="G520" s="44"/>
      <c r="H520" s="45"/>
      <c r="I520" s="38"/>
      <c r="J520" s="38"/>
      <c r="K520" s="46"/>
      <c r="L520" s="47"/>
      <c r="M520" s="46"/>
      <c r="N520" s="46"/>
      <c r="O520" s="38"/>
      <c r="P520" s="38"/>
      <c r="Q520" s="14"/>
      <c r="R520" s="50"/>
      <c r="S520" s="50"/>
      <c r="T520" s="50"/>
      <c r="U520" s="52"/>
      <c r="V520" s="53"/>
      <c r="W520" s="60"/>
      <c r="X520" s="123"/>
      <c r="Y520" s="117"/>
      <c r="Z520" s="117"/>
      <c r="AH520" s="88"/>
      <c r="AI520" s="88"/>
    </row>
    <row r="521" spans="1:35">
      <c r="A521" s="38"/>
      <c r="B521" s="38"/>
      <c r="C521" s="38"/>
      <c r="D521" s="38"/>
      <c r="E521" s="38"/>
      <c r="F521" s="43"/>
      <c r="G521" s="44"/>
      <c r="H521" s="45"/>
      <c r="I521" s="38"/>
      <c r="J521" s="38"/>
      <c r="K521" s="46"/>
      <c r="L521" s="47"/>
      <c r="M521" s="46"/>
      <c r="N521" s="46"/>
      <c r="O521" s="38"/>
      <c r="P521" s="38"/>
      <c r="Q521" s="14"/>
      <c r="R521" s="50"/>
      <c r="S521" s="50"/>
      <c r="T521" s="50"/>
      <c r="U521" s="52"/>
      <c r="V521" s="53"/>
      <c r="W521" s="60"/>
      <c r="X521" s="123"/>
      <c r="Y521" s="117"/>
      <c r="Z521" s="117"/>
      <c r="AH521" s="88"/>
      <c r="AI521" s="88"/>
    </row>
    <row r="522" spans="1:35">
      <c r="A522" s="38"/>
      <c r="B522" s="38"/>
      <c r="C522" s="38"/>
      <c r="D522" s="38"/>
      <c r="E522" s="38"/>
      <c r="F522" s="43"/>
      <c r="G522" s="44"/>
      <c r="H522" s="45"/>
      <c r="I522" s="38"/>
      <c r="J522" s="38"/>
      <c r="K522" s="46"/>
      <c r="L522" s="47"/>
      <c r="M522" s="46"/>
      <c r="N522" s="46"/>
      <c r="O522" s="38"/>
      <c r="P522" s="38"/>
      <c r="Q522" s="14"/>
      <c r="R522" s="50"/>
      <c r="S522" s="50"/>
      <c r="T522" s="50"/>
      <c r="U522" s="52"/>
      <c r="V522" s="53"/>
      <c r="W522" s="60"/>
      <c r="X522" s="123"/>
      <c r="Y522" s="117"/>
      <c r="Z522" s="117"/>
      <c r="AH522" s="88"/>
      <c r="AI522" s="88"/>
    </row>
    <row r="523" spans="1:35">
      <c r="A523" s="38"/>
      <c r="B523" s="38"/>
      <c r="C523" s="38"/>
      <c r="D523" s="38"/>
      <c r="E523" s="38"/>
      <c r="F523" s="43"/>
      <c r="G523" s="44"/>
      <c r="H523" s="45"/>
      <c r="I523" s="38"/>
      <c r="J523" s="38"/>
      <c r="K523" s="46"/>
      <c r="L523" s="47"/>
      <c r="M523" s="46"/>
      <c r="N523" s="46"/>
      <c r="O523" s="38"/>
      <c r="P523" s="38"/>
      <c r="Q523" s="14"/>
      <c r="R523" s="50"/>
      <c r="S523" s="50"/>
      <c r="T523" s="50"/>
      <c r="U523" s="52"/>
      <c r="V523" s="53"/>
      <c r="W523" s="60"/>
      <c r="X523" s="123"/>
      <c r="Y523" s="117"/>
      <c r="Z523" s="117"/>
      <c r="AH523" s="88"/>
      <c r="AI523" s="88"/>
    </row>
    <row r="524" spans="1:35">
      <c r="A524" s="38"/>
      <c r="B524" s="38"/>
      <c r="C524" s="38"/>
      <c r="D524" s="38"/>
      <c r="E524" s="38"/>
      <c r="F524" s="43"/>
      <c r="G524" s="44"/>
      <c r="H524" s="45"/>
      <c r="I524" s="38"/>
      <c r="J524" s="38"/>
      <c r="K524" s="46"/>
      <c r="L524" s="47"/>
      <c r="M524" s="46"/>
      <c r="N524" s="46"/>
      <c r="O524" s="38"/>
      <c r="P524" s="38"/>
      <c r="Q524" s="14"/>
      <c r="R524" s="50"/>
      <c r="S524" s="50"/>
      <c r="T524" s="50"/>
      <c r="U524" s="52"/>
      <c r="V524" s="53"/>
      <c r="W524" s="60"/>
      <c r="X524" s="123"/>
      <c r="Y524" s="117"/>
      <c r="Z524" s="117"/>
      <c r="AH524" s="88"/>
      <c r="AI524" s="88"/>
    </row>
    <row r="525" spans="1:35">
      <c r="A525" s="38"/>
      <c r="B525" s="38"/>
      <c r="C525" s="38"/>
      <c r="D525" s="38"/>
      <c r="E525" s="38"/>
      <c r="F525" s="43"/>
      <c r="G525" s="44"/>
      <c r="H525" s="45"/>
      <c r="I525" s="38"/>
      <c r="J525" s="38"/>
      <c r="K525" s="46"/>
      <c r="L525" s="47"/>
      <c r="M525" s="46"/>
      <c r="N525" s="46"/>
      <c r="O525" s="38"/>
      <c r="P525" s="38"/>
      <c r="Q525" s="14"/>
      <c r="R525" s="50"/>
      <c r="S525" s="50"/>
      <c r="T525" s="50"/>
      <c r="U525" s="52"/>
      <c r="V525" s="53"/>
      <c r="W525" s="60"/>
      <c r="X525" s="123"/>
      <c r="Y525" s="117"/>
      <c r="Z525" s="117"/>
      <c r="AH525" s="88"/>
      <c r="AI525" s="88"/>
    </row>
    <row r="526" spans="1:35">
      <c r="A526" s="38"/>
      <c r="B526" s="38"/>
      <c r="C526" s="38"/>
      <c r="D526" s="38"/>
      <c r="E526" s="38"/>
      <c r="F526" s="43"/>
      <c r="G526" s="44"/>
      <c r="H526" s="45"/>
      <c r="I526" s="38"/>
      <c r="J526" s="38"/>
      <c r="K526" s="46"/>
      <c r="L526" s="47"/>
      <c r="M526" s="46"/>
      <c r="N526" s="46"/>
      <c r="O526" s="38"/>
      <c r="P526" s="38"/>
      <c r="Q526" s="14"/>
      <c r="R526" s="50"/>
      <c r="S526" s="50"/>
      <c r="T526" s="50"/>
      <c r="U526" s="52"/>
      <c r="V526" s="53"/>
      <c r="W526" s="60"/>
      <c r="X526" s="123"/>
      <c r="Y526" s="117"/>
      <c r="Z526" s="117"/>
      <c r="AH526" s="88"/>
      <c r="AI526" s="88"/>
    </row>
    <row r="527" spans="1:35">
      <c r="A527" s="38"/>
      <c r="B527" s="38"/>
      <c r="C527" s="38"/>
      <c r="D527" s="38"/>
      <c r="E527" s="38"/>
      <c r="F527" s="43"/>
      <c r="G527" s="44"/>
      <c r="H527" s="45"/>
      <c r="I527" s="38"/>
      <c r="J527" s="38"/>
      <c r="K527" s="46"/>
      <c r="L527" s="47"/>
      <c r="M527" s="46"/>
      <c r="N527" s="46"/>
      <c r="O527" s="38"/>
      <c r="P527" s="38"/>
      <c r="Q527" s="14"/>
      <c r="R527" s="50"/>
      <c r="S527" s="50"/>
      <c r="T527" s="50"/>
      <c r="U527" s="52"/>
      <c r="V527" s="53"/>
      <c r="W527" s="60"/>
      <c r="X527" s="123"/>
      <c r="Y527" s="117"/>
      <c r="Z527" s="117"/>
      <c r="AH527" s="88"/>
      <c r="AI527" s="88"/>
    </row>
    <row r="528" spans="1:35">
      <c r="A528" s="38"/>
      <c r="B528" s="38"/>
      <c r="C528" s="38"/>
      <c r="D528" s="38"/>
      <c r="E528" s="38"/>
      <c r="F528" s="43"/>
      <c r="G528" s="44"/>
      <c r="H528" s="45"/>
      <c r="I528" s="38"/>
      <c r="J528" s="38"/>
      <c r="K528" s="46"/>
      <c r="L528" s="47"/>
      <c r="M528" s="46"/>
      <c r="N528" s="46"/>
      <c r="O528" s="38"/>
      <c r="P528" s="38"/>
      <c r="Q528" s="14"/>
      <c r="R528" s="50"/>
      <c r="S528" s="50"/>
      <c r="T528" s="50"/>
      <c r="U528" s="52"/>
      <c r="V528" s="53"/>
      <c r="W528" s="60"/>
      <c r="X528" s="123"/>
      <c r="Y528" s="117"/>
      <c r="Z528" s="117"/>
      <c r="AH528" s="88"/>
      <c r="AI528" s="88"/>
    </row>
    <row r="529" spans="1:35">
      <c r="A529" s="38"/>
      <c r="B529" s="38"/>
      <c r="C529" s="38"/>
      <c r="D529" s="38"/>
      <c r="E529" s="38"/>
      <c r="F529" s="43"/>
      <c r="G529" s="44"/>
      <c r="H529" s="45"/>
      <c r="I529" s="38"/>
      <c r="J529" s="38"/>
      <c r="K529" s="46"/>
      <c r="L529" s="47"/>
      <c r="M529" s="46"/>
      <c r="N529" s="46"/>
      <c r="O529" s="38"/>
      <c r="P529" s="38"/>
      <c r="Q529" s="14"/>
      <c r="R529" s="50"/>
      <c r="S529" s="50"/>
      <c r="T529" s="50"/>
      <c r="U529" s="52"/>
      <c r="V529" s="53"/>
      <c r="W529" s="60"/>
      <c r="X529" s="123"/>
      <c r="Y529" s="117"/>
      <c r="Z529" s="117"/>
      <c r="AH529" s="88"/>
      <c r="AI529" s="88"/>
    </row>
    <row r="530" spans="1:35">
      <c r="A530" s="38"/>
      <c r="B530" s="38"/>
      <c r="C530" s="38"/>
      <c r="D530" s="38"/>
      <c r="E530" s="38"/>
      <c r="F530" s="43"/>
      <c r="G530" s="44"/>
      <c r="H530" s="45"/>
      <c r="I530" s="38"/>
      <c r="J530" s="38"/>
      <c r="K530" s="46"/>
      <c r="L530" s="47"/>
      <c r="M530" s="46"/>
      <c r="N530" s="46"/>
      <c r="O530" s="38"/>
      <c r="P530" s="38"/>
      <c r="Q530" s="14"/>
      <c r="R530" s="50"/>
      <c r="S530" s="50"/>
      <c r="T530" s="50"/>
      <c r="U530" s="52"/>
      <c r="V530" s="53"/>
      <c r="W530" s="60"/>
      <c r="X530" s="123"/>
      <c r="Y530" s="117"/>
      <c r="Z530" s="117"/>
      <c r="AH530" s="88"/>
      <c r="AI530" s="88"/>
    </row>
    <row r="531" spans="1:35">
      <c r="A531" s="38"/>
      <c r="B531" s="38"/>
      <c r="C531" s="38"/>
      <c r="D531" s="38"/>
      <c r="E531" s="38"/>
      <c r="F531" s="43"/>
      <c r="G531" s="44"/>
      <c r="H531" s="45"/>
      <c r="I531" s="38"/>
      <c r="J531" s="38"/>
      <c r="K531" s="46"/>
      <c r="L531" s="47"/>
      <c r="M531" s="46"/>
      <c r="N531" s="46"/>
      <c r="O531" s="38"/>
      <c r="P531" s="38"/>
      <c r="Q531" s="14"/>
      <c r="R531" s="50"/>
      <c r="S531" s="50"/>
      <c r="T531" s="50"/>
      <c r="U531" s="52"/>
      <c r="V531" s="53"/>
      <c r="W531" s="60"/>
      <c r="X531" s="123"/>
      <c r="Y531" s="117"/>
      <c r="Z531" s="117"/>
      <c r="AH531" s="88"/>
      <c r="AI531" s="88"/>
    </row>
    <row r="532" spans="1:35">
      <c r="A532" s="38"/>
      <c r="B532" s="38"/>
      <c r="C532" s="38"/>
      <c r="D532" s="38"/>
      <c r="E532" s="38"/>
      <c r="F532" s="43"/>
      <c r="G532" s="44"/>
      <c r="H532" s="45"/>
      <c r="I532" s="38"/>
      <c r="J532" s="38"/>
      <c r="K532" s="46"/>
      <c r="L532" s="47"/>
      <c r="M532" s="46"/>
      <c r="N532" s="46"/>
      <c r="O532" s="38"/>
      <c r="P532" s="38"/>
      <c r="Q532" s="14"/>
      <c r="R532" s="50"/>
      <c r="S532" s="50"/>
      <c r="T532" s="50"/>
      <c r="U532" s="52"/>
      <c r="V532" s="53"/>
      <c r="W532" s="60"/>
      <c r="X532" s="123"/>
      <c r="Y532" s="117"/>
      <c r="Z532" s="117"/>
      <c r="AH532" s="88"/>
      <c r="AI532" s="88"/>
    </row>
    <row r="533" spans="1:35">
      <c r="A533" s="38"/>
      <c r="B533" s="38"/>
      <c r="C533" s="38"/>
      <c r="D533" s="38"/>
      <c r="E533" s="38"/>
      <c r="F533" s="43"/>
      <c r="G533" s="44"/>
      <c r="H533" s="45"/>
      <c r="I533" s="38"/>
      <c r="J533" s="38"/>
      <c r="K533" s="46"/>
      <c r="L533" s="47"/>
      <c r="M533" s="46"/>
      <c r="N533" s="46"/>
      <c r="O533" s="38"/>
      <c r="P533" s="38"/>
      <c r="Q533" s="14"/>
      <c r="R533" s="50"/>
      <c r="S533" s="50"/>
      <c r="T533" s="50"/>
      <c r="U533" s="52"/>
      <c r="V533" s="53"/>
      <c r="W533" s="60"/>
      <c r="X533" s="123"/>
      <c r="Y533" s="117"/>
      <c r="Z533" s="117"/>
      <c r="AH533" s="88"/>
      <c r="AI533" s="88"/>
    </row>
    <row r="534" spans="1:35">
      <c r="A534" s="38"/>
      <c r="B534" s="38"/>
      <c r="C534" s="38"/>
      <c r="D534" s="38"/>
      <c r="E534" s="38"/>
      <c r="F534" s="43"/>
      <c r="G534" s="44"/>
      <c r="H534" s="45"/>
      <c r="I534" s="38"/>
      <c r="J534" s="38"/>
      <c r="K534" s="46"/>
      <c r="L534" s="47"/>
      <c r="M534" s="46"/>
      <c r="N534" s="46"/>
      <c r="O534" s="38"/>
      <c r="P534" s="38"/>
      <c r="Q534" s="14"/>
      <c r="R534" s="50"/>
      <c r="S534" s="50"/>
      <c r="T534" s="50"/>
      <c r="U534" s="52"/>
      <c r="V534" s="53"/>
      <c r="W534" s="60"/>
      <c r="X534" s="123"/>
      <c r="Y534" s="117"/>
      <c r="Z534" s="117"/>
      <c r="AH534" s="88"/>
      <c r="AI534" s="88"/>
    </row>
    <row r="535" spans="1:35">
      <c r="A535" s="38"/>
      <c r="B535" s="38"/>
      <c r="C535" s="38"/>
      <c r="D535" s="38"/>
      <c r="E535" s="38"/>
      <c r="F535" s="43"/>
      <c r="G535" s="44"/>
      <c r="H535" s="45"/>
      <c r="I535" s="38"/>
      <c r="J535" s="38"/>
      <c r="K535" s="46"/>
      <c r="L535" s="47"/>
      <c r="M535" s="46"/>
      <c r="N535" s="46"/>
      <c r="O535" s="38"/>
      <c r="P535" s="38"/>
      <c r="Q535" s="14"/>
      <c r="R535" s="50"/>
      <c r="S535" s="50"/>
      <c r="T535" s="50"/>
      <c r="U535" s="52"/>
      <c r="V535" s="53"/>
      <c r="W535" s="60"/>
      <c r="X535" s="123"/>
      <c r="Y535" s="117"/>
      <c r="Z535" s="117"/>
      <c r="AH535" s="88"/>
      <c r="AI535" s="88"/>
    </row>
    <row r="536" spans="1:35">
      <c r="A536" s="38"/>
      <c r="B536" s="38"/>
      <c r="C536" s="38"/>
      <c r="D536" s="38"/>
      <c r="E536" s="38"/>
      <c r="F536" s="43"/>
      <c r="G536" s="44"/>
      <c r="H536" s="45"/>
      <c r="I536" s="38"/>
      <c r="J536" s="38"/>
      <c r="K536" s="46"/>
      <c r="L536" s="47"/>
      <c r="M536" s="46"/>
      <c r="N536" s="46"/>
      <c r="O536" s="38"/>
      <c r="P536" s="38"/>
      <c r="Q536" s="14"/>
      <c r="R536" s="50"/>
      <c r="S536" s="50"/>
      <c r="T536" s="50"/>
      <c r="U536" s="52"/>
      <c r="V536" s="53"/>
      <c r="W536" s="60"/>
      <c r="X536" s="123"/>
      <c r="Y536" s="117"/>
      <c r="Z536" s="117"/>
      <c r="AH536" s="88"/>
      <c r="AI536" s="88"/>
    </row>
    <row r="537" spans="1:35">
      <c r="A537" s="38"/>
      <c r="B537" s="38"/>
      <c r="C537" s="38"/>
      <c r="D537" s="38"/>
      <c r="E537" s="38"/>
      <c r="F537" s="43"/>
      <c r="G537" s="44"/>
      <c r="H537" s="45"/>
      <c r="I537" s="38"/>
      <c r="J537" s="38"/>
      <c r="K537" s="46"/>
      <c r="L537" s="47"/>
      <c r="M537" s="46"/>
      <c r="N537" s="46"/>
      <c r="O537" s="38"/>
      <c r="P537" s="38"/>
      <c r="Q537" s="14"/>
      <c r="R537" s="50"/>
      <c r="S537" s="50"/>
      <c r="T537" s="50"/>
      <c r="U537" s="52"/>
      <c r="V537" s="53"/>
      <c r="W537" s="60"/>
      <c r="X537" s="123"/>
      <c r="Y537" s="117"/>
      <c r="Z537" s="117"/>
      <c r="AH537" s="88"/>
      <c r="AI537" s="88"/>
    </row>
    <row r="538" spans="1:35">
      <c r="A538" s="38"/>
      <c r="B538" s="38"/>
      <c r="C538" s="38"/>
      <c r="D538" s="38"/>
      <c r="E538" s="38"/>
      <c r="F538" s="43"/>
      <c r="G538" s="44"/>
      <c r="H538" s="45"/>
      <c r="I538" s="38"/>
      <c r="J538" s="38"/>
      <c r="K538" s="46"/>
      <c r="L538" s="47"/>
      <c r="M538" s="46"/>
      <c r="N538" s="46"/>
      <c r="O538" s="38"/>
      <c r="P538" s="38"/>
      <c r="Q538" s="14"/>
      <c r="R538" s="50"/>
      <c r="S538" s="50"/>
      <c r="T538" s="50"/>
      <c r="U538" s="52"/>
      <c r="V538" s="53"/>
      <c r="W538" s="60"/>
      <c r="X538" s="123"/>
      <c r="Y538" s="117"/>
      <c r="Z538" s="117"/>
      <c r="AH538" s="88"/>
      <c r="AI538" s="88"/>
    </row>
    <row r="539" spans="1:35">
      <c r="A539" s="38"/>
      <c r="B539" s="38"/>
      <c r="C539" s="38"/>
      <c r="D539" s="38"/>
      <c r="E539" s="38"/>
      <c r="F539" s="43"/>
      <c r="G539" s="44"/>
      <c r="H539" s="45"/>
      <c r="I539" s="38"/>
      <c r="J539" s="38"/>
      <c r="K539" s="46"/>
      <c r="L539" s="47"/>
      <c r="M539" s="46"/>
      <c r="N539" s="46"/>
      <c r="O539" s="38"/>
      <c r="P539" s="38"/>
      <c r="Q539" s="14"/>
      <c r="R539" s="50"/>
      <c r="S539" s="50"/>
      <c r="T539" s="50"/>
      <c r="U539" s="52"/>
      <c r="V539" s="53"/>
      <c r="W539" s="60"/>
      <c r="X539" s="123"/>
      <c r="Y539" s="117"/>
      <c r="Z539" s="117"/>
      <c r="AH539" s="88"/>
      <c r="AI539" s="88"/>
    </row>
    <row r="540" spans="1:35">
      <c r="A540" s="38"/>
      <c r="B540" s="38"/>
      <c r="C540" s="38"/>
      <c r="D540" s="38"/>
      <c r="E540" s="38"/>
      <c r="F540" s="43"/>
      <c r="G540" s="44"/>
      <c r="H540" s="45"/>
      <c r="I540" s="38"/>
      <c r="J540" s="38"/>
      <c r="K540" s="46"/>
      <c r="L540" s="47"/>
      <c r="M540" s="46"/>
      <c r="N540" s="46"/>
      <c r="O540" s="38"/>
      <c r="P540" s="38"/>
      <c r="Q540" s="14"/>
      <c r="R540" s="50"/>
      <c r="S540" s="50"/>
      <c r="T540" s="50"/>
      <c r="U540" s="52"/>
      <c r="V540" s="53"/>
      <c r="W540" s="60"/>
      <c r="X540" s="123"/>
      <c r="Y540" s="117"/>
      <c r="Z540" s="117"/>
      <c r="AH540" s="88"/>
      <c r="AI540" s="88"/>
    </row>
    <row r="541" spans="1:35">
      <c r="A541" s="38"/>
      <c r="B541" s="38"/>
      <c r="C541" s="38"/>
      <c r="D541" s="38"/>
      <c r="E541" s="38"/>
      <c r="F541" s="43"/>
      <c r="G541" s="44"/>
      <c r="H541" s="45"/>
      <c r="I541" s="38"/>
      <c r="J541" s="38"/>
      <c r="K541" s="46"/>
      <c r="L541" s="47"/>
      <c r="M541" s="46"/>
      <c r="N541" s="46"/>
      <c r="O541" s="38"/>
      <c r="P541" s="38"/>
      <c r="Q541" s="14"/>
      <c r="R541" s="50"/>
      <c r="S541" s="50"/>
      <c r="T541" s="50"/>
      <c r="U541" s="52"/>
      <c r="V541" s="53"/>
      <c r="W541" s="60"/>
      <c r="X541" s="123"/>
      <c r="Y541" s="117"/>
      <c r="Z541" s="117"/>
      <c r="AH541" s="88"/>
      <c r="AI541" s="88"/>
    </row>
    <row r="542" spans="1:35">
      <c r="A542" s="38"/>
      <c r="B542" s="38"/>
      <c r="C542" s="38"/>
      <c r="D542" s="38"/>
      <c r="E542" s="38"/>
      <c r="F542" s="43"/>
      <c r="G542" s="44"/>
      <c r="H542" s="45"/>
      <c r="I542" s="38"/>
      <c r="J542" s="38"/>
      <c r="K542" s="46"/>
      <c r="L542" s="47"/>
      <c r="M542" s="46"/>
      <c r="N542" s="46"/>
      <c r="O542" s="38"/>
      <c r="P542" s="38"/>
      <c r="Q542" s="14"/>
      <c r="R542" s="50"/>
      <c r="S542" s="50"/>
      <c r="T542" s="50"/>
      <c r="U542" s="52"/>
      <c r="V542" s="53"/>
      <c r="W542" s="60"/>
      <c r="X542" s="123"/>
      <c r="Y542" s="117"/>
      <c r="Z542" s="117"/>
      <c r="AH542" s="88"/>
      <c r="AI542" s="88"/>
    </row>
    <row r="543" spans="1:35">
      <c r="A543" s="38"/>
      <c r="B543" s="38"/>
      <c r="C543" s="38"/>
      <c r="D543" s="38"/>
      <c r="E543" s="38"/>
      <c r="F543" s="43"/>
      <c r="G543" s="44"/>
      <c r="H543" s="45"/>
      <c r="I543" s="38"/>
      <c r="J543" s="38"/>
      <c r="K543" s="46"/>
      <c r="L543" s="47"/>
      <c r="M543" s="46"/>
      <c r="N543" s="46"/>
      <c r="O543" s="38"/>
      <c r="P543" s="38"/>
      <c r="Q543" s="14"/>
      <c r="R543" s="50"/>
      <c r="S543" s="50"/>
      <c r="T543" s="50"/>
      <c r="U543" s="52"/>
      <c r="V543" s="53"/>
      <c r="W543" s="60"/>
      <c r="X543" s="123"/>
      <c r="Y543" s="117"/>
      <c r="Z543" s="117"/>
      <c r="AH543" s="88"/>
      <c r="AI543" s="88"/>
    </row>
    <row r="544" spans="1:35">
      <c r="A544" s="38"/>
      <c r="B544" s="38"/>
      <c r="C544" s="38"/>
      <c r="D544" s="38"/>
      <c r="E544" s="38"/>
      <c r="F544" s="43"/>
      <c r="G544" s="44"/>
      <c r="H544" s="45"/>
      <c r="I544" s="38"/>
      <c r="J544" s="38"/>
      <c r="K544" s="46"/>
      <c r="L544" s="47"/>
      <c r="M544" s="46"/>
      <c r="N544" s="46"/>
      <c r="O544" s="38"/>
      <c r="P544" s="38"/>
      <c r="Q544" s="14"/>
      <c r="R544" s="50"/>
      <c r="S544" s="50"/>
      <c r="T544" s="50"/>
      <c r="U544" s="52"/>
      <c r="V544" s="53"/>
      <c r="W544" s="60"/>
      <c r="X544" s="123"/>
      <c r="Y544" s="117"/>
      <c r="Z544" s="117"/>
      <c r="AH544" s="88"/>
      <c r="AI544" s="88"/>
    </row>
    <row r="545" spans="1:35">
      <c r="A545" s="38"/>
      <c r="B545" s="38"/>
      <c r="C545" s="38"/>
      <c r="D545" s="38"/>
      <c r="E545" s="38"/>
      <c r="F545" s="43"/>
      <c r="G545" s="44"/>
      <c r="H545" s="45"/>
      <c r="I545" s="38"/>
      <c r="J545" s="38"/>
      <c r="K545" s="46"/>
      <c r="L545" s="47"/>
      <c r="M545" s="46"/>
      <c r="N545" s="46"/>
      <c r="O545" s="38"/>
      <c r="P545" s="38"/>
      <c r="Q545" s="14"/>
      <c r="R545" s="50"/>
      <c r="S545" s="50"/>
      <c r="T545" s="50"/>
      <c r="U545" s="52"/>
      <c r="V545" s="53"/>
      <c r="W545" s="60"/>
      <c r="X545" s="123"/>
      <c r="Y545" s="117"/>
      <c r="Z545" s="117"/>
      <c r="AH545" s="88"/>
      <c r="AI545" s="88"/>
    </row>
    <row r="546" spans="1:35">
      <c r="A546" s="38"/>
      <c r="B546" s="38"/>
      <c r="C546" s="38"/>
      <c r="D546" s="38"/>
      <c r="E546" s="38"/>
      <c r="F546" s="43"/>
      <c r="G546" s="44"/>
      <c r="H546" s="45"/>
      <c r="I546" s="38"/>
      <c r="J546" s="38"/>
      <c r="K546" s="46"/>
      <c r="L546" s="47"/>
      <c r="M546" s="46"/>
      <c r="N546" s="46"/>
      <c r="O546" s="38"/>
      <c r="P546" s="38"/>
      <c r="Q546" s="14"/>
      <c r="R546" s="50"/>
      <c r="S546" s="50"/>
      <c r="T546" s="50"/>
      <c r="U546" s="52"/>
      <c r="V546" s="53"/>
      <c r="W546" s="60"/>
      <c r="X546" s="123"/>
      <c r="Y546" s="117"/>
      <c r="Z546" s="117"/>
      <c r="AH546" s="88"/>
      <c r="AI546" s="88"/>
    </row>
    <row r="547" spans="1:35">
      <c r="A547" s="38"/>
      <c r="B547" s="38"/>
      <c r="C547" s="38"/>
      <c r="D547" s="38"/>
      <c r="E547" s="38"/>
      <c r="F547" s="43"/>
      <c r="G547" s="44"/>
      <c r="H547" s="45"/>
      <c r="I547" s="38"/>
      <c r="J547" s="38"/>
      <c r="K547" s="46"/>
      <c r="L547" s="47"/>
      <c r="M547" s="46"/>
      <c r="N547" s="46"/>
      <c r="O547" s="38"/>
      <c r="P547" s="38"/>
      <c r="Q547" s="14"/>
      <c r="R547" s="50"/>
      <c r="S547" s="50"/>
      <c r="T547" s="50"/>
      <c r="U547" s="52"/>
      <c r="V547" s="53"/>
      <c r="W547" s="60"/>
      <c r="X547" s="123"/>
      <c r="Y547" s="117"/>
      <c r="Z547" s="117"/>
      <c r="AH547" s="88"/>
      <c r="AI547" s="88"/>
    </row>
    <row r="548" spans="1:35">
      <c r="A548" s="38"/>
      <c r="B548" s="38"/>
      <c r="C548" s="38"/>
      <c r="D548" s="38"/>
      <c r="E548" s="38"/>
      <c r="F548" s="43"/>
      <c r="G548" s="44"/>
      <c r="H548" s="45"/>
      <c r="I548" s="38"/>
      <c r="J548" s="38"/>
      <c r="K548" s="46"/>
      <c r="L548" s="47"/>
      <c r="M548" s="46"/>
      <c r="N548" s="46"/>
      <c r="O548" s="38"/>
      <c r="P548" s="38"/>
      <c r="Q548" s="14"/>
      <c r="R548" s="50"/>
      <c r="S548" s="50"/>
      <c r="T548" s="50"/>
      <c r="U548" s="52"/>
      <c r="V548" s="53"/>
      <c r="W548" s="60"/>
      <c r="X548" s="123"/>
      <c r="Y548" s="117"/>
      <c r="Z548" s="117"/>
      <c r="AH548" s="88"/>
      <c r="AI548" s="88"/>
    </row>
    <row r="549" spans="1:35">
      <c r="A549" s="38"/>
      <c r="B549" s="38"/>
      <c r="C549" s="38"/>
      <c r="D549" s="38"/>
      <c r="E549" s="38"/>
      <c r="F549" s="43"/>
      <c r="G549" s="44"/>
      <c r="H549" s="45"/>
      <c r="I549" s="38"/>
      <c r="J549" s="38"/>
      <c r="K549" s="46"/>
      <c r="L549" s="47"/>
      <c r="M549" s="46"/>
      <c r="N549" s="46"/>
      <c r="O549" s="38"/>
      <c r="P549" s="38"/>
      <c r="Q549" s="14"/>
      <c r="R549" s="50"/>
      <c r="S549" s="50"/>
      <c r="T549" s="50"/>
      <c r="U549" s="52"/>
      <c r="V549" s="53"/>
      <c r="W549" s="60"/>
      <c r="X549" s="123"/>
      <c r="Y549" s="117"/>
      <c r="Z549" s="117"/>
      <c r="AH549" s="88"/>
      <c r="AI549" s="88"/>
    </row>
    <row r="550" spans="1:35">
      <c r="A550" s="38"/>
      <c r="B550" s="38"/>
      <c r="C550" s="38"/>
      <c r="D550" s="38"/>
      <c r="E550" s="38"/>
      <c r="F550" s="43"/>
      <c r="G550" s="44"/>
      <c r="H550" s="45"/>
      <c r="I550" s="38"/>
      <c r="J550" s="38"/>
      <c r="K550" s="46"/>
      <c r="L550" s="47"/>
      <c r="M550" s="46"/>
      <c r="N550" s="46"/>
      <c r="O550" s="38"/>
      <c r="P550" s="38"/>
      <c r="Q550" s="14"/>
      <c r="R550" s="50"/>
      <c r="S550" s="50"/>
      <c r="T550" s="50"/>
      <c r="U550" s="52"/>
      <c r="V550" s="53"/>
      <c r="W550" s="60"/>
      <c r="X550" s="123"/>
      <c r="Y550" s="117"/>
      <c r="Z550" s="117"/>
      <c r="AH550" s="88"/>
      <c r="AI550" s="88"/>
    </row>
    <row r="551" spans="1:35">
      <c r="A551" s="38"/>
      <c r="B551" s="38"/>
      <c r="C551" s="38"/>
      <c r="D551" s="38"/>
      <c r="E551" s="38"/>
      <c r="F551" s="43"/>
      <c r="G551" s="44"/>
      <c r="H551" s="45"/>
      <c r="I551" s="38"/>
      <c r="J551" s="38"/>
      <c r="K551" s="46"/>
      <c r="L551" s="47"/>
      <c r="M551" s="46"/>
      <c r="N551" s="46"/>
      <c r="O551" s="38"/>
      <c r="P551" s="38"/>
      <c r="Q551" s="14"/>
      <c r="R551" s="50"/>
      <c r="S551" s="50"/>
      <c r="T551" s="50"/>
      <c r="U551" s="52"/>
      <c r="V551" s="53"/>
      <c r="W551" s="60"/>
      <c r="X551" s="123"/>
      <c r="Y551" s="117"/>
      <c r="Z551" s="117"/>
      <c r="AH551" s="88"/>
      <c r="AI551" s="88"/>
    </row>
    <row r="552" spans="1:35">
      <c r="A552" s="38"/>
      <c r="B552" s="38"/>
      <c r="C552" s="38"/>
      <c r="D552" s="38"/>
      <c r="E552" s="38"/>
      <c r="F552" s="43"/>
      <c r="G552" s="44"/>
      <c r="H552" s="45"/>
      <c r="I552" s="38"/>
      <c r="J552" s="38"/>
      <c r="K552" s="46"/>
      <c r="L552" s="47"/>
      <c r="M552" s="46"/>
      <c r="N552" s="46"/>
      <c r="O552" s="38"/>
      <c r="P552" s="38"/>
      <c r="Q552" s="14"/>
      <c r="R552" s="50"/>
      <c r="S552" s="50"/>
      <c r="T552" s="50"/>
      <c r="U552" s="52"/>
      <c r="V552" s="53"/>
      <c r="W552" s="60"/>
      <c r="X552" s="123"/>
      <c r="Y552" s="117"/>
      <c r="Z552" s="117"/>
      <c r="AH552" s="88"/>
      <c r="AI552" s="88"/>
    </row>
    <row r="553" spans="1:35">
      <c r="A553" s="38"/>
      <c r="B553" s="38"/>
      <c r="C553" s="38"/>
      <c r="D553" s="38"/>
      <c r="E553" s="38"/>
      <c r="F553" s="43"/>
      <c r="G553" s="44"/>
      <c r="H553" s="45"/>
      <c r="I553" s="38"/>
      <c r="J553" s="38"/>
      <c r="K553" s="46"/>
      <c r="L553" s="47"/>
      <c r="M553" s="46"/>
      <c r="N553" s="46"/>
      <c r="O553" s="38"/>
      <c r="P553" s="38"/>
      <c r="Q553" s="14"/>
      <c r="R553" s="50"/>
      <c r="S553" s="50"/>
      <c r="T553" s="50"/>
      <c r="U553" s="52"/>
      <c r="V553" s="53"/>
      <c r="W553" s="60"/>
      <c r="X553" s="123"/>
      <c r="Y553" s="117"/>
      <c r="Z553" s="117"/>
      <c r="AH553" s="88"/>
      <c r="AI553" s="88"/>
    </row>
    <row r="554" spans="1:35">
      <c r="A554" s="38"/>
      <c r="B554" s="38"/>
      <c r="C554" s="38"/>
      <c r="D554" s="38"/>
      <c r="E554" s="38"/>
      <c r="F554" s="43"/>
      <c r="G554" s="44"/>
      <c r="H554" s="45"/>
      <c r="I554" s="38"/>
      <c r="J554" s="38"/>
      <c r="K554" s="46"/>
      <c r="L554" s="47"/>
      <c r="M554" s="46"/>
      <c r="N554" s="46"/>
      <c r="O554" s="38"/>
      <c r="P554" s="38"/>
      <c r="Q554" s="14"/>
      <c r="R554" s="50"/>
      <c r="S554" s="50"/>
      <c r="T554" s="50"/>
      <c r="U554" s="52"/>
      <c r="V554" s="53"/>
      <c r="W554" s="60"/>
      <c r="X554" s="123"/>
      <c r="Y554" s="117"/>
      <c r="Z554" s="117"/>
      <c r="AH554" s="88"/>
      <c r="AI554" s="88"/>
    </row>
    <row r="555" spans="1:35">
      <c r="A555" s="38"/>
      <c r="B555" s="38"/>
      <c r="C555" s="38"/>
      <c r="D555" s="38"/>
      <c r="E555" s="38"/>
      <c r="F555" s="43"/>
      <c r="G555" s="44"/>
      <c r="H555" s="45"/>
      <c r="I555" s="38"/>
      <c r="J555" s="38"/>
      <c r="K555" s="46"/>
      <c r="L555" s="47"/>
      <c r="M555" s="46"/>
      <c r="N555" s="46"/>
      <c r="O555" s="38"/>
      <c r="P555" s="38"/>
      <c r="Q555" s="14"/>
      <c r="R555" s="50"/>
      <c r="S555" s="50"/>
      <c r="T555" s="50"/>
      <c r="U555" s="52"/>
      <c r="V555" s="53"/>
      <c r="W555" s="60"/>
      <c r="X555" s="123"/>
      <c r="Y555" s="117"/>
      <c r="Z555" s="117"/>
      <c r="AH555" s="88"/>
      <c r="AI555" s="88"/>
    </row>
    <row r="556" spans="1:35">
      <c r="A556" s="38"/>
      <c r="B556" s="38"/>
      <c r="C556" s="38"/>
      <c r="D556" s="38"/>
      <c r="E556" s="38"/>
      <c r="F556" s="43"/>
      <c r="G556" s="44"/>
      <c r="H556" s="45"/>
      <c r="I556" s="38"/>
      <c r="J556" s="38"/>
      <c r="K556" s="46"/>
      <c r="L556" s="47"/>
      <c r="M556" s="46"/>
      <c r="N556" s="46"/>
      <c r="O556" s="38"/>
      <c r="P556" s="38"/>
      <c r="Q556" s="14"/>
      <c r="R556" s="50"/>
      <c r="S556" s="50"/>
      <c r="T556" s="50"/>
      <c r="U556" s="52"/>
      <c r="V556" s="53"/>
      <c r="W556" s="60"/>
      <c r="X556" s="123"/>
      <c r="Y556" s="117"/>
      <c r="Z556" s="117"/>
      <c r="AH556" s="88"/>
      <c r="AI556" s="88"/>
    </row>
    <row r="557" spans="1:35">
      <c r="A557" s="38"/>
      <c r="B557" s="38"/>
      <c r="C557" s="38"/>
      <c r="D557" s="38"/>
      <c r="E557" s="38"/>
      <c r="F557" s="43"/>
      <c r="G557" s="44"/>
      <c r="H557" s="45"/>
      <c r="I557" s="38"/>
      <c r="J557" s="38"/>
      <c r="K557" s="46"/>
      <c r="L557" s="47"/>
      <c r="M557" s="46"/>
      <c r="N557" s="46"/>
      <c r="O557" s="38"/>
      <c r="P557" s="38"/>
      <c r="Q557" s="14"/>
      <c r="R557" s="50"/>
      <c r="S557" s="50"/>
      <c r="T557" s="50"/>
      <c r="U557" s="52"/>
      <c r="V557" s="53"/>
      <c r="W557" s="60"/>
      <c r="X557" s="123"/>
      <c r="Y557" s="117"/>
      <c r="Z557" s="117"/>
      <c r="AH557" s="88"/>
      <c r="AI557" s="88"/>
    </row>
    <row r="558" spans="1:35">
      <c r="A558" s="38"/>
      <c r="B558" s="38"/>
      <c r="C558" s="38"/>
      <c r="D558" s="38"/>
      <c r="E558" s="38"/>
      <c r="F558" s="43"/>
      <c r="G558" s="44"/>
      <c r="H558" s="45"/>
      <c r="I558" s="38"/>
      <c r="J558" s="38"/>
      <c r="K558" s="46"/>
      <c r="L558" s="47"/>
      <c r="M558" s="46"/>
      <c r="N558" s="46"/>
      <c r="O558" s="38"/>
      <c r="P558" s="38"/>
      <c r="Q558" s="14"/>
      <c r="R558" s="50"/>
      <c r="S558" s="50"/>
      <c r="T558" s="50"/>
      <c r="U558" s="52"/>
      <c r="V558" s="53"/>
      <c r="W558" s="60"/>
      <c r="X558" s="123"/>
      <c r="Y558" s="117"/>
      <c r="Z558" s="117"/>
      <c r="AH558" s="88"/>
      <c r="AI558" s="88"/>
    </row>
    <row r="559" spans="1:35">
      <c r="A559" s="38"/>
      <c r="B559" s="38"/>
      <c r="C559" s="38"/>
      <c r="D559" s="38"/>
      <c r="E559" s="38"/>
      <c r="F559" s="43"/>
      <c r="G559" s="44"/>
      <c r="H559" s="45"/>
      <c r="I559" s="38"/>
      <c r="J559" s="38"/>
      <c r="K559" s="46"/>
      <c r="L559" s="47"/>
      <c r="M559" s="46"/>
      <c r="N559" s="46"/>
      <c r="O559" s="38"/>
      <c r="P559" s="38"/>
      <c r="Q559" s="14"/>
      <c r="R559" s="50"/>
      <c r="S559" s="50"/>
      <c r="T559" s="50"/>
      <c r="U559" s="52"/>
      <c r="V559" s="53"/>
      <c r="W559" s="60"/>
      <c r="X559" s="123"/>
      <c r="Y559" s="117"/>
      <c r="Z559" s="117"/>
      <c r="AH559" s="88"/>
      <c r="AI559" s="88"/>
    </row>
    <row r="560" spans="1:35">
      <c r="A560" s="38"/>
      <c r="B560" s="38"/>
      <c r="C560" s="38"/>
      <c r="D560" s="38"/>
      <c r="E560" s="38"/>
      <c r="F560" s="43"/>
      <c r="G560" s="44"/>
      <c r="H560" s="45"/>
      <c r="I560" s="38"/>
      <c r="J560" s="38"/>
      <c r="K560" s="46"/>
      <c r="L560" s="47"/>
      <c r="M560" s="46"/>
      <c r="N560" s="46"/>
      <c r="O560" s="38"/>
      <c r="P560" s="38"/>
      <c r="Q560" s="14"/>
      <c r="R560" s="50"/>
      <c r="S560" s="50"/>
      <c r="T560" s="50"/>
      <c r="U560" s="52"/>
      <c r="V560" s="53"/>
      <c r="W560" s="60"/>
      <c r="X560" s="123"/>
      <c r="Y560" s="117"/>
      <c r="Z560" s="117"/>
      <c r="AH560" s="88"/>
      <c r="AI560" s="88"/>
    </row>
    <row r="561" spans="1:35">
      <c r="A561" s="38"/>
      <c r="B561" s="38"/>
      <c r="C561" s="38"/>
      <c r="D561" s="38"/>
      <c r="E561" s="38"/>
      <c r="F561" s="43"/>
      <c r="G561" s="44"/>
      <c r="H561" s="45"/>
      <c r="I561" s="38"/>
      <c r="J561" s="38"/>
      <c r="K561" s="46"/>
      <c r="L561" s="47"/>
      <c r="M561" s="46"/>
      <c r="N561" s="46"/>
      <c r="O561" s="38"/>
      <c r="P561" s="38"/>
      <c r="Q561" s="14"/>
      <c r="R561" s="50"/>
      <c r="S561" s="50"/>
      <c r="T561" s="50"/>
      <c r="U561" s="52"/>
      <c r="V561" s="53"/>
      <c r="W561" s="60"/>
      <c r="X561" s="123"/>
      <c r="Y561" s="117"/>
      <c r="Z561" s="117"/>
      <c r="AH561" s="88"/>
      <c r="AI561" s="88"/>
    </row>
    <row r="562" spans="1:35">
      <c r="A562" s="38"/>
      <c r="B562" s="38"/>
      <c r="C562" s="38"/>
      <c r="D562" s="38"/>
      <c r="E562" s="38"/>
      <c r="F562" s="43"/>
      <c r="G562" s="44"/>
      <c r="H562" s="45"/>
      <c r="I562" s="38"/>
      <c r="J562" s="38"/>
      <c r="K562" s="46"/>
      <c r="L562" s="47"/>
      <c r="M562" s="46"/>
      <c r="N562" s="46"/>
      <c r="O562" s="38"/>
      <c r="P562" s="38"/>
      <c r="Q562" s="14"/>
      <c r="R562" s="50"/>
      <c r="S562" s="50"/>
      <c r="T562" s="50"/>
      <c r="U562" s="52"/>
      <c r="V562" s="53"/>
      <c r="W562" s="60"/>
      <c r="X562" s="123"/>
      <c r="Y562" s="117"/>
      <c r="Z562" s="117"/>
      <c r="AH562" s="88"/>
      <c r="AI562" s="88"/>
    </row>
    <row r="563" spans="1:35">
      <c r="A563" s="38"/>
      <c r="B563" s="38"/>
      <c r="C563" s="38"/>
      <c r="D563" s="38"/>
      <c r="E563" s="38"/>
      <c r="F563" s="43"/>
      <c r="G563" s="44"/>
      <c r="H563" s="45"/>
      <c r="I563" s="38"/>
      <c r="J563" s="38"/>
      <c r="K563" s="46"/>
      <c r="L563" s="47"/>
      <c r="M563" s="46"/>
      <c r="N563" s="46"/>
      <c r="O563" s="38"/>
      <c r="P563" s="38"/>
      <c r="Q563" s="14"/>
      <c r="R563" s="50"/>
      <c r="S563" s="50"/>
      <c r="T563" s="50"/>
      <c r="U563" s="52"/>
      <c r="V563" s="53"/>
      <c r="W563" s="60"/>
      <c r="X563" s="123"/>
      <c r="Y563" s="117"/>
      <c r="Z563" s="117"/>
      <c r="AH563" s="88"/>
      <c r="AI563" s="88"/>
    </row>
    <row r="564" spans="1:35">
      <c r="A564" s="38"/>
      <c r="B564" s="38"/>
      <c r="C564" s="38"/>
      <c r="D564" s="38"/>
      <c r="E564" s="38"/>
      <c r="F564" s="43"/>
      <c r="G564" s="44"/>
      <c r="H564" s="45"/>
      <c r="I564" s="38"/>
      <c r="J564" s="38"/>
      <c r="K564" s="46"/>
      <c r="L564" s="47"/>
      <c r="M564" s="46"/>
      <c r="N564" s="46"/>
      <c r="O564" s="38"/>
      <c r="P564" s="38"/>
      <c r="Q564" s="14"/>
      <c r="R564" s="50"/>
      <c r="S564" s="50"/>
      <c r="T564" s="50"/>
      <c r="U564" s="52"/>
      <c r="V564" s="53"/>
      <c r="W564" s="60"/>
      <c r="X564" s="123"/>
      <c r="Y564" s="117"/>
      <c r="Z564" s="117"/>
      <c r="AH564" s="88"/>
      <c r="AI564" s="88"/>
    </row>
    <row r="565" spans="1:35">
      <c r="A565" s="38"/>
      <c r="B565" s="38"/>
      <c r="C565" s="38"/>
      <c r="D565" s="38"/>
      <c r="E565" s="38"/>
      <c r="F565" s="43"/>
      <c r="G565" s="44"/>
      <c r="H565" s="45"/>
      <c r="I565" s="38"/>
      <c r="J565" s="38"/>
      <c r="K565" s="46"/>
      <c r="L565" s="47"/>
      <c r="M565" s="46"/>
      <c r="N565" s="46"/>
      <c r="O565" s="38"/>
      <c r="P565" s="38"/>
      <c r="Q565" s="14"/>
      <c r="R565" s="50"/>
      <c r="S565" s="50"/>
      <c r="T565" s="50"/>
      <c r="U565" s="52"/>
      <c r="V565" s="53"/>
      <c r="W565" s="60"/>
      <c r="X565" s="123"/>
      <c r="Y565" s="117"/>
      <c r="Z565" s="117"/>
      <c r="AH565" s="88"/>
      <c r="AI565" s="88"/>
    </row>
    <row r="566" spans="1:35">
      <c r="A566" s="38"/>
      <c r="B566" s="38"/>
      <c r="C566" s="38"/>
      <c r="D566" s="38"/>
      <c r="E566" s="38"/>
      <c r="F566" s="43"/>
      <c r="G566" s="44"/>
      <c r="H566" s="45"/>
      <c r="I566" s="38"/>
      <c r="J566" s="38"/>
      <c r="K566" s="46"/>
      <c r="L566" s="47"/>
      <c r="M566" s="46"/>
      <c r="N566" s="46"/>
      <c r="O566" s="38"/>
      <c r="P566" s="38"/>
      <c r="Q566" s="14"/>
      <c r="R566" s="50"/>
      <c r="S566" s="50"/>
      <c r="T566" s="50"/>
      <c r="U566" s="52"/>
      <c r="V566" s="53"/>
      <c r="W566" s="60"/>
      <c r="X566" s="123"/>
      <c r="Y566" s="117"/>
      <c r="Z566" s="117"/>
      <c r="AH566" s="88"/>
      <c r="AI566" s="88"/>
    </row>
    <row r="567" spans="1:35">
      <c r="A567" s="38"/>
      <c r="B567" s="38"/>
      <c r="C567" s="38"/>
      <c r="D567" s="38"/>
      <c r="E567" s="38"/>
      <c r="F567" s="43"/>
      <c r="G567" s="44"/>
      <c r="H567" s="45"/>
      <c r="I567" s="38"/>
      <c r="J567" s="38"/>
      <c r="K567" s="46"/>
      <c r="L567" s="47"/>
      <c r="M567" s="46"/>
      <c r="N567" s="46"/>
      <c r="O567" s="38"/>
      <c r="P567" s="38"/>
      <c r="Q567" s="14"/>
      <c r="R567" s="50"/>
      <c r="S567" s="50"/>
      <c r="T567" s="50"/>
      <c r="U567" s="52"/>
      <c r="V567" s="53"/>
      <c r="W567" s="60"/>
      <c r="X567" s="123"/>
      <c r="Y567" s="117"/>
      <c r="Z567" s="117"/>
      <c r="AH567" s="88"/>
      <c r="AI567" s="88"/>
    </row>
    <row r="568" spans="1:35">
      <c r="A568" s="38"/>
      <c r="B568" s="38"/>
      <c r="C568" s="38"/>
      <c r="D568" s="38"/>
      <c r="E568" s="38"/>
      <c r="F568" s="43"/>
      <c r="G568" s="44"/>
      <c r="H568" s="45"/>
      <c r="I568" s="38"/>
      <c r="J568" s="38"/>
      <c r="K568" s="46"/>
      <c r="L568" s="47"/>
      <c r="M568" s="46"/>
      <c r="N568" s="46"/>
      <c r="O568" s="38"/>
      <c r="P568" s="38"/>
      <c r="Q568" s="14"/>
      <c r="R568" s="50"/>
      <c r="S568" s="50"/>
      <c r="T568" s="50"/>
      <c r="U568" s="52"/>
      <c r="V568" s="53"/>
      <c r="W568" s="60"/>
      <c r="X568" s="123"/>
      <c r="Y568" s="117"/>
      <c r="Z568" s="117"/>
      <c r="AH568" s="88"/>
      <c r="AI568" s="88"/>
    </row>
    <row r="569" spans="1:35">
      <c r="A569" s="38"/>
      <c r="B569" s="38"/>
      <c r="C569" s="38"/>
      <c r="D569" s="38"/>
      <c r="E569" s="38"/>
      <c r="F569" s="43"/>
      <c r="G569" s="44"/>
      <c r="H569" s="45"/>
      <c r="I569" s="38"/>
      <c r="J569" s="38"/>
      <c r="K569" s="46"/>
      <c r="L569" s="47"/>
      <c r="M569" s="46"/>
      <c r="N569" s="46"/>
      <c r="O569" s="38"/>
      <c r="P569" s="38"/>
      <c r="Q569" s="14"/>
      <c r="R569" s="50"/>
      <c r="S569" s="50"/>
      <c r="T569" s="50"/>
      <c r="U569" s="52"/>
      <c r="V569" s="53"/>
      <c r="W569" s="60"/>
      <c r="X569" s="123"/>
      <c r="Y569" s="117"/>
      <c r="Z569" s="117"/>
      <c r="AH569" s="88"/>
      <c r="AI569" s="88"/>
    </row>
    <row r="570" spans="1:35">
      <c r="A570" s="38"/>
      <c r="B570" s="38"/>
      <c r="C570" s="38"/>
      <c r="D570" s="38"/>
      <c r="E570" s="38"/>
      <c r="F570" s="43"/>
      <c r="G570" s="44"/>
      <c r="H570" s="45"/>
      <c r="I570" s="38"/>
      <c r="J570" s="38"/>
      <c r="K570" s="46"/>
      <c r="L570" s="47"/>
      <c r="M570" s="46"/>
      <c r="N570" s="46"/>
      <c r="O570" s="38"/>
      <c r="P570" s="38"/>
      <c r="Q570" s="14"/>
      <c r="R570" s="50"/>
      <c r="S570" s="50"/>
      <c r="T570" s="50"/>
      <c r="U570" s="52"/>
      <c r="V570" s="53"/>
      <c r="W570" s="60"/>
      <c r="X570" s="123"/>
      <c r="Y570" s="117"/>
      <c r="Z570" s="117"/>
      <c r="AH570" s="88"/>
      <c r="AI570" s="88"/>
    </row>
    <row r="571" spans="1:35">
      <c r="A571" s="38"/>
      <c r="B571" s="38"/>
      <c r="C571" s="38"/>
      <c r="D571" s="38"/>
      <c r="E571" s="38"/>
      <c r="F571" s="43"/>
      <c r="G571" s="44"/>
      <c r="H571" s="45"/>
      <c r="I571" s="38"/>
      <c r="J571" s="38"/>
      <c r="K571" s="46"/>
      <c r="L571" s="47"/>
      <c r="M571" s="46"/>
      <c r="N571" s="46"/>
      <c r="O571" s="38"/>
      <c r="P571" s="38"/>
      <c r="Q571" s="14"/>
      <c r="R571" s="50"/>
      <c r="S571" s="50"/>
      <c r="T571" s="50"/>
      <c r="U571" s="52"/>
      <c r="V571" s="53"/>
      <c r="W571" s="60"/>
      <c r="X571" s="123"/>
      <c r="Y571" s="117"/>
      <c r="Z571" s="117"/>
      <c r="AH571" s="88"/>
      <c r="AI571" s="88"/>
    </row>
    <row r="572" spans="1:35">
      <c r="A572" s="38"/>
      <c r="B572" s="38"/>
      <c r="C572" s="38"/>
      <c r="D572" s="38"/>
      <c r="E572" s="38"/>
      <c r="F572" s="43"/>
      <c r="G572" s="44"/>
      <c r="H572" s="45"/>
      <c r="I572" s="38"/>
      <c r="J572" s="38"/>
      <c r="K572" s="46"/>
      <c r="L572" s="47"/>
      <c r="M572" s="46"/>
      <c r="N572" s="46"/>
      <c r="O572" s="38"/>
      <c r="P572" s="38"/>
      <c r="Q572" s="14"/>
      <c r="R572" s="50"/>
      <c r="S572" s="50"/>
      <c r="T572" s="50"/>
      <c r="U572" s="52"/>
      <c r="V572" s="53"/>
      <c r="W572" s="60"/>
      <c r="X572" s="123"/>
      <c r="Y572" s="117"/>
      <c r="Z572" s="117"/>
      <c r="AH572" s="88"/>
      <c r="AI572" s="88"/>
    </row>
    <row r="573" spans="1:35">
      <c r="A573" s="38"/>
      <c r="B573" s="38"/>
      <c r="C573" s="38"/>
      <c r="D573" s="38"/>
      <c r="E573" s="38"/>
      <c r="F573" s="43"/>
      <c r="G573" s="44"/>
      <c r="H573" s="45"/>
      <c r="I573" s="38"/>
      <c r="J573" s="38"/>
      <c r="K573" s="46"/>
      <c r="L573" s="47"/>
      <c r="M573" s="46"/>
      <c r="N573" s="46"/>
      <c r="O573" s="38"/>
      <c r="P573" s="38"/>
      <c r="Q573" s="14"/>
      <c r="R573" s="50"/>
      <c r="S573" s="50"/>
      <c r="T573" s="50"/>
      <c r="U573" s="52"/>
      <c r="V573" s="53"/>
      <c r="W573" s="60"/>
      <c r="X573" s="123"/>
      <c r="Y573" s="117"/>
      <c r="Z573" s="117"/>
      <c r="AH573" s="88"/>
      <c r="AI573" s="88"/>
    </row>
    <row r="574" spans="1:35">
      <c r="A574" s="38"/>
      <c r="B574" s="38"/>
      <c r="C574" s="38"/>
      <c r="D574" s="38"/>
      <c r="E574" s="38"/>
      <c r="F574" s="43"/>
      <c r="G574" s="44"/>
      <c r="H574" s="45"/>
      <c r="I574" s="38"/>
      <c r="J574" s="38"/>
      <c r="K574" s="46"/>
      <c r="L574" s="47"/>
      <c r="M574" s="46"/>
      <c r="N574" s="46"/>
      <c r="O574" s="38"/>
      <c r="P574" s="38"/>
      <c r="Q574" s="14"/>
      <c r="R574" s="50"/>
      <c r="S574" s="50"/>
      <c r="T574" s="50"/>
      <c r="U574" s="52"/>
      <c r="V574" s="53"/>
      <c r="W574" s="60"/>
      <c r="X574" s="123"/>
      <c r="Y574" s="117"/>
      <c r="Z574" s="117"/>
      <c r="AH574" s="88"/>
      <c r="AI574" s="88"/>
    </row>
    <row r="575" spans="1:35">
      <c r="A575" s="38"/>
      <c r="B575" s="38"/>
      <c r="C575" s="38"/>
      <c r="D575" s="38"/>
      <c r="E575" s="38"/>
      <c r="F575" s="43"/>
      <c r="G575" s="44"/>
      <c r="H575" s="45"/>
      <c r="I575" s="38"/>
      <c r="J575" s="38"/>
      <c r="K575" s="46"/>
      <c r="L575" s="47"/>
      <c r="M575" s="46"/>
      <c r="N575" s="46"/>
      <c r="O575" s="38"/>
      <c r="P575" s="38"/>
      <c r="Q575" s="14"/>
      <c r="R575" s="50"/>
      <c r="S575" s="50"/>
      <c r="T575" s="50"/>
      <c r="U575" s="52"/>
      <c r="V575" s="53"/>
      <c r="W575" s="60"/>
      <c r="X575" s="123"/>
      <c r="Y575" s="117"/>
      <c r="Z575" s="117"/>
      <c r="AH575" s="88"/>
      <c r="AI575" s="88"/>
    </row>
    <row r="576" spans="1:35">
      <c r="A576" s="38"/>
      <c r="B576" s="38"/>
      <c r="C576" s="38"/>
      <c r="D576" s="38"/>
      <c r="E576" s="38"/>
      <c r="F576" s="43"/>
      <c r="G576" s="44"/>
      <c r="H576" s="45"/>
      <c r="I576" s="38"/>
      <c r="J576" s="38"/>
      <c r="K576" s="46"/>
      <c r="L576" s="47"/>
      <c r="M576" s="46"/>
      <c r="N576" s="46"/>
      <c r="O576" s="38"/>
      <c r="P576" s="38"/>
      <c r="Q576" s="14"/>
      <c r="R576" s="50"/>
      <c r="S576" s="50"/>
      <c r="T576" s="50"/>
      <c r="U576" s="52"/>
      <c r="V576" s="53"/>
      <c r="W576" s="60"/>
      <c r="X576" s="123"/>
      <c r="Y576" s="117"/>
      <c r="Z576" s="117"/>
      <c r="AH576" s="88"/>
      <c r="AI576" s="88"/>
    </row>
    <row r="577" spans="1:35">
      <c r="A577" s="38"/>
      <c r="B577" s="38"/>
      <c r="C577" s="38"/>
      <c r="D577" s="38"/>
      <c r="E577" s="38"/>
      <c r="F577" s="43"/>
      <c r="G577" s="44"/>
      <c r="H577" s="45"/>
      <c r="I577" s="38"/>
      <c r="J577" s="38"/>
      <c r="K577" s="46"/>
      <c r="L577" s="47"/>
      <c r="M577" s="46"/>
      <c r="N577" s="46"/>
      <c r="O577" s="38"/>
      <c r="P577" s="38"/>
      <c r="Q577" s="14"/>
      <c r="R577" s="50"/>
      <c r="S577" s="50"/>
      <c r="T577" s="50"/>
      <c r="U577" s="52"/>
      <c r="V577" s="53"/>
      <c r="W577" s="60"/>
      <c r="X577" s="123"/>
      <c r="Y577" s="117"/>
      <c r="Z577" s="117"/>
      <c r="AH577" s="88"/>
      <c r="AI577" s="88"/>
    </row>
    <row r="578" spans="1:35">
      <c r="A578" s="38"/>
      <c r="B578" s="38"/>
      <c r="C578" s="38"/>
      <c r="D578" s="38"/>
      <c r="E578" s="38"/>
      <c r="F578" s="43"/>
      <c r="G578" s="44"/>
      <c r="H578" s="45"/>
      <c r="I578" s="38"/>
      <c r="J578" s="38"/>
      <c r="K578" s="46"/>
      <c r="L578" s="47"/>
      <c r="M578" s="46"/>
      <c r="N578" s="46"/>
      <c r="O578" s="38"/>
      <c r="P578" s="38"/>
      <c r="Q578" s="14"/>
      <c r="R578" s="50"/>
      <c r="S578" s="50"/>
      <c r="T578" s="50"/>
      <c r="U578" s="52"/>
      <c r="V578" s="53"/>
      <c r="W578" s="60"/>
      <c r="X578" s="123"/>
      <c r="Y578" s="117"/>
      <c r="Z578" s="117"/>
      <c r="AH578" s="88"/>
      <c r="AI578" s="88"/>
    </row>
    <row r="579" spans="1:35">
      <c r="A579" s="38"/>
      <c r="B579" s="38"/>
      <c r="C579" s="38"/>
      <c r="D579" s="38"/>
      <c r="E579" s="38"/>
      <c r="F579" s="43"/>
      <c r="G579" s="44"/>
      <c r="H579" s="45"/>
      <c r="I579" s="38"/>
      <c r="J579" s="38"/>
      <c r="K579" s="46"/>
      <c r="L579" s="47"/>
      <c r="M579" s="46"/>
      <c r="N579" s="46"/>
      <c r="O579" s="38"/>
      <c r="P579" s="38"/>
      <c r="Q579" s="14"/>
      <c r="R579" s="50"/>
      <c r="S579" s="50"/>
      <c r="T579" s="50"/>
      <c r="U579" s="52"/>
      <c r="V579" s="53"/>
      <c r="W579" s="60"/>
      <c r="X579" s="123"/>
      <c r="Y579" s="117"/>
      <c r="Z579" s="117"/>
      <c r="AH579" s="88"/>
      <c r="AI579" s="88"/>
    </row>
    <row r="580" spans="1:35">
      <c r="A580" s="38"/>
      <c r="B580" s="38"/>
      <c r="C580" s="38"/>
      <c r="D580" s="38"/>
      <c r="E580" s="38"/>
      <c r="F580" s="43"/>
      <c r="G580" s="44"/>
      <c r="H580" s="45"/>
      <c r="I580" s="38"/>
      <c r="J580" s="38"/>
      <c r="K580" s="46"/>
      <c r="L580" s="47"/>
      <c r="M580" s="46"/>
      <c r="N580" s="46"/>
      <c r="O580" s="38"/>
      <c r="P580" s="38"/>
      <c r="Q580" s="14"/>
      <c r="R580" s="50"/>
      <c r="S580" s="50"/>
      <c r="T580" s="50"/>
      <c r="U580" s="52"/>
      <c r="V580" s="53"/>
      <c r="W580" s="60"/>
      <c r="X580" s="123"/>
      <c r="Y580" s="117"/>
      <c r="Z580" s="117"/>
      <c r="AH580" s="88"/>
      <c r="AI580" s="88"/>
    </row>
    <row r="581" spans="1:35">
      <c r="A581" s="38"/>
      <c r="B581" s="38"/>
      <c r="C581" s="38"/>
      <c r="D581" s="38"/>
      <c r="E581" s="38"/>
      <c r="F581" s="43"/>
      <c r="G581" s="44"/>
      <c r="H581" s="45"/>
      <c r="I581" s="38"/>
      <c r="J581" s="38"/>
      <c r="K581" s="46"/>
      <c r="L581" s="47"/>
      <c r="M581" s="46"/>
      <c r="N581" s="46"/>
      <c r="O581" s="38"/>
      <c r="P581" s="38"/>
      <c r="Q581" s="14"/>
      <c r="R581" s="50"/>
      <c r="S581" s="50"/>
      <c r="T581" s="50"/>
      <c r="U581" s="52"/>
      <c r="V581" s="53"/>
      <c r="W581" s="60"/>
      <c r="X581" s="123"/>
      <c r="Y581" s="117"/>
      <c r="Z581" s="117"/>
      <c r="AH581" s="88"/>
      <c r="AI581" s="88"/>
    </row>
    <row r="582" spans="1:35">
      <c r="A582" s="38"/>
      <c r="B582" s="38"/>
      <c r="C582" s="38"/>
      <c r="D582" s="38"/>
      <c r="E582" s="38"/>
      <c r="F582" s="43"/>
      <c r="G582" s="44"/>
      <c r="H582" s="45"/>
      <c r="I582" s="38"/>
      <c r="J582" s="38"/>
      <c r="K582" s="46"/>
      <c r="L582" s="47"/>
      <c r="M582" s="46"/>
      <c r="N582" s="46"/>
      <c r="O582" s="38"/>
      <c r="P582" s="38"/>
      <c r="Q582" s="14"/>
      <c r="R582" s="50"/>
      <c r="S582" s="50"/>
      <c r="T582" s="50"/>
      <c r="U582" s="52"/>
      <c r="V582" s="53"/>
      <c r="W582" s="60"/>
      <c r="X582" s="123"/>
      <c r="Y582" s="117"/>
      <c r="Z582" s="117"/>
      <c r="AH582" s="88"/>
      <c r="AI582" s="88"/>
    </row>
    <row r="583" spans="1:35">
      <c r="A583" s="38"/>
      <c r="B583" s="38"/>
      <c r="C583" s="38"/>
      <c r="D583" s="38"/>
      <c r="E583" s="38"/>
      <c r="F583" s="43"/>
      <c r="G583" s="44"/>
      <c r="H583" s="45"/>
      <c r="I583" s="38"/>
      <c r="J583" s="38"/>
      <c r="K583" s="46"/>
      <c r="L583" s="47"/>
      <c r="M583" s="46"/>
      <c r="N583" s="46"/>
      <c r="O583" s="38"/>
      <c r="P583" s="38"/>
      <c r="Q583" s="14"/>
      <c r="R583" s="50"/>
      <c r="S583" s="50"/>
      <c r="T583" s="50"/>
      <c r="U583" s="52"/>
      <c r="V583" s="53"/>
      <c r="W583" s="60"/>
      <c r="X583" s="123"/>
      <c r="Y583" s="117"/>
      <c r="Z583" s="117"/>
      <c r="AH583" s="88"/>
      <c r="AI583" s="88"/>
    </row>
    <row r="584" spans="1:35">
      <c r="A584" s="38"/>
      <c r="B584" s="38"/>
      <c r="C584" s="38"/>
      <c r="D584" s="38"/>
      <c r="E584" s="38"/>
      <c r="F584" s="43"/>
      <c r="G584" s="44"/>
      <c r="H584" s="45"/>
      <c r="I584" s="38"/>
      <c r="J584" s="38"/>
      <c r="K584" s="46"/>
      <c r="L584" s="47"/>
      <c r="M584" s="46"/>
      <c r="N584" s="46"/>
      <c r="O584" s="38"/>
      <c r="P584" s="38"/>
      <c r="Q584" s="14"/>
      <c r="R584" s="50"/>
      <c r="S584" s="50"/>
      <c r="T584" s="50"/>
      <c r="U584" s="52"/>
      <c r="V584" s="53"/>
      <c r="W584" s="60"/>
      <c r="X584" s="123"/>
      <c r="Y584" s="117"/>
      <c r="Z584" s="117"/>
      <c r="AH584" s="88"/>
      <c r="AI584" s="88"/>
    </row>
    <row r="585" spans="1:35">
      <c r="A585" s="38"/>
      <c r="B585" s="38"/>
      <c r="C585" s="38"/>
      <c r="D585" s="38"/>
      <c r="E585" s="38"/>
      <c r="F585" s="43"/>
      <c r="G585" s="44"/>
      <c r="H585" s="45"/>
      <c r="I585" s="38"/>
      <c r="J585" s="38"/>
      <c r="K585" s="46"/>
      <c r="L585" s="47"/>
      <c r="M585" s="46"/>
      <c r="N585" s="46"/>
      <c r="O585" s="38"/>
      <c r="P585" s="38"/>
      <c r="Q585" s="14"/>
      <c r="R585" s="50"/>
      <c r="S585" s="50"/>
      <c r="T585" s="50"/>
      <c r="U585" s="52"/>
      <c r="V585" s="53"/>
      <c r="W585" s="60"/>
      <c r="X585" s="123"/>
      <c r="Y585" s="117"/>
      <c r="Z585" s="117"/>
      <c r="AH585" s="88"/>
      <c r="AI585" s="88"/>
    </row>
    <row r="586" spans="1:35">
      <c r="A586" s="38"/>
      <c r="B586" s="38"/>
      <c r="C586" s="38"/>
      <c r="D586" s="38"/>
      <c r="E586" s="38"/>
      <c r="F586" s="43"/>
      <c r="G586" s="44"/>
      <c r="H586" s="45"/>
      <c r="I586" s="38"/>
      <c r="J586" s="38"/>
      <c r="K586" s="46"/>
      <c r="L586" s="47"/>
      <c r="M586" s="46"/>
      <c r="N586" s="46"/>
      <c r="O586" s="38"/>
      <c r="P586" s="38"/>
      <c r="Q586" s="14"/>
      <c r="R586" s="50"/>
      <c r="S586" s="50"/>
      <c r="T586" s="50"/>
      <c r="U586" s="52"/>
      <c r="V586" s="53"/>
      <c r="W586" s="60"/>
      <c r="X586" s="123"/>
      <c r="Y586" s="117"/>
      <c r="Z586" s="117"/>
      <c r="AH586" s="88"/>
      <c r="AI586" s="88"/>
    </row>
    <row r="587" spans="1:35">
      <c r="A587" s="38"/>
      <c r="B587" s="38"/>
      <c r="C587" s="38"/>
      <c r="D587" s="38"/>
      <c r="E587" s="38"/>
      <c r="F587" s="43"/>
      <c r="G587" s="44"/>
      <c r="H587" s="45"/>
      <c r="I587" s="38"/>
      <c r="J587" s="38"/>
      <c r="K587" s="46"/>
      <c r="L587" s="47"/>
      <c r="M587" s="46"/>
      <c r="N587" s="46"/>
      <c r="O587" s="38"/>
      <c r="P587" s="38"/>
      <c r="Q587" s="14"/>
      <c r="R587" s="50"/>
      <c r="S587" s="50"/>
      <c r="T587" s="50"/>
      <c r="U587" s="52"/>
      <c r="V587" s="53"/>
      <c r="W587" s="60"/>
      <c r="X587" s="123"/>
      <c r="Y587" s="117"/>
      <c r="Z587" s="117"/>
      <c r="AH587" s="88"/>
      <c r="AI587" s="88"/>
    </row>
    <row r="588" spans="1:35">
      <c r="A588" s="38"/>
      <c r="B588" s="38"/>
      <c r="C588" s="38"/>
      <c r="D588" s="38"/>
      <c r="E588" s="38"/>
      <c r="F588" s="43"/>
      <c r="G588" s="44"/>
      <c r="H588" s="45"/>
      <c r="I588" s="38"/>
      <c r="J588" s="38"/>
      <c r="K588" s="46"/>
      <c r="L588" s="47"/>
      <c r="M588" s="46"/>
      <c r="N588" s="46"/>
      <c r="O588" s="38"/>
      <c r="P588" s="38"/>
      <c r="Q588" s="14"/>
      <c r="R588" s="50"/>
      <c r="S588" s="50"/>
      <c r="T588" s="50"/>
      <c r="U588" s="52"/>
      <c r="V588" s="53"/>
      <c r="W588" s="60"/>
      <c r="X588" s="123"/>
      <c r="Y588" s="117"/>
      <c r="Z588" s="117"/>
      <c r="AH588" s="88"/>
      <c r="AI588" s="88"/>
    </row>
    <row r="589" spans="1:35">
      <c r="A589" s="38"/>
      <c r="B589" s="38"/>
      <c r="C589" s="38"/>
      <c r="D589" s="38"/>
      <c r="E589" s="38"/>
      <c r="F589" s="43"/>
      <c r="G589" s="44"/>
      <c r="H589" s="45"/>
      <c r="I589" s="38"/>
      <c r="J589" s="38"/>
      <c r="K589" s="46"/>
      <c r="L589" s="47"/>
      <c r="M589" s="46"/>
      <c r="N589" s="46"/>
      <c r="O589" s="38"/>
      <c r="P589" s="38"/>
      <c r="Q589" s="14"/>
      <c r="R589" s="50"/>
      <c r="S589" s="50"/>
      <c r="T589" s="50"/>
      <c r="U589" s="52"/>
      <c r="V589" s="53"/>
      <c r="W589" s="60"/>
      <c r="X589" s="123"/>
      <c r="Y589" s="117"/>
      <c r="Z589" s="117"/>
      <c r="AH589" s="88"/>
      <c r="AI589" s="88"/>
    </row>
    <row r="590" spans="1:35">
      <c r="A590" s="38"/>
      <c r="B590" s="38"/>
      <c r="C590" s="38"/>
      <c r="D590" s="38"/>
      <c r="E590" s="38"/>
      <c r="F590" s="43"/>
      <c r="G590" s="44"/>
      <c r="H590" s="45"/>
      <c r="I590" s="38"/>
      <c r="J590" s="38"/>
      <c r="K590" s="46"/>
      <c r="L590" s="47"/>
      <c r="M590" s="46"/>
      <c r="N590" s="46"/>
      <c r="O590" s="38"/>
      <c r="P590" s="38"/>
      <c r="Q590" s="14"/>
      <c r="R590" s="50"/>
      <c r="S590" s="50"/>
      <c r="T590" s="50"/>
      <c r="U590" s="52"/>
      <c r="V590" s="53"/>
      <c r="W590" s="60"/>
      <c r="X590" s="123"/>
      <c r="Y590" s="117"/>
      <c r="Z590" s="117"/>
      <c r="AH590" s="88"/>
      <c r="AI590" s="88"/>
    </row>
    <row r="591" spans="1:35">
      <c r="A591" s="38"/>
      <c r="B591" s="38"/>
      <c r="C591" s="38"/>
      <c r="D591" s="38"/>
      <c r="E591" s="38"/>
      <c r="F591" s="43"/>
      <c r="G591" s="44"/>
      <c r="H591" s="45"/>
      <c r="I591" s="38"/>
      <c r="J591" s="38"/>
      <c r="K591" s="46"/>
      <c r="L591" s="47"/>
      <c r="M591" s="46"/>
      <c r="N591" s="46"/>
      <c r="O591" s="38"/>
      <c r="P591" s="38"/>
      <c r="Q591" s="14"/>
      <c r="R591" s="50"/>
      <c r="S591" s="50"/>
      <c r="T591" s="50"/>
      <c r="U591" s="52"/>
      <c r="V591" s="53"/>
      <c r="W591" s="60"/>
      <c r="X591" s="123"/>
      <c r="Y591" s="117"/>
      <c r="Z591" s="117"/>
      <c r="AH591" s="88"/>
      <c r="AI591" s="88"/>
    </row>
    <row r="592" spans="1:35">
      <c r="A592" s="38"/>
      <c r="B592" s="38"/>
      <c r="C592" s="38"/>
      <c r="D592" s="38"/>
      <c r="E592" s="38"/>
      <c r="F592" s="43"/>
      <c r="G592" s="44"/>
      <c r="H592" s="45"/>
      <c r="I592" s="38"/>
      <c r="J592" s="38"/>
      <c r="K592" s="46"/>
      <c r="L592" s="47"/>
      <c r="M592" s="46"/>
      <c r="N592" s="46"/>
      <c r="O592" s="38"/>
      <c r="P592" s="38"/>
      <c r="Q592" s="14"/>
      <c r="R592" s="50"/>
      <c r="S592" s="50"/>
      <c r="T592" s="50"/>
      <c r="U592" s="52"/>
      <c r="V592" s="53"/>
      <c r="W592" s="60"/>
      <c r="X592" s="123"/>
      <c r="Y592" s="117"/>
      <c r="Z592" s="117"/>
      <c r="AH592" s="88"/>
      <c r="AI592" s="88"/>
    </row>
    <row r="593" spans="1:35">
      <c r="A593" s="38"/>
      <c r="B593" s="38"/>
      <c r="C593" s="38"/>
      <c r="D593" s="38"/>
      <c r="E593" s="38"/>
      <c r="F593" s="43"/>
      <c r="G593" s="44"/>
      <c r="H593" s="45"/>
      <c r="I593" s="38"/>
      <c r="J593" s="38"/>
      <c r="K593" s="46"/>
      <c r="L593" s="47"/>
      <c r="M593" s="46"/>
      <c r="N593" s="46"/>
      <c r="O593" s="38"/>
      <c r="P593" s="38"/>
      <c r="Q593" s="14"/>
      <c r="R593" s="50"/>
      <c r="S593" s="50"/>
      <c r="T593" s="50"/>
      <c r="U593" s="52"/>
      <c r="V593" s="53"/>
      <c r="W593" s="60"/>
      <c r="X593" s="123"/>
      <c r="Y593" s="117"/>
      <c r="Z593" s="117"/>
      <c r="AH593" s="88"/>
      <c r="AI593" s="88"/>
    </row>
    <row r="594" spans="1:35">
      <c r="A594" s="38"/>
      <c r="B594" s="38"/>
      <c r="C594" s="38"/>
      <c r="D594" s="38"/>
      <c r="E594" s="38"/>
      <c r="F594" s="43"/>
      <c r="G594" s="44"/>
      <c r="H594" s="45"/>
      <c r="I594" s="38"/>
      <c r="J594" s="38"/>
      <c r="K594" s="46"/>
      <c r="L594" s="47"/>
      <c r="M594" s="46"/>
      <c r="N594" s="46"/>
      <c r="O594" s="38"/>
      <c r="P594" s="38"/>
      <c r="Q594" s="14"/>
      <c r="R594" s="50"/>
      <c r="S594" s="50"/>
      <c r="T594" s="50"/>
      <c r="U594" s="52"/>
      <c r="V594" s="53"/>
      <c r="W594" s="60"/>
      <c r="X594" s="123"/>
      <c r="Y594" s="117"/>
      <c r="Z594" s="117"/>
      <c r="AH594" s="88"/>
      <c r="AI594" s="88"/>
    </row>
    <row r="595" spans="1:35">
      <c r="A595" s="38"/>
      <c r="B595" s="38"/>
      <c r="C595" s="38"/>
      <c r="D595" s="38"/>
      <c r="E595" s="38"/>
      <c r="F595" s="43"/>
      <c r="G595" s="44"/>
      <c r="H595" s="45"/>
      <c r="I595" s="38"/>
      <c r="J595" s="38"/>
      <c r="K595" s="46"/>
      <c r="L595" s="47"/>
      <c r="M595" s="46"/>
      <c r="N595" s="46"/>
      <c r="O595" s="38"/>
      <c r="P595" s="38"/>
      <c r="Q595" s="14"/>
      <c r="R595" s="50"/>
      <c r="S595" s="50"/>
      <c r="T595" s="50"/>
      <c r="U595" s="52"/>
      <c r="V595" s="53"/>
      <c r="W595" s="60"/>
      <c r="X595" s="123"/>
      <c r="Y595" s="117"/>
      <c r="Z595" s="117"/>
      <c r="AH595" s="88"/>
      <c r="AI595" s="88"/>
    </row>
    <row r="596" spans="1:35">
      <c r="A596" s="38"/>
      <c r="B596" s="38"/>
      <c r="C596" s="38"/>
      <c r="D596" s="38"/>
      <c r="E596" s="38"/>
      <c r="F596" s="43"/>
      <c r="G596" s="44"/>
      <c r="H596" s="45"/>
      <c r="I596" s="38"/>
      <c r="J596" s="38"/>
      <c r="K596" s="46"/>
      <c r="L596" s="47"/>
      <c r="M596" s="46"/>
      <c r="N596" s="46"/>
      <c r="O596" s="38"/>
      <c r="P596" s="38"/>
      <c r="Q596" s="14"/>
      <c r="R596" s="50"/>
      <c r="S596" s="50"/>
      <c r="T596" s="50"/>
      <c r="U596" s="52"/>
      <c r="V596" s="53"/>
      <c r="W596" s="60"/>
      <c r="X596" s="123"/>
      <c r="Y596" s="117"/>
      <c r="Z596" s="117"/>
      <c r="AH596" s="88"/>
      <c r="AI596" s="88"/>
    </row>
    <row r="597" spans="1:35">
      <c r="A597" s="38"/>
      <c r="B597" s="38"/>
      <c r="C597" s="38"/>
      <c r="D597" s="38"/>
      <c r="E597" s="38"/>
      <c r="F597" s="43"/>
      <c r="G597" s="44"/>
      <c r="H597" s="45"/>
      <c r="I597" s="38"/>
      <c r="J597" s="38"/>
      <c r="K597" s="46"/>
      <c r="L597" s="47"/>
      <c r="M597" s="46"/>
      <c r="N597" s="46"/>
      <c r="O597" s="38"/>
      <c r="P597" s="38"/>
      <c r="Q597" s="14"/>
      <c r="R597" s="50"/>
      <c r="S597" s="50"/>
      <c r="T597" s="50"/>
      <c r="U597" s="52"/>
      <c r="V597" s="53"/>
      <c r="W597" s="60"/>
      <c r="X597" s="123"/>
      <c r="Y597" s="117"/>
      <c r="Z597" s="117"/>
      <c r="AH597" s="88"/>
      <c r="AI597" s="88"/>
    </row>
    <row r="598" spans="1:35">
      <c r="A598" s="38"/>
      <c r="B598" s="38"/>
      <c r="C598" s="38"/>
      <c r="D598" s="38"/>
      <c r="E598" s="38"/>
      <c r="F598" s="43"/>
      <c r="G598" s="44"/>
      <c r="H598" s="45"/>
      <c r="I598" s="38"/>
      <c r="J598" s="38"/>
      <c r="K598" s="46"/>
      <c r="L598" s="47"/>
      <c r="M598" s="46"/>
      <c r="N598" s="46"/>
      <c r="O598" s="38"/>
      <c r="P598" s="38"/>
      <c r="Q598" s="14"/>
      <c r="R598" s="50"/>
      <c r="S598" s="50"/>
      <c r="T598" s="50"/>
      <c r="U598" s="52"/>
      <c r="V598" s="53"/>
      <c r="W598" s="60"/>
      <c r="X598" s="123"/>
      <c r="Y598" s="117"/>
      <c r="Z598" s="117"/>
      <c r="AH598" s="88"/>
      <c r="AI598" s="88"/>
    </row>
    <row r="599" spans="1:35">
      <c r="A599" s="38"/>
      <c r="B599" s="38"/>
      <c r="C599" s="38"/>
      <c r="D599" s="38"/>
      <c r="E599" s="38"/>
      <c r="F599" s="43"/>
      <c r="G599" s="44"/>
      <c r="H599" s="45"/>
      <c r="I599" s="38"/>
      <c r="J599" s="38"/>
      <c r="K599" s="46"/>
      <c r="L599" s="47"/>
      <c r="M599" s="46"/>
      <c r="N599" s="46"/>
      <c r="O599" s="38"/>
      <c r="P599" s="38"/>
      <c r="Q599" s="14"/>
      <c r="R599" s="50"/>
      <c r="S599" s="50"/>
      <c r="T599" s="50"/>
      <c r="U599" s="52"/>
      <c r="V599" s="53"/>
      <c r="W599" s="60"/>
      <c r="X599" s="123"/>
      <c r="Y599" s="117"/>
      <c r="Z599" s="117"/>
      <c r="AH599" s="88"/>
      <c r="AI599" s="88"/>
    </row>
    <row r="600" spans="1:35">
      <c r="A600" s="38"/>
      <c r="B600" s="38"/>
      <c r="C600" s="38"/>
      <c r="D600" s="38"/>
      <c r="E600" s="38"/>
      <c r="F600" s="43"/>
      <c r="G600" s="44"/>
      <c r="H600" s="45"/>
      <c r="I600" s="38"/>
      <c r="J600" s="38"/>
      <c r="K600" s="46"/>
      <c r="L600" s="47"/>
      <c r="M600" s="46"/>
      <c r="N600" s="46"/>
      <c r="O600" s="38"/>
      <c r="P600" s="38"/>
      <c r="Q600" s="14"/>
      <c r="R600" s="50"/>
      <c r="S600" s="50"/>
      <c r="T600" s="50"/>
      <c r="U600" s="52"/>
      <c r="V600" s="53"/>
      <c r="W600" s="60"/>
      <c r="X600" s="123"/>
      <c r="Y600" s="117"/>
      <c r="Z600" s="117"/>
      <c r="AH600" s="88"/>
      <c r="AI600" s="88"/>
    </row>
    <row r="601" spans="1:35">
      <c r="A601" s="38"/>
      <c r="B601" s="38"/>
      <c r="C601" s="38"/>
      <c r="D601" s="38"/>
      <c r="E601" s="38"/>
      <c r="F601" s="43"/>
      <c r="G601" s="44"/>
      <c r="H601" s="45"/>
      <c r="I601" s="38"/>
      <c r="J601" s="38"/>
      <c r="K601" s="46"/>
      <c r="L601" s="47"/>
      <c r="M601" s="46"/>
      <c r="N601" s="46"/>
      <c r="O601" s="38"/>
      <c r="P601" s="38"/>
      <c r="Q601" s="14"/>
      <c r="R601" s="50"/>
      <c r="S601" s="50"/>
      <c r="T601" s="50"/>
      <c r="U601" s="52"/>
      <c r="V601" s="53"/>
      <c r="W601" s="60"/>
      <c r="X601" s="123"/>
      <c r="Y601" s="117"/>
      <c r="Z601" s="117"/>
      <c r="AH601" s="88"/>
      <c r="AI601" s="88"/>
    </row>
    <row r="602" spans="1:35">
      <c r="A602" s="38"/>
      <c r="B602" s="38"/>
      <c r="C602" s="38"/>
      <c r="D602" s="38"/>
      <c r="E602" s="38"/>
      <c r="F602" s="43"/>
      <c r="G602" s="44"/>
      <c r="H602" s="45"/>
      <c r="I602" s="38"/>
      <c r="J602" s="38"/>
      <c r="K602" s="46"/>
      <c r="L602" s="47"/>
      <c r="M602" s="46"/>
      <c r="N602" s="46"/>
      <c r="O602" s="38"/>
      <c r="P602" s="38"/>
      <c r="Q602" s="14"/>
      <c r="R602" s="50"/>
      <c r="S602" s="50"/>
      <c r="T602" s="50"/>
      <c r="U602" s="52"/>
      <c r="V602" s="53"/>
      <c r="W602" s="60"/>
      <c r="X602" s="123"/>
      <c r="Y602" s="117"/>
      <c r="Z602" s="117"/>
      <c r="AH602" s="88"/>
      <c r="AI602" s="88"/>
    </row>
    <row r="603" spans="1:35">
      <c r="A603" s="38"/>
      <c r="B603" s="38"/>
      <c r="C603" s="38"/>
      <c r="D603" s="38"/>
      <c r="E603" s="38"/>
      <c r="F603" s="43"/>
      <c r="G603" s="44"/>
      <c r="H603" s="45"/>
      <c r="I603" s="38"/>
      <c r="J603" s="38"/>
      <c r="K603" s="46"/>
      <c r="L603" s="47"/>
      <c r="M603" s="46"/>
      <c r="N603" s="46"/>
      <c r="O603" s="38"/>
      <c r="P603" s="38"/>
      <c r="Q603" s="14"/>
      <c r="R603" s="50"/>
      <c r="S603" s="50"/>
      <c r="T603" s="50"/>
      <c r="U603" s="52"/>
      <c r="V603" s="53"/>
      <c r="W603" s="60"/>
      <c r="X603" s="123"/>
      <c r="Y603" s="117"/>
      <c r="Z603" s="117"/>
      <c r="AH603" s="88"/>
      <c r="AI603" s="88"/>
    </row>
    <row r="604" spans="1:35">
      <c r="A604" s="38"/>
      <c r="B604" s="38"/>
      <c r="C604" s="38"/>
      <c r="D604" s="38"/>
      <c r="E604" s="38"/>
      <c r="F604" s="43"/>
      <c r="G604" s="44"/>
      <c r="H604" s="45"/>
      <c r="I604" s="38"/>
      <c r="J604" s="38"/>
      <c r="K604" s="46"/>
      <c r="L604" s="47"/>
      <c r="M604" s="46"/>
      <c r="N604" s="46"/>
      <c r="O604" s="38"/>
      <c r="P604" s="38"/>
      <c r="Q604" s="14"/>
      <c r="R604" s="50"/>
      <c r="S604" s="50"/>
      <c r="T604" s="50"/>
      <c r="U604" s="52"/>
      <c r="V604" s="53"/>
      <c r="W604" s="60"/>
      <c r="X604" s="123"/>
      <c r="Y604" s="117"/>
      <c r="Z604" s="117"/>
      <c r="AH604" s="88"/>
      <c r="AI604" s="88"/>
    </row>
    <row r="605" spans="1:35">
      <c r="A605" s="38"/>
      <c r="B605" s="38"/>
      <c r="C605" s="38"/>
      <c r="D605" s="38"/>
      <c r="E605" s="38"/>
      <c r="F605" s="43"/>
      <c r="G605" s="44"/>
      <c r="H605" s="45"/>
      <c r="I605" s="38"/>
      <c r="J605" s="38"/>
      <c r="K605" s="46"/>
      <c r="L605" s="47"/>
      <c r="M605" s="46"/>
      <c r="N605" s="46"/>
      <c r="O605" s="38"/>
      <c r="P605" s="38"/>
      <c r="Q605" s="14"/>
      <c r="R605" s="50"/>
      <c r="S605" s="50"/>
      <c r="T605" s="50"/>
      <c r="U605" s="52"/>
      <c r="V605" s="53"/>
      <c r="W605" s="60"/>
      <c r="X605" s="123"/>
      <c r="Y605" s="117"/>
      <c r="Z605" s="117"/>
      <c r="AH605" s="88"/>
      <c r="AI605" s="88"/>
    </row>
    <row r="606" spans="1:35">
      <c r="A606" s="38"/>
      <c r="B606" s="38"/>
      <c r="C606" s="38"/>
      <c r="D606" s="38"/>
      <c r="E606" s="38"/>
      <c r="F606" s="43"/>
      <c r="G606" s="44"/>
      <c r="H606" s="45"/>
      <c r="I606" s="38"/>
      <c r="J606" s="38"/>
      <c r="K606" s="46"/>
      <c r="L606" s="47"/>
      <c r="M606" s="46"/>
      <c r="N606" s="46"/>
      <c r="O606" s="38"/>
      <c r="P606" s="38"/>
      <c r="Q606" s="14"/>
      <c r="R606" s="50"/>
      <c r="S606" s="50"/>
      <c r="T606" s="50"/>
      <c r="U606" s="52"/>
      <c r="V606" s="53"/>
      <c r="W606" s="60"/>
      <c r="X606" s="123"/>
      <c r="Y606" s="117"/>
      <c r="Z606" s="117"/>
      <c r="AH606" s="88"/>
      <c r="AI606" s="88"/>
    </row>
    <row r="607" spans="1:35">
      <c r="A607" s="38"/>
      <c r="B607" s="38"/>
      <c r="C607" s="38"/>
      <c r="D607" s="38"/>
      <c r="E607" s="38"/>
      <c r="F607" s="43"/>
      <c r="G607" s="44"/>
      <c r="H607" s="45"/>
      <c r="I607" s="38"/>
      <c r="J607" s="38"/>
      <c r="K607" s="46"/>
      <c r="L607" s="47"/>
      <c r="M607" s="46"/>
      <c r="N607" s="46"/>
      <c r="O607" s="38"/>
      <c r="P607" s="38"/>
      <c r="Q607" s="14"/>
      <c r="R607" s="50"/>
      <c r="S607" s="50"/>
      <c r="T607" s="50"/>
      <c r="U607" s="52"/>
      <c r="V607" s="53"/>
      <c r="W607" s="60"/>
      <c r="X607" s="123"/>
      <c r="Y607" s="117"/>
      <c r="Z607" s="117"/>
      <c r="AH607" s="88"/>
      <c r="AI607" s="88"/>
    </row>
    <row r="608" spans="1:35">
      <c r="A608" s="38"/>
      <c r="B608" s="38"/>
      <c r="C608" s="38"/>
      <c r="D608" s="38"/>
      <c r="E608" s="38"/>
      <c r="F608" s="43"/>
      <c r="G608" s="44"/>
      <c r="H608" s="45"/>
      <c r="I608" s="38"/>
      <c r="J608" s="38"/>
      <c r="K608" s="46"/>
      <c r="L608" s="47"/>
      <c r="M608" s="46"/>
      <c r="N608" s="46"/>
      <c r="O608" s="38"/>
      <c r="P608" s="38"/>
      <c r="Q608" s="14"/>
      <c r="R608" s="50"/>
      <c r="S608" s="50"/>
      <c r="T608" s="50"/>
      <c r="U608" s="52"/>
      <c r="V608" s="53"/>
      <c r="W608" s="60"/>
      <c r="X608" s="123"/>
      <c r="Y608" s="117"/>
      <c r="Z608" s="117"/>
      <c r="AH608" s="88"/>
      <c r="AI608" s="88"/>
    </row>
    <row r="609" spans="1:35">
      <c r="A609" s="38"/>
      <c r="B609" s="38"/>
      <c r="C609" s="38"/>
      <c r="D609" s="38"/>
      <c r="E609" s="38"/>
      <c r="F609" s="43"/>
      <c r="G609" s="44"/>
      <c r="H609" s="45"/>
      <c r="I609" s="38"/>
      <c r="J609" s="38"/>
      <c r="K609" s="46"/>
      <c r="L609" s="47"/>
      <c r="M609" s="46"/>
      <c r="N609" s="46"/>
      <c r="O609" s="38"/>
      <c r="P609" s="38"/>
      <c r="Q609" s="14"/>
      <c r="R609" s="50"/>
      <c r="S609" s="50"/>
      <c r="T609" s="50"/>
      <c r="U609" s="52"/>
      <c r="V609" s="53"/>
      <c r="W609" s="60"/>
      <c r="X609" s="123"/>
      <c r="Y609" s="117"/>
      <c r="Z609" s="117"/>
      <c r="AH609" s="88"/>
      <c r="AI609" s="88"/>
    </row>
    <row r="610" spans="1:35">
      <c r="A610" s="38"/>
      <c r="B610" s="38"/>
      <c r="C610" s="38"/>
      <c r="D610" s="38"/>
      <c r="E610" s="38"/>
      <c r="F610" s="43"/>
      <c r="G610" s="44"/>
      <c r="H610" s="45"/>
      <c r="I610" s="38"/>
      <c r="J610" s="38"/>
      <c r="K610" s="46"/>
      <c r="L610" s="47"/>
      <c r="M610" s="46"/>
      <c r="N610" s="46"/>
      <c r="O610" s="38"/>
      <c r="P610" s="38"/>
      <c r="Q610" s="14"/>
      <c r="R610" s="50"/>
      <c r="S610" s="50"/>
      <c r="T610" s="50"/>
      <c r="U610" s="52"/>
      <c r="V610" s="53"/>
      <c r="W610" s="60"/>
      <c r="X610" s="123"/>
      <c r="Y610" s="117"/>
      <c r="Z610" s="117"/>
      <c r="AH610" s="88"/>
      <c r="AI610" s="88"/>
    </row>
    <row r="611" spans="1:35">
      <c r="A611" s="38"/>
      <c r="B611" s="38"/>
      <c r="C611" s="38"/>
      <c r="D611" s="38"/>
      <c r="E611" s="38"/>
      <c r="F611" s="43"/>
      <c r="G611" s="44"/>
      <c r="H611" s="45"/>
      <c r="I611" s="38"/>
      <c r="J611" s="38"/>
      <c r="K611" s="46"/>
      <c r="L611" s="47"/>
      <c r="M611" s="46"/>
      <c r="N611" s="46"/>
      <c r="O611" s="38"/>
      <c r="P611" s="38"/>
      <c r="Q611" s="14"/>
      <c r="R611" s="50"/>
      <c r="S611" s="50"/>
      <c r="T611" s="50"/>
      <c r="U611" s="52"/>
      <c r="V611" s="53"/>
      <c r="W611" s="60"/>
      <c r="X611" s="123"/>
      <c r="Y611" s="117"/>
      <c r="Z611" s="117"/>
      <c r="AH611" s="88"/>
      <c r="AI611" s="88"/>
    </row>
    <row r="612" spans="1:35">
      <c r="A612" s="38"/>
      <c r="B612" s="38"/>
      <c r="C612" s="38"/>
      <c r="D612" s="38"/>
      <c r="E612" s="38"/>
      <c r="F612" s="43"/>
      <c r="G612" s="44"/>
      <c r="H612" s="45"/>
      <c r="I612" s="38"/>
      <c r="J612" s="38"/>
      <c r="K612" s="46"/>
      <c r="L612" s="47"/>
      <c r="M612" s="46"/>
      <c r="N612" s="46"/>
      <c r="O612" s="38"/>
      <c r="P612" s="38"/>
      <c r="Q612" s="14"/>
      <c r="R612" s="50"/>
      <c r="S612" s="50"/>
      <c r="T612" s="50"/>
      <c r="U612" s="52"/>
      <c r="V612" s="53"/>
      <c r="W612" s="60"/>
      <c r="X612" s="123"/>
      <c r="Y612" s="117"/>
      <c r="Z612" s="117"/>
      <c r="AH612" s="88"/>
      <c r="AI612" s="88"/>
    </row>
    <row r="613" spans="1:35">
      <c r="A613" s="38"/>
      <c r="B613" s="38"/>
      <c r="C613" s="38"/>
      <c r="D613" s="38"/>
      <c r="E613" s="38"/>
      <c r="F613" s="43"/>
      <c r="G613" s="44"/>
      <c r="H613" s="45"/>
      <c r="I613" s="38"/>
      <c r="J613" s="38"/>
      <c r="K613" s="46"/>
      <c r="L613" s="47"/>
      <c r="M613" s="46"/>
      <c r="N613" s="46"/>
      <c r="O613" s="38"/>
      <c r="P613" s="38"/>
      <c r="Q613" s="14"/>
      <c r="R613" s="50"/>
      <c r="S613" s="50"/>
      <c r="T613" s="50"/>
      <c r="U613" s="52"/>
      <c r="V613" s="53"/>
      <c r="W613" s="60"/>
      <c r="X613" s="123"/>
      <c r="Y613" s="117"/>
      <c r="Z613" s="117"/>
      <c r="AH613" s="88"/>
      <c r="AI613" s="88"/>
    </row>
    <row r="614" spans="1:35">
      <c r="A614" s="38"/>
      <c r="B614" s="38"/>
      <c r="C614" s="38"/>
      <c r="D614" s="38"/>
      <c r="E614" s="38"/>
      <c r="F614" s="43"/>
      <c r="G614" s="44"/>
      <c r="H614" s="45"/>
      <c r="I614" s="38"/>
      <c r="J614" s="38"/>
      <c r="K614" s="46"/>
      <c r="L614" s="47"/>
      <c r="M614" s="46"/>
      <c r="N614" s="46"/>
      <c r="O614" s="38"/>
      <c r="P614" s="38"/>
      <c r="Q614" s="14"/>
      <c r="R614" s="50"/>
      <c r="S614" s="50"/>
      <c r="T614" s="50"/>
      <c r="U614" s="52"/>
      <c r="V614" s="53"/>
      <c r="W614" s="60"/>
      <c r="X614" s="123"/>
      <c r="Y614" s="117"/>
      <c r="Z614" s="117"/>
      <c r="AH614" s="88"/>
      <c r="AI614" s="88"/>
    </row>
    <row r="615" spans="1:35">
      <c r="A615" s="38"/>
      <c r="B615" s="38"/>
      <c r="C615" s="38"/>
      <c r="D615" s="38"/>
      <c r="E615" s="38"/>
      <c r="F615" s="43"/>
      <c r="G615" s="44"/>
      <c r="H615" s="45"/>
      <c r="I615" s="38"/>
      <c r="J615" s="38"/>
      <c r="K615" s="46"/>
      <c r="L615" s="47"/>
      <c r="M615" s="46"/>
      <c r="N615" s="46"/>
      <c r="O615" s="38"/>
      <c r="P615" s="38"/>
      <c r="Q615" s="14"/>
      <c r="R615" s="50"/>
      <c r="S615" s="50"/>
      <c r="T615" s="50"/>
      <c r="U615" s="52"/>
      <c r="V615" s="53"/>
      <c r="W615" s="60"/>
      <c r="X615" s="123"/>
      <c r="Y615" s="117"/>
      <c r="Z615" s="117"/>
      <c r="AH615" s="88"/>
      <c r="AI615" s="88"/>
    </row>
    <row r="616" spans="1:35">
      <c r="A616" s="38"/>
      <c r="B616" s="38"/>
      <c r="C616" s="38"/>
      <c r="D616" s="38"/>
      <c r="E616" s="38"/>
      <c r="F616" s="43"/>
      <c r="G616" s="44"/>
      <c r="H616" s="45"/>
      <c r="I616" s="38"/>
      <c r="J616" s="38"/>
      <c r="K616" s="46"/>
      <c r="L616" s="47"/>
      <c r="M616" s="46"/>
      <c r="N616" s="46"/>
      <c r="O616" s="38"/>
      <c r="P616" s="38"/>
      <c r="Q616" s="14"/>
      <c r="R616" s="50"/>
      <c r="S616" s="50"/>
      <c r="T616" s="50"/>
      <c r="U616" s="52"/>
      <c r="V616" s="53"/>
      <c r="W616" s="60"/>
      <c r="X616" s="123"/>
      <c r="Y616" s="117"/>
      <c r="Z616" s="117"/>
      <c r="AH616" s="88"/>
      <c r="AI616" s="88"/>
    </row>
    <row r="617" spans="1:35">
      <c r="A617" s="38"/>
      <c r="B617" s="38"/>
      <c r="C617" s="38"/>
      <c r="D617" s="38"/>
      <c r="E617" s="38"/>
      <c r="F617" s="43"/>
      <c r="G617" s="44"/>
      <c r="H617" s="45"/>
      <c r="I617" s="38"/>
      <c r="J617" s="38"/>
      <c r="K617" s="46"/>
      <c r="L617" s="47"/>
      <c r="M617" s="46"/>
      <c r="N617" s="46"/>
      <c r="O617" s="38"/>
      <c r="P617" s="38"/>
      <c r="Q617" s="14"/>
      <c r="R617" s="50"/>
      <c r="S617" s="50"/>
      <c r="T617" s="50"/>
      <c r="U617" s="52"/>
      <c r="V617" s="53"/>
      <c r="W617" s="60"/>
      <c r="X617" s="123"/>
      <c r="Y617" s="117"/>
      <c r="Z617" s="117"/>
      <c r="AH617" s="88"/>
      <c r="AI617" s="88"/>
    </row>
    <row r="618" spans="1:35">
      <c r="A618" s="38"/>
      <c r="B618" s="38"/>
      <c r="C618" s="38"/>
      <c r="D618" s="38"/>
      <c r="E618" s="38"/>
      <c r="F618" s="43"/>
      <c r="G618" s="44"/>
      <c r="H618" s="45"/>
      <c r="I618" s="38"/>
      <c r="J618" s="38"/>
      <c r="K618" s="46"/>
      <c r="L618" s="47"/>
      <c r="M618" s="46"/>
      <c r="N618" s="46"/>
      <c r="O618" s="38"/>
      <c r="P618" s="38"/>
      <c r="Q618" s="14"/>
      <c r="R618" s="50"/>
      <c r="S618" s="50"/>
      <c r="T618" s="50"/>
      <c r="U618" s="52"/>
      <c r="V618" s="53"/>
      <c r="W618" s="60"/>
      <c r="X618" s="123"/>
      <c r="Y618" s="117"/>
      <c r="Z618" s="117"/>
      <c r="AH618" s="88"/>
      <c r="AI618" s="88"/>
    </row>
    <row r="619" spans="1:35">
      <c r="A619" s="38"/>
      <c r="B619" s="38"/>
      <c r="C619" s="38"/>
      <c r="D619" s="38"/>
      <c r="E619" s="38"/>
      <c r="F619" s="43"/>
      <c r="G619" s="44"/>
      <c r="H619" s="45"/>
      <c r="I619" s="38"/>
      <c r="J619" s="38"/>
      <c r="K619" s="46"/>
      <c r="L619" s="47"/>
      <c r="M619" s="46"/>
      <c r="N619" s="46"/>
      <c r="O619" s="38"/>
      <c r="P619" s="38"/>
      <c r="Q619" s="14"/>
      <c r="R619" s="50"/>
      <c r="S619" s="50"/>
      <c r="T619" s="50"/>
      <c r="U619" s="52"/>
      <c r="V619" s="53"/>
      <c r="W619" s="60"/>
      <c r="X619" s="123"/>
      <c r="Y619" s="117"/>
      <c r="Z619" s="117"/>
      <c r="AH619" s="88"/>
      <c r="AI619" s="88"/>
    </row>
    <row r="620" spans="1:35">
      <c r="A620" s="38"/>
      <c r="B620" s="38"/>
      <c r="C620" s="38"/>
      <c r="D620" s="38"/>
      <c r="E620" s="38"/>
      <c r="F620" s="43"/>
      <c r="G620" s="44"/>
      <c r="H620" s="45"/>
      <c r="I620" s="38"/>
      <c r="J620" s="38"/>
      <c r="K620" s="46"/>
      <c r="L620" s="47"/>
      <c r="M620" s="46"/>
      <c r="N620" s="46"/>
      <c r="O620" s="38"/>
      <c r="P620" s="38"/>
      <c r="Q620" s="14"/>
      <c r="R620" s="50"/>
      <c r="S620" s="50"/>
      <c r="T620" s="50"/>
      <c r="U620" s="52"/>
      <c r="V620" s="53"/>
      <c r="W620" s="60"/>
      <c r="X620" s="123"/>
      <c r="Y620" s="117"/>
      <c r="Z620" s="117"/>
      <c r="AH620" s="88"/>
      <c r="AI620" s="88"/>
    </row>
    <row r="621" spans="1:35">
      <c r="A621" s="38"/>
      <c r="B621" s="38"/>
      <c r="C621" s="38"/>
      <c r="D621" s="38"/>
      <c r="E621" s="38"/>
      <c r="F621" s="43"/>
      <c r="G621" s="44"/>
      <c r="H621" s="45"/>
      <c r="I621" s="38"/>
      <c r="J621" s="38"/>
      <c r="K621" s="46"/>
      <c r="L621" s="47"/>
      <c r="M621" s="46"/>
      <c r="N621" s="46"/>
      <c r="O621" s="38"/>
      <c r="P621" s="38"/>
      <c r="Q621" s="14"/>
      <c r="R621" s="50"/>
      <c r="S621" s="50"/>
      <c r="T621" s="50"/>
      <c r="U621" s="52"/>
      <c r="V621" s="53"/>
      <c r="W621" s="60"/>
      <c r="X621" s="123"/>
      <c r="Y621" s="117"/>
      <c r="Z621" s="117"/>
      <c r="AH621" s="88"/>
      <c r="AI621" s="88"/>
    </row>
    <row r="622" spans="1:35">
      <c r="A622" s="38"/>
      <c r="B622" s="38"/>
      <c r="C622" s="38"/>
      <c r="D622" s="38"/>
      <c r="E622" s="38"/>
      <c r="F622" s="43"/>
      <c r="G622" s="44"/>
      <c r="H622" s="45"/>
      <c r="I622" s="38"/>
      <c r="J622" s="38"/>
      <c r="K622" s="46"/>
      <c r="L622" s="47"/>
      <c r="M622" s="46"/>
      <c r="N622" s="46"/>
      <c r="O622" s="38"/>
      <c r="P622" s="38"/>
      <c r="Q622" s="14"/>
      <c r="R622" s="50"/>
      <c r="S622" s="50"/>
      <c r="T622" s="50"/>
      <c r="U622" s="52"/>
      <c r="V622" s="53"/>
      <c r="W622" s="60"/>
      <c r="X622" s="123"/>
      <c r="Y622" s="117"/>
      <c r="Z622" s="117"/>
      <c r="AH622" s="88"/>
      <c r="AI622" s="88"/>
    </row>
    <row r="623" spans="1:35">
      <c r="A623" s="38"/>
      <c r="B623" s="38"/>
      <c r="C623" s="38"/>
      <c r="D623" s="38"/>
      <c r="E623" s="38"/>
      <c r="F623" s="43"/>
      <c r="G623" s="44"/>
      <c r="H623" s="45"/>
      <c r="I623" s="38"/>
      <c r="J623" s="38"/>
      <c r="K623" s="46"/>
      <c r="L623" s="47"/>
      <c r="M623" s="46"/>
      <c r="N623" s="46"/>
      <c r="O623" s="38"/>
      <c r="P623" s="38"/>
      <c r="Q623" s="14"/>
      <c r="R623" s="50"/>
      <c r="S623" s="50"/>
      <c r="T623" s="50"/>
      <c r="U623" s="52"/>
      <c r="V623" s="53"/>
      <c r="W623" s="60"/>
      <c r="X623" s="123"/>
      <c r="Y623" s="117"/>
      <c r="Z623" s="117"/>
      <c r="AH623" s="88"/>
      <c r="AI623" s="88"/>
    </row>
    <row r="624" spans="1:35">
      <c r="A624" s="38"/>
      <c r="B624" s="38"/>
      <c r="C624" s="38"/>
      <c r="D624" s="38"/>
      <c r="E624" s="38"/>
      <c r="F624" s="43"/>
      <c r="G624" s="44"/>
      <c r="H624" s="45"/>
      <c r="I624" s="38"/>
      <c r="J624" s="38"/>
      <c r="K624" s="46"/>
      <c r="L624" s="47"/>
      <c r="M624" s="46"/>
      <c r="N624" s="46"/>
      <c r="O624" s="38"/>
      <c r="P624" s="38"/>
      <c r="Q624" s="14"/>
      <c r="R624" s="50"/>
      <c r="S624" s="50"/>
      <c r="T624" s="50"/>
      <c r="U624" s="52"/>
      <c r="V624" s="53"/>
      <c r="W624" s="60"/>
      <c r="X624" s="123"/>
      <c r="Y624" s="117"/>
      <c r="Z624" s="117"/>
      <c r="AH624" s="88"/>
      <c r="AI624" s="88"/>
    </row>
    <row r="625" spans="1:35">
      <c r="A625" s="38"/>
      <c r="B625" s="38"/>
      <c r="C625" s="38"/>
      <c r="D625" s="38"/>
      <c r="E625" s="38"/>
      <c r="F625" s="43"/>
      <c r="G625" s="44"/>
      <c r="H625" s="45"/>
      <c r="I625" s="38"/>
      <c r="J625" s="38"/>
      <c r="K625" s="46"/>
      <c r="L625" s="47"/>
      <c r="M625" s="46"/>
      <c r="N625" s="46"/>
      <c r="O625" s="38"/>
      <c r="P625" s="38"/>
      <c r="Q625" s="14"/>
      <c r="R625" s="50"/>
      <c r="S625" s="50"/>
      <c r="T625" s="50"/>
      <c r="U625" s="52"/>
      <c r="V625" s="53"/>
      <c r="W625" s="60"/>
      <c r="X625" s="123"/>
      <c r="Y625" s="117"/>
      <c r="Z625" s="117"/>
      <c r="AH625" s="88"/>
      <c r="AI625" s="88"/>
    </row>
    <row r="626" spans="1:35">
      <c r="A626" s="38"/>
      <c r="B626" s="38"/>
      <c r="C626" s="38"/>
      <c r="D626" s="38"/>
      <c r="E626" s="38"/>
      <c r="F626" s="43"/>
      <c r="G626" s="44"/>
      <c r="H626" s="45"/>
      <c r="I626" s="38"/>
      <c r="J626" s="38"/>
      <c r="K626" s="46"/>
      <c r="L626" s="47"/>
      <c r="M626" s="46"/>
      <c r="N626" s="46"/>
      <c r="O626" s="38"/>
      <c r="P626" s="38"/>
      <c r="Q626" s="14"/>
      <c r="R626" s="50"/>
      <c r="S626" s="50"/>
      <c r="T626" s="50"/>
      <c r="U626" s="52"/>
      <c r="V626" s="53"/>
      <c r="W626" s="60"/>
      <c r="X626" s="123"/>
      <c r="Y626" s="117"/>
      <c r="Z626" s="117"/>
      <c r="AH626" s="88"/>
      <c r="AI626" s="88"/>
    </row>
    <row r="627" spans="1:35">
      <c r="A627" s="38"/>
      <c r="B627" s="38"/>
      <c r="C627" s="38"/>
      <c r="D627" s="38"/>
      <c r="E627" s="38"/>
      <c r="F627" s="43"/>
      <c r="G627" s="44"/>
      <c r="H627" s="45"/>
      <c r="I627" s="38"/>
      <c r="J627" s="38"/>
      <c r="K627" s="46"/>
      <c r="L627" s="47"/>
      <c r="M627" s="46"/>
      <c r="N627" s="46"/>
      <c r="O627" s="38"/>
      <c r="P627" s="38"/>
      <c r="Q627" s="14"/>
      <c r="R627" s="50"/>
      <c r="S627" s="50"/>
      <c r="T627" s="50"/>
      <c r="U627" s="52"/>
      <c r="V627" s="53"/>
      <c r="W627" s="60"/>
      <c r="X627" s="123"/>
      <c r="Y627" s="117"/>
      <c r="Z627" s="117"/>
      <c r="AH627" s="88"/>
      <c r="AI627" s="88"/>
    </row>
    <row r="628" spans="1:35">
      <c r="A628" s="38"/>
      <c r="B628" s="38"/>
      <c r="C628" s="38"/>
      <c r="D628" s="38"/>
      <c r="E628" s="38"/>
      <c r="F628" s="43"/>
      <c r="G628" s="44"/>
      <c r="H628" s="45"/>
      <c r="I628" s="38"/>
      <c r="J628" s="38"/>
      <c r="K628" s="46"/>
      <c r="L628" s="47"/>
      <c r="M628" s="46"/>
      <c r="N628" s="46"/>
      <c r="O628" s="38"/>
      <c r="P628" s="38"/>
      <c r="Q628" s="14"/>
      <c r="R628" s="50"/>
      <c r="S628" s="50"/>
      <c r="T628" s="50"/>
      <c r="U628" s="52"/>
      <c r="V628" s="53"/>
      <c r="W628" s="60"/>
      <c r="X628" s="123"/>
      <c r="Y628" s="117"/>
      <c r="Z628" s="117"/>
      <c r="AH628" s="88"/>
      <c r="AI628" s="88"/>
    </row>
    <row r="629" spans="1:35">
      <c r="A629" s="38"/>
      <c r="B629" s="38"/>
      <c r="C629" s="38"/>
      <c r="D629" s="38"/>
      <c r="E629" s="38"/>
      <c r="F629" s="43"/>
      <c r="G629" s="44"/>
      <c r="H629" s="45"/>
      <c r="I629" s="38"/>
      <c r="J629" s="38"/>
      <c r="K629" s="46"/>
      <c r="L629" s="47"/>
      <c r="M629" s="46"/>
      <c r="N629" s="46"/>
      <c r="O629" s="38"/>
      <c r="P629" s="38"/>
      <c r="Q629" s="14"/>
      <c r="R629" s="50"/>
      <c r="S629" s="50"/>
      <c r="T629" s="50"/>
      <c r="U629" s="52"/>
      <c r="V629" s="53"/>
      <c r="W629" s="60"/>
      <c r="X629" s="123"/>
      <c r="Y629" s="117"/>
      <c r="Z629" s="117"/>
      <c r="AH629" s="88"/>
      <c r="AI629" s="88"/>
    </row>
    <row r="630" spans="1:35">
      <c r="A630" s="38"/>
      <c r="B630" s="38"/>
      <c r="C630" s="38"/>
      <c r="D630" s="38"/>
      <c r="E630" s="38"/>
      <c r="F630" s="43"/>
      <c r="G630" s="44"/>
      <c r="H630" s="45"/>
      <c r="I630" s="38"/>
      <c r="J630" s="38"/>
      <c r="K630" s="46"/>
      <c r="L630" s="47"/>
      <c r="M630" s="46"/>
      <c r="N630" s="46"/>
      <c r="O630" s="38"/>
      <c r="P630" s="38"/>
      <c r="Q630" s="14"/>
      <c r="R630" s="50"/>
      <c r="S630" s="50"/>
      <c r="T630" s="50"/>
      <c r="U630" s="52"/>
      <c r="V630" s="53"/>
      <c r="W630" s="60"/>
      <c r="X630" s="123"/>
      <c r="Y630" s="117"/>
      <c r="Z630" s="117"/>
      <c r="AH630" s="88"/>
      <c r="AI630" s="88"/>
    </row>
    <row r="631" spans="1:35">
      <c r="A631" s="38"/>
      <c r="B631" s="38"/>
      <c r="C631" s="38"/>
      <c r="D631" s="38"/>
      <c r="E631" s="38"/>
      <c r="F631" s="43"/>
      <c r="G631" s="44"/>
      <c r="H631" s="45"/>
      <c r="I631" s="38"/>
      <c r="J631" s="38"/>
      <c r="K631" s="46"/>
      <c r="L631" s="47"/>
      <c r="M631" s="46"/>
      <c r="N631" s="46"/>
      <c r="O631" s="38"/>
      <c r="P631" s="38"/>
      <c r="Q631" s="14"/>
      <c r="R631" s="50"/>
      <c r="S631" s="50"/>
      <c r="T631" s="50"/>
      <c r="U631" s="52"/>
      <c r="V631" s="53"/>
      <c r="W631" s="60"/>
      <c r="X631" s="123"/>
      <c r="Y631" s="117"/>
      <c r="Z631" s="117"/>
      <c r="AH631" s="88"/>
      <c r="AI631" s="88"/>
    </row>
    <row r="632" spans="1:35">
      <c r="A632" s="38"/>
      <c r="B632" s="38"/>
      <c r="C632" s="38"/>
      <c r="D632" s="38"/>
      <c r="E632" s="38"/>
      <c r="F632" s="43"/>
      <c r="G632" s="44"/>
      <c r="H632" s="45"/>
      <c r="I632" s="38"/>
      <c r="J632" s="38"/>
      <c r="K632" s="46"/>
      <c r="L632" s="47"/>
      <c r="M632" s="46"/>
      <c r="N632" s="46"/>
      <c r="O632" s="38"/>
      <c r="P632" s="38"/>
      <c r="Q632" s="14"/>
      <c r="R632" s="50"/>
      <c r="S632" s="50"/>
      <c r="T632" s="50"/>
      <c r="U632" s="52"/>
      <c r="V632" s="53"/>
      <c r="W632" s="60"/>
      <c r="X632" s="123"/>
      <c r="Y632" s="117"/>
      <c r="Z632" s="117"/>
      <c r="AH632" s="88"/>
      <c r="AI632" s="88"/>
    </row>
    <row r="633" spans="1:35">
      <c r="A633" s="38"/>
      <c r="B633" s="38"/>
      <c r="C633" s="38"/>
      <c r="D633" s="38"/>
      <c r="E633" s="38"/>
      <c r="F633" s="43"/>
      <c r="G633" s="44"/>
      <c r="H633" s="45"/>
      <c r="I633" s="38"/>
      <c r="J633" s="38"/>
      <c r="K633" s="46"/>
      <c r="L633" s="47"/>
      <c r="M633" s="46"/>
      <c r="N633" s="46"/>
      <c r="O633" s="38"/>
      <c r="P633" s="38"/>
      <c r="Q633" s="14"/>
      <c r="R633" s="50"/>
      <c r="S633" s="50"/>
      <c r="T633" s="50"/>
      <c r="U633" s="52"/>
      <c r="V633" s="53"/>
      <c r="W633" s="60"/>
      <c r="X633" s="123"/>
      <c r="Y633" s="117"/>
      <c r="Z633" s="117"/>
      <c r="AH633" s="88"/>
      <c r="AI633" s="88"/>
    </row>
    <row r="634" spans="1:35">
      <c r="A634" s="38"/>
      <c r="B634" s="38"/>
      <c r="C634" s="38"/>
      <c r="D634" s="38"/>
      <c r="E634" s="38"/>
      <c r="F634" s="43"/>
      <c r="G634" s="44"/>
      <c r="H634" s="45"/>
      <c r="I634" s="38"/>
      <c r="J634" s="38"/>
      <c r="K634" s="46"/>
      <c r="L634" s="47"/>
      <c r="M634" s="46"/>
      <c r="N634" s="46"/>
      <c r="O634" s="38"/>
      <c r="P634" s="38"/>
      <c r="Q634" s="14"/>
      <c r="R634" s="50"/>
      <c r="S634" s="50"/>
      <c r="T634" s="50"/>
      <c r="U634" s="52"/>
      <c r="V634" s="53"/>
      <c r="W634" s="60"/>
      <c r="X634" s="123"/>
      <c r="Y634" s="117"/>
      <c r="Z634" s="117"/>
      <c r="AH634" s="88"/>
      <c r="AI634" s="88"/>
    </row>
    <row r="635" spans="1:35">
      <c r="A635" s="38"/>
      <c r="B635" s="38"/>
      <c r="C635" s="38"/>
      <c r="D635" s="38"/>
      <c r="E635" s="38"/>
      <c r="F635" s="43"/>
      <c r="G635" s="44"/>
      <c r="H635" s="45"/>
      <c r="I635" s="38"/>
      <c r="J635" s="38"/>
      <c r="K635" s="46"/>
      <c r="L635" s="47"/>
      <c r="M635" s="46"/>
      <c r="N635" s="46"/>
      <c r="O635" s="38"/>
      <c r="P635" s="38"/>
      <c r="Q635" s="14"/>
      <c r="R635" s="50"/>
      <c r="S635" s="50"/>
      <c r="T635" s="50"/>
      <c r="U635" s="52"/>
      <c r="V635" s="53"/>
      <c r="W635" s="60"/>
      <c r="X635" s="123"/>
      <c r="Y635" s="117"/>
      <c r="Z635" s="117"/>
      <c r="AH635" s="88"/>
      <c r="AI635" s="88"/>
    </row>
    <row r="636" spans="1:35">
      <c r="A636" s="38"/>
      <c r="B636" s="38"/>
      <c r="C636" s="38"/>
      <c r="D636" s="38"/>
      <c r="E636" s="38"/>
      <c r="F636" s="43"/>
      <c r="G636" s="44"/>
      <c r="H636" s="45"/>
      <c r="I636" s="38"/>
      <c r="J636" s="38"/>
      <c r="K636" s="46"/>
      <c r="L636" s="47"/>
      <c r="M636" s="46"/>
      <c r="N636" s="46"/>
      <c r="O636" s="38"/>
      <c r="P636" s="38"/>
      <c r="Q636" s="14"/>
      <c r="R636" s="50"/>
      <c r="S636" s="50"/>
      <c r="T636" s="50"/>
      <c r="U636" s="52"/>
      <c r="V636" s="53"/>
      <c r="W636" s="60"/>
      <c r="X636" s="123"/>
      <c r="Y636" s="117"/>
      <c r="Z636" s="117"/>
      <c r="AH636" s="88"/>
      <c r="AI636" s="88"/>
    </row>
    <row r="637" spans="1:35">
      <c r="A637" s="38"/>
      <c r="B637" s="38"/>
      <c r="C637" s="38"/>
      <c r="D637" s="38"/>
      <c r="E637" s="38"/>
      <c r="F637" s="43"/>
      <c r="G637" s="44"/>
      <c r="H637" s="45"/>
      <c r="I637" s="38"/>
      <c r="J637" s="38"/>
      <c r="K637" s="46"/>
      <c r="L637" s="47"/>
      <c r="M637" s="46"/>
      <c r="N637" s="46"/>
      <c r="O637" s="38"/>
      <c r="P637" s="38"/>
      <c r="Q637" s="14"/>
      <c r="R637" s="50"/>
      <c r="S637" s="50"/>
      <c r="T637" s="50"/>
      <c r="U637" s="52"/>
      <c r="V637" s="53"/>
      <c r="W637" s="60"/>
      <c r="X637" s="123"/>
      <c r="Y637" s="117"/>
      <c r="Z637" s="117"/>
      <c r="AH637" s="88"/>
      <c r="AI637" s="88"/>
    </row>
    <row r="638" spans="1:35">
      <c r="A638" s="38"/>
      <c r="B638" s="38"/>
      <c r="C638" s="38"/>
      <c r="D638" s="38"/>
      <c r="E638" s="38"/>
      <c r="F638" s="43"/>
      <c r="G638" s="44"/>
      <c r="H638" s="45"/>
      <c r="I638" s="38"/>
      <c r="J638" s="38"/>
      <c r="K638" s="46"/>
      <c r="L638" s="47"/>
      <c r="M638" s="46"/>
      <c r="N638" s="46"/>
      <c r="O638" s="38"/>
      <c r="P638" s="38"/>
      <c r="Q638" s="14"/>
      <c r="R638" s="50"/>
      <c r="S638" s="50"/>
      <c r="T638" s="50"/>
      <c r="U638" s="52"/>
      <c r="V638" s="53"/>
      <c r="W638" s="60"/>
      <c r="X638" s="123"/>
      <c r="Y638" s="117"/>
      <c r="Z638" s="117"/>
      <c r="AH638" s="88"/>
      <c r="AI638" s="88"/>
    </row>
    <row r="639" spans="1:35">
      <c r="A639" s="38"/>
      <c r="B639" s="38"/>
      <c r="C639" s="38"/>
      <c r="D639" s="38"/>
      <c r="E639" s="38"/>
      <c r="F639" s="43"/>
      <c r="G639" s="44"/>
      <c r="H639" s="45"/>
      <c r="I639" s="38"/>
      <c r="J639" s="38"/>
      <c r="K639" s="46"/>
      <c r="L639" s="47"/>
      <c r="M639" s="46"/>
      <c r="N639" s="46"/>
      <c r="O639" s="38"/>
      <c r="P639" s="38"/>
      <c r="Q639" s="14"/>
      <c r="R639" s="50"/>
      <c r="S639" s="50"/>
      <c r="T639" s="50"/>
      <c r="U639" s="52"/>
      <c r="V639" s="53"/>
      <c r="W639" s="60"/>
      <c r="X639" s="123"/>
      <c r="Y639" s="117"/>
      <c r="Z639" s="117"/>
      <c r="AH639" s="88"/>
      <c r="AI639" s="88"/>
    </row>
    <row r="640" spans="1:35">
      <c r="A640" s="38"/>
      <c r="B640" s="38"/>
      <c r="C640" s="38"/>
      <c r="D640" s="38"/>
      <c r="E640" s="38"/>
      <c r="F640" s="43"/>
      <c r="G640" s="44"/>
      <c r="H640" s="45"/>
      <c r="I640" s="38"/>
      <c r="J640" s="38"/>
      <c r="K640" s="46"/>
      <c r="L640" s="47"/>
      <c r="M640" s="46"/>
      <c r="N640" s="46"/>
      <c r="O640" s="38"/>
      <c r="P640" s="38"/>
      <c r="Q640" s="14"/>
      <c r="R640" s="50"/>
      <c r="S640" s="50"/>
      <c r="T640" s="50"/>
      <c r="U640" s="52"/>
      <c r="V640" s="53"/>
      <c r="W640" s="60"/>
      <c r="X640" s="123"/>
      <c r="Y640" s="117"/>
      <c r="Z640" s="117"/>
      <c r="AH640" s="88"/>
      <c r="AI640" s="88"/>
    </row>
    <row r="641" spans="1:35">
      <c r="A641" s="38"/>
      <c r="B641" s="38"/>
      <c r="C641" s="38"/>
      <c r="D641" s="38"/>
      <c r="E641" s="38"/>
      <c r="F641" s="43"/>
      <c r="G641" s="44"/>
      <c r="H641" s="45"/>
      <c r="I641" s="38"/>
      <c r="J641" s="38"/>
      <c r="K641" s="46"/>
      <c r="L641" s="47"/>
      <c r="M641" s="46"/>
      <c r="N641" s="46"/>
      <c r="O641" s="38"/>
      <c r="P641" s="38"/>
      <c r="Q641" s="14"/>
      <c r="R641" s="50"/>
      <c r="S641" s="50"/>
      <c r="T641" s="50"/>
      <c r="U641" s="52"/>
      <c r="V641" s="53"/>
      <c r="W641" s="60"/>
      <c r="X641" s="123"/>
      <c r="Y641" s="117"/>
      <c r="Z641" s="117"/>
      <c r="AH641" s="88"/>
      <c r="AI641" s="88"/>
    </row>
    <row r="642" spans="1:35">
      <c r="A642" s="38"/>
      <c r="B642" s="38"/>
      <c r="C642" s="38"/>
      <c r="D642" s="38"/>
      <c r="E642" s="38"/>
      <c r="F642" s="43"/>
      <c r="G642" s="44"/>
      <c r="H642" s="45"/>
      <c r="I642" s="38"/>
      <c r="J642" s="38"/>
      <c r="K642" s="46"/>
      <c r="L642" s="47"/>
      <c r="M642" s="46"/>
      <c r="N642" s="46"/>
      <c r="O642" s="38"/>
      <c r="P642" s="38"/>
      <c r="Q642" s="14"/>
      <c r="R642" s="50"/>
      <c r="S642" s="50"/>
      <c r="T642" s="50"/>
      <c r="U642" s="52"/>
      <c r="V642" s="53"/>
      <c r="W642" s="60"/>
      <c r="X642" s="123"/>
      <c r="Y642" s="117"/>
      <c r="Z642" s="117"/>
      <c r="AH642" s="88"/>
      <c r="AI642" s="88"/>
    </row>
    <row r="643" spans="1:35">
      <c r="A643" s="38"/>
      <c r="B643" s="38"/>
      <c r="C643" s="38"/>
      <c r="D643" s="38"/>
      <c r="E643" s="38"/>
      <c r="F643" s="43"/>
      <c r="G643" s="44"/>
      <c r="H643" s="45"/>
      <c r="I643" s="38"/>
      <c r="J643" s="38"/>
      <c r="K643" s="46"/>
      <c r="L643" s="47"/>
      <c r="M643" s="46"/>
      <c r="N643" s="46"/>
      <c r="O643" s="38"/>
      <c r="P643" s="38"/>
      <c r="Q643" s="14"/>
      <c r="R643" s="50"/>
      <c r="S643" s="50"/>
      <c r="T643" s="50"/>
      <c r="U643" s="52"/>
      <c r="V643" s="53"/>
      <c r="W643" s="60"/>
      <c r="X643" s="123"/>
      <c r="Y643" s="117"/>
      <c r="Z643" s="117"/>
      <c r="AH643" s="88"/>
      <c r="AI643" s="88"/>
    </row>
    <row r="644" spans="1:35">
      <c r="A644" s="38"/>
      <c r="B644" s="38"/>
      <c r="C644" s="38"/>
      <c r="D644" s="38"/>
      <c r="E644" s="38"/>
      <c r="F644" s="43"/>
      <c r="G644" s="44"/>
      <c r="H644" s="45"/>
      <c r="I644" s="38"/>
      <c r="J644" s="38"/>
      <c r="K644" s="46"/>
      <c r="L644" s="47"/>
      <c r="M644" s="46"/>
      <c r="N644" s="46"/>
      <c r="O644" s="38"/>
      <c r="P644" s="38"/>
      <c r="Q644" s="14"/>
      <c r="R644" s="50"/>
      <c r="S644" s="50"/>
      <c r="T644" s="50"/>
      <c r="U644" s="52"/>
      <c r="V644" s="53"/>
      <c r="W644" s="60"/>
      <c r="X644" s="123"/>
      <c r="Y644" s="117"/>
      <c r="Z644" s="117"/>
      <c r="AH644" s="88"/>
      <c r="AI644" s="88"/>
    </row>
    <row r="645" spans="1:35">
      <c r="A645" s="38"/>
      <c r="B645" s="38"/>
      <c r="C645" s="38"/>
      <c r="D645" s="38"/>
      <c r="E645" s="38"/>
      <c r="F645" s="43"/>
      <c r="G645" s="44"/>
      <c r="H645" s="45"/>
      <c r="I645" s="38"/>
      <c r="J645" s="38"/>
      <c r="K645" s="46"/>
      <c r="L645" s="47"/>
      <c r="M645" s="46"/>
      <c r="N645" s="46"/>
      <c r="O645" s="38"/>
      <c r="P645" s="38"/>
      <c r="Q645" s="14"/>
      <c r="R645" s="50"/>
      <c r="S645" s="50"/>
      <c r="T645" s="50"/>
      <c r="U645" s="52"/>
      <c r="V645" s="53"/>
      <c r="W645" s="60"/>
      <c r="X645" s="123"/>
      <c r="Y645" s="117"/>
      <c r="Z645" s="117"/>
      <c r="AH645" s="88"/>
      <c r="AI645" s="88"/>
    </row>
    <row r="646" spans="1:35">
      <c r="A646" s="38"/>
      <c r="B646" s="38"/>
      <c r="C646" s="38"/>
      <c r="D646" s="38"/>
      <c r="E646" s="38"/>
      <c r="F646" s="43"/>
      <c r="G646" s="44"/>
      <c r="H646" s="45"/>
      <c r="I646" s="38"/>
      <c r="J646" s="38"/>
      <c r="K646" s="46"/>
      <c r="L646" s="47"/>
      <c r="M646" s="46"/>
      <c r="N646" s="46"/>
      <c r="O646" s="38"/>
      <c r="P646" s="38"/>
      <c r="Q646" s="14"/>
      <c r="R646" s="50"/>
      <c r="S646" s="50"/>
      <c r="T646" s="50"/>
      <c r="U646" s="52"/>
      <c r="V646" s="53"/>
      <c r="W646" s="60"/>
      <c r="X646" s="123"/>
      <c r="Y646" s="117"/>
      <c r="Z646" s="117"/>
      <c r="AH646" s="88"/>
      <c r="AI646" s="88"/>
    </row>
    <row r="647" spans="1:35">
      <c r="A647" s="38"/>
      <c r="B647" s="38"/>
      <c r="C647" s="38"/>
      <c r="D647" s="38"/>
      <c r="E647" s="38"/>
      <c r="F647" s="43"/>
      <c r="G647" s="44"/>
      <c r="H647" s="45"/>
      <c r="I647" s="38"/>
      <c r="J647" s="38"/>
      <c r="K647" s="46"/>
      <c r="L647" s="47"/>
      <c r="M647" s="46"/>
      <c r="N647" s="46"/>
      <c r="O647" s="38"/>
      <c r="P647" s="38"/>
      <c r="Q647" s="14"/>
      <c r="R647" s="50"/>
      <c r="S647" s="50"/>
      <c r="T647" s="50"/>
      <c r="U647" s="52"/>
      <c r="V647" s="53"/>
      <c r="W647" s="60"/>
      <c r="X647" s="123"/>
      <c r="Y647" s="117"/>
      <c r="Z647" s="117"/>
      <c r="AH647" s="88"/>
      <c r="AI647" s="88"/>
    </row>
    <row r="648" spans="1:35">
      <c r="A648" s="38"/>
      <c r="B648" s="38"/>
      <c r="C648" s="38"/>
      <c r="D648" s="38"/>
      <c r="E648" s="38"/>
      <c r="F648" s="43"/>
      <c r="G648" s="44"/>
      <c r="H648" s="45"/>
      <c r="I648" s="38"/>
      <c r="J648" s="38"/>
      <c r="K648" s="46"/>
      <c r="L648" s="47"/>
      <c r="M648" s="46"/>
      <c r="N648" s="46"/>
      <c r="O648" s="38"/>
      <c r="P648" s="38"/>
      <c r="Q648" s="14"/>
      <c r="R648" s="50"/>
      <c r="S648" s="50"/>
      <c r="T648" s="50"/>
      <c r="U648" s="52"/>
      <c r="V648" s="53"/>
      <c r="W648" s="60"/>
      <c r="X648" s="123"/>
      <c r="Y648" s="117"/>
      <c r="Z648" s="117"/>
      <c r="AH648" s="88"/>
      <c r="AI648" s="88"/>
    </row>
    <row r="649" spans="1:35">
      <c r="A649" s="38"/>
      <c r="B649" s="38"/>
      <c r="C649" s="38"/>
      <c r="D649" s="38"/>
      <c r="E649" s="38"/>
      <c r="F649" s="43"/>
      <c r="G649" s="44"/>
      <c r="H649" s="45"/>
      <c r="I649" s="38"/>
      <c r="J649" s="38"/>
      <c r="K649" s="46"/>
      <c r="L649" s="47"/>
      <c r="M649" s="46"/>
      <c r="N649" s="46"/>
      <c r="O649" s="38"/>
      <c r="P649" s="38"/>
      <c r="Q649" s="14"/>
      <c r="R649" s="50"/>
      <c r="S649" s="50"/>
      <c r="T649" s="50"/>
      <c r="U649" s="52"/>
      <c r="V649" s="53"/>
      <c r="W649" s="60"/>
      <c r="X649" s="123"/>
      <c r="Y649" s="117"/>
      <c r="Z649" s="117"/>
      <c r="AH649" s="88"/>
      <c r="AI649" s="88"/>
    </row>
    <row r="650" spans="1:35">
      <c r="A650" s="38"/>
      <c r="B650" s="38"/>
      <c r="C650" s="38"/>
      <c r="D650" s="38"/>
      <c r="E650" s="38"/>
      <c r="F650" s="43"/>
      <c r="G650" s="44"/>
      <c r="H650" s="45"/>
      <c r="I650" s="38"/>
      <c r="J650" s="38"/>
      <c r="K650" s="46"/>
      <c r="L650" s="47"/>
      <c r="M650" s="46"/>
      <c r="N650" s="46"/>
      <c r="O650" s="38"/>
      <c r="P650" s="38"/>
      <c r="Q650" s="14"/>
      <c r="R650" s="50"/>
      <c r="S650" s="50"/>
      <c r="T650" s="50"/>
      <c r="U650" s="52"/>
      <c r="V650" s="53"/>
      <c r="W650" s="60"/>
      <c r="X650" s="123"/>
      <c r="Y650" s="117"/>
      <c r="Z650" s="117"/>
      <c r="AH650" s="88"/>
      <c r="AI650" s="88"/>
    </row>
    <row r="651" spans="1:35">
      <c r="A651" s="38"/>
      <c r="B651" s="38"/>
      <c r="C651" s="38"/>
      <c r="D651" s="38"/>
      <c r="E651" s="38"/>
      <c r="F651" s="43"/>
      <c r="G651" s="44"/>
      <c r="H651" s="45"/>
      <c r="I651" s="38"/>
      <c r="J651" s="38"/>
      <c r="K651" s="46"/>
      <c r="L651" s="47"/>
      <c r="M651" s="46"/>
      <c r="N651" s="46"/>
      <c r="O651" s="38"/>
      <c r="P651" s="38"/>
      <c r="Q651" s="14"/>
      <c r="R651" s="50"/>
      <c r="S651" s="50"/>
      <c r="T651" s="50"/>
      <c r="U651" s="52"/>
      <c r="V651" s="53"/>
      <c r="W651" s="60"/>
      <c r="X651" s="123"/>
      <c r="Y651" s="117"/>
      <c r="Z651" s="117"/>
      <c r="AH651" s="88"/>
      <c r="AI651" s="88"/>
    </row>
    <row r="652" spans="1:35">
      <c r="A652" s="38"/>
      <c r="B652" s="38"/>
      <c r="C652" s="38"/>
      <c r="D652" s="38"/>
      <c r="E652" s="38"/>
      <c r="F652" s="43"/>
      <c r="G652" s="44"/>
      <c r="H652" s="45"/>
      <c r="I652" s="38"/>
      <c r="J652" s="38"/>
      <c r="K652" s="46"/>
      <c r="L652" s="47"/>
      <c r="M652" s="46"/>
      <c r="N652" s="46"/>
      <c r="O652" s="38"/>
      <c r="P652" s="38"/>
      <c r="Q652" s="14"/>
      <c r="R652" s="50"/>
      <c r="S652" s="50"/>
      <c r="T652" s="50"/>
      <c r="U652" s="52"/>
      <c r="V652" s="53"/>
      <c r="W652" s="60"/>
      <c r="X652" s="123"/>
      <c r="Y652" s="117"/>
      <c r="Z652" s="117"/>
      <c r="AH652" s="88"/>
      <c r="AI652" s="88"/>
    </row>
    <row r="653" spans="1:35">
      <c r="A653" s="38"/>
      <c r="B653" s="38"/>
      <c r="C653" s="38"/>
      <c r="D653" s="38"/>
      <c r="E653" s="38"/>
      <c r="F653" s="43"/>
      <c r="G653" s="44"/>
      <c r="H653" s="45"/>
      <c r="I653" s="38"/>
      <c r="J653" s="38"/>
      <c r="K653" s="46"/>
      <c r="L653" s="47"/>
      <c r="M653" s="46"/>
      <c r="N653" s="46"/>
      <c r="O653" s="38"/>
      <c r="P653" s="38"/>
      <c r="Q653" s="14"/>
      <c r="R653" s="50"/>
      <c r="S653" s="50"/>
      <c r="T653" s="50"/>
      <c r="U653" s="52"/>
      <c r="V653" s="53"/>
      <c r="W653" s="60"/>
      <c r="X653" s="123"/>
      <c r="Y653" s="117"/>
      <c r="Z653" s="117"/>
      <c r="AH653" s="88"/>
      <c r="AI653" s="88"/>
    </row>
    <row r="654" spans="1:35">
      <c r="A654" s="38"/>
      <c r="B654" s="38"/>
      <c r="C654" s="38"/>
      <c r="D654" s="38"/>
      <c r="E654" s="38"/>
      <c r="F654" s="43"/>
      <c r="G654" s="44"/>
      <c r="H654" s="45"/>
      <c r="I654" s="38"/>
      <c r="J654" s="38"/>
      <c r="K654" s="46"/>
      <c r="L654" s="47"/>
      <c r="M654" s="46"/>
      <c r="N654" s="46"/>
      <c r="O654" s="38"/>
      <c r="P654" s="38"/>
      <c r="Q654" s="14"/>
      <c r="R654" s="50"/>
      <c r="S654" s="50"/>
      <c r="T654" s="50"/>
      <c r="U654" s="52"/>
      <c r="V654" s="53"/>
      <c r="W654" s="60"/>
      <c r="X654" s="123"/>
      <c r="Y654" s="117"/>
      <c r="Z654" s="117"/>
      <c r="AH654" s="88"/>
      <c r="AI654" s="88"/>
    </row>
    <row r="655" spans="1:35">
      <c r="A655" s="38"/>
      <c r="B655" s="38"/>
      <c r="C655" s="38"/>
      <c r="D655" s="38"/>
      <c r="E655" s="38"/>
      <c r="F655" s="43"/>
      <c r="G655" s="44"/>
      <c r="H655" s="45"/>
      <c r="I655" s="38"/>
      <c r="J655" s="38"/>
      <c r="K655" s="46"/>
      <c r="L655" s="47"/>
      <c r="M655" s="46"/>
      <c r="N655" s="46"/>
      <c r="O655" s="38"/>
      <c r="P655" s="38"/>
      <c r="Q655" s="14"/>
      <c r="R655" s="50"/>
      <c r="S655" s="50"/>
      <c r="T655" s="50"/>
      <c r="U655" s="52"/>
      <c r="V655" s="53"/>
      <c r="W655" s="60"/>
      <c r="X655" s="123"/>
      <c r="Y655" s="117"/>
      <c r="Z655" s="117"/>
      <c r="AH655" s="88"/>
      <c r="AI655" s="88"/>
    </row>
    <row r="656" spans="1:35">
      <c r="A656" s="38"/>
      <c r="B656" s="38"/>
      <c r="C656" s="38"/>
      <c r="D656" s="38"/>
      <c r="E656" s="38"/>
      <c r="F656" s="43"/>
      <c r="G656" s="44"/>
      <c r="H656" s="45"/>
      <c r="I656" s="38"/>
      <c r="J656" s="38"/>
      <c r="K656" s="46"/>
      <c r="L656" s="47"/>
      <c r="M656" s="46"/>
      <c r="N656" s="46"/>
      <c r="O656" s="38"/>
      <c r="P656" s="38"/>
      <c r="Q656" s="14"/>
      <c r="R656" s="50"/>
      <c r="S656" s="50"/>
      <c r="T656" s="50"/>
      <c r="U656" s="52"/>
      <c r="V656" s="53"/>
      <c r="W656" s="60"/>
      <c r="X656" s="123"/>
      <c r="Y656" s="117"/>
      <c r="Z656" s="117"/>
      <c r="AH656" s="88"/>
      <c r="AI656" s="88"/>
    </row>
    <row r="657" spans="1:35">
      <c r="A657" s="38"/>
      <c r="B657" s="38"/>
      <c r="C657" s="38"/>
      <c r="D657" s="38"/>
      <c r="E657" s="38"/>
      <c r="F657" s="43"/>
      <c r="G657" s="44"/>
      <c r="H657" s="45"/>
      <c r="I657" s="38"/>
      <c r="J657" s="38"/>
      <c r="K657" s="46"/>
      <c r="L657" s="47"/>
      <c r="M657" s="46"/>
      <c r="N657" s="46"/>
      <c r="O657" s="38"/>
      <c r="P657" s="38"/>
      <c r="Q657" s="14"/>
      <c r="R657" s="50"/>
      <c r="S657" s="50"/>
      <c r="T657" s="50"/>
      <c r="U657" s="52"/>
      <c r="V657" s="53"/>
      <c r="W657" s="60"/>
      <c r="X657" s="123"/>
      <c r="Y657" s="117"/>
      <c r="Z657" s="117"/>
      <c r="AH657" s="88"/>
      <c r="AI657" s="88"/>
    </row>
    <row r="658" spans="1:35">
      <c r="A658" s="38"/>
      <c r="B658" s="38"/>
      <c r="C658" s="38"/>
      <c r="D658" s="38"/>
      <c r="E658" s="38"/>
      <c r="F658" s="43"/>
      <c r="G658" s="44"/>
      <c r="H658" s="45"/>
      <c r="I658" s="38"/>
      <c r="J658" s="38"/>
      <c r="K658" s="46"/>
      <c r="L658" s="47"/>
      <c r="M658" s="46"/>
      <c r="N658" s="46"/>
      <c r="O658" s="38"/>
      <c r="P658" s="38"/>
      <c r="Q658" s="14"/>
      <c r="R658" s="50"/>
      <c r="S658" s="50"/>
      <c r="T658" s="50"/>
      <c r="U658" s="52"/>
      <c r="V658" s="53"/>
      <c r="W658" s="60"/>
      <c r="X658" s="123"/>
      <c r="Y658" s="117"/>
      <c r="Z658" s="117"/>
      <c r="AH658" s="88"/>
      <c r="AI658" s="88"/>
    </row>
    <row r="659" spans="1:35">
      <c r="A659" s="38"/>
      <c r="B659" s="38"/>
      <c r="C659" s="38"/>
      <c r="D659" s="38"/>
      <c r="E659" s="38"/>
      <c r="F659" s="43"/>
      <c r="G659" s="44"/>
      <c r="H659" s="45"/>
      <c r="I659" s="38"/>
      <c r="J659" s="38"/>
      <c r="K659" s="46"/>
      <c r="L659" s="47"/>
      <c r="M659" s="46"/>
      <c r="N659" s="46"/>
      <c r="O659" s="38"/>
      <c r="P659" s="38"/>
      <c r="Q659" s="14"/>
      <c r="R659" s="50"/>
      <c r="S659" s="50"/>
      <c r="T659" s="50"/>
      <c r="U659" s="52"/>
      <c r="V659" s="53"/>
      <c r="W659" s="60"/>
      <c r="X659" s="123"/>
      <c r="Y659" s="117"/>
      <c r="Z659" s="117"/>
      <c r="AH659" s="88"/>
      <c r="AI659" s="88"/>
    </row>
    <row r="660" spans="1:35">
      <c r="A660" s="38"/>
      <c r="B660" s="38"/>
      <c r="C660" s="38"/>
      <c r="D660" s="38"/>
      <c r="E660" s="38"/>
      <c r="F660" s="43"/>
      <c r="G660" s="44"/>
      <c r="H660" s="45"/>
      <c r="I660" s="38"/>
      <c r="J660" s="38"/>
      <c r="K660" s="46"/>
      <c r="L660" s="47"/>
      <c r="M660" s="46"/>
      <c r="N660" s="46"/>
      <c r="O660" s="38"/>
      <c r="P660" s="38"/>
      <c r="Q660" s="14"/>
      <c r="R660" s="50"/>
      <c r="S660" s="50"/>
      <c r="T660" s="50"/>
      <c r="U660" s="52"/>
      <c r="V660" s="53"/>
      <c r="W660" s="60"/>
      <c r="X660" s="123"/>
      <c r="Y660" s="117"/>
      <c r="Z660" s="117"/>
      <c r="AH660" s="88"/>
      <c r="AI660" s="88"/>
    </row>
    <row r="661" spans="1:35">
      <c r="A661" s="38"/>
      <c r="B661" s="38"/>
      <c r="C661" s="38"/>
      <c r="D661" s="38"/>
      <c r="E661" s="38"/>
      <c r="F661" s="43"/>
      <c r="G661" s="44"/>
      <c r="H661" s="45"/>
      <c r="I661" s="38"/>
      <c r="J661" s="38"/>
      <c r="K661" s="46"/>
      <c r="L661" s="47"/>
      <c r="M661" s="46"/>
      <c r="N661" s="46"/>
      <c r="O661" s="38"/>
      <c r="P661" s="38"/>
      <c r="Q661" s="14"/>
      <c r="R661" s="50"/>
      <c r="S661" s="50"/>
      <c r="T661" s="50"/>
      <c r="U661" s="52"/>
      <c r="V661" s="53"/>
      <c r="W661" s="60"/>
      <c r="X661" s="123"/>
      <c r="Y661" s="117"/>
      <c r="Z661" s="117"/>
      <c r="AH661" s="88"/>
      <c r="AI661" s="88"/>
    </row>
    <row r="662" spans="1:35">
      <c r="A662" s="38"/>
      <c r="B662" s="38"/>
      <c r="C662" s="38"/>
      <c r="D662" s="38"/>
      <c r="E662" s="38"/>
      <c r="F662" s="43"/>
      <c r="G662" s="44"/>
      <c r="H662" s="45"/>
      <c r="I662" s="38"/>
      <c r="J662" s="38"/>
      <c r="K662" s="46"/>
      <c r="L662" s="47"/>
      <c r="M662" s="46"/>
      <c r="N662" s="46"/>
      <c r="O662" s="38"/>
      <c r="P662" s="38"/>
      <c r="Q662" s="14"/>
      <c r="R662" s="50"/>
      <c r="S662" s="50"/>
      <c r="T662" s="50"/>
      <c r="U662" s="52"/>
      <c r="V662" s="53"/>
      <c r="W662" s="60"/>
      <c r="X662" s="123"/>
      <c r="Y662" s="117"/>
      <c r="Z662" s="117"/>
      <c r="AH662" s="88"/>
      <c r="AI662" s="88"/>
    </row>
    <row r="663" spans="1:35">
      <c r="A663" s="38"/>
      <c r="B663" s="38"/>
      <c r="C663" s="38"/>
      <c r="D663" s="38"/>
      <c r="E663" s="38"/>
      <c r="F663" s="43"/>
      <c r="G663" s="44"/>
      <c r="H663" s="45"/>
      <c r="I663" s="38"/>
      <c r="J663" s="38"/>
      <c r="K663" s="46"/>
      <c r="L663" s="47"/>
      <c r="M663" s="46"/>
      <c r="N663" s="46"/>
      <c r="O663" s="38"/>
      <c r="P663" s="38"/>
      <c r="Q663" s="14"/>
      <c r="R663" s="50"/>
      <c r="S663" s="50"/>
      <c r="T663" s="50"/>
      <c r="U663" s="52"/>
      <c r="V663" s="53"/>
      <c r="W663" s="60"/>
      <c r="X663" s="123"/>
      <c r="Y663" s="117"/>
      <c r="Z663" s="117"/>
      <c r="AH663" s="88"/>
      <c r="AI663" s="88"/>
    </row>
    <row r="664" spans="1:35">
      <c r="A664" s="38"/>
      <c r="B664" s="38"/>
      <c r="C664" s="38"/>
      <c r="D664" s="38"/>
      <c r="E664" s="38"/>
      <c r="F664" s="43"/>
      <c r="G664" s="44"/>
      <c r="H664" s="45"/>
      <c r="I664" s="38"/>
      <c r="J664" s="38"/>
      <c r="K664" s="46"/>
      <c r="L664" s="47"/>
      <c r="M664" s="46"/>
      <c r="N664" s="46"/>
      <c r="O664" s="38"/>
      <c r="P664" s="38"/>
      <c r="Q664" s="14"/>
      <c r="R664" s="50"/>
      <c r="S664" s="50"/>
      <c r="T664" s="50"/>
      <c r="U664" s="52"/>
      <c r="V664" s="53"/>
      <c r="W664" s="60"/>
      <c r="X664" s="123"/>
      <c r="Y664" s="117"/>
      <c r="Z664" s="117"/>
      <c r="AH664" s="88"/>
      <c r="AI664" s="88"/>
    </row>
    <row r="665" spans="1:35">
      <c r="A665" s="38"/>
      <c r="B665" s="38"/>
      <c r="C665" s="38"/>
      <c r="D665" s="38"/>
      <c r="E665" s="38"/>
      <c r="F665" s="43"/>
      <c r="G665" s="44"/>
      <c r="H665" s="45"/>
      <c r="I665" s="38"/>
      <c r="J665" s="38"/>
      <c r="K665" s="46"/>
      <c r="L665" s="47"/>
      <c r="M665" s="46"/>
      <c r="N665" s="46"/>
      <c r="O665" s="38"/>
      <c r="P665" s="38"/>
      <c r="Q665" s="14"/>
      <c r="R665" s="50"/>
      <c r="S665" s="50"/>
      <c r="T665" s="50"/>
      <c r="U665" s="52"/>
      <c r="V665" s="53"/>
      <c r="W665" s="60"/>
      <c r="X665" s="123"/>
      <c r="Y665" s="117"/>
      <c r="Z665" s="117"/>
      <c r="AH665" s="88"/>
      <c r="AI665" s="88"/>
    </row>
    <row r="666" spans="1:35">
      <c r="A666" s="38"/>
      <c r="B666" s="38"/>
      <c r="C666" s="38"/>
      <c r="D666" s="38"/>
      <c r="E666" s="38"/>
      <c r="F666" s="43"/>
      <c r="G666" s="44"/>
      <c r="H666" s="45"/>
      <c r="I666" s="38"/>
      <c r="J666" s="38"/>
      <c r="K666" s="46"/>
      <c r="L666" s="47"/>
      <c r="M666" s="46"/>
      <c r="N666" s="46"/>
      <c r="O666" s="38"/>
      <c r="P666" s="38"/>
      <c r="Q666" s="14"/>
      <c r="R666" s="50"/>
      <c r="S666" s="50"/>
      <c r="T666" s="50"/>
      <c r="U666" s="52"/>
      <c r="V666" s="53"/>
      <c r="W666" s="60"/>
      <c r="X666" s="123"/>
      <c r="Y666" s="117"/>
      <c r="Z666" s="117"/>
      <c r="AH666" s="88"/>
      <c r="AI666" s="88"/>
    </row>
    <row r="667" spans="1:35">
      <c r="A667" s="38"/>
      <c r="B667" s="38"/>
      <c r="C667" s="38"/>
      <c r="D667" s="38"/>
      <c r="E667" s="38"/>
      <c r="F667" s="43"/>
      <c r="G667" s="44"/>
      <c r="H667" s="45"/>
      <c r="I667" s="38"/>
      <c r="J667" s="38"/>
      <c r="K667" s="46"/>
      <c r="L667" s="47"/>
      <c r="M667" s="46"/>
      <c r="N667" s="46"/>
      <c r="O667" s="38"/>
      <c r="P667" s="38"/>
      <c r="Q667" s="14"/>
      <c r="R667" s="50"/>
      <c r="S667" s="50"/>
      <c r="T667" s="50"/>
      <c r="U667" s="52"/>
      <c r="V667" s="53"/>
      <c r="W667" s="60"/>
      <c r="X667" s="123"/>
      <c r="Y667" s="117"/>
      <c r="Z667" s="117"/>
      <c r="AH667" s="88"/>
      <c r="AI667" s="88"/>
    </row>
    <row r="668" spans="1:35">
      <c r="A668" s="38"/>
      <c r="B668" s="38"/>
      <c r="C668" s="38"/>
      <c r="D668" s="38"/>
      <c r="E668" s="38"/>
      <c r="F668" s="43"/>
      <c r="G668" s="44"/>
      <c r="H668" s="45"/>
      <c r="I668" s="38"/>
      <c r="J668" s="38"/>
      <c r="K668" s="46"/>
      <c r="L668" s="47"/>
      <c r="M668" s="46"/>
      <c r="N668" s="46"/>
      <c r="O668" s="38"/>
      <c r="P668" s="38"/>
      <c r="Q668" s="14"/>
      <c r="R668" s="50"/>
      <c r="S668" s="50"/>
      <c r="T668" s="50"/>
      <c r="U668" s="52"/>
      <c r="V668" s="53"/>
      <c r="W668" s="60"/>
      <c r="X668" s="123"/>
      <c r="Y668" s="117"/>
      <c r="Z668" s="117"/>
      <c r="AH668" s="88"/>
      <c r="AI668" s="88"/>
    </row>
    <row r="669" spans="1:35">
      <c r="A669" s="38"/>
      <c r="B669" s="38"/>
      <c r="C669" s="38"/>
      <c r="D669" s="38"/>
      <c r="E669" s="38"/>
      <c r="F669" s="43"/>
      <c r="G669" s="44"/>
      <c r="H669" s="45"/>
      <c r="I669" s="38"/>
      <c r="J669" s="38"/>
      <c r="K669" s="46"/>
      <c r="L669" s="47"/>
      <c r="M669" s="46"/>
      <c r="N669" s="46"/>
      <c r="O669" s="38"/>
      <c r="P669" s="38"/>
      <c r="Q669" s="14"/>
      <c r="R669" s="50"/>
      <c r="S669" s="50"/>
      <c r="T669" s="50"/>
      <c r="U669" s="52"/>
      <c r="V669" s="53"/>
      <c r="W669" s="60"/>
      <c r="X669" s="123"/>
      <c r="Y669" s="117"/>
      <c r="Z669" s="117"/>
      <c r="AH669" s="88"/>
      <c r="AI669" s="88"/>
    </row>
    <row r="670" spans="1:35">
      <c r="A670" s="38"/>
      <c r="B670" s="38"/>
      <c r="C670" s="38"/>
      <c r="D670" s="38"/>
      <c r="E670" s="38"/>
      <c r="F670" s="43"/>
      <c r="G670" s="44"/>
      <c r="H670" s="45"/>
      <c r="I670" s="38"/>
      <c r="J670" s="38"/>
      <c r="K670" s="46"/>
      <c r="L670" s="47"/>
      <c r="M670" s="46"/>
      <c r="N670" s="46"/>
      <c r="O670" s="38"/>
      <c r="P670" s="38"/>
      <c r="Q670" s="14"/>
      <c r="R670" s="50"/>
      <c r="S670" s="50"/>
      <c r="T670" s="50"/>
      <c r="U670" s="52"/>
      <c r="V670" s="53"/>
      <c r="W670" s="60"/>
      <c r="X670" s="123"/>
      <c r="Y670" s="117"/>
      <c r="Z670" s="117"/>
      <c r="AH670" s="88"/>
      <c r="AI670" s="88"/>
    </row>
    <row r="671" spans="1:35">
      <c r="A671" s="38"/>
      <c r="B671" s="38"/>
      <c r="C671" s="38"/>
      <c r="D671" s="38"/>
      <c r="E671" s="38"/>
      <c r="F671" s="43"/>
      <c r="G671" s="44"/>
      <c r="H671" s="45"/>
      <c r="I671" s="38"/>
      <c r="J671" s="38"/>
      <c r="K671" s="46"/>
      <c r="L671" s="47"/>
      <c r="M671" s="46"/>
      <c r="N671" s="46"/>
      <c r="O671" s="38"/>
      <c r="P671" s="38"/>
      <c r="Q671" s="14"/>
      <c r="R671" s="50"/>
      <c r="S671" s="50"/>
      <c r="T671" s="50"/>
      <c r="U671" s="52"/>
      <c r="V671" s="53"/>
      <c r="W671" s="60"/>
      <c r="X671" s="123"/>
      <c r="Y671" s="117"/>
      <c r="Z671" s="117"/>
      <c r="AH671" s="88"/>
      <c r="AI671" s="88"/>
    </row>
    <row r="672" spans="1:35">
      <c r="A672" s="38"/>
      <c r="B672" s="38"/>
      <c r="C672" s="38"/>
      <c r="D672" s="38"/>
      <c r="E672" s="38"/>
      <c r="F672" s="43"/>
      <c r="G672" s="44"/>
      <c r="H672" s="45"/>
      <c r="I672" s="38"/>
      <c r="J672" s="38"/>
      <c r="K672" s="46"/>
      <c r="L672" s="47"/>
      <c r="M672" s="46"/>
      <c r="N672" s="46"/>
      <c r="O672" s="38"/>
      <c r="P672" s="38"/>
      <c r="Q672" s="14"/>
      <c r="R672" s="50"/>
      <c r="S672" s="50"/>
      <c r="T672" s="50"/>
      <c r="U672" s="52"/>
      <c r="V672" s="53"/>
      <c r="W672" s="60"/>
      <c r="X672" s="123"/>
      <c r="Y672" s="117"/>
      <c r="Z672" s="117"/>
      <c r="AH672" s="88"/>
      <c r="AI672" s="88"/>
    </row>
    <row r="673" spans="1:35">
      <c r="A673" s="38"/>
      <c r="B673" s="38"/>
      <c r="C673" s="38"/>
      <c r="D673" s="38"/>
      <c r="E673" s="38"/>
      <c r="F673" s="43"/>
      <c r="G673" s="44"/>
      <c r="H673" s="45"/>
      <c r="I673" s="38"/>
      <c r="J673" s="38"/>
      <c r="K673" s="46"/>
      <c r="L673" s="47"/>
      <c r="M673" s="46"/>
      <c r="N673" s="46"/>
      <c r="O673" s="38"/>
      <c r="P673" s="38"/>
      <c r="Q673" s="14"/>
      <c r="R673" s="50"/>
      <c r="S673" s="50"/>
      <c r="T673" s="50"/>
      <c r="U673" s="52"/>
      <c r="V673" s="53"/>
      <c r="W673" s="60"/>
      <c r="X673" s="123"/>
      <c r="Y673" s="117"/>
      <c r="Z673" s="117"/>
      <c r="AH673" s="88"/>
      <c r="AI673" s="88"/>
    </row>
    <row r="674" spans="1:35">
      <c r="A674" s="38"/>
      <c r="B674" s="38"/>
      <c r="C674" s="38"/>
      <c r="D674" s="38"/>
      <c r="E674" s="38"/>
      <c r="F674" s="43"/>
      <c r="G674" s="44"/>
      <c r="H674" s="45"/>
      <c r="I674" s="38"/>
      <c r="J674" s="38"/>
      <c r="K674" s="46"/>
      <c r="L674" s="47"/>
      <c r="M674" s="46"/>
      <c r="N674" s="46"/>
      <c r="O674" s="38"/>
      <c r="P674" s="38"/>
      <c r="Q674" s="14"/>
      <c r="R674" s="50"/>
      <c r="S674" s="50"/>
      <c r="T674" s="50"/>
      <c r="U674" s="52"/>
      <c r="V674" s="53"/>
      <c r="W674" s="60"/>
      <c r="X674" s="123"/>
      <c r="Y674" s="117"/>
      <c r="Z674" s="117"/>
      <c r="AH674" s="88"/>
      <c r="AI674" s="88"/>
    </row>
    <row r="675" spans="1:35">
      <c r="A675" s="38"/>
      <c r="B675" s="38"/>
      <c r="C675" s="38"/>
      <c r="D675" s="38"/>
      <c r="E675" s="38"/>
      <c r="F675" s="43"/>
      <c r="G675" s="44"/>
      <c r="H675" s="45"/>
      <c r="I675" s="38"/>
      <c r="J675" s="38"/>
      <c r="K675" s="46"/>
      <c r="L675" s="47"/>
      <c r="M675" s="46"/>
      <c r="N675" s="46"/>
      <c r="O675" s="38"/>
      <c r="P675" s="38"/>
      <c r="Q675" s="14"/>
      <c r="R675" s="50"/>
      <c r="S675" s="50"/>
      <c r="T675" s="50"/>
      <c r="U675" s="52"/>
      <c r="V675" s="53"/>
      <c r="W675" s="60"/>
      <c r="X675" s="123"/>
      <c r="Y675" s="117"/>
      <c r="Z675" s="117"/>
      <c r="AH675" s="88"/>
      <c r="AI675" s="88"/>
    </row>
    <row r="676" spans="1:35">
      <c r="A676" s="38"/>
      <c r="B676" s="38"/>
      <c r="C676" s="38"/>
      <c r="D676" s="38"/>
      <c r="E676" s="38"/>
      <c r="F676" s="43"/>
      <c r="G676" s="44"/>
      <c r="H676" s="45"/>
      <c r="I676" s="38"/>
      <c r="J676" s="38"/>
      <c r="K676" s="46"/>
      <c r="L676" s="47"/>
      <c r="M676" s="46"/>
      <c r="N676" s="46"/>
      <c r="O676" s="38"/>
      <c r="P676" s="38"/>
      <c r="Q676" s="14"/>
      <c r="R676" s="50"/>
      <c r="S676" s="50"/>
      <c r="T676" s="50"/>
      <c r="U676" s="52"/>
      <c r="V676" s="53"/>
      <c r="W676" s="60"/>
      <c r="X676" s="123"/>
      <c r="Y676" s="117"/>
      <c r="Z676" s="117"/>
      <c r="AH676" s="88"/>
      <c r="AI676" s="88"/>
    </row>
    <row r="677" spans="1:35">
      <c r="A677" s="38"/>
      <c r="B677" s="38"/>
      <c r="C677" s="38"/>
      <c r="D677" s="38"/>
      <c r="E677" s="38"/>
      <c r="F677" s="43"/>
      <c r="G677" s="44"/>
      <c r="H677" s="45"/>
      <c r="I677" s="38"/>
      <c r="J677" s="38"/>
      <c r="K677" s="46"/>
      <c r="L677" s="47"/>
      <c r="M677" s="46"/>
      <c r="N677" s="46"/>
      <c r="O677" s="38"/>
      <c r="P677" s="38"/>
      <c r="Q677" s="14"/>
      <c r="R677" s="50"/>
      <c r="S677" s="50"/>
      <c r="T677" s="50"/>
      <c r="U677" s="52"/>
      <c r="V677" s="53"/>
      <c r="W677" s="60"/>
      <c r="X677" s="123"/>
      <c r="Y677" s="117"/>
      <c r="Z677" s="117"/>
      <c r="AH677" s="88"/>
      <c r="AI677" s="88"/>
    </row>
    <row r="678" spans="1:35">
      <c r="A678" s="38"/>
      <c r="B678" s="38"/>
      <c r="C678" s="38"/>
      <c r="D678" s="38"/>
      <c r="E678" s="38"/>
      <c r="F678" s="43"/>
      <c r="G678" s="44"/>
      <c r="H678" s="45"/>
      <c r="I678" s="38"/>
      <c r="J678" s="38"/>
      <c r="K678" s="46"/>
      <c r="L678" s="47"/>
      <c r="M678" s="46"/>
      <c r="N678" s="46"/>
      <c r="O678" s="38"/>
      <c r="P678" s="38"/>
      <c r="Q678" s="14"/>
      <c r="R678" s="50"/>
      <c r="S678" s="50"/>
      <c r="T678" s="50"/>
      <c r="U678" s="52"/>
      <c r="V678" s="53"/>
      <c r="W678" s="60"/>
      <c r="X678" s="123"/>
      <c r="Y678" s="117"/>
      <c r="Z678" s="117"/>
      <c r="AH678" s="88"/>
      <c r="AI678" s="88"/>
    </row>
    <row r="679" spans="1:35">
      <c r="A679" s="38"/>
      <c r="B679" s="38"/>
      <c r="C679" s="38"/>
      <c r="D679" s="38"/>
      <c r="E679" s="38"/>
      <c r="F679" s="43"/>
      <c r="G679" s="44"/>
      <c r="H679" s="45"/>
      <c r="I679" s="38"/>
      <c r="J679" s="38"/>
      <c r="K679" s="46"/>
      <c r="L679" s="47"/>
      <c r="M679" s="46"/>
      <c r="N679" s="46"/>
      <c r="O679" s="38"/>
      <c r="P679" s="38"/>
      <c r="Q679" s="14"/>
      <c r="R679" s="50"/>
      <c r="S679" s="50"/>
      <c r="T679" s="50"/>
      <c r="U679" s="52"/>
      <c r="V679" s="53"/>
      <c r="W679" s="60"/>
      <c r="X679" s="123"/>
      <c r="Y679" s="117"/>
      <c r="Z679" s="117"/>
      <c r="AH679" s="88"/>
      <c r="AI679" s="88"/>
    </row>
    <row r="680" spans="1:35">
      <c r="A680" s="38"/>
      <c r="B680" s="38"/>
      <c r="C680" s="38"/>
      <c r="D680" s="38"/>
      <c r="E680" s="38"/>
      <c r="F680" s="43"/>
      <c r="G680" s="44"/>
      <c r="H680" s="45"/>
      <c r="I680" s="38"/>
      <c r="J680" s="38"/>
      <c r="K680" s="46"/>
      <c r="L680" s="47"/>
      <c r="M680" s="46"/>
      <c r="N680" s="46"/>
      <c r="O680" s="38"/>
      <c r="P680" s="38"/>
      <c r="Q680" s="14"/>
      <c r="R680" s="50"/>
      <c r="S680" s="50"/>
      <c r="T680" s="50"/>
      <c r="U680" s="52"/>
      <c r="V680" s="53"/>
      <c r="W680" s="60"/>
      <c r="X680" s="123"/>
      <c r="Y680" s="117"/>
      <c r="Z680" s="117"/>
      <c r="AH680" s="88"/>
      <c r="AI680" s="88"/>
    </row>
    <row r="681" spans="1:35">
      <c r="A681" s="38"/>
      <c r="B681" s="38"/>
      <c r="C681" s="38"/>
      <c r="D681" s="38"/>
      <c r="E681" s="38"/>
      <c r="F681" s="43"/>
      <c r="G681" s="44"/>
      <c r="H681" s="45"/>
      <c r="I681" s="38"/>
      <c r="J681" s="38"/>
      <c r="K681" s="46"/>
      <c r="L681" s="47"/>
      <c r="M681" s="46"/>
      <c r="N681" s="46"/>
      <c r="O681" s="38"/>
      <c r="P681" s="38"/>
      <c r="Q681" s="14"/>
      <c r="R681" s="50"/>
      <c r="S681" s="50"/>
      <c r="T681" s="50"/>
      <c r="U681" s="52"/>
      <c r="V681" s="53"/>
      <c r="W681" s="60"/>
      <c r="X681" s="123"/>
      <c r="Y681" s="117"/>
      <c r="Z681" s="117"/>
      <c r="AH681" s="88"/>
      <c r="AI681" s="88"/>
    </row>
    <row r="682" spans="1:35">
      <c r="A682" s="38"/>
      <c r="B682" s="38"/>
      <c r="C682" s="38"/>
      <c r="D682" s="38"/>
      <c r="E682" s="38"/>
      <c r="F682" s="43"/>
      <c r="G682" s="44"/>
      <c r="H682" s="45"/>
      <c r="I682" s="38"/>
      <c r="J682" s="38"/>
      <c r="K682" s="46"/>
      <c r="L682" s="47"/>
      <c r="M682" s="46"/>
      <c r="N682" s="46"/>
      <c r="O682" s="38"/>
      <c r="P682" s="38"/>
      <c r="Q682" s="14"/>
      <c r="R682" s="50"/>
      <c r="S682" s="50"/>
      <c r="T682" s="50"/>
      <c r="U682" s="52"/>
      <c r="V682" s="53"/>
      <c r="W682" s="60"/>
      <c r="X682" s="123"/>
      <c r="Y682" s="117"/>
      <c r="Z682" s="117"/>
      <c r="AH682" s="88"/>
      <c r="AI682" s="88"/>
    </row>
    <row r="683" spans="1:35">
      <c r="A683" s="38"/>
      <c r="B683" s="38"/>
      <c r="C683" s="38"/>
      <c r="D683" s="38"/>
      <c r="E683" s="38"/>
      <c r="F683" s="43"/>
      <c r="G683" s="44"/>
      <c r="H683" s="45"/>
      <c r="I683" s="38"/>
      <c r="J683" s="38"/>
      <c r="K683" s="46"/>
      <c r="L683" s="47"/>
      <c r="M683" s="46"/>
      <c r="N683" s="46"/>
      <c r="O683" s="38"/>
      <c r="P683" s="38"/>
      <c r="Q683" s="14"/>
      <c r="R683" s="50"/>
      <c r="S683" s="50"/>
      <c r="T683" s="50"/>
      <c r="U683" s="52"/>
      <c r="V683" s="53"/>
      <c r="W683" s="60"/>
      <c r="X683" s="123"/>
      <c r="Y683" s="117"/>
      <c r="Z683" s="117"/>
      <c r="AH683" s="88"/>
      <c r="AI683" s="88"/>
    </row>
    <row r="684" spans="1:35">
      <c r="A684" s="38"/>
      <c r="B684" s="38"/>
      <c r="C684" s="38"/>
      <c r="D684" s="38"/>
      <c r="E684" s="38"/>
      <c r="F684" s="43"/>
      <c r="G684" s="44"/>
      <c r="H684" s="45"/>
      <c r="I684" s="38"/>
      <c r="J684" s="38"/>
      <c r="K684" s="46"/>
      <c r="L684" s="47"/>
      <c r="M684" s="46"/>
      <c r="N684" s="46"/>
      <c r="O684" s="38"/>
      <c r="P684" s="38"/>
      <c r="Q684" s="14"/>
      <c r="R684" s="50"/>
      <c r="S684" s="50"/>
      <c r="T684" s="50"/>
      <c r="U684" s="52"/>
      <c r="V684" s="53"/>
      <c r="W684" s="60"/>
      <c r="X684" s="123"/>
      <c r="Y684" s="117"/>
      <c r="Z684" s="117"/>
      <c r="AH684" s="88"/>
      <c r="AI684" s="88"/>
    </row>
    <row r="685" spans="1:35">
      <c r="A685" s="38"/>
      <c r="B685" s="38"/>
      <c r="C685" s="38"/>
      <c r="D685" s="38"/>
      <c r="E685" s="38"/>
      <c r="F685" s="43"/>
      <c r="G685" s="44"/>
      <c r="H685" s="45"/>
      <c r="I685" s="38"/>
      <c r="J685" s="38"/>
      <c r="K685" s="46"/>
      <c r="L685" s="47"/>
      <c r="M685" s="46"/>
      <c r="N685" s="46"/>
      <c r="O685" s="38"/>
      <c r="P685" s="38"/>
      <c r="Q685" s="14"/>
      <c r="R685" s="50"/>
      <c r="S685" s="50"/>
      <c r="T685" s="50"/>
      <c r="U685" s="52"/>
      <c r="V685" s="53"/>
      <c r="W685" s="60"/>
      <c r="X685" s="123"/>
      <c r="Y685" s="117"/>
      <c r="Z685" s="117"/>
      <c r="AH685" s="88"/>
      <c r="AI685" s="88"/>
    </row>
    <row r="686" spans="1:35">
      <c r="A686" s="38"/>
      <c r="B686" s="38"/>
      <c r="C686" s="38"/>
      <c r="D686" s="38"/>
      <c r="E686" s="38"/>
      <c r="F686" s="43"/>
      <c r="G686" s="44"/>
      <c r="H686" s="45"/>
      <c r="I686" s="38"/>
      <c r="J686" s="38"/>
      <c r="K686" s="46"/>
      <c r="L686" s="47"/>
      <c r="M686" s="46"/>
      <c r="N686" s="46"/>
      <c r="O686" s="38"/>
      <c r="P686" s="38"/>
      <c r="Q686" s="14"/>
      <c r="R686" s="50"/>
      <c r="S686" s="50"/>
      <c r="T686" s="50"/>
      <c r="U686" s="52"/>
      <c r="V686" s="53"/>
      <c r="W686" s="60"/>
      <c r="X686" s="123"/>
      <c r="Y686" s="117"/>
      <c r="Z686" s="117"/>
      <c r="AH686" s="88"/>
      <c r="AI686" s="88"/>
    </row>
    <row r="687" spans="1:35">
      <c r="A687" s="38"/>
      <c r="B687" s="38"/>
      <c r="C687" s="38"/>
      <c r="D687" s="38"/>
      <c r="E687" s="38"/>
      <c r="F687" s="43"/>
      <c r="G687" s="44"/>
      <c r="H687" s="45"/>
      <c r="I687" s="38"/>
      <c r="J687" s="38"/>
      <c r="K687" s="46"/>
      <c r="L687" s="47"/>
      <c r="M687" s="46"/>
      <c r="N687" s="46"/>
      <c r="O687" s="38"/>
      <c r="P687" s="38"/>
      <c r="Q687" s="14"/>
      <c r="R687" s="50"/>
      <c r="S687" s="50"/>
      <c r="T687" s="50"/>
      <c r="U687" s="52"/>
      <c r="V687" s="53"/>
      <c r="W687" s="60"/>
      <c r="X687" s="123"/>
      <c r="Y687" s="117"/>
      <c r="Z687" s="117"/>
      <c r="AH687" s="88"/>
      <c r="AI687" s="88"/>
    </row>
    <row r="688" spans="1:35">
      <c r="A688" s="38"/>
      <c r="B688" s="38"/>
      <c r="C688" s="38"/>
      <c r="D688" s="38"/>
      <c r="E688" s="38"/>
      <c r="F688" s="43"/>
      <c r="G688" s="44"/>
      <c r="H688" s="45"/>
      <c r="I688" s="38"/>
      <c r="J688" s="38"/>
      <c r="K688" s="46"/>
      <c r="L688" s="47"/>
      <c r="M688" s="46"/>
      <c r="N688" s="46"/>
      <c r="O688" s="38"/>
      <c r="P688" s="38"/>
      <c r="Q688" s="14"/>
      <c r="R688" s="50"/>
      <c r="S688" s="50"/>
      <c r="T688" s="50"/>
      <c r="U688" s="52"/>
      <c r="V688" s="53"/>
      <c r="W688" s="60"/>
      <c r="X688" s="123"/>
      <c r="Y688" s="117"/>
      <c r="Z688" s="117"/>
      <c r="AH688" s="88"/>
      <c r="AI688" s="88"/>
    </row>
    <row r="689" spans="1:35">
      <c r="A689" s="38"/>
      <c r="B689" s="38"/>
      <c r="C689" s="38"/>
      <c r="D689" s="38"/>
      <c r="E689" s="38"/>
      <c r="F689" s="43"/>
      <c r="G689" s="44"/>
      <c r="H689" s="45"/>
      <c r="I689" s="38"/>
      <c r="J689" s="38"/>
      <c r="K689" s="46"/>
      <c r="L689" s="47"/>
      <c r="M689" s="46"/>
      <c r="N689" s="46"/>
      <c r="O689" s="38"/>
      <c r="P689" s="38"/>
      <c r="Q689" s="14"/>
      <c r="R689" s="50"/>
      <c r="S689" s="50"/>
      <c r="T689" s="50"/>
      <c r="U689" s="52"/>
      <c r="V689" s="53"/>
      <c r="W689" s="60"/>
      <c r="X689" s="123"/>
      <c r="Y689" s="117"/>
      <c r="Z689" s="117"/>
      <c r="AH689" s="88"/>
      <c r="AI689" s="88"/>
    </row>
    <row r="690" spans="1:35">
      <c r="A690" s="38"/>
      <c r="B690" s="38"/>
      <c r="C690" s="38"/>
      <c r="D690" s="38"/>
      <c r="E690" s="38"/>
      <c r="F690" s="43"/>
      <c r="G690" s="44"/>
      <c r="H690" s="45"/>
      <c r="I690" s="38"/>
      <c r="J690" s="38"/>
      <c r="K690" s="46"/>
      <c r="L690" s="47"/>
      <c r="M690" s="46"/>
      <c r="N690" s="46"/>
      <c r="O690" s="38"/>
      <c r="P690" s="38"/>
      <c r="Q690" s="14"/>
      <c r="R690" s="50"/>
      <c r="S690" s="50"/>
      <c r="T690" s="50"/>
      <c r="U690" s="52"/>
      <c r="V690" s="53"/>
      <c r="W690" s="60"/>
      <c r="X690" s="123"/>
      <c r="Y690" s="117"/>
      <c r="Z690" s="117"/>
      <c r="AH690" s="88"/>
      <c r="AI690" s="88"/>
    </row>
    <row r="691" spans="1:35">
      <c r="A691" s="38"/>
      <c r="B691" s="38"/>
      <c r="C691" s="38"/>
      <c r="D691" s="38"/>
      <c r="E691" s="38"/>
      <c r="F691" s="43"/>
      <c r="G691" s="44"/>
      <c r="H691" s="45"/>
      <c r="I691" s="38"/>
      <c r="J691" s="38"/>
      <c r="K691" s="46"/>
      <c r="L691" s="47"/>
      <c r="M691" s="46"/>
      <c r="N691" s="46"/>
      <c r="O691" s="38"/>
      <c r="P691" s="38"/>
      <c r="Q691" s="14"/>
      <c r="R691" s="50"/>
      <c r="S691" s="50"/>
      <c r="T691" s="50"/>
      <c r="U691" s="52"/>
      <c r="V691" s="53"/>
      <c r="W691" s="60"/>
      <c r="X691" s="123"/>
      <c r="Y691" s="117"/>
      <c r="Z691" s="117"/>
      <c r="AH691" s="88"/>
      <c r="AI691" s="88"/>
    </row>
    <row r="692" spans="1:35">
      <c r="A692" s="38"/>
      <c r="B692" s="38"/>
      <c r="C692" s="38"/>
      <c r="D692" s="38"/>
      <c r="E692" s="38"/>
      <c r="F692" s="43"/>
      <c r="G692" s="44"/>
      <c r="H692" s="45"/>
      <c r="I692" s="38"/>
      <c r="J692" s="38"/>
      <c r="K692" s="46"/>
      <c r="L692" s="47"/>
      <c r="M692" s="46"/>
      <c r="N692" s="46"/>
      <c r="O692" s="38"/>
      <c r="P692" s="38"/>
      <c r="Q692" s="14"/>
      <c r="R692" s="50"/>
      <c r="S692" s="50"/>
      <c r="T692" s="50"/>
      <c r="U692" s="52"/>
      <c r="V692" s="53"/>
      <c r="W692" s="60"/>
      <c r="X692" s="123"/>
      <c r="Y692" s="117"/>
      <c r="Z692" s="117"/>
      <c r="AH692" s="88"/>
      <c r="AI692" s="88"/>
    </row>
    <row r="693" spans="1:35">
      <c r="A693" s="38"/>
      <c r="B693" s="38"/>
      <c r="C693" s="38"/>
      <c r="D693" s="38"/>
      <c r="E693" s="38"/>
      <c r="F693" s="43"/>
      <c r="G693" s="44"/>
      <c r="H693" s="45"/>
      <c r="I693" s="38"/>
      <c r="J693" s="38"/>
      <c r="K693" s="46"/>
      <c r="L693" s="47"/>
      <c r="M693" s="46"/>
      <c r="N693" s="46"/>
      <c r="O693" s="38"/>
      <c r="P693" s="38"/>
      <c r="Q693" s="14"/>
      <c r="R693" s="50"/>
      <c r="S693" s="50"/>
      <c r="T693" s="50"/>
      <c r="U693" s="52"/>
      <c r="V693" s="53"/>
      <c r="W693" s="60"/>
      <c r="X693" s="123"/>
      <c r="Y693" s="117"/>
      <c r="Z693" s="117"/>
      <c r="AH693" s="88"/>
      <c r="AI693" s="88"/>
    </row>
    <row r="694" spans="1:35">
      <c r="A694" s="38"/>
      <c r="B694" s="38"/>
      <c r="C694" s="38"/>
      <c r="D694" s="38"/>
      <c r="E694" s="38"/>
      <c r="F694" s="43"/>
      <c r="G694" s="44"/>
      <c r="H694" s="45"/>
      <c r="I694" s="38"/>
      <c r="J694" s="38"/>
      <c r="K694" s="46"/>
      <c r="L694" s="47"/>
      <c r="M694" s="46"/>
      <c r="N694" s="46"/>
      <c r="O694" s="38"/>
      <c r="P694" s="38"/>
      <c r="Q694" s="14"/>
      <c r="R694" s="50"/>
      <c r="S694" s="50"/>
      <c r="T694" s="50"/>
      <c r="U694" s="52"/>
      <c r="V694" s="53"/>
      <c r="W694" s="60"/>
      <c r="X694" s="123"/>
      <c r="Y694" s="117"/>
      <c r="Z694" s="117"/>
      <c r="AH694" s="88"/>
      <c r="AI694" s="88"/>
    </row>
    <row r="695" spans="1:35">
      <c r="A695" s="38"/>
      <c r="B695" s="38"/>
      <c r="C695" s="38"/>
      <c r="D695" s="38"/>
      <c r="E695" s="38"/>
      <c r="F695" s="43"/>
      <c r="G695" s="44"/>
      <c r="H695" s="45"/>
      <c r="I695" s="38"/>
      <c r="J695" s="38"/>
      <c r="K695" s="46"/>
      <c r="L695" s="47"/>
      <c r="M695" s="46"/>
      <c r="N695" s="46"/>
      <c r="O695" s="38"/>
      <c r="P695" s="38"/>
      <c r="Q695" s="14"/>
      <c r="R695" s="50"/>
      <c r="S695" s="50"/>
      <c r="T695" s="50"/>
      <c r="U695" s="52"/>
      <c r="V695" s="53"/>
      <c r="W695" s="60"/>
      <c r="X695" s="123"/>
      <c r="Y695" s="117"/>
      <c r="Z695" s="117"/>
      <c r="AH695" s="88"/>
      <c r="AI695" s="88"/>
    </row>
    <row r="696" spans="1:35">
      <c r="A696" s="38"/>
      <c r="B696" s="38"/>
      <c r="C696" s="38"/>
      <c r="D696" s="38"/>
      <c r="E696" s="38"/>
      <c r="F696" s="43"/>
      <c r="G696" s="44"/>
      <c r="H696" s="45"/>
      <c r="I696" s="38"/>
      <c r="J696" s="38"/>
      <c r="K696" s="46"/>
      <c r="L696" s="47"/>
      <c r="M696" s="46"/>
      <c r="N696" s="46"/>
      <c r="O696" s="38"/>
      <c r="P696" s="38"/>
      <c r="Q696" s="14"/>
      <c r="R696" s="50"/>
      <c r="S696" s="50"/>
      <c r="T696" s="50"/>
      <c r="U696" s="52"/>
      <c r="V696" s="53"/>
      <c r="W696" s="60"/>
      <c r="X696" s="123"/>
      <c r="Y696" s="117"/>
      <c r="Z696" s="117"/>
      <c r="AH696" s="88"/>
      <c r="AI696" s="88"/>
    </row>
    <row r="697" spans="1:35">
      <c r="A697" s="38"/>
      <c r="B697" s="38"/>
      <c r="C697" s="38"/>
      <c r="D697" s="38"/>
      <c r="E697" s="38"/>
      <c r="F697" s="43"/>
      <c r="G697" s="44"/>
      <c r="H697" s="45"/>
      <c r="I697" s="38"/>
      <c r="J697" s="38"/>
      <c r="K697" s="46"/>
      <c r="L697" s="47"/>
      <c r="M697" s="46"/>
      <c r="N697" s="46"/>
      <c r="O697" s="38"/>
      <c r="P697" s="38"/>
      <c r="Q697" s="14"/>
      <c r="R697" s="50"/>
      <c r="S697" s="50"/>
      <c r="T697" s="50"/>
      <c r="U697" s="52"/>
      <c r="V697" s="53"/>
      <c r="W697" s="60"/>
      <c r="X697" s="123"/>
      <c r="Y697" s="117"/>
      <c r="Z697" s="117"/>
      <c r="AH697" s="88"/>
      <c r="AI697" s="88"/>
    </row>
    <row r="698" spans="1:35">
      <c r="A698" s="38"/>
      <c r="B698" s="38"/>
      <c r="C698" s="38"/>
      <c r="D698" s="38"/>
      <c r="E698" s="38"/>
      <c r="F698" s="43"/>
      <c r="G698" s="44"/>
      <c r="H698" s="45"/>
      <c r="I698" s="38"/>
      <c r="J698" s="38"/>
      <c r="K698" s="46"/>
      <c r="L698" s="47"/>
      <c r="M698" s="46"/>
      <c r="N698" s="46"/>
      <c r="O698" s="38"/>
      <c r="P698" s="38"/>
      <c r="Q698" s="14"/>
      <c r="R698" s="50"/>
      <c r="S698" s="50"/>
      <c r="T698" s="50"/>
      <c r="U698" s="52"/>
      <c r="V698" s="53"/>
      <c r="W698" s="60"/>
      <c r="X698" s="123"/>
      <c r="Y698" s="117"/>
      <c r="Z698" s="117"/>
      <c r="AH698" s="88"/>
      <c r="AI698" s="88"/>
    </row>
    <row r="699" spans="1:35">
      <c r="A699" s="38"/>
      <c r="B699" s="38"/>
      <c r="C699" s="38"/>
      <c r="D699" s="38"/>
      <c r="E699" s="38"/>
      <c r="F699" s="43"/>
      <c r="G699" s="44"/>
      <c r="H699" s="45"/>
      <c r="I699" s="38"/>
      <c r="J699" s="38"/>
      <c r="K699" s="46"/>
      <c r="L699" s="47"/>
      <c r="M699" s="46"/>
      <c r="N699" s="46"/>
      <c r="O699" s="38"/>
      <c r="P699" s="38"/>
      <c r="Q699" s="14"/>
      <c r="R699" s="50"/>
      <c r="S699" s="50"/>
      <c r="T699" s="50"/>
      <c r="U699" s="52"/>
      <c r="V699" s="53"/>
      <c r="W699" s="60"/>
      <c r="X699" s="123"/>
      <c r="Y699" s="117"/>
      <c r="Z699" s="117"/>
      <c r="AH699" s="88"/>
      <c r="AI699" s="88"/>
    </row>
    <row r="700" spans="1:35">
      <c r="A700" s="38"/>
      <c r="B700" s="38"/>
      <c r="C700" s="38"/>
      <c r="D700" s="38"/>
      <c r="E700" s="38"/>
      <c r="F700" s="43"/>
      <c r="G700" s="44"/>
      <c r="H700" s="45"/>
      <c r="I700" s="38"/>
      <c r="J700" s="38"/>
      <c r="K700" s="46"/>
      <c r="L700" s="47"/>
      <c r="M700" s="46"/>
      <c r="N700" s="46"/>
      <c r="O700" s="38"/>
      <c r="P700" s="38"/>
      <c r="Q700" s="14"/>
      <c r="R700" s="50"/>
      <c r="S700" s="50"/>
      <c r="T700" s="50"/>
      <c r="U700" s="52"/>
      <c r="V700" s="53"/>
      <c r="W700" s="60"/>
      <c r="X700" s="123"/>
      <c r="Y700" s="117"/>
      <c r="Z700" s="117"/>
      <c r="AH700" s="88"/>
      <c r="AI700" s="88"/>
    </row>
    <row r="701" spans="1:35">
      <c r="A701" s="38"/>
      <c r="B701" s="38"/>
      <c r="C701" s="38"/>
      <c r="D701" s="38"/>
      <c r="E701" s="38"/>
      <c r="F701" s="43"/>
      <c r="G701" s="44"/>
      <c r="H701" s="45"/>
      <c r="I701" s="38"/>
      <c r="J701" s="38"/>
      <c r="K701" s="46"/>
      <c r="L701" s="47"/>
      <c r="M701" s="46"/>
      <c r="N701" s="46"/>
      <c r="O701" s="38"/>
      <c r="P701" s="38"/>
      <c r="Q701" s="14"/>
      <c r="R701" s="50"/>
      <c r="S701" s="50"/>
      <c r="T701" s="50"/>
      <c r="U701" s="52"/>
      <c r="V701" s="53"/>
      <c r="W701" s="60"/>
      <c r="X701" s="123"/>
      <c r="Y701" s="117"/>
      <c r="Z701" s="117"/>
      <c r="AH701" s="88"/>
      <c r="AI701" s="88"/>
    </row>
    <row r="702" spans="1:35">
      <c r="A702" s="38"/>
      <c r="B702" s="38"/>
      <c r="C702" s="38"/>
      <c r="D702" s="38"/>
      <c r="E702" s="38"/>
      <c r="F702" s="43"/>
      <c r="G702" s="44"/>
      <c r="H702" s="45"/>
      <c r="I702" s="38"/>
      <c r="J702" s="38"/>
      <c r="K702" s="46"/>
      <c r="L702" s="47"/>
      <c r="M702" s="46"/>
      <c r="N702" s="46"/>
      <c r="O702" s="38"/>
      <c r="P702" s="38"/>
      <c r="Q702" s="14"/>
      <c r="R702" s="50"/>
      <c r="S702" s="50"/>
      <c r="T702" s="50"/>
      <c r="U702" s="52"/>
      <c r="V702" s="53"/>
      <c r="W702" s="60"/>
      <c r="X702" s="123"/>
      <c r="Y702" s="117"/>
      <c r="Z702" s="117"/>
      <c r="AH702" s="88"/>
      <c r="AI702" s="88"/>
    </row>
    <row r="703" spans="1:35">
      <c r="A703" s="38"/>
      <c r="B703" s="38"/>
      <c r="C703" s="38"/>
      <c r="D703" s="38"/>
      <c r="E703" s="38"/>
      <c r="F703" s="43"/>
      <c r="G703" s="44"/>
      <c r="H703" s="45"/>
      <c r="I703" s="38"/>
      <c r="J703" s="38"/>
      <c r="K703" s="46"/>
      <c r="L703" s="47"/>
      <c r="M703" s="46"/>
      <c r="N703" s="46"/>
      <c r="O703" s="38"/>
      <c r="P703" s="38"/>
      <c r="Q703" s="14"/>
      <c r="R703" s="50"/>
      <c r="S703" s="50"/>
      <c r="T703" s="50"/>
      <c r="U703" s="52"/>
      <c r="V703" s="53"/>
      <c r="W703" s="60"/>
      <c r="X703" s="123"/>
      <c r="Y703" s="117"/>
      <c r="Z703" s="117"/>
      <c r="AH703" s="88"/>
      <c r="AI703" s="88"/>
    </row>
    <row r="704" spans="1:35">
      <c r="A704" s="38"/>
      <c r="B704" s="38"/>
      <c r="C704" s="38"/>
      <c r="D704" s="38"/>
      <c r="E704" s="38"/>
      <c r="F704" s="43"/>
      <c r="G704" s="44"/>
      <c r="H704" s="45"/>
      <c r="I704" s="38"/>
      <c r="J704" s="38"/>
      <c r="K704" s="46"/>
      <c r="L704" s="47"/>
      <c r="M704" s="46"/>
      <c r="N704" s="46"/>
      <c r="O704" s="38"/>
      <c r="P704" s="38"/>
      <c r="Q704" s="14"/>
      <c r="R704" s="50"/>
      <c r="S704" s="50"/>
      <c r="T704" s="50"/>
      <c r="U704" s="52"/>
      <c r="V704" s="53"/>
      <c r="W704" s="60"/>
      <c r="X704" s="123"/>
      <c r="Y704" s="117"/>
      <c r="Z704" s="117"/>
      <c r="AH704" s="88"/>
      <c r="AI704" s="88"/>
    </row>
    <row r="705" spans="1:35">
      <c r="A705" s="38"/>
      <c r="B705" s="38"/>
      <c r="C705" s="38"/>
      <c r="D705" s="38"/>
      <c r="E705" s="38"/>
      <c r="F705" s="43"/>
      <c r="G705" s="44"/>
      <c r="H705" s="45"/>
      <c r="I705" s="38"/>
      <c r="J705" s="38"/>
      <c r="K705" s="46"/>
      <c r="L705" s="47"/>
      <c r="M705" s="46"/>
      <c r="N705" s="46"/>
      <c r="O705" s="38"/>
      <c r="P705" s="38"/>
      <c r="Q705" s="14"/>
      <c r="R705" s="50"/>
      <c r="S705" s="50"/>
      <c r="T705" s="50"/>
      <c r="U705" s="52"/>
      <c r="V705" s="53"/>
      <c r="W705" s="60"/>
      <c r="X705" s="123"/>
      <c r="Y705" s="117"/>
      <c r="Z705" s="117"/>
      <c r="AH705" s="88"/>
      <c r="AI705" s="88"/>
    </row>
    <row r="706" spans="1:35">
      <c r="A706" s="38"/>
      <c r="B706" s="38"/>
      <c r="C706" s="38"/>
      <c r="D706" s="38"/>
      <c r="E706" s="38"/>
      <c r="F706" s="43"/>
      <c r="G706" s="44"/>
      <c r="H706" s="45"/>
      <c r="I706" s="38"/>
      <c r="J706" s="38"/>
      <c r="K706" s="46"/>
      <c r="L706" s="47"/>
      <c r="M706" s="46"/>
      <c r="N706" s="46"/>
      <c r="O706" s="38"/>
      <c r="P706" s="38"/>
      <c r="Q706" s="14"/>
      <c r="R706" s="50"/>
      <c r="S706" s="50"/>
      <c r="T706" s="50"/>
      <c r="U706" s="52"/>
      <c r="V706" s="53"/>
      <c r="W706" s="60"/>
      <c r="X706" s="123"/>
      <c r="Y706" s="117"/>
      <c r="Z706" s="117"/>
      <c r="AH706" s="88"/>
      <c r="AI706" s="88"/>
    </row>
    <row r="707" spans="1:35">
      <c r="A707" s="38"/>
      <c r="B707" s="38"/>
      <c r="C707" s="38"/>
      <c r="D707" s="38"/>
      <c r="E707" s="38"/>
      <c r="F707" s="43"/>
      <c r="G707" s="44"/>
      <c r="H707" s="45"/>
      <c r="I707" s="38"/>
      <c r="J707" s="38"/>
      <c r="K707" s="46"/>
      <c r="L707" s="47"/>
      <c r="M707" s="46"/>
      <c r="N707" s="46"/>
      <c r="O707" s="38"/>
      <c r="P707" s="38"/>
      <c r="Q707" s="14"/>
      <c r="R707" s="50"/>
      <c r="S707" s="50"/>
      <c r="T707" s="50"/>
      <c r="U707" s="52"/>
      <c r="V707" s="53"/>
      <c r="W707" s="60"/>
      <c r="X707" s="123"/>
      <c r="Y707" s="117"/>
      <c r="Z707" s="117"/>
      <c r="AH707" s="88"/>
      <c r="AI707" s="88"/>
    </row>
    <row r="708" spans="1:35">
      <c r="A708" s="38"/>
      <c r="B708" s="38"/>
      <c r="C708" s="38"/>
      <c r="D708" s="38"/>
      <c r="E708" s="38"/>
      <c r="F708" s="43"/>
      <c r="G708" s="44"/>
      <c r="H708" s="45"/>
      <c r="I708" s="38"/>
      <c r="J708" s="38"/>
      <c r="K708" s="46"/>
      <c r="L708" s="47"/>
      <c r="M708" s="46"/>
      <c r="N708" s="46"/>
      <c r="O708" s="38"/>
      <c r="P708" s="38"/>
      <c r="Q708" s="14"/>
      <c r="R708" s="50"/>
      <c r="S708" s="50"/>
      <c r="T708" s="50"/>
      <c r="U708" s="52"/>
      <c r="V708" s="53"/>
      <c r="W708" s="60"/>
      <c r="X708" s="123"/>
      <c r="Y708" s="117"/>
      <c r="Z708" s="117"/>
      <c r="AH708" s="88"/>
      <c r="AI708" s="88"/>
    </row>
    <row r="709" spans="1:35">
      <c r="A709" s="38"/>
      <c r="B709" s="38"/>
      <c r="C709" s="38"/>
      <c r="D709" s="38"/>
      <c r="E709" s="38"/>
      <c r="F709" s="43"/>
      <c r="G709" s="44"/>
      <c r="H709" s="45"/>
      <c r="I709" s="38"/>
      <c r="J709" s="38"/>
      <c r="K709" s="46"/>
      <c r="L709" s="47"/>
      <c r="M709" s="46"/>
      <c r="N709" s="46"/>
      <c r="O709" s="38"/>
      <c r="P709" s="38"/>
      <c r="Q709" s="14"/>
      <c r="R709" s="50"/>
      <c r="S709" s="50"/>
      <c r="T709" s="50"/>
      <c r="U709" s="52"/>
      <c r="V709" s="53"/>
      <c r="W709" s="60"/>
      <c r="X709" s="123"/>
      <c r="Y709" s="117"/>
      <c r="Z709" s="117"/>
      <c r="AH709" s="88"/>
      <c r="AI709" s="88"/>
    </row>
    <row r="710" spans="1:35">
      <c r="A710" s="38"/>
      <c r="B710" s="38"/>
      <c r="C710" s="38"/>
      <c r="D710" s="38"/>
      <c r="E710" s="38"/>
      <c r="F710" s="43"/>
      <c r="G710" s="44"/>
      <c r="H710" s="45"/>
      <c r="I710" s="38"/>
      <c r="J710" s="38"/>
      <c r="K710" s="46"/>
      <c r="L710" s="47"/>
      <c r="M710" s="46"/>
      <c r="N710" s="46"/>
      <c r="O710" s="38"/>
      <c r="P710" s="38"/>
      <c r="Q710" s="14"/>
      <c r="R710" s="50"/>
      <c r="S710" s="50"/>
      <c r="T710" s="50"/>
      <c r="U710" s="52"/>
      <c r="V710" s="53"/>
      <c r="W710" s="60"/>
      <c r="X710" s="123"/>
      <c r="Y710" s="117"/>
      <c r="Z710" s="117"/>
      <c r="AH710" s="88"/>
      <c r="AI710" s="88"/>
    </row>
    <row r="711" spans="1:35">
      <c r="A711" s="38"/>
      <c r="B711" s="38"/>
      <c r="C711" s="38"/>
      <c r="D711" s="38"/>
      <c r="E711" s="38"/>
      <c r="F711" s="43"/>
      <c r="G711" s="44"/>
      <c r="H711" s="45"/>
      <c r="I711" s="38"/>
      <c r="J711" s="38"/>
      <c r="K711" s="46"/>
      <c r="L711" s="47"/>
      <c r="M711" s="46"/>
      <c r="N711" s="46"/>
      <c r="O711" s="38"/>
      <c r="P711" s="38"/>
      <c r="Q711" s="14"/>
      <c r="R711" s="50"/>
      <c r="S711" s="50"/>
      <c r="T711" s="50"/>
      <c r="U711" s="52"/>
      <c r="V711" s="53"/>
      <c r="W711" s="60"/>
      <c r="X711" s="123"/>
      <c r="Y711" s="117"/>
      <c r="Z711" s="117"/>
      <c r="AH711" s="88"/>
      <c r="AI711" s="88"/>
    </row>
    <row r="712" spans="1:35">
      <c r="A712" s="38"/>
      <c r="B712" s="38"/>
      <c r="C712" s="38"/>
      <c r="D712" s="38"/>
      <c r="E712" s="38"/>
      <c r="F712" s="43"/>
      <c r="G712" s="44"/>
      <c r="H712" s="45"/>
      <c r="I712" s="38"/>
      <c r="J712" s="38"/>
      <c r="K712" s="46"/>
      <c r="L712" s="47"/>
      <c r="M712" s="46"/>
      <c r="N712" s="46"/>
      <c r="O712" s="38"/>
      <c r="P712" s="38"/>
      <c r="Q712" s="14"/>
      <c r="R712" s="50"/>
      <c r="S712" s="50"/>
      <c r="T712" s="50"/>
      <c r="U712" s="52"/>
      <c r="V712" s="53"/>
      <c r="W712" s="60"/>
      <c r="X712" s="123"/>
      <c r="Y712" s="117"/>
      <c r="Z712" s="117"/>
      <c r="AH712" s="88"/>
      <c r="AI712" s="88"/>
    </row>
    <row r="713" spans="1:35">
      <c r="A713" s="38"/>
      <c r="B713" s="38"/>
      <c r="C713" s="38"/>
      <c r="D713" s="38"/>
      <c r="E713" s="38"/>
      <c r="F713" s="43"/>
      <c r="G713" s="44"/>
      <c r="H713" s="45"/>
      <c r="I713" s="38"/>
      <c r="J713" s="38"/>
      <c r="K713" s="46"/>
      <c r="L713" s="47"/>
      <c r="M713" s="46"/>
      <c r="N713" s="46"/>
      <c r="O713" s="38"/>
      <c r="P713" s="38"/>
      <c r="Q713" s="14"/>
      <c r="R713" s="50"/>
      <c r="S713" s="50"/>
      <c r="T713" s="50"/>
      <c r="U713" s="52"/>
      <c r="V713" s="53"/>
      <c r="W713" s="60"/>
      <c r="X713" s="123"/>
      <c r="Y713" s="117"/>
      <c r="Z713" s="117"/>
      <c r="AH713" s="88"/>
      <c r="AI713" s="88"/>
    </row>
    <row r="714" spans="1:35">
      <c r="A714" s="38"/>
      <c r="B714" s="38"/>
      <c r="C714" s="38"/>
      <c r="D714" s="38"/>
      <c r="E714" s="38"/>
      <c r="F714" s="43"/>
      <c r="G714" s="44"/>
      <c r="H714" s="45"/>
      <c r="I714" s="38"/>
      <c r="J714" s="38"/>
      <c r="K714" s="46"/>
      <c r="L714" s="47"/>
      <c r="M714" s="46"/>
      <c r="N714" s="46"/>
      <c r="O714" s="38"/>
      <c r="P714" s="38"/>
      <c r="Q714" s="14"/>
      <c r="R714" s="50"/>
      <c r="S714" s="50"/>
      <c r="T714" s="50"/>
      <c r="U714" s="52"/>
      <c r="V714" s="53"/>
      <c r="W714" s="60"/>
      <c r="X714" s="123"/>
      <c r="Y714" s="117"/>
      <c r="Z714" s="117"/>
      <c r="AH714" s="88"/>
      <c r="AI714" s="88"/>
    </row>
    <row r="715" spans="1:35">
      <c r="A715" s="38"/>
      <c r="B715" s="38"/>
      <c r="C715" s="38"/>
      <c r="D715" s="38"/>
      <c r="E715" s="38"/>
      <c r="F715" s="43"/>
      <c r="G715" s="44"/>
      <c r="H715" s="45"/>
      <c r="I715" s="38"/>
      <c r="J715" s="38"/>
      <c r="K715" s="46"/>
      <c r="L715" s="47"/>
      <c r="M715" s="46"/>
      <c r="N715" s="46"/>
      <c r="O715" s="38"/>
      <c r="P715" s="38"/>
      <c r="Q715" s="14"/>
      <c r="R715" s="50"/>
      <c r="S715" s="50"/>
      <c r="T715" s="50"/>
      <c r="U715" s="52"/>
      <c r="V715" s="53"/>
      <c r="W715" s="60"/>
      <c r="X715" s="123"/>
      <c r="Y715" s="117"/>
      <c r="Z715" s="117"/>
      <c r="AH715" s="88"/>
      <c r="AI715" s="88"/>
    </row>
    <row r="716" spans="1:35">
      <c r="A716" s="38"/>
      <c r="B716" s="38"/>
      <c r="C716" s="38"/>
      <c r="D716" s="38"/>
      <c r="E716" s="38"/>
      <c r="F716" s="43"/>
      <c r="G716" s="44"/>
      <c r="H716" s="45"/>
      <c r="I716" s="38"/>
      <c r="J716" s="38"/>
      <c r="K716" s="46"/>
      <c r="L716" s="47"/>
      <c r="M716" s="46"/>
      <c r="N716" s="46"/>
      <c r="O716" s="38"/>
      <c r="P716" s="38"/>
      <c r="Q716" s="14"/>
      <c r="R716" s="50"/>
      <c r="S716" s="50"/>
      <c r="T716" s="50"/>
      <c r="U716" s="52"/>
      <c r="V716" s="53"/>
      <c r="W716" s="60"/>
      <c r="X716" s="123"/>
      <c r="Y716" s="117"/>
      <c r="Z716" s="117"/>
      <c r="AH716" s="88"/>
      <c r="AI716" s="88"/>
    </row>
    <row r="717" spans="1:35">
      <c r="A717" s="38"/>
      <c r="B717" s="38"/>
      <c r="C717" s="38"/>
      <c r="D717" s="38"/>
      <c r="E717" s="38"/>
      <c r="F717" s="43"/>
      <c r="G717" s="44"/>
      <c r="H717" s="45"/>
      <c r="I717" s="38"/>
      <c r="J717" s="38"/>
      <c r="K717" s="46"/>
      <c r="L717" s="47"/>
      <c r="M717" s="46"/>
      <c r="N717" s="46"/>
      <c r="O717" s="38"/>
      <c r="P717" s="38"/>
      <c r="Q717" s="14"/>
      <c r="R717" s="50"/>
      <c r="S717" s="50"/>
      <c r="T717" s="50"/>
      <c r="U717" s="52"/>
      <c r="V717" s="53"/>
      <c r="W717" s="60"/>
      <c r="X717" s="123"/>
      <c r="Y717" s="117"/>
      <c r="Z717" s="117"/>
      <c r="AH717" s="88"/>
      <c r="AI717" s="88"/>
    </row>
    <row r="718" spans="1:35">
      <c r="A718" s="38"/>
      <c r="B718" s="38"/>
      <c r="C718" s="38"/>
      <c r="D718" s="38"/>
      <c r="E718" s="38"/>
      <c r="F718" s="43"/>
      <c r="G718" s="44"/>
      <c r="H718" s="45"/>
      <c r="I718" s="38"/>
      <c r="J718" s="38"/>
      <c r="K718" s="46"/>
      <c r="L718" s="47"/>
      <c r="M718" s="46"/>
      <c r="N718" s="46"/>
      <c r="O718" s="38"/>
      <c r="P718" s="38"/>
      <c r="Q718" s="14"/>
      <c r="R718" s="50"/>
      <c r="S718" s="50"/>
      <c r="T718" s="50"/>
      <c r="U718" s="52"/>
      <c r="V718" s="53"/>
      <c r="W718" s="60"/>
      <c r="X718" s="123"/>
      <c r="Y718" s="117"/>
      <c r="Z718" s="117"/>
      <c r="AH718" s="88"/>
      <c r="AI718" s="88"/>
    </row>
    <row r="719" spans="1:35">
      <c r="A719" s="38"/>
      <c r="B719" s="38"/>
      <c r="C719" s="38"/>
      <c r="D719" s="38"/>
      <c r="E719" s="38"/>
      <c r="F719" s="43"/>
      <c r="G719" s="44"/>
      <c r="H719" s="45"/>
      <c r="I719" s="38"/>
      <c r="J719" s="38"/>
      <c r="K719" s="46"/>
      <c r="L719" s="47"/>
      <c r="M719" s="46"/>
      <c r="N719" s="46"/>
      <c r="O719" s="38"/>
      <c r="P719" s="38"/>
      <c r="Q719" s="14"/>
      <c r="R719" s="50"/>
      <c r="S719" s="50"/>
      <c r="T719" s="50"/>
      <c r="U719" s="52"/>
      <c r="V719" s="53"/>
      <c r="W719" s="60"/>
      <c r="X719" s="123"/>
      <c r="Y719" s="117"/>
      <c r="Z719" s="117"/>
      <c r="AH719" s="88"/>
      <c r="AI719" s="88"/>
    </row>
    <row r="720" spans="1:35">
      <c r="A720" s="38"/>
      <c r="B720" s="38"/>
      <c r="C720" s="38"/>
      <c r="D720" s="38"/>
      <c r="E720" s="38"/>
      <c r="F720" s="43"/>
      <c r="G720" s="44"/>
      <c r="H720" s="45"/>
      <c r="I720" s="38"/>
      <c r="J720" s="38"/>
      <c r="K720" s="46"/>
      <c r="L720" s="47"/>
      <c r="M720" s="46"/>
      <c r="N720" s="46"/>
      <c r="O720" s="38"/>
      <c r="P720" s="38"/>
      <c r="Q720" s="14"/>
      <c r="R720" s="50"/>
      <c r="S720" s="50"/>
      <c r="T720" s="50"/>
      <c r="U720" s="52"/>
      <c r="V720" s="53"/>
      <c r="W720" s="60"/>
      <c r="X720" s="123"/>
      <c r="Y720" s="117"/>
      <c r="Z720" s="117"/>
      <c r="AH720" s="88"/>
      <c r="AI720" s="88"/>
    </row>
    <row r="721" spans="1:35">
      <c r="A721" s="38"/>
      <c r="B721" s="38"/>
      <c r="C721" s="38"/>
      <c r="D721" s="38"/>
      <c r="E721" s="38"/>
      <c r="F721" s="43"/>
      <c r="G721" s="44"/>
      <c r="H721" s="45"/>
      <c r="I721" s="38"/>
      <c r="J721" s="38"/>
      <c r="K721" s="46"/>
      <c r="L721" s="47"/>
      <c r="M721" s="46"/>
      <c r="N721" s="46"/>
      <c r="O721" s="38"/>
      <c r="P721" s="38"/>
      <c r="Q721" s="14"/>
      <c r="R721" s="50"/>
      <c r="S721" s="50"/>
      <c r="T721" s="50"/>
      <c r="U721" s="52"/>
      <c r="V721" s="53"/>
      <c r="W721" s="60"/>
      <c r="X721" s="123"/>
      <c r="Y721" s="117"/>
      <c r="Z721" s="117"/>
      <c r="AH721" s="88"/>
      <c r="AI721" s="88"/>
    </row>
    <row r="722" spans="1:35">
      <c r="A722" s="38"/>
      <c r="B722" s="38"/>
      <c r="C722" s="38"/>
      <c r="D722" s="38"/>
      <c r="E722" s="38"/>
      <c r="F722" s="43"/>
      <c r="G722" s="44"/>
      <c r="H722" s="45"/>
      <c r="I722" s="38"/>
      <c r="J722" s="38"/>
      <c r="K722" s="46"/>
      <c r="L722" s="47"/>
      <c r="M722" s="46"/>
      <c r="N722" s="46"/>
      <c r="O722" s="38"/>
      <c r="P722" s="38"/>
      <c r="Q722" s="14"/>
      <c r="R722" s="50"/>
      <c r="S722" s="50"/>
      <c r="T722" s="50"/>
      <c r="U722" s="52"/>
      <c r="V722" s="53"/>
      <c r="W722" s="60"/>
      <c r="X722" s="123"/>
      <c r="Y722" s="117"/>
      <c r="Z722" s="117"/>
      <c r="AH722" s="88"/>
      <c r="AI722" s="88"/>
    </row>
    <row r="723" spans="1:35">
      <c r="A723" s="38"/>
      <c r="B723" s="38"/>
      <c r="C723" s="38"/>
      <c r="D723" s="38"/>
      <c r="E723" s="38"/>
      <c r="F723" s="43"/>
      <c r="G723" s="44"/>
      <c r="H723" s="45"/>
      <c r="I723" s="38"/>
      <c r="J723" s="38"/>
      <c r="K723" s="46"/>
      <c r="L723" s="47"/>
      <c r="M723" s="46"/>
      <c r="N723" s="46"/>
      <c r="O723" s="38"/>
      <c r="P723" s="38"/>
      <c r="Q723" s="14"/>
      <c r="R723" s="50"/>
      <c r="S723" s="50"/>
      <c r="T723" s="50"/>
      <c r="U723" s="52"/>
      <c r="V723" s="53"/>
      <c r="W723" s="60"/>
      <c r="X723" s="123"/>
      <c r="Y723" s="117"/>
      <c r="Z723" s="117"/>
      <c r="AH723" s="88"/>
      <c r="AI723" s="88"/>
    </row>
    <row r="724" spans="1:35">
      <c r="A724" s="38"/>
      <c r="B724" s="38"/>
      <c r="C724" s="38"/>
      <c r="D724" s="38"/>
      <c r="E724" s="38"/>
      <c r="F724" s="43"/>
      <c r="G724" s="44"/>
      <c r="H724" s="45"/>
      <c r="I724" s="38"/>
      <c r="J724" s="38"/>
      <c r="K724" s="46"/>
      <c r="L724" s="47"/>
      <c r="M724" s="46"/>
      <c r="N724" s="46"/>
      <c r="O724" s="38"/>
      <c r="P724" s="38"/>
      <c r="Q724" s="14"/>
      <c r="R724" s="50"/>
      <c r="S724" s="50"/>
      <c r="T724" s="50"/>
      <c r="U724" s="52"/>
      <c r="V724" s="53"/>
      <c r="W724" s="60"/>
      <c r="X724" s="123"/>
      <c r="Y724" s="117"/>
      <c r="Z724" s="117"/>
      <c r="AH724" s="88"/>
      <c r="AI724" s="88"/>
    </row>
    <row r="725" spans="1:35">
      <c r="A725" s="38"/>
      <c r="B725" s="38"/>
      <c r="C725" s="38"/>
      <c r="D725" s="38"/>
      <c r="E725" s="38"/>
      <c r="F725" s="43"/>
      <c r="G725" s="44"/>
      <c r="H725" s="45"/>
      <c r="I725" s="38"/>
      <c r="J725" s="38"/>
      <c r="K725" s="46"/>
      <c r="L725" s="47"/>
      <c r="M725" s="46"/>
      <c r="N725" s="46"/>
      <c r="O725" s="38"/>
      <c r="P725" s="38"/>
      <c r="Q725" s="14"/>
      <c r="R725" s="50"/>
      <c r="S725" s="50"/>
      <c r="T725" s="50"/>
      <c r="U725" s="52"/>
      <c r="V725" s="53"/>
      <c r="W725" s="60"/>
      <c r="X725" s="123"/>
      <c r="Y725" s="117"/>
      <c r="Z725" s="117"/>
      <c r="AH725" s="88"/>
      <c r="AI725" s="88"/>
    </row>
    <row r="726" spans="1:35">
      <c r="A726" s="38"/>
      <c r="B726" s="38"/>
      <c r="C726" s="38"/>
      <c r="D726" s="38"/>
      <c r="E726" s="38"/>
      <c r="F726" s="43"/>
      <c r="G726" s="44"/>
      <c r="H726" s="45"/>
      <c r="I726" s="38"/>
      <c r="J726" s="38"/>
      <c r="K726" s="46"/>
      <c r="L726" s="47"/>
      <c r="M726" s="46"/>
      <c r="N726" s="46"/>
      <c r="O726" s="38"/>
      <c r="P726" s="38"/>
      <c r="Q726" s="14"/>
      <c r="R726" s="50"/>
      <c r="S726" s="50"/>
      <c r="T726" s="50"/>
      <c r="U726" s="52"/>
      <c r="V726" s="53"/>
      <c r="W726" s="60"/>
      <c r="X726" s="123"/>
      <c r="Y726" s="117"/>
      <c r="Z726" s="117"/>
      <c r="AH726" s="88"/>
      <c r="AI726" s="88"/>
    </row>
    <row r="727" spans="1:35">
      <c r="A727" s="38"/>
      <c r="B727" s="38"/>
      <c r="C727" s="38"/>
      <c r="D727" s="38"/>
      <c r="E727" s="38"/>
      <c r="F727" s="43"/>
      <c r="G727" s="44"/>
      <c r="H727" s="45"/>
      <c r="I727" s="38"/>
      <c r="J727" s="38"/>
      <c r="K727" s="46"/>
      <c r="L727" s="47"/>
      <c r="M727" s="46"/>
      <c r="N727" s="46"/>
      <c r="O727" s="38"/>
      <c r="P727" s="38"/>
      <c r="Q727" s="14"/>
      <c r="R727" s="50"/>
      <c r="S727" s="50"/>
      <c r="T727" s="50"/>
      <c r="U727" s="52"/>
      <c r="V727" s="53"/>
      <c r="W727" s="60"/>
      <c r="X727" s="123"/>
      <c r="Y727" s="117"/>
      <c r="Z727" s="117"/>
      <c r="AH727" s="88"/>
      <c r="AI727" s="88"/>
    </row>
    <row r="728" spans="1:35">
      <c r="A728" s="38"/>
      <c r="B728" s="38"/>
      <c r="C728" s="38"/>
      <c r="D728" s="38"/>
      <c r="E728" s="38"/>
      <c r="F728" s="43"/>
      <c r="G728" s="44"/>
      <c r="H728" s="45"/>
      <c r="I728" s="38"/>
      <c r="J728" s="38"/>
      <c r="K728" s="46"/>
      <c r="L728" s="47"/>
      <c r="M728" s="46"/>
      <c r="N728" s="46"/>
      <c r="O728" s="38"/>
      <c r="P728" s="38"/>
      <c r="Q728" s="14"/>
      <c r="R728" s="50"/>
      <c r="S728" s="50"/>
      <c r="T728" s="50"/>
      <c r="U728" s="52"/>
      <c r="V728" s="53"/>
      <c r="W728" s="60"/>
      <c r="X728" s="123"/>
      <c r="Y728" s="117"/>
      <c r="Z728" s="117"/>
      <c r="AH728" s="88"/>
      <c r="AI728" s="88"/>
    </row>
    <row r="729" spans="1:35">
      <c r="A729" s="38"/>
      <c r="B729" s="38"/>
      <c r="C729" s="38"/>
      <c r="D729" s="38"/>
      <c r="E729" s="38"/>
      <c r="F729" s="43"/>
      <c r="G729" s="44"/>
      <c r="H729" s="45"/>
      <c r="I729" s="38"/>
      <c r="J729" s="38"/>
      <c r="K729" s="46"/>
      <c r="L729" s="47"/>
      <c r="M729" s="46"/>
      <c r="N729" s="46"/>
      <c r="O729" s="38"/>
      <c r="P729" s="38"/>
      <c r="Q729" s="14"/>
      <c r="R729" s="50"/>
      <c r="S729" s="50"/>
      <c r="T729" s="50"/>
      <c r="U729" s="52"/>
      <c r="V729" s="53"/>
      <c r="W729" s="60"/>
      <c r="X729" s="123"/>
      <c r="Y729" s="117"/>
      <c r="Z729" s="117"/>
      <c r="AH729" s="88"/>
      <c r="AI729" s="88"/>
    </row>
    <row r="730" spans="1:35">
      <c r="A730" s="38"/>
      <c r="B730" s="38"/>
      <c r="C730" s="38"/>
      <c r="D730" s="38"/>
      <c r="E730" s="38"/>
      <c r="F730" s="43"/>
      <c r="G730" s="44"/>
      <c r="H730" s="45"/>
      <c r="I730" s="38"/>
      <c r="J730" s="38"/>
      <c r="K730" s="46"/>
      <c r="L730" s="47"/>
      <c r="M730" s="46"/>
      <c r="N730" s="46"/>
      <c r="O730" s="38"/>
      <c r="P730" s="38"/>
      <c r="Q730" s="14"/>
      <c r="R730" s="50"/>
      <c r="S730" s="50"/>
      <c r="T730" s="50"/>
      <c r="U730" s="52"/>
      <c r="V730" s="53"/>
      <c r="W730" s="60"/>
      <c r="X730" s="123"/>
      <c r="Y730" s="117"/>
      <c r="Z730" s="117"/>
      <c r="AH730" s="88"/>
      <c r="AI730" s="88"/>
    </row>
    <row r="731" spans="1:35">
      <c r="A731" s="38"/>
      <c r="B731" s="38"/>
      <c r="C731" s="38"/>
      <c r="D731" s="38"/>
      <c r="E731" s="38"/>
      <c r="F731" s="43"/>
      <c r="G731" s="44"/>
      <c r="H731" s="45"/>
      <c r="I731" s="38"/>
      <c r="J731" s="38"/>
      <c r="K731" s="46"/>
      <c r="L731" s="47"/>
      <c r="M731" s="46"/>
      <c r="N731" s="46"/>
      <c r="O731" s="38"/>
      <c r="P731" s="38"/>
      <c r="Q731" s="14"/>
      <c r="R731" s="50"/>
      <c r="S731" s="50"/>
      <c r="T731" s="50"/>
      <c r="U731" s="52"/>
      <c r="V731" s="53"/>
      <c r="W731" s="60"/>
      <c r="X731" s="123"/>
      <c r="Y731" s="117"/>
      <c r="Z731" s="117"/>
      <c r="AH731" s="88"/>
      <c r="AI731" s="88"/>
    </row>
    <row r="732" spans="1:35">
      <c r="A732" s="38"/>
      <c r="B732" s="38"/>
      <c r="C732" s="38"/>
      <c r="D732" s="38"/>
      <c r="E732" s="38"/>
      <c r="F732" s="43"/>
      <c r="G732" s="44"/>
      <c r="H732" s="45"/>
      <c r="I732" s="38"/>
      <c r="J732" s="38"/>
      <c r="K732" s="46"/>
      <c r="L732" s="47"/>
      <c r="M732" s="46"/>
      <c r="N732" s="46"/>
      <c r="O732" s="38"/>
      <c r="P732" s="38"/>
      <c r="Q732" s="14"/>
      <c r="R732" s="50"/>
      <c r="S732" s="50"/>
      <c r="T732" s="50"/>
      <c r="U732" s="52"/>
      <c r="V732" s="53"/>
      <c r="W732" s="60"/>
      <c r="X732" s="123"/>
      <c r="Y732" s="117"/>
      <c r="Z732" s="117"/>
      <c r="AH732" s="88"/>
      <c r="AI732" s="88"/>
    </row>
    <row r="733" spans="1:35">
      <c r="A733" s="38"/>
      <c r="B733" s="38"/>
      <c r="C733" s="38"/>
      <c r="D733" s="38"/>
      <c r="E733" s="38"/>
      <c r="F733" s="43"/>
      <c r="G733" s="44"/>
      <c r="H733" s="45"/>
      <c r="I733" s="38"/>
      <c r="J733" s="38"/>
      <c r="K733" s="46"/>
      <c r="L733" s="47"/>
      <c r="M733" s="46"/>
      <c r="N733" s="46"/>
      <c r="O733" s="38"/>
      <c r="P733" s="38"/>
      <c r="Q733" s="14"/>
      <c r="R733" s="50"/>
      <c r="S733" s="50"/>
      <c r="T733" s="50"/>
      <c r="U733" s="52"/>
      <c r="V733" s="53"/>
      <c r="W733" s="60"/>
      <c r="X733" s="123"/>
      <c r="Y733" s="117"/>
      <c r="Z733" s="117"/>
      <c r="AH733" s="88"/>
      <c r="AI733" s="88"/>
    </row>
    <row r="734" spans="1:35">
      <c r="A734" s="38"/>
      <c r="B734" s="38"/>
      <c r="C734" s="38"/>
      <c r="D734" s="38"/>
      <c r="E734" s="38"/>
      <c r="F734" s="43"/>
      <c r="G734" s="44"/>
      <c r="H734" s="45"/>
      <c r="I734" s="38"/>
      <c r="J734" s="38"/>
      <c r="K734" s="46"/>
      <c r="L734" s="47"/>
      <c r="M734" s="46"/>
      <c r="N734" s="46"/>
      <c r="O734" s="38"/>
      <c r="P734" s="38"/>
      <c r="Q734" s="14"/>
      <c r="R734" s="50"/>
      <c r="S734" s="50"/>
      <c r="T734" s="50"/>
      <c r="U734" s="52"/>
      <c r="V734" s="53"/>
      <c r="W734" s="60"/>
      <c r="X734" s="123"/>
      <c r="Y734" s="117"/>
      <c r="Z734" s="117"/>
      <c r="AH734" s="88"/>
      <c r="AI734" s="88"/>
    </row>
    <row r="735" spans="1:35">
      <c r="A735" s="38"/>
      <c r="B735" s="38"/>
      <c r="C735" s="38"/>
      <c r="D735" s="38"/>
      <c r="E735" s="38"/>
      <c r="F735" s="43"/>
      <c r="G735" s="44"/>
      <c r="H735" s="45"/>
      <c r="I735" s="38"/>
      <c r="J735" s="38"/>
      <c r="K735" s="46"/>
      <c r="L735" s="47"/>
      <c r="M735" s="46"/>
      <c r="N735" s="46"/>
      <c r="O735" s="38"/>
      <c r="P735" s="38"/>
      <c r="Q735" s="14"/>
      <c r="R735" s="50"/>
      <c r="S735" s="50"/>
      <c r="T735" s="50"/>
      <c r="U735" s="52"/>
      <c r="V735" s="53"/>
      <c r="W735" s="60"/>
      <c r="X735" s="123"/>
      <c r="Y735" s="117"/>
      <c r="Z735" s="117"/>
      <c r="AH735" s="88"/>
      <c r="AI735" s="88"/>
    </row>
    <row r="736" spans="1:35">
      <c r="A736" s="38"/>
      <c r="B736" s="38"/>
      <c r="C736" s="38"/>
      <c r="D736" s="38"/>
      <c r="E736" s="38"/>
      <c r="F736" s="43"/>
      <c r="G736" s="44"/>
      <c r="H736" s="45"/>
      <c r="I736" s="38"/>
      <c r="J736" s="38"/>
      <c r="K736" s="46"/>
      <c r="L736" s="47"/>
      <c r="M736" s="46"/>
      <c r="N736" s="46"/>
      <c r="O736" s="38"/>
      <c r="P736" s="38"/>
      <c r="Q736" s="14"/>
      <c r="R736" s="50"/>
      <c r="S736" s="50"/>
      <c r="T736" s="50"/>
      <c r="U736" s="52"/>
      <c r="V736" s="53"/>
      <c r="W736" s="60"/>
      <c r="X736" s="123"/>
      <c r="Y736" s="117"/>
      <c r="Z736" s="117"/>
      <c r="AH736" s="88"/>
      <c r="AI736" s="88"/>
    </row>
    <row r="737" spans="1:35">
      <c r="A737" s="38"/>
      <c r="B737" s="38"/>
      <c r="C737" s="38"/>
      <c r="D737" s="38"/>
      <c r="E737" s="38"/>
      <c r="F737" s="43"/>
      <c r="G737" s="44"/>
      <c r="H737" s="45"/>
      <c r="I737" s="38"/>
      <c r="J737" s="38"/>
      <c r="K737" s="46"/>
      <c r="L737" s="47"/>
      <c r="M737" s="46"/>
      <c r="N737" s="46"/>
      <c r="O737" s="38"/>
      <c r="P737" s="38"/>
      <c r="Q737" s="14"/>
      <c r="R737" s="50"/>
      <c r="S737" s="50"/>
      <c r="T737" s="50"/>
      <c r="U737" s="52"/>
      <c r="V737" s="53"/>
      <c r="W737" s="60"/>
      <c r="X737" s="123"/>
      <c r="Y737" s="117"/>
      <c r="Z737" s="117"/>
      <c r="AH737" s="88"/>
      <c r="AI737" s="88"/>
    </row>
    <row r="738" spans="1:35">
      <c r="A738" s="38"/>
      <c r="B738" s="38"/>
      <c r="C738" s="38"/>
      <c r="D738" s="38"/>
      <c r="E738" s="38"/>
      <c r="F738" s="43"/>
      <c r="G738" s="44"/>
      <c r="H738" s="45"/>
      <c r="I738" s="38"/>
      <c r="J738" s="38"/>
      <c r="K738" s="46"/>
      <c r="L738" s="47"/>
      <c r="M738" s="46"/>
      <c r="N738" s="46"/>
      <c r="O738" s="38"/>
      <c r="P738" s="38"/>
      <c r="Q738" s="14"/>
      <c r="R738" s="50"/>
      <c r="S738" s="50"/>
      <c r="T738" s="50"/>
      <c r="U738" s="52"/>
      <c r="V738" s="53"/>
      <c r="W738" s="60"/>
      <c r="X738" s="123"/>
      <c r="Y738" s="117"/>
      <c r="Z738" s="117"/>
      <c r="AH738" s="88"/>
      <c r="AI738" s="88"/>
    </row>
    <row r="739" spans="1:35">
      <c r="A739" s="38"/>
      <c r="B739" s="38"/>
      <c r="C739" s="38"/>
      <c r="D739" s="38"/>
      <c r="E739" s="38"/>
      <c r="F739" s="43"/>
      <c r="G739" s="44"/>
      <c r="H739" s="45"/>
      <c r="I739" s="38"/>
      <c r="J739" s="38"/>
      <c r="K739" s="46"/>
      <c r="L739" s="47"/>
      <c r="M739" s="46"/>
      <c r="N739" s="46"/>
      <c r="O739" s="38"/>
      <c r="P739" s="38"/>
      <c r="Q739" s="14"/>
      <c r="R739" s="50"/>
      <c r="S739" s="50"/>
      <c r="T739" s="50"/>
      <c r="U739" s="52"/>
      <c r="V739" s="53"/>
      <c r="W739" s="60"/>
      <c r="X739" s="123"/>
      <c r="Y739" s="117"/>
      <c r="Z739" s="117"/>
      <c r="AH739" s="88"/>
      <c r="AI739" s="88"/>
    </row>
    <row r="740" spans="1:35">
      <c r="A740" s="38"/>
      <c r="B740" s="38"/>
      <c r="C740" s="38"/>
      <c r="D740" s="38"/>
      <c r="E740" s="38"/>
      <c r="F740" s="43"/>
      <c r="G740" s="44"/>
      <c r="H740" s="45"/>
      <c r="I740" s="38"/>
      <c r="J740" s="38"/>
      <c r="K740" s="46"/>
      <c r="L740" s="47"/>
      <c r="M740" s="46"/>
      <c r="N740" s="46"/>
      <c r="O740" s="38"/>
      <c r="P740" s="38"/>
      <c r="Q740" s="14"/>
      <c r="R740" s="50"/>
      <c r="S740" s="50"/>
      <c r="T740" s="50"/>
      <c r="U740" s="52"/>
      <c r="V740" s="53"/>
      <c r="W740" s="60"/>
      <c r="X740" s="123"/>
      <c r="Y740" s="117"/>
      <c r="Z740" s="117"/>
      <c r="AH740" s="88"/>
      <c r="AI740" s="88"/>
    </row>
    <row r="741" spans="1:35">
      <c r="A741" s="38"/>
      <c r="B741" s="38"/>
      <c r="C741" s="38"/>
      <c r="D741" s="38"/>
      <c r="E741" s="38"/>
      <c r="F741" s="43"/>
      <c r="G741" s="44"/>
      <c r="H741" s="45"/>
      <c r="I741" s="38"/>
      <c r="J741" s="38"/>
      <c r="K741" s="46"/>
      <c r="L741" s="47"/>
      <c r="M741" s="46"/>
      <c r="N741" s="46"/>
      <c r="O741" s="38"/>
      <c r="P741" s="38"/>
      <c r="Q741" s="14"/>
      <c r="R741" s="50"/>
      <c r="S741" s="50"/>
      <c r="T741" s="50"/>
      <c r="U741" s="52"/>
      <c r="V741" s="53"/>
      <c r="W741" s="60"/>
      <c r="X741" s="123"/>
      <c r="Y741" s="117"/>
      <c r="Z741" s="117"/>
      <c r="AH741" s="88"/>
      <c r="AI741" s="88"/>
    </row>
    <row r="742" spans="1:35">
      <c r="A742" s="38"/>
      <c r="B742" s="38"/>
      <c r="C742" s="38"/>
      <c r="D742" s="38"/>
      <c r="E742" s="38"/>
      <c r="F742" s="43"/>
      <c r="G742" s="44"/>
      <c r="H742" s="45"/>
      <c r="I742" s="38"/>
      <c r="J742" s="38"/>
      <c r="K742" s="46"/>
      <c r="L742" s="47"/>
      <c r="M742" s="46"/>
      <c r="N742" s="46"/>
      <c r="O742" s="38"/>
      <c r="P742" s="38"/>
      <c r="Q742" s="14"/>
      <c r="R742" s="50"/>
      <c r="S742" s="50"/>
      <c r="T742" s="50"/>
      <c r="U742" s="52"/>
      <c r="V742" s="53"/>
      <c r="W742" s="60"/>
      <c r="X742" s="123"/>
      <c r="Y742" s="117"/>
      <c r="Z742" s="117"/>
      <c r="AH742" s="88"/>
      <c r="AI742" s="88"/>
    </row>
    <row r="743" spans="1:35">
      <c r="A743" s="38"/>
      <c r="B743" s="38"/>
      <c r="C743" s="38"/>
      <c r="D743" s="38"/>
      <c r="E743" s="38"/>
      <c r="F743" s="43"/>
      <c r="G743" s="44"/>
      <c r="H743" s="45"/>
      <c r="I743" s="38"/>
      <c r="J743" s="38"/>
      <c r="K743" s="46"/>
      <c r="L743" s="47"/>
      <c r="M743" s="46"/>
      <c r="N743" s="46"/>
      <c r="O743" s="38"/>
      <c r="P743" s="38"/>
      <c r="Q743" s="14"/>
      <c r="R743" s="50"/>
      <c r="S743" s="50"/>
      <c r="T743" s="50"/>
      <c r="U743" s="52"/>
      <c r="V743" s="53"/>
      <c r="W743" s="60"/>
      <c r="X743" s="123"/>
      <c r="Y743" s="117"/>
      <c r="Z743" s="117"/>
      <c r="AH743" s="88"/>
      <c r="AI743" s="88"/>
    </row>
    <row r="744" spans="1:35">
      <c r="A744" s="38"/>
      <c r="B744" s="38"/>
      <c r="C744" s="38"/>
      <c r="D744" s="38"/>
      <c r="E744" s="38"/>
      <c r="F744" s="43"/>
      <c r="G744" s="44"/>
      <c r="H744" s="45"/>
      <c r="I744" s="38"/>
      <c r="J744" s="38"/>
      <c r="K744" s="46"/>
      <c r="L744" s="47"/>
      <c r="M744" s="46"/>
      <c r="N744" s="46"/>
      <c r="O744" s="38"/>
      <c r="P744" s="38"/>
      <c r="Q744" s="14"/>
      <c r="R744" s="50"/>
      <c r="S744" s="50"/>
      <c r="T744" s="50"/>
      <c r="U744" s="52"/>
      <c r="V744" s="53"/>
      <c r="W744" s="60"/>
      <c r="X744" s="123"/>
      <c r="Y744" s="117"/>
      <c r="Z744" s="117"/>
      <c r="AH744" s="88"/>
      <c r="AI744" s="88"/>
    </row>
    <row r="745" spans="1:35">
      <c r="A745" s="38"/>
      <c r="B745" s="38"/>
      <c r="C745" s="38"/>
      <c r="D745" s="38"/>
      <c r="E745" s="38"/>
      <c r="F745" s="43"/>
      <c r="G745" s="44"/>
      <c r="H745" s="45"/>
      <c r="I745" s="38"/>
      <c r="J745" s="38"/>
      <c r="K745" s="46"/>
      <c r="L745" s="47"/>
      <c r="M745" s="46"/>
      <c r="N745" s="46"/>
      <c r="O745" s="38"/>
      <c r="P745" s="38"/>
      <c r="Q745" s="14"/>
      <c r="R745" s="50"/>
      <c r="S745" s="50"/>
      <c r="T745" s="50"/>
      <c r="U745" s="52"/>
      <c r="V745" s="53"/>
      <c r="W745" s="60"/>
      <c r="X745" s="123"/>
      <c r="Y745" s="117"/>
      <c r="Z745" s="117"/>
      <c r="AH745" s="88"/>
      <c r="AI745" s="88"/>
    </row>
    <row r="746" spans="1:35">
      <c r="A746" s="38"/>
      <c r="B746" s="38"/>
      <c r="C746" s="38"/>
      <c r="D746" s="38"/>
      <c r="E746" s="38"/>
      <c r="F746" s="43"/>
      <c r="G746" s="44"/>
      <c r="H746" s="45"/>
      <c r="I746" s="38"/>
      <c r="J746" s="38"/>
      <c r="K746" s="46"/>
      <c r="L746" s="47"/>
      <c r="M746" s="46"/>
      <c r="N746" s="46"/>
      <c r="O746" s="38"/>
      <c r="P746" s="38"/>
      <c r="Q746" s="14"/>
      <c r="R746" s="50"/>
      <c r="S746" s="50"/>
      <c r="T746" s="50"/>
      <c r="U746" s="52"/>
      <c r="V746" s="53"/>
      <c r="W746" s="60"/>
      <c r="X746" s="123"/>
      <c r="Y746" s="117"/>
      <c r="Z746" s="117"/>
      <c r="AH746" s="88"/>
      <c r="AI746" s="88"/>
    </row>
    <row r="747" spans="1:35">
      <c r="A747" s="38"/>
      <c r="B747" s="38"/>
      <c r="C747" s="38"/>
      <c r="D747" s="38"/>
      <c r="E747" s="38"/>
      <c r="F747" s="43"/>
      <c r="G747" s="44"/>
      <c r="H747" s="45"/>
      <c r="I747" s="38"/>
      <c r="J747" s="38"/>
      <c r="K747" s="46"/>
      <c r="L747" s="47"/>
      <c r="M747" s="46"/>
      <c r="N747" s="46"/>
      <c r="O747" s="38"/>
      <c r="P747" s="38"/>
      <c r="Q747" s="14"/>
      <c r="R747" s="50"/>
      <c r="S747" s="50"/>
      <c r="T747" s="50"/>
      <c r="U747" s="52"/>
      <c r="V747" s="53"/>
      <c r="W747" s="60"/>
      <c r="X747" s="123"/>
      <c r="Y747" s="117"/>
      <c r="Z747" s="117"/>
      <c r="AH747" s="88"/>
      <c r="AI747" s="88"/>
    </row>
    <row r="748" spans="1:35">
      <c r="A748" s="38"/>
      <c r="B748" s="38"/>
      <c r="C748" s="38"/>
      <c r="D748" s="38"/>
      <c r="E748" s="38"/>
      <c r="F748" s="43"/>
      <c r="G748" s="44"/>
      <c r="H748" s="45"/>
      <c r="I748" s="38"/>
      <c r="J748" s="38"/>
      <c r="K748" s="46"/>
      <c r="L748" s="47"/>
      <c r="M748" s="46"/>
      <c r="N748" s="46"/>
      <c r="O748" s="38"/>
      <c r="P748" s="38"/>
      <c r="Q748" s="14"/>
      <c r="R748" s="50"/>
      <c r="S748" s="50"/>
      <c r="T748" s="50"/>
      <c r="U748" s="52"/>
      <c r="V748" s="53"/>
      <c r="W748" s="60"/>
      <c r="X748" s="123"/>
      <c r="Y748" s="117"/>
      <c r="Z748" s="117"/>
      <c r="AH748" s="88"/>
      <c r="AI748" s="88"/>
    </row>
    <row r="749" spans="1:35">
      <c r="A749" s="38"/>
      <c r="B749" s="38"/>
      <c r="C749" s="38"/>
      <c r="D749" s="38"/>
      <c r="E749" s="38"/>
      <c r="F749" s="43"/>
      <c r="G749" s="44"/>
      <c r="H749" s="45"/>
      <c r="I749" s="38"/>
      <c r="J749" s="38"/>
      <c r="K749" s="46"/>
      <c r="L749" s="47"/>
      <c r="M749" s="46"/>
      <c r="N749" s="46"/>
      <c r="O749" s="38"/>
      <c r="P749" s="38"/>
      <c r="Q749" s="14"/>
      <c r="R749" s="50"/>
      <c r="S749" s="50"/>
      <c r="T749" s="50"/>
      <c r="U749" s="52"/>
      <c r="V749" s="53"/>
      <c r="W749" s="60"/>
      <c r="X749" s="123"/>
      <c r="Y749" s="117"/>
      <c r="Z749" s="117"/>
      <c r="AH749" s="88"/>
      <c r="AI749" s="88"/>
    </row>
    <row r="750" spans="1:35">
      <c r="A750" s="38"/>
      <c r="B750" s="38"/>
      <c r="C750" s="38"/>
      <c r="D750" s="38"/>
      <c r="E750" s="38"/>
      <c r="F750" s="43"/>
      <c r="G750" s="44"/>
      <c r="H750" s="45"/>
      <c r="I750" s="38"/>
      <c r="J750" s="38"/>
      <c r="K750" s="46"/>
      <c r="L750" s="47"/>
      <c r="M750" s="46"/>
      <c r="N750" s="46"/>
      <c r="O750" s="38"/>
      <c r="P750" s="38"/>
      <c r="Q750" s="14"/>
      <c r="R750" s="50"/>
      <c r="S750" s="50"/>
      <c r="T750" s="50"/>
      <c r="U750" s="52"/>
      <c r="V750" s="53"/>
      <c r="W750" s="60"/>
      <c r="X750" s="123"/>
      <c r="Y750" s="117"/>
      <c r="Z750" s="117"/>
      <c r="AH750" s="88"/>
      <c r="AI750" s="88"/>
    </row>
    <row r="751" spans="1:35">
      <c r="A751" s="38"/>
      <c r="B751" s="38"/>
      <c r="C751" s="38"/>
      <c r="D751" s="38"/>
      <c r="E751" s="38"/>
      <c r="F751" s="43"/>
      <c r="G751" s="44"/>
      <c r="H751" s="45"/>
      <c r="I751" s="38"/>
      <c r="J751" s="38"/>
      <c r="K751" s="46"/>
      <c r="L751" s="47"/>
      <c r="M751" s="46"/>
      <c r="N751" s="46"/>
      <c r="O751" s="38"/>
      <c r="P751" s="38"/>
      <c r="Q751" s="14"/>
      <c r="R751" s="50"/>
      <c r="S751" s="50"/>
      <c r="T751" s="50"/>
      <c r="U751" s="52"/>
      <c r="V751" s="53"/>
      <c r="W751" s="60"/>
      <c r="X751" s="123"/>
      <c r="Y751" s="117"/>
      <c r="Z751" s="117"/>
      <c r="AH751" s="88"/>
      <c r="AI751" s="88"/>
    </row>
    <row r="752" spans="1:35">
      <c r="A752" s="38"/>
      <c r="B752" s="38"/>
      <c r="C752" s="38"/>
      <c r="D752" s="38"/>
      <c r="E752" s="38"/>
      <c r="F752" s="43"/>
      <c r="G752" s="44"/>
      <c r="H752" s="45"/>
      <c r="I752" s="38"/>
      <c r="J752" s="38"/>
      <c r="K752" s="46"/>
      <c r="L752" s="47"/>
      <c r="M752" s="46"/>
      <c r="N752" s="46"/>
      <c r="O752" s="38"/>
      <c r="P752" s="38"/>
      <c r="Q752" s="14"/>
      <c r="R752" s="50"/>
      <c r="S752" s="50"/>
      <c r="T752" s="50"/>
      <c r="U752" s="52"/>
      <c r="V752" s="53"/>
      <c r="W752" s="60"/>
      <c r="X752" s="123"/>
      <c r="Y752" s="117"/>
      <c r="Z752" s="117"/>
      <c r="AH752" s="88"/>
      <c r="AI752" s="88"/>
    </row>
    <row r="753" spans="1:35">
      <c r="A753" s="38"/>
      <c r="B753" s="38"/>
      <c r="C753" s="38"/>
      <c r="D753" s="38"/>
      <c r="E753" s="38"/>
      <c r="F753" s="43"/>
      <c r="G753" s="44"/>
      <c r="H753" s="45"/>
      <c r="I753" s="38"/>
      <c r="J753" s="38"/>
      <c r="K753" s="46"/>
      <c r="L753" s="47"/>
      <c r="M753" s="46"/>
      <c r="N753" s="46"/>
      <c r="O753" s="38"/>
      <c r="P753" s="38"/>
      <c r="Q753" s="14"/>
      <c r="R753" s="50"/>
      <c r="S753" s="50"/>
      <c r="T753" s="50"/>
      <c r="U753" s="52"/>
      <c r="V753" s="53"/>
      <c r="W753" s="60"/>
      <c r="X753" s="123"/>
      <c r="Y753" s="117"/>
      <c r="Z753" s="117"/>
      <c r="AH753" s="88"/>
      <c r="AI753" s="88"/>
    </row>
    <row r="754" spans="1:35">
      <c r="A754" s="38"/>
      <c r="B754" s="38"/>
      <c r="C754" s="38"/>
      <c r="D754" s="38"/>
      <c r="E754" s="38"/>
      <c r="F754" s="43"/>
      <c r="G754" s="44"/>
      <c r="H754" s="45"/>
      <c r="I754" s="38"/>
      <c r="J754" s="38"/>
      <c r="K754" s="46"/>
      <c r="L754" s="47"/>
      <c r="M754" s="46"/>
      <c r="N754" s="46"/>
      <c r="O754" s="38"/>
      <c r="P754" s="38"/>
      <c r="Q754" s="14"/>
      <c r="R754" s="50"/>
      <c r="S754" s="50"/>
      <c r="T754" s="50"/>
      <c r="U754" s="52"/>
      <c r="V754" s="53"/>
      <c r="W754" s="60"/>
      <c r="X754" s="123"/>
      <c r="Y754" s="117"/>
      <c r="Z754" s="117"/>
      <c r="AH754" s="88"/>
      <c r="AI754" s="88"/>
    </row>
    <row r="755" spans="1:35">
      <c r="A755" s="38"/>
      <c r="B755" s="38"/>
      <c r="C755" s="38"/>
      <c r="D755" s="38"/>
      <c r="E755" s="38"/>
      <c r="F755" s="43"/>
      <c r="G755" s="44"/>
      <c r="H755" s="45"/>
      <c r="I755" s="38"/>
      <c r="J755" s="38"/>
      <c r="K755" s="46"/>
      <c r="L755" s="47"/>
      <c r="M755" s="46"/>
      <c r="N755" s="46"/>
      <c r="O755" s="38"/>
      <c r="P755" s="38"/>
      <c r="Q755" s="14"/>
      <c r="R755" s="50"/>
      <c r="S755" s="50"/>
      <c r="T755" s="50"/>
      <c r="U755" s="52"/>
      <c r="V755" s="53"/>
      <c r="W755" s="60"/>
      <c r="X755" s="123"/>
      <c r="Y755" s="117"/>
      <c r="Z755" s="117"/>
      <c r="AH755" s="88"/>
      <c r="AI755" s="88"/>
    </row>
    <row r="756" spans="1:35">
      <c r="A756" s="38"/>
      <c r="B756" s="38"/>
      <c r="C756" s="38"/>
      <c r="D756" s="38"/>
      <c r="E756" s="38"/>
      <c r="F756" s="43"/>
      <c r="G756" s="44"/>
      <c r="H756" s="45"/>
      <c r="I756" s="38"/>
      <c r="J756" s="38"/>
      <c r="K756" s="46"/>
      <c r="L756" s="47"/>
      <c r="M756" s="46"/>
      <c r="N756" s="46"/>
      <c r="O756" s="38"/>
      <c r="P756" s="38"/>
      <c r="Q756" s="14"/>
      <c r="R756" s="50"/>
      <c r="S756" s="50"/>
      <c r="T756" s="50"/>
      <c r="U756" s="52"/>
      <c r="V756" s="53"/>
      <c r="W756" s="60"/>
      <c r="X756" s="123"/>
      <c r="Y756" s="117"/>
      <c r="Z756" s="117"/>
      <c r="AH756" s="88"/>
      <c r="AI756" s="88"/>
    </row>
    <row r="757" spans="1:35">
      <c r="A757" s="38"/>
      <c r="B757" s="38"/>
      <c r="C757" s="38"/>
      <c r="D757" s="38"/>
      <c r="E757" s="38"/>
      <c r="F757" s="43"/>
      <c r="G757" s="44"/>
      <c r="H757" s="45"/>
      <c r="I757" s="38"/>
      <c r="J757" s="38"/>
      <c r="K757" s="46"/>
      <c r="L757" s="47"/>
      <c r="M757" s="46"/>
      <c r="N757" s="46"/>
      <c r="O757" s="38"/>
      <c r="P757" s="38"/>
      <c r="Q757" s="14"/>
      <c r="R757" s="50"/>
      <c r="S757" s="50"/>
      <c r="T757" s="50"/>
      <c r="U757" s="52"/>
      <c r="V757" s="53"/>
      <c r="W757" s="60"/>
      <c r="X757" s="123"/>
      <c r="Y757" s="117"/>
      <c r="Z757" s="117"/>
      <c r="AH757" s="88"/>
      <c r="AI757" s="88"/>
    </row>
    <row r="758" spans="1:35">
      <c r="A758" s="38"/>
      <c r="B758" s="38"/>
      <c r="C758" s="38"/>
      <c r="D758" s="38"/>
      <c r="E758" s="38"/>
      <c r="F758" s="43"/>
      <c r="G758" s="44"/>
      <c r="H758" s="45"/>
      <c r="I758" s="38"/>
      <c r="J758" s="38"/>
      <c r="K758" s="46"/>
      <c r="L758" s="47"/>
      <c r="M758" s="46"/>
      <c r="N758" s="46"/>
      <c r="O758" s="38"/>
      <c r="P758" s="38"/>
      <c r="Q758" s="14"/>
      <c r="R758" s="50"/>
      <c r="S758" s="50"/>
      <c r="T758" s="50"/>
      <c r="U758" s="52"/>
      <c r="V758" s="53"/>
      <c r="W758" s="60"/>
      <c r="X758" s="123"/>
      <c r="Y758" s="117"/>
      <c r="Z758" s="117"/>
      <c r="AH758" s="88"/>
      <c r="AI758" s="88"/>
    </row>
    <row r="759" spans="1:35">
      <c r="A759" s="38"/>
      <c r="B759" s="38"/>
      <c r="C759" s="38"/>
      <c r="D759" s="38"/>
      <c r="E759" s="38"/>
      <c r="F759" s="43"/>
      <c r="G759" s="44"/>
      <c r="H759" s="45"/>
      <c r="I759" s="38"/>
      <c r="J759" s="38"/>
      <c r="K759" s="46"/>
      <c r="L759" s="47"/>
      <c r="M759" s="46"/>
      <c r="N759" s="46"/>
      <c r="O759" s="38"/>
      <c r="P759" s="38"/>
      <c r="Q759" s="14"/>
      <c r="R759" s="50"/>
      <c r="S759" s="50"/>
      <c r="T759" s="50"/>
      <c r="U759" s="52"/>
      <c r="V759" s="53"/>
      <c r="W759" s="60"/>
      <c r="X759" s="123"/>
      <c r="Y759" s="117"/>
      <c r="Z759" s="117"/>
      <c r="AH759" s="88"/>
      <c r="AI759" s="88"/>
    </row>
    <row r="760" spans="1:35">
      <c r="A760" s="38"/>
      <c r="B760" s="38"/>
      <c r="C760" s="38"/>
      <c r="D760" s="38"/>
      <c r="E760" s="38"/>
      <c r="F760" s="43"/>
      <c r="G760" s="44"/>
      <c r="H760" s="45"/>
      <c r="I760" s="38"/>
      <c r="J760" s="38"/>
      <c r="K760" s="46"/>
      <c r="L760" s="47"/>
      <c r="M760" s="46"/>
      <c r="N760" s="46"/>
      <c r="O760" s="38"/>
      <c r="P760" s="38"/>
      <c r="Q760" s="14"/>
      <c r="R760" s="50"/>
      <c r="S760" s="50"/>
      <c r="T760" s="50"/>
      <c r="U760" s="52"/>
      <c r="V760" s="53"/>
      <c r="W760" s="60"/>
      <c r="X760" s="123"/>
      <c r="Y760" s="117"/>
      <c r="Z760" s="117"/>
      <c r="AH760" s="88"/>
      <c r="AI760" s="88"/>
    </row>
    <row r="761" spans="1:35">
      <c r="A761" s="38"/>
      <c r="B761" s="38"/>
      <c r="C761" s="38"/>
      <c r="D761" s="38"/>
      <c r="E761" s="38"/>
      <c r="F761" s="43"/>
      <c r="G761" s="44"/>
      <c r="H761" s="45"/>
      <c r="I761" s="38"/>
      <c r="J761" s="38"/>
      <c r="K761" s="46"/>
      <c r="L761" s="47"/>
      <c r="M761" s="46"/>
      <c r="N761" s="46"/>
      <c r="O761" s="38"/>
      <c r="P761" s="38"/>
      <c r="Q761" s="14"/>
      <c r="R761" s="50"/>
      <c r="S761" s="50"/>
      <c r="T761" s="50"/>
      <c r="U761" s="52"/>
      <c r="V761" s="53"/>
      <c r="W761" s="60"/>
      <c r="X761" s="123"/>
      <c r="Y761" s="117"/>
      <c r="Z761" s="117"/>
      <c r="AH761" s="88"/>
      <c r="AI761" s="88"/>
    </row>
    <row r="762" spans="1:35">
      <c r="A762" s="38"/>
      <c r="B762" s="38"/>
      <c r="C762" s="38"/>
      <c r="D762" s="38"/>
      <c r="E762" s="38"/>
      <c r="F762" s="43"/>
      <c r="G762" s="44"/>
      <c r="H762" s="45"/>
      <c r="I762" s="38"/>
      <c r="J762" s="38"/>
      <c r="K762" s="46"/>
      <c r="L762" s="47"/>
      <c r="M762" s="46"/>
      <c r="N762" s="46"/>
      <c r="O762" s="38"/>
      <c r="P762" s="38"/>
      <c r="Q762" s="14"/>
      <c r="R762" s="50"/>
      <c r="S762" s="50"/>
      <c r="T762" s="50"/>
      <c r="U762" s="52"/>
      <c r="V762" s="53"/>
      <c r="W762" s="60"/>
      <c r="X762" s="123"/>
      <c r="Y762" s="117"/>
      <c r="Z762" s="117"/>
      <c r="AH762" s="88"/>
      <c r="AI762" s="88"/>
    </row>
    <row r="763" spans="1:35">
      <c r="A763" s="38"/>
      <c r="B763" s="38"/>
      <c r="C763" s="38"/>
      <c r="D763" s="38"/>
      <c r="E763" s="38"/>
      <c r="F763" s="43"/>
      <c r="G763" s="44"/>
      <c r="H763" s="45"/>
      <c r="I763" s="38"/>
      <c r="J763" s="38"/>
      <c r="K763" s="46"/>
      <c r="L763" s="47"/>
      <c r="M763" s="46"/>
      <c r="N763" s="46"/>
      <c r="O763" s="38"/>
      <c r="P763" s="38"/>
      <c r="Q763" s="14"/>
      <c r="R763" s="50"/>
      <c r="S763" s="50"/>
      <c r="T763" s="50"/>
      <c r="U763" s="52"/>
      <c r="V763" s="53"/>
      <c r="W763" s="60"/>
      <c r="X763" s="123"/>
      <c r="Y763" s="117"/>
      <c r="Z763" s="117"/>
      <c r="AH763" s="88"/>
      <c r="AI763" s="88"/>
    </row>
    <row r="764" spans="1:35">
      <c r="A764" s="38"/>
      <c r="B764" s="38"/>
      <c r="C764" s="38"/>
      <c r="D764" s="38"/>
      <c r="E764" s="38"/>
      <c r="F764" s="43"/>
      <c r="G764" s="44"/>
      <c r="H764" s="45"/>
      <c r="I764" s="38"/>
      <c r="J764" s="38"/>
      <c r="K764" s="46"/>
      <c r="L764" s="47"/>
      <c r="M764" s="46"/>
      <c r="N764" s="46"/>
      <c r="O764" s="38"/>
      <c r="P764" s="38"/>
      <c r="Q764" s="14"/>
      <c r="R764" s="50"/>
      <c r="S764" s="50"/>
      <c r="T764" s="50"/>
      <c r="U764" s="52"/>
      <c r="V764" s="53"/>
      <c r="W764" s="60"/>
      <c r="X764" s="123"/>
      <c r="Y764" s="117"/>
      <c r="Z764" s="117"/>
      <c r="AH764" s="88"/>
      <c r="AI764" s="88"/>
    </row>
    <row r="765" spans="1:35">
      <c r="A765" s="38"/>
      <c r="B765" s="38"/>
      <c r="C765" s="38"/>
      <c r="D765" s="38"/>
      <c r="E765" s="38"/>
      <c r="F765" s="43"/>
      <c r="G765" s="44"/>
      <c r="H765" s="45"/>
      <c r="I765" s="38"/>
      <c r="J765" s="38"/>
      <c r="K765" s="46"/>
      <c r="L765" s="47"/>
      <c r="M765" s="46"/>
      <c r="N765" s="46"/>
      <c r="O765" s="38"/>
      <c r="P765" s="38"/>
      <c r="Q765" s="14"/>
      <c r="R765" s="50"/>
      <c r="S765" s="50"/>
      <c r="T765" s="50"/>
      <c r="U765" s="52"/>
      <c r="V765" s="53"/>
      <c r="W765" s="60"/>
      <c r="X765" s="123"/>
      <c r="Y765" s="117"/>
      <c r="Z765" s="117"/>
      <c r="AH765" s="88"/>
      <c r="AI765" s="88"/>
    </row>
    <row r="766" spans="1:35">
      <c r="A766" s="38"/>
      <c r="B766" s="38"/>
      <c r="C766" s="38"/>
      <c r="D766" s="38"/>
      <c r="E766" s="38"/>
      <c r="F766" s="43"/>
      <c r="G766" s="44"/>
      <c r="H766" s="45"/>
      <c r="I766" s="38"/>
      <c r="J766" s="38"/>
      <c r="K766" s="46"/>
      <c r="L766" s="47"/>
      <c r="M766" s="46"/>
      <c r="N766" s="46"/>
      <c r="O766" s="38"/>
      <c r="P766" s="38"/>
      <c r="Q766" s="14"/>
      <c r="R766" s="50"/>
      <c r="S766" s="50"/>
      <c r="T766" s="50"/>
      <c r="U766" s="52"/>
      <c r="V766" s="53"/>
      <c r="W766" s="60"/>
      <c r="X766" s="123"/>
      <c r="Y766" s="117"/>
      <c r="Z766" s="117"/>
      <c r="AH766" s="88"/>
      <c r="AI766" s="88"/>
    </row>
    <row r="767" spans="1:35">
      <c r="A767" s="38"/>
      <c r="B767" s="38"/>
      <c r="C767" s="38"/>
      <c r="D767" s="38"/>
      <c r="E767" s="38"/>
      <c r="F767" s="43"/>
      <c r="G767" s="44"/>
      <c r="H767" s="45"/>
      <c r="I767" s="38"/>
      <c r="J767" s="38"/>
      <c r="K767" s="46"/>
      <c r="L767" s="47"/>
      <c r="M767" s="46"/>
      <c r="N767" s="46"/>
      <c r="O767" s="38"/>
      <c r="P767" s="38"/>
      <c r="Q767" s="14"/>
      <c r="R767" s="50"/>
      <c r="S767" s="50"/>
      <c r="T767" s="50"/>
      <c r="U767" s="52"/>
      <c r="V767" s="53"/>
      <c r="W767" s="60"/>
      <c r="X767" s="123"/>
      <c r="Y767" s="117"/>
      <c r="Z767" s="117"/>
      <c r="AH767" s="88"/>
      <c r="AI767" s="88"/>
    </row>
    <row r="768" spans="1:35">
      <c r="A768" s="38"/>
      <c r="B768" s="38"/>
      <c r="C768" s="38"/>
      <c r="D768" s="38"/>
      <c r="E768" s="38"/>
      <c r="F768" s="43"/>
      <c r="G768" s="44"/>
      <c r="H768" s="45"/>
      <c r="I768" s="38"/>
      <c r="J768" s="38"/>
      <c r="K768" s="46"/>
      <c r="L768" s="47"/>
      <c r="M768" s="46"/>
      <c r="N768" s="46"/>
      <c r="O768" s="38"/>
      <c r="P768" s="38"/>
      <c r="Q768" s="14"/>
      <c r="R768" s="50"/>
      <c r="S768" s="50"/>
      <c r="T768" s="50"/>
      <c r="U768" s="52"/>
      <c r="V768" s="53"/>
      <c r="W768" s="60"/>
      <c r="X768" s="123"/>
      <c r="Y768" s="117"/>
      <c r="Z768" s="117"/>
      <c r="AH768" s="88"/>
      <c r="AI768" s="88"/>
    </row>
    <row r="769" spans="1:35">
      <c r="A769" s="38"/>
      <c r="B769" s="38"/>
      <c r="C769" s="38"/>
      <c r="D769" s="38"/>
      <c r="E769" s="38"/>
      <c r="F769" s="43"/>
      <c r="G769" s="44"/>
      <c r="H769" s="45"/>
      <c r="I769" s="38"/>
      <c r="J769" s="38"/>
      <c r="K769" s="46"/>
      <c r="L769" s="47"/>
      <c r="M769" s="46"/>
      <c r="N769" s="46"/>
      <c r="O769" s="38"/>
      <c r="P769" s="38"/>
      <c r="Q769" s="14"/>
      <c r="R769" s="50"/>
      <c r="S769" s="50"/>
      <c r="T769" s="50"/>
      <c r="U769" s="52"/>
      <c r="V769" s="53"/>
      <c r="W769" s="60"/>
      <c r="X769" s="123"/>
      <c r="Y769" s="117"/>
      <c r="Z769" s="117"/>
      <c r="AH769" s="88"/>
      <c r="AI769" s="88"/>
    </row>
    <row r="770" spans="1:35">
      <c r="A770" s="38"/>
      <c r="B770" s="38"/>
      <c r="C770" s="38"/>
      <c r="D770" s="38"/>
      <c r="E770" s="38"/>
      <c r="F770" s="43"/>
      <c r="G770" s="44"/>
      <c r="H770" s="45"/>
      <c r="I770" s="38"/>
      <c r="J770" s="38"/>
      <c r="K770" s="46"/>
      <c r="L770" s="47"/>
      <c r="M770" s="46"/>
      <c r="N770" s="46"/>
      <c r="O770" s="38"/>
      <c r="P770" s="38"/>
      <c r="Q770" s="14"/>
      <c r="R770" s="50"/>
      <c r="S770" s="50"/>
      <c r="T770" s="50"/>
      <c r="U770" s="52"/>
      <c r="V770" s="53"/>
      <c r="W770" s="60"/>
      <c r="X770" s="123"/>
      <c r="Y770" s="117"/>
      <c r="Z770" s="117"/>
      <c r="AH770" s="88"/>
      <c r="AI770" s="88"/>
    </row>
    <row r="771" spans="1:35">
      <c r="A771" s="38"/>
      <c r="B771" s="38"/>
      <c r="C771" s="38"/>
      <c r="D771" s="38"/>
      <c r="E771" s="38"/>
      <c r="F771" s="43"/>
      <c r="G771" s="44"/>
      <c r="H771" s="45"/>
      <c r="I771" s="38"/>
      <c r="J771" s="38"/>
      <c r="K771" s="46"/>
      <c r="L771" s="47"/>
      <c r="M771" s="46"/>
      <c r="N771" s="46"/>
      <c r="O771" s="38"/>
      <c r="P771" s="38"/>
      <c r="Q771" s="14"/>
      <c r="R771" s="50"/>
      <c r="S771" s="50"/>
      <c r="T771" s="50"/>
      <c r="U771" s="52"/>
      <c r="V771" s="53"/>
      <c r="W771" s="60"/>
      <c r="X771" s="123"/>
      <c r="Y771" s="117"/>
      <c r="Z771" s="117"/>
      <c r="AH771" s="88"/>
      <c r="AI771" s="88"/>
    </row>
    <row r="772" spans="1:35">
      <c r="A772" s="38"/>
      <c r="B772" s="38"/>
      <c r="C772" s="38"/>
      <c r="D772" s="38"/>
      <c r="E772" s="38"/>
      <c r="F772" s="43"/>
      <c r="G772" s="44"/>
      <c r="H772" s="45"/>
      <c r="I772" s="38"/>
      <c r="J772" s="38"/>
      <c r="K772" s="46"/>
      <c r="L772" s="47"/>
      <c r="M772" s="46"/>
      <c r="N772" s="46"/>
      <c r="O772" s="38"/>
      <c r="P772" s="38"/>
      <c r="Q772" s="14"/>
      <c r="R772" s="50"/>
      <c r="S772" s="50"/>
      <c r="T772" s="50"/>
      <c r="U772" s="52"/>
      <c r="V772" s="53"/>
      <c r="W772" s="60"/>
      <c r="X772" s="123"/>
      <c r="Y772" s="117"/>
      <c r="Z772" s="117"/>
      <c r="AH772" s="88"/>
      <c r="AI772" s="88"/>
    </row>
    <row r="773" spans="1:35">
      <c r="A773" s="38"/>
      <c r="B773" s="38"/>
      <c r="C773" s="38"/>
      <c r="D773" s="38"/>
      <c r="E773" s="38"/>
      <c r="F773" s="43"/>
      <c r="G773" s="44"/>
      <c r="H773" s="45"/>
      <c r="I773" s="38"/>
      <c r="J773" s="38"/>
      <c r="K773" s="46"/>
      <c r="L773" s="47"/>
      <c r="M773" s="46"/>
      <c r="N773" s="46"/>
      <c r="O773" s="38"/>
      <c r="P773" s="38"/>
      <c r="Q773" s="14"/>
      <c r="R773" s="50"/>
      <c r="S773" s="50"/>
      <c r="T773" s="50"/>
      <c r="U773" s="52"/>
      <c r="V773" s="53"/>
      <c r="W773" s="60"/>
      <c r="X773" s="123"/>
      <c r="Y773" s="117"/>
      <c r="Z773" s="117"/>
      <c r="AH773" s="88"/>
      <c r="AI773" s="88"/>
    </row>
    <row r="774" spans="1:35">
      <c r="A774" s="38"/>
      <c r="B774" s="38"/>
      <c r="C774" s="38"/>
      <c r="D774" s="38"/>
      <c r="E774" s="38"/>
      <c r="F774" s="43"/>
      <c r="G774" s="44"/>
      <c r="H774" s="45"/>
      <c r="I774" s="38"/>
      <c r="J774" s="38"/>
      <c r="K774" s="46"/>
      <c r="L774" s="47"/>
      <c r="M774" s="46"/>
      <c r="N774" s="46"/>
      <c r="O774" s="38"/>
      <c r="P774" s="38"/>
      <c r="Q774" s="14"/>
      <c r="R774" s="50"/>
      <c r="S774" s="50"/>
      <c r="T774" s="50"/>
      <c r="U774" s="52"/>
      <c r="V774" s="53"/>
      <c r="W774" s="60"/>
      <c r="X774" s="123"/>
      <c r="Y774" s="117"/>
      <c r="Z774" s="117"/>
      <c r="AH774" s="88"/>
      <c r="AI774" s="88"/>
    </row>
    <row r="775" spans="1:35">
      <c r="A775" s="38"/>
      <c r="B775" s="38"/>
      <c r="C775" s="38"/>
      <c r="D775" s="38"/>
      <c r="E775" s="38"/>
      <c r="F775" s="43"/>
      <c r="G775" s="44"/>
      <c r="H775" s="45"/>
      <c r="I775" s="38"/>
      <c r="J775" s="38"/>
      <c r="K775" s="46"/>
      <c r="L775" s="47"/>
      <c r="M775" s="46"/>
      <c r="N775" s="46"/>
      <c r="O775" s="38"/>
      <c r="P775" s="38"/>
      <c r="Q775" s="14"/>
      <c r="R775" s="50"/>
      <c r="S775" s="50"/>
      <c r="T775" s="50"/>
      <c r="U775" s="52"/>
      <c r="V775" s="53"/>
      <c r="W775" s="60"/>
      <c r="X775" s="123"/>
      <c r="Y775" s="117"/>
      <c r="Z775" s="117"/>
      <c r="AH775" s="88"/>
      <c r="AI775" s="88"/>
    </row>
    <row r="776" spans="1:35">
      <c r="A776" s="38"/>
      <c r="B776" s="38"/>
      <c r="C776" s="38"/>
      <c r="D776" s="38"/>
      <c r="E776" s="38"/>
      <c r="F776" s="43"/>
      <c r="G776" s="44"/>
      <c r="H776" s="45"/>
      <c r="I776" s="38"/>
      <c r="J776" s="38"/>
      <c r="K776" s="46"/>
      <c r="L776" s="47"/>
      <c r="M776" s="46"/>
      <c r="N776" s="46"/>
      <c r="O776" s="38"/>
      <c r="P776" s="38"/>
      <c r="Q776" s="14"/>
      <c r="R776" s="50"/>
      <c r="S776" s="50"/>
      <c r="T776" s="50"/>
      <c r="U776" s="52"/>
      <c r="V776" s="53"/>
      <c r="W776" s="60"/>
      <c r="X776" s="123"/>
      <c r="Y776" s="117"/>
      <c r="Z776" s="117"/>
      <c r="AH776" s="88"/>
      <c r="AI776" s="88"/>
    </row>
    <row r="777" spans="1:35">
      <c r="A777" s="38"/>
      <c r="B777" s="38"/>
      <c r="C777" s="38"/>
      <c r="D777" s="38"/>
      <c r="E777" s="38"/>
      <c r="F777" s="43"/>
      <c r="G777" s="44"/>
      <c r="H777" s="45"/>
      <c r="I777" s="38"/>
      <c r="J777" s="38"/>
      <c r="K777" s="46"/>
      <c r="L777" s="47"/>
      <c r="M777" s="46"/>
      <c r="N777" s="46"/>
      <c r="O777" s="38"/>
      <c r="P777" s="38"/>
      <c r="Q777" s="14"/>
      <c r="R777" s="50"/>
      <c r="S777" s="50"/>
      <c r="T777" s="50"/>
      <c r="U777" s="52"/>
      <c r="V777" s="53"/>
      <c r="W777" s="60"/>
      <c r="X777" s="123"/>
      <c r="Y777" s="117"/>
      <c r="Z777" s="117"/>
      <c r="AH777" s="88"/>
      <c r="AI777" s="88"/>
    </row>
    <row r="778" spans="1:35">
      <c r="A778" s="38"/>
      <c r="B778" s="38"/>
      <c r="C778" s="38"/>
      <c r="D778" s="38"/>
      <c r="E778" s="38"/>
      <c r="F778" s="43"/>
      <c r="G778" s="44"/>
      <c r="H778" s="45"/>
      <c r="I778" s="38"/>
      <c r="J778" s="38"/>
      <c r="K778" s="46"/>
      <c r="L778" s="47"/>
      <c r="M778" s="46"/>
      <c r="N778" s="46"/>
      <c r="O778" s="38"/>
      <c r="P778" s="38"/>
      <c r="Q778" s="14"/>
      <c r="R778" s="50"/>
      <c r="S778" s="50"/>
      <c r="T778" s="50"/>
      <c r="U778" s="52"/>
      <c r="V778" s="53"/>
      <c r="W778" s="60"/>
      <c r="X778" s="123"/>
      <c r="Y778" s="117"/>
      <c r="Z778" s="117"/>
      <c r="AH778" s="88"/>
      <c r="AI778" s="88"/>
    </row>
    <row r="779" spans="1:35">
      <c r="A779" s="38"/>
      <c r="B779" s="38"/>
      <c r="C779" s="38"/>
      <c r="D779" s="38"/>
      <c r="E779" s="38"/>
      <c r="F779" s="43"/>
      <c r="G779" s="44"/>
      <c r="H779" s="45"/>
      <c r="I779" s="38"/>
      <c r="J779" s="38"/>
      <c r="K779" s="46"/>
      <c r="L779" s="47"/>
      <c r="M779" s="46"/>
      <c r="N779" s="46"/>
      <c r="O779" s="38"/>
      <c r="P779" s="38"/>
      <c r="Q779" s="14"/>
      <c r="R779" s="50"/>
      <c r="S779" s="50"/>
      <c r="T779" s="50"/>
      <c r="U779" s="52"/>
      <c r="V779" s="53"/>
      <c r="W779" s="60"/>
      <c r="X779" s="123"/>
      <c r="Y779" s="117"/>
      <c r="Z779" s="117"/>
      <c r="AH779" s="88"/>
      <c r="AI779" s="88"/>
    </row>
    <row r="780" spans="1:35">
      <c r="A780" s="38"/>
      <c r="B780" s="38"/>
      <c r="C780" s="38"/>
      <c r="D780" s="38"/>
      <c r="E780" s="38"/>
      <c r="F780" s="43"/>
      <c r="G780" s="44"/>
      <c r="H780" s="45"/>
      <c r="I780" s="38"/>
      <c r="J780" s="38"/>
      <c r="K780" s="46"/>
      <c r="L780" s="47"/>
      <c r="M780" s="46"/>
      <c r="N780" s="46"/>
      <c r="O780" s="38"/>
      <c r="P780" s="38"/>
      <c r="Q780" s="14"/>
      <c r="R780" s="50"/>
      <c r="S780" s="50"/>
      <c r="T780" s="50"/>
      <c r="U780" s="52"/>
      <c r="V780" s="53"/>
      <c r="W780" s="60"/>
      <c r="X780" s="123"/>
      <c r="Y780" s="117"/>
      <c r="Z780" s="117"/>
      <c r="AH780" s="88"/>
      <c r="AI780" s="88"/>
    </row>
    <row r="781" spans="1:35">
      <c r="A781" s="38"/>
      <c r="B781" s="38"/>
      <c r="C781" s="38"/>
      <c r="D781" s="38"/>
      <c r="E781" s="38"/>
      <c r="F781" s="43"/>
      <c r="G781" s="44"/>
      <c r="H781" s="45"/>
      <c r="I781" s="38"/>
      <c r="J781" s="38"/>
      <c r="K781" s="46"/>
      <c r="L781" s="47"/>
      <c r="M781" s="46"/>
      <c r="N781" s="46"/>
      <c r="O781" s="38"/>
      <c r="P781" s="38"/>
      <c r="Q781" s="14"/>
      <c r="R781" s="50"/>
      <c r="S781" s="50"/>
      <c r="T781" s="50"/>
      <c r="U781" s="52"/>
      <c r="V781" s="53"/>
      <c r="W781" s="60"/>
      <c r="X781" s="123"/>
      <c r="Y781" s="117"/>
      <c r="Z781" s="117"/>
      <c r="AH781" s="88"/>
      <c r="AI781" s="88"/>
    </row>
    <row r="782" spans="1:35">
      <c r="A782" s="38"/>
      <c r="B782" s="38"/>
      <c r="C782" s="38"/>
      <c r="D782" s="38"/>
      <c r="E782" s="38"/>
      <c r="F782" s="43"/>
      <c r="G782" s="44"/>
      <c r="H782" s="45"/>
      <c r="I782" s="38"/>
      <c r="J782" s="38"/>
      <c r="K782" s="46"/>
      <c r="L782" s="47"/>
      <c r="M782" s="46"/>
      <c r="N782" s="46"/>
      <c r="O782" s="38"/>
      <c r="P782" s="38"/>
      <c r="Q782" s="14"/>
      <c r="R782" s="50"/>
      <c r="S782" s="50"/>
      <c r="T782" s="50"/>
      <c r="U782" s="52"/>
      <c r="V782" s="53"/>
      <c r="W782" s="60"/>
      <c r="X782" s="123"/>
      <c r="Y782" s="117"/>
      <c r="Z782" s="117"/>
      <c r="AH782" s="88"/>
      <c r="AI782" s="88"/>
    </row>
    <row r="783" spans="1:35">
      <c r="A783" s="38"/>
      <c r="B783" s="38"/>
      <c r="C783" s="38"/>
      <c r="D783" s="38"/>
      <c r="E783" s="38"/>
      <c r="F783" s="43"/>
      <c r="G783" s="44"/>
      <c r="H783" s="45"/>
      <c r="I783" s="38"/>
      <c r="J783" s="38"/>
      <c r="K783" s="46"/>
      <c r="L783" s="47"/>
      <c r="M783" s="46"/>
      <c r="N783" s="46"/>
      <c r="O783" s="38"/>
      <c r="P783" s="38"/>
      <c r="Q783" s="14"/>
      <c r="R783" s="50"/>
      <c r="S783" s="50"/>
      <c r="T783" s="50"/>
      <c r="U783" s="52"/>
      <c r="V783" s="53"/>
      <c r="W783" s="60"/>
      <c r="X783" s="123"/>
      <c r="Y783" s="117"/>
      <c r="Z783" s="117"/>
      <c r="AH783" s="88"/>
      <c r="AI783" s="88"/>
    </row>
    <row r="784" spans="1:35">
      <c r="A784" s="38"/>
      <c r="B784" s="38"/>
      <c r="C784" s="38"/>
      <c r="D784" s="38"/>
      <c r="E784" s="38"/>
      <c r="F784" s="43"/>
      <c r="G784" s="44"/>
      <c r="H784" s="45"/>
      <c r="I784" s="38"/>
      <c r="J784" s="38"/>
      <c r="K784" s="46"/>
      <c r="L784" s="47"/>
      <c r="M784" s="46"/>
      <c r="N784" s="46"/>
      <c r="O784" s="38"/>
      <c r="P784" s="38"/>
      <c r="Q784" s="14"/>
      <c r="R784" s="50"/>
      <c r="S784" s="50"/>
      <c r="T784" s="50"/>
      <c r="U784" s="52"/>
      <c r="V784" s="53"/>
      <c r="W784" s="60"/>
      <c r="X784" s="123"/>
      <c r="Y784" s="117"/>
      <c r="Z784" s="117"/>
      <c r="AH784" s="88"/>
      <c r="AI784" s="88"/>
    </row>
    <row r="785" spans="1:35">
      <c r="A785" s="38"/>
      <c r="B785" s="38"/>
      <c r="C785" s="38"/>
      <c r="D785" s="38"/>
      <c r="E785" s="38"/>
      <c r="F785" s="43"/>
      <c r="G785" s="44"/>
      <c r="H785" s="45"/>
      <c r="I785" s="38"/>
      <c r="J785" s="38"/>
      <c r="K785" s="46"/>
      <c r="L785" s="47"/>
      <c r="M785" s="46"/>
      <c r="N785" s="46"/>
      <c r="O785" s="38"/>
      <c r="P785" s="38"/>
      <c r="Q785" s="14"/>
      <c r="R785" s="50"/>
      <c r="S785" s="50"/>
      <c r="T785" s="50"/>
      <c r="U785" s="52"/>
      <c r="V785" s="53"/>
      <c r="W785" s="60"/>
      <c r="X785" s="123"/>
      <c r="Y785" s="117"/>
      <c r="Z785" s="117"/>
      <c r="AH785" s="88"/>
      <c r="AI785" s="88"/>
    </row>
    <row r="786" spans="1:35">
      <c r="A786" s="38"/>
      <c r="B786" s="38"/>
      <c r="C786" s="38"/>
      <c r="D786" s="38"/>
      <c r="E786" s="38"/>
      <c r="F786" s="43"/>
      <c r="G786" s="44"/>
      <c r="H786" s="45"/>
      <c r="I786" s="38"/>
      <c r="J786" s="38"/>
      <c r="K786" s="46"/>
      <c r="L786" s="47"/>
      <c r="M786" s="46"/>
      <c r="N786" s="46"/>
      <c r="O786" s="38"/>
      <c r="P786" s="38"/>
      <c r="Q786" s="14"/>
      <c r="R786" s="50"/>
      <c r="S786" s="50"/>
      <c r="T786" s="50"/>
      <c r="U786" s="52"/>
      <c r="V786" s="53"/>
      <c r="W786" s="60"/>
      <c r="X786" s="123"/>
      <c r="Y786" s="117"/>
      <c r="Z786" s="117"/>
      <c r="AH786" s="88"/>
      <c r="AI786" s="88"/>
    </row>
    <row r="787" spans="1:35">
      <c r="A787" s="38"/>
      <c r="B787" s="38"/>
      <c r="C787" s="38"/>
      <c r="D787" s="38"/>
      <c r="E787" s="38"/>
      <c r="F787" s="43"/>
      <c r="G787" s="44"/>
      <c r="H787" s="45"/>
      <c r="I787" s="38"/>
      <c r="J787" s="38"/>
      <c r="K787" s="46"/>
      <c r="L787" s="47"/>
      <c r="M787" s="46"/>
      <c r="N787" s="46"/>
      <c r="O787" s="38"/>
      <c r="P787" s="38"/>
      <c r="Q787" s="14"/>
      <c r="R787" s="50"/>
      <c r="S787" s="50"/>
      <c r="T787" s="50"/>
      <c r="U787" s="52"/>
      <c r="V787" s="53"/>
      <c r="W787" s="60"/>
      <c r="X787" s="123"/>
      <c r="Y787" s="117"/>
      <c r="Z787" s="117"/>
      <c r="AH787" s="88"/>
      <c r="AI787" s="88"/>
    </row>
    <row r="788" spans="1:35">
      <c r="A788" s="38"/>
      <c r="B788" s="38"/>
      <c r="C788" s="38"/>
      <c r="D788" s="38"/>
      <c r="E788" s="38"/>
      <c r="F788" s="43"/>
      <c r="G788" s="44"/>
      <c r="H788" s="45"/>
      <c r="I788" s="38"/>
      <c r="J788" s="38"/>
      <c r="K788" s="46"/>
      <c r="L788" s="47"/>
      <c r="M788" s="46"/>
      <c r="N788" s="46"/>
      <c r="O788" s="38"/>
      <c r="P788" s="38"/>
      <c r="Q788" s="14"/>
      <c r="R788" s="50"/>
      <c r="S788" s="50"/>
      <c r="T788" s="50"/>
      <c r="U788" s="52"/>
      <c r="V788" s="53"/>
      <c r="W788" s="60"/>
      <c r="X788" s="123"/>
      <c r="Y788" s="117"/>
      <c r="Z788" s="117"/>
      <c r="AH788" s="88"/>
      <c r="AI788" s="88"/>
    </row>
    <row r="789" spans="1:35">
      <c r="A789" s="38"/>
      <c r="B789" s="38"/>
      <c r="C789" s="38"/>
      <c r="D789" s="38"/>
      <c r="E789" s="38"/>
      <c r="F789" s="43"/>
      <c r="G789" s="44"/>
      <c r="H789" s="45"/>
      <c r="I789" s="38"/>
      <c r="J789" s="38"/>
      <c r="K789" s="46"/>
      <c r="L789" s="47"/>
      <c r="M789" s="46"/>
      <c r="N789" s="46"/>
      <c r="O789" s="38"/>
      <c r="P789" s="38"/>
      <c r="Q789" s="14"/>
      <c r="R789" s="50"/>
      <c r="S789" s="50"/>
      <c r="T789" s="50"/>
      <c r="U789" s="52"/>
      <c r="V789" s="53"/>
      <c r="W789" s="60"/>
      <c r="X789" s="123"/>
      <c r="Y789" s="117"/>
      <c r="Z789" s="117"/>
      <c r="AH789" s="88"/>
      <c r="AI789" s="88"/>
    </row>
    <row r="790" spans="1:35">
      <c r="A790" s="38"/>
      <c r="B790" s="38"/>
      <c r="C790" s="38"/>
      <c r="D790" s="38"/>
      <c r="E790" s="38"/>
      <c r="F790" s="43"/>
      <c r="G790" s="44"/>
      <c r="H790" s="45"/>
      <c r="I790" s="38"/>
      <c r="J790" s="38"/>
      <c r="K790" s="46"/>
      <c r="L790" s="47"/>
      <c r="M790" s="46"/>
      <c r="N790" s="46"/>
      <c r="O790" s="38"/>
      <c r="P790" s="38"/>
      <c r="Q790" s="14"/>
      <c r="R790" s="50"/>
      <c r="S790" s="50"/>
      <c r="T790" s="50"/>
      <c r="U790" s="52"/>
      <c r="V790" s="53"/>
      <c r="W790" s="60"/>
      <c r="X790" s="123"/>
      <c r="Y790" s="117"/>
      <c r="Z790" s="117"/>
      <c r="AH790" s="88"/>
      <c r="AI790" s="88"/>
    </row>
    <row r="791" spans="1:35">
      <c r="A791" s="38"/>
      <c r="B791" s="38"/>
      <c r="C791" s="38"/>
      <c r="D791" s="38"/>
      <c r="E791" s="38"/>
      <c r="F791" s="43"/>
      <c r="G791" s="44"/>
      <c r="H791" s="45"/>
      <c r="I791" s="38"/>
      <c r="J791" s="38"/>
      <c r="K791" s="46"/>
      <c r="L791" s="47"/>
      <c r="M791" s="46"/>
      <c r="N791" s="46"/>
      <c r="O791" s="38"/>
      <c r="P791" s="38"/>
      <c r="Q791" s="14"/>
      <c r="R791" s="50"/>
      <c r="S791" s="50"/>
      <c r="T791" s="50"/>
      <c r="U791" s="52"/>
      <c r="V791" s="53"/>
      <c r="W791" s="60"/>
      <c r="X791" s="123"/>
      <c r="Y791" s="117"/>
      <c r="Z791" s="117"/>
      <c r="AH791" s="88"/>
      <c r="AI791" s="88"/>
    </row>
    <row r="792" spans="1:35">
      <c r="A792" s="38"/>
      <c r="B792" s="38"/>
      <c r="C792" s="38"/>
      <c r="D792" s="38"/>
      <c r="E792" s="38"/>
      <c r="F792" s="43"/>
      <c r="G792" s="44"/>
      <c r="H792" s="45"/>
      <c r="I792" s="38"/>
      <c r="J792" s="38"/>
      <c r="K792" s="46"/>
      <c r="L792" s="47"/>
      <c r="M792" s="46"/>
      <c r="N792" s="46"/>
      <c r="O792" s="38"/>
      <c r="P792" s="38"/>
      <c r="Q792" s="14"/>
      <c r="R792" s="50"/>
      <c r="S792" s="50"/>
      <c r="T792" s="50"/>
      <c r="U792" s="52"/>
      <c r="V792" s="53"/>
      <c r="W792" s="60"/>
      <c r="X792" s="123"/>
      <c r="Y792" s="117"/>
      <c r="Z792" s="117"/>
      <c r="AH792" s="88"/>
      <c r="AI792" s="88"/>
    </row>
    <row r="793" spans="1:35">
      <c r="A793" s="38"/>
      <c r="B793" s="38"/>
      <c r="C793" s="38"/>
      <c r="D793" s="38"/>
      <c r="E793" s="38"/>
      <c r="F793" s="43"/>
      <c r="G793" s="44"/>
      <c r="H793" s="45"/>
      <c r="I793" s="38"/>
      <c r="J793" s="38"/>
      <c r="K793" s="46"/>
      <c r="L793" s="47"/>
      <c r="M793" s="46"/>
      <c r="N793" s="46"/>
      <c r="O793" s="38"/>
      <c r="P793" s="38"/>
      <c r="Q793" s="14"/>
      <c r="R793" s="50"/>
      <c r="S793" s="50"/>
      <c r="T793" s="50"/>
      <c r="U793" s="52"/>
      <c r="V793" s="53"/>
      <c r="W793" s="60"/>
      <c r="X793" s="123"/>
      <c r="Y793" s="117"/>
      <c r="Z793" s="117"/>
      <c r="AH793" s="88"/>
      <c r="AI793" s="88"/>
    </row>
    <row r="794" spans="1:35">
      <c r="A794" s="38"/>
      <c r="B794" s="38"/>
      <c r="C794" s="38"/>
      <c r="D794" s="38"/>
      <c r="E794" s="38"/>
      <c r="F794" s="43"/>
      <c r="G794" s="44"/>
      <c r="H794" s="45"/>
      <c r="I794" s="38"/>
      <c r="J794" s="38"/>
      <c r="K794" s="46"/>
      <c r="L794" s="47"/>
      <c r="M794" s="46"/>
      <c r="N794" s="46"/>
      <c r="O794" s="38"/>
      <c r="P794" s="38"/>
      <c r="Q794" s="14"/>
      <c r="R794" s="50"/>
      <c r="S794" s="50"/>
      <c r="T794" s="50"/>
      <c r="U794" s="52"/>
      <c r="V794" s="53"/>
      <c r="W794" s="60"/>
      <c r="X794" s="123"/>
      <c r="Y794" s="117"/>
      <c r="Z794" s="117"/>
      <c r="AH794" s="88"/>
      <c r="AI794" s="88"/>
    </row>
    <row r="795" spans="1:35">
      <c r="A795" s="38"/>
      <c r="B795" s="38"/>
      <c r="C795" s="38"/>
      <c r="D795" s="38"/>
      <c r="E795" s="38"/>
      <c r="F795" s="43"/>
      <c r="G795" s="44"/>
      <c r="H795" s="45"/>
      <c r="I795" s="38"/>
      <c r="J795" s="38"/>
      <c r="K795" s="46"/>
      <c r="L795" s="47"/>
      <c r="M795" s="46"/>
      <c r="N795" s="46"/>
      <c r="O795" s="38"/>
      <c r="P795" s="38"/>
      <c r="Q795" s="14"/>
      <c r="R795" s="50"/>
      <c r="S795" s="50"/>
      <c r="T795" s="50"/>
      <c r="U795" s="52"/>
      <c r="V795" s="53"/>
      <c r="W795" s="60"/>
      <c r="X795" s="123"/>
      <c r="Y795" s="117"/>
      <c r="Z795" s="117"/>
      <c r="AH795" s="88"/>
      <c r="AI795" s="88"/>
    </row>
    <row r="796" spans="1:35">
      <c r="A796" s="38"/>
      <c r="B796" s="38"/>
      <c r="C796" s="38"/>
      <c r="D796" s="38"/>
      <c r="E796" s="38"/>
      <c r="F796" s="43"/>
      <c r="G796" s="44"/>
      <c r="H796" s="45"/>
      <c r="I796" s="38"/>
      <c r="J796" s="38"/>
      <c r="K796" s="46"/>
      <c r="L796" s="47"/>
      <c r="M796" s="46"/>
      <c r="N796" s="46"/>
      <c r="O796" s="38"/>
      <c r="P796" s="38"/>
      <c r="Q796" s="14"/>
      <c r="R796" s="50"/>
      <c r="S796" s="50"/>
      <c r="T796" s="50"/>
      <c r="U796" s="52"/>
      <c r="V796" s="53"/>
      <c r="W796" s="60"/>
      <c r="X796" s="123"/>
      <c r="Y796" s="117"/>
      <c r="Z796" s="117"/>
      <c r="AH796" s="88"/>
      <c r="AI796" s="88"/>
    </row>
    <row r="797" spans="1:35">
      <c r="A797" s="38"/>
      <c r="B797" s="38"/>
      <c r="C797" s="38"/>
      <c r="D797" s="38"/>
      <c r="E797" s="38"/>
      <c r="F797" s="43"/>
      <c r="G797" s="44"/>
      <c r="H797" s="45"/>
      <c r="I797" s="38"/>
      <c r="J797" s="38"/>
      <c r="K797" s="46"/>
      <c r="L797" s="47"/>
      <c r="M797" s="46"/>
      <c r="N797" s="46"/>
      <c r="O797" s="38"/>
      <c r="P797" s="38"/>
      <c r="Q797" s="14"/>
      <c r="R797" s="50"/>
      <c r="S797" s="50"/>
      <c r="T797" s="50"/>
      <c r="U797" s="52"/>
      <c r="V797" s="53"/>
      <c r="W797" s="60"/>
      <c r="X797" s="123"/>
      <c r="Y797" s="117"/>
      <c r="Z797" s="117"/>
      <c r="AH797" s="88"/>
      <c r="AI797" s="88"/>
    </row>
    <row r="798" spans="1:35">
      <c r="A798" s="38"/>
      <c r="B798" s="38"/>
      <c r="C798" s="38"/>
      <c r="D798" s="38"/>
      <c r="E798" s="38"/>
      <c r="F798" s="43"/>
      <c r="G798" s="44"/>
      <c r="H798" s="45"/>
      <c r="I798" s="38"/>
      <c r="J798" s="38"/>
      <c r="K798" s="46"/>
      <c r="L798" s="47"/>
      <c r="M798" s="46"/>
      <c r="N798" s="46"/>
      <c r="O798" s="38"/>
      <c r="P798" s="38"/>
      <c r="Q798" s="14"/>
      <c r="R798" s="50"/>
      <c r="S798" s="50"/>
      <c r="T798" s="50"/>
      <c r="U798" s="52"/>
      <c r="V798" s="53"/>
      <c r="W798" s="60"/>
      <c r="X798" s="123"/>
      <c r="Y798" s="117"/>
      <c r="Z798" s="117"/>
      <c r="AH798" s="88"/>
      <c r="AI798" s="88"/>
    </row>
    <row r="799" spans="1:35">
      <c r="A799" s="38"/>
      <c r="B799" s="38"/>
      <c r="C799" s="38"/>
      <c r="D799" s="38"/>
      <c r="E799" s="38"/>
      <c r="F799" s="43"/>
      <c r="G799" s="44"/>
      <c r="H799" s="45"/>
      <c r="I799" s="38"/>
      <c r="J799" s="38"/>
      <c r="K799" s="46"/>
      <c r="L799" s="47"/>
      <c r="M799" s="46"/>
      <c r="N799" s="46"/>
      <c r="O799" s="38"/>
      <c r="P799" s="38"/>
      <c r="Q799" s="14"/>
      <c r="R799" s="50"/>
      <c r="S799" s="50"/>
      <c r="T799" s="50"/>
      <c r="U799" s="52"/>
      <c r="V799" s="53"/>
      <c r="W799" s="60"/>
      <c r="X799" s="123"/>
      <c r="Y799" s="117"/>
      <c r="Z799" s="117"/>
      <c r="AH799" s="88"/>
      <c r="AI799" s="88"/>
    </row>
    <row r="800" spans="1:35">
      <c r="A800" s="38"/>
      <c r="B800" s="38"/>
      <c r="C800" s="38"/>
      <c r="D800" s="38"/>
      <c r="E800" s="38"/>
      <c r="F800" s="43"/>
      <c r="G800" s="44"/>
      <c r="H800" s="45"/>
      <c r="I800" s="38"/>
      <c r="J800" s="38"/>
      <c r="K800" s="46"/>
      <c r="L800" s="47"/>
      <c r="M800" s="46"/>
      <c r="N800" s="46"/>
      <c r="O800" s="38"/>
      <c r="P800" s="38"/>
      <c r="Q800" s="14"/>
      <c r="R800" s="50"/>
      <c r="S800" s="50"/>
      <c r="T800" s="50"/>
      <c r="U800" s="52"/>
      <c r="V800" s="53"/>
      <c r="W800" s="60"/>
      <c r="X800" s="123"/>
      <c r="Y800" s="117"/>
      <c r="Z800" s="117"/>
      <c r="AH800" s="88"/>
      <c r="AI800" s="88"/>
    </row>
    <row r="801" spans="1:35">
      <c r="A801" s="38"/>
      <c r="B801" s="38"/>
      <c r="C801" s="38"/>
      <c r="D801" s="38"/>
      <c r="E801" s="38"/>
      <c r="F801" s="43"/>
      <c r="G801" s="44"/>
      <c r="H801" s="45"/>
      <c r="I801" s="38"/>
      <c r="J801" s="38"/>
      <c r="K801" s="46"/>
      <c r="L801" s="47"/>
      <c r="M801" s="46"/>
      <c r="N801" s="46"/>
      <c r="O801" s="38"/>
      <c r="P801" s="38"/>
      <c r="Q801" s="14"/>
      <c r="R801" s="50"/>
      <c r="S801" s="50"/>
      <c r="T801" s="50"/>
      <c r="U801" s="52"/>
      <c r="V801" s="53"/>
      <c r="W801" s="60"/>
      <c r="X801" s="123"/>
      <c r="Y801" s="117"/>
      <c r="Z801" s="117"/>
      <c r="AH801" s="88"/>
      <c r="AI801" s="88"/>
    </row>
    <row r="802" spans="1:35">
      <c r="A802" s="38"/>
      <c r="B802" s="38"/>
      <c r="C802" s="42"/>
      <c r="D802" s="38"/>
      <c r="E802" s="38"/>
      <c r="F802" s="43"/>
      <c r="G802" s="44"/>
      <c r="H802" s="45"/>
      <c r="I802" s="38"/>
      <c r="J802" s="38"/>
      <c r="K802" s="46"/>
      <c r="L802" s="47"/>
      <c r="M802" s="46"/>
      <c r="N802" s="46"/>
      <c r="O802" s="38"/>
      <c r="P802" s="38"/>
      <c r="Q802" s="14"/>
      <c r="R802" s="50"/>
      <c r="S802" s="50"/>
      <c r="T802" s="50"/>
      <c r="U802" s="52"/>
      <c r="V802" s="53"/>
      <c r="W802" s="60"/>
      <c r="X802" s="123"/>
      <c r="Y802" s="117"/>
      <c r="Z802" s="117"/>
      <c r="AH802" s="88"/>
      <c r="AI802" s="88"/>
    </row>
    <row r="803" spans="1:35">
      <c r="A803" s="38"/>
      <c r="B803" s="38"/>
      <c r="C803" s="38"/>
      <c r="D803" s="38"/>
      <c r="E803" s="38"/>
      <c r="F803" s="43"/>
      <c r="G803" s="44"/>
      <c r="H803" s="45"/>
      <c r="I803" s="38"/>
      <c r="J803" s="38"/>
      <c r="K803" s="46"/>
      <c r="L803" s="47"/>
      <c r="M803" s="46"/>
      <c r="N803" s="46"/>
      <c r="O803" s="38"/>
      <c r="P803" s="38"/>
      <c r="Q803" s="14"/>
      <c r="R803" s="50"/>
      <c r="S803" s="50"/>
      <c r="T803" s="50"/>
      <c r="U803" s="52"/>
      <c r="V803" s="53"/>
      <c r="W803" s="60"/>
      <c r="X803" s="123"/>
      <c r="Y803" s="117"/>
      <c r="Z803" s="117"/>
      <c r="AH803" s="88"/>
      <c r="AI803" s="88"/>
    </row>
    <row r="804" spans="1:35">
      <c r="A804" s="38"/>
      <c r="B804" s="38"/>
      <c r="C804" s="38"/>
      <c r="D804" s="38"/>
      <c r="E804" s="38"/>
      <c r="F804" s="43"/>
      <c r="G804" s="44"/>
      <c r="H804" s="45"/>
      <c r="I804" s="38"/>
      <c r="J804" s="38"/>
      <c r="K804" s="46"/>
      <c r="L804" s="47"/>
      <c r="M804" s="46"/>
      <c r="N804" s="46"/>
      <c r="O804" s="38"/>
      <c r="P804" s="38"/>
      <c r="Q804" s="14"/>
      <c r="R804" s="50"/>
      <c r="S804" s="50"/>
      <c r="T804" s="50"/>
      <c r="U804" s="52"/>
      <c r="V804" s="53"/>
      <c r="W804" s="60"/>
      <c r="X804" s="123"/>
      <c r="Y804" s="117"/>
      <c r="Z804" s="117"/>
      <c r="AH804" s="88"/>
      <c r="AI804" s="88"/>
    </row>
    <row r="805" spans="1:35">
      <c r="A805" s="38"/>
      <c r="B805" s="38"/>
      <c r="C805" s="38"/>
      <c r="D805" s="38"/>
      <c r="E805" s="38"/>
      <c r="F805" s="43"/>
      <c r="G805" s="44"/>
      <c r="H805" s="45"/>
      <c r="I805" s="38"/>
      <c r="J805" s="38"/>
      <c r="K805" s="46"/>
      <c r="L805" s="47"/>
      <c r="M805" s="46"/>
      <c r="N805" s="46"/>
      <c r="O805" s="38"/>
      <c r="P805" s="38"/>
      <c r="Q805" s="14"/>
      <c r="R805" s="50"/>
      <c r="S805" s="50"/>
      <c r="T805" s="50"/>
      <c r="U805" s="52"/>
      <c r="V805" s="53"/>
      <c r="W805" s="60"/>
      <c r="X805" s="123"/>
      <c r="Y805" s="117"/>
      <c r="Z805" s="117"/>
      <c r="AH805" s="88"/>
      <c r="AI805" s="88"/>
    </row>
    <row r="806" spans="1:35">
      <c r="A806" s="38"/>
      <c r="B806" s="38"/>
      <c r="C806" s="38"/>
      <c r="D806" s="38"/>
      <c r="E806" s="38"/>
      <c r="F806" s="43"/>
      <c r="G806" s="44"/>
      <c r="H806" s="45"/>
      <c r="I806" s="38"/>
      <c r="J806" s="38"/>
      <c r="K806" s="46"/>
      <c r="L806" s="47"/>
      <c r="M806" s="46"/>
      <c r="N806" s="46"/>
      <c r="O806" s="38"/>
      <c r="P806" s="38"/>
      <c r="Q806" s="14"/>
      <c r="R806" s="50"/>
      <c r="S806" s="50"/>
      <c r="T806" s="50"/>
      <c r="U806" s="52"/>
      <c r="V806" s="53"/>
      <c r="W806" s="60"/>
      <c r="X806" s="123"/>
      <c r="Y806" s="117"/>
      <c r="Z806" s="117"/>
      <c r="AH806" s="88"/>
      <c r="AI806" s="88"/>
    </row>
    <row r="807" spans="1:35">
      <c r="A807" s="38"/>
      <c r="B807" s="38"/>
      <c r="C807" s="38"/>
      <c r="D807" s="38"/>
      <c r="E807" s="38"/>
      <c r="F807" s="43"/>
      <c r="G807" s="44"/>
      <c r="H807" s="45"/>
      <c r="I807" s="38"/>
      <c r="J807" s="38"/>
      <c r="K807" s="46"/>
      <c r="L807" s="47"/>
      <c r="M807" s="46"/>
      <c r="N807" s="46"/>
      <c r="O807" s="38"/>
      <c r="P807" s="38"/>
      <c r="Q807" s="14"/>
      <c r="R807" s="50"/>
      <c r="S807" s="50"/>
      <c r="T807" s="50"/>
      <c r="U807" s="52"/>
      <c r="V807" s="53"/>
      <c r="W807" s="60"/>
      <c r="X807" s="123"/>
      <c r="Y807" s="117"/>
      <c r="Z807" s="117"/>
      <c r="AH807" s="88"/>
      <c r="AI807" s="88"/>
    </row>
    <row r="808" spans="1:35">
      <c r="A808" s="38"/>
      <c r="B808" s="38"/>
      <c r="C808" s="38"/>
      <c r="D808" s="38"/>
      <c r="E808" s="38"/>
      <c r="F808" s="43"/>
      <c r="G808" s="44"/>
      <c r="H808" s="45"/>
      <c r="I808" s="38"/>
      <c r="J808" s="38"/>
      <c r="K808" s="46"/>
      <c r="L808" s="47"/>
      <c r="M808" s="46"/>
      <c r="N808" s="46"/>
      <c r="O808" s="38"/>
      <c r="P808" s="38"/>
      <c r="Q808" s="14"/>
      <c r="R808" s="50"/>
      <c r="S808" s="50"/>
      <c r="T808" s="50"/>
      <c r="U808" s="52"/>
      <c r="V808" s="53"/>
      <c r="W808" s="60"/>
      <c r="X808" s="123"/>
      <c r="Y808" s="117"/>
      <c r="Z808" s="117"/>
      <c r="AH808" s="88"/>
      <c r="AI808" s="88"/>
    </row>
    <row r="809" spans="1:35">
      <c r="A809" s="38"/>
      <c r="B809" s="38"/>
      <c r="C809" s="38"/>
      <c r="D809" s="38"/>
      <c r="E809" s="38"/>
      <c r="F809" s="43"/>
      <c r="G809" s="44"/>
      <c r="H809" s="45"/>
      <c r="I809" s="38"/>
      <c r="J809" s="38"/>
      <c r="K809" s="46"/>
      <c r="L809" s="47"/>
      <c r="M809" s="46"/>
      <c r="N809" s="46"/>
      <c r="O809" s="38"/>
      <c r="P809" s="38"/>
      <c r="Q809" s="14"/>
      <c r="R809" s="50"/>
      <c r="S809" s="50"/>
      <c r="T809" s="50"/>
      <c r="U809" s="52"/>
      <c r="V809" s="53"/>
      <c r="W809" s="60"/>
      <c r="X809" s="123"/>
      <c r="Y809" s="117"/>
      <c r="Z809" s="117"/>
      <c r="AH809" s="88"/>
      <c r="AI809" s="88"/>
    </row>
    <row r="810" spans="1:35">
      <c r="A810" s="38"/>
      <c r="B810" s="38"/>
      <c r="C810" s="38"/>
      <c r="D810" s="38"/>
      <c r="E810" s="38"/>
      <c r="F810" s="43"/>
      <c r="G810" s="44"/>
      <c r="H810" s="45"/>
      <c r="I810" s="38"/>
      <c r="J810" s="38"/>
      <c r="K810" s="46"/>
      <c r="L810" s="47"/>
      <c r="M810" s="46"/>
      <c r="N810" s="46"/>
      <c r="O810" s="38"/>
      <c r="P810" s="38"/>
      <c r="Q810" s="14"/>
      <c r="R810" s="50"/>
      <c r="S810" s="50"/>
      <c r="T810" s="50"/>
      <c r="U810" s="52"/>
      <c r="V810" s="53"/>
      <c r="W810" s="60"/>
      <c r="X810" s="123"/>
      <c r="Y810" s="117"/>
      <c r="Z810" s="117"/>
      <c r="AH810" s="88"/>
      <c r="AI810" s="88"/>
    </row>
    <row r="811" spans="1:35">
      <c r="A811" s="38"/>
      <c r="B811" s="38"/>
      <c r="C811" s="38"/>
      <c r="D811" s="38"/>
      <c r="E811" s="38"/>
      <c r="F811" s="43"/>
      <c r="G811" s="44"/>
      <c r="H811" s="45"/>
      <c r="I811" s="38"/>
      <c r="J811" s="38"/>
      <c r="K811" s="46"/>
      <c r="L811" s="47"/>
      <c r="M811" s="46"/>
      <c r="N811" s="46"/>
      <c r="O811" s="38"/>
      <c r="P811" s="38"/>
      <c r="Q811" s="14"/>
      <c r="R811" s="50"/>
      <c r="S811" s="50"/>
      <c r="T811" s="50"/>
      <c r="U811" s="52"/>
      <c r="V811" s="53"/>
      <c r="W811" s="60"/>
      <c r="X811" s="123"/>
      <c r="Y811" s="117"/>
      <c r="Z811" s="117"/>
      <c r="AH811" s="88"/>
      <c r="AI811" s="88"/>
    </row>
    <row r="812" spans="1:35">
      <c r="A812" s="38"/>
      <c r="B812" s="38"/>
      <c r="C812" s="38"/>
      <c r="D812" s="38"/>
      <c r="E812" s="38"/>
      <c r="F812" s="43"/>
      <c r="G812" s="44"/>
      <c r="H812" s="45"/>
      <c r="I812" s="38"/>
      <c r="J812" s="38"/>
      <c r="K812" s="46"/>
      <c r="L812" s="47"/>
      <c r="M812" s="46"/>
      <c r="N812" s="46"/>
      <c r="O812" s="38"/>
      <c r="P812" s="38"/>
      <c r="Q812" s="14"/>
      <c r="R812" s="50"/>
      <c r="S812" s="50"/>
      <c r="T812" s="50"/>
      <c r="U812" s="52"/>
      <c r="V812" s="53"/>
      <c r="W812" s="60"/>
      <c r="X812" s="123"/>
      <c r="Y812" s="117"/>
      <c r="Z812" s="117"/>
      <c r="AH812" s="88"/>
      <c r="AI812" s="88"/>
    </row>
    <row r="813" spans="1:35">
      <c r="A813" s="38"/>
      <c r="B813" s="38"/>
      <c r="C813" s="38"/>
      <c r="D813" s="38"/>
      <c r="E813" s="38"/>
      <c r="F813" s="43"/>
      <c r="G813" s="44"/>
      <c r="H813" s="45"/>
      <c r="I813" s="38"/>
      <c r="J813" s="38"/>
      <c r="K813" s="46"/>
      <c r="L813" s="47"/>
      <c r="M813" s="46"/>
      <c r="N813" s="46"/>
      <c r="O813" s="38"/>
      <c r="P813" s="38"/>
      <c r="Q813" s="14"/>
      <c r="R813" s="50"/>
      <c r="S813" s="50"/>
      <c r="T813" s="50"/>
      <c r="U813" s="52"/>
      <c r="V813" s="53"/>
      <c r="W813" s="60"/>
      <c r="X813" s="123"/>
      <c r="Y813" s="117"/>
      <c r="Z813" s="117"/>
      <c r="AH813" s="88"/>
      <c r="AI813" s="88"/>
    </row>
    <row r="814" spans="1:35">
      <c r="A814" s="38"/>
      <c r="B814" s="38"/>
      <c r="C814" s="38"/>
      <c r="D814" s="38"/>
      <c r="E814" s="38"/>
      <c r="F814" s="43"/>
      <c r="G814" s="44"/>
      <c r="H814" s="45"/>
      <c r="I814" s="38"/>
      <c r="J814" s="38"/>
      <c r="K814" s="46"/>
      <c r="L814" s="47"/>
      <c r="M814" s="46"/>
      <c r="N814" s="46"/>
      <c r="O814" s="38"/>
      <c r="P814" s="38"/>
      <c r="Q814" s="14"/>
      <c r="R814" s="50"/>
      <c r="S814" s="50"/>
      <c r="T814" s="50"/>
      <c r="U814" s="52"/>
      <c r="V814" s="53"/>
      <c r="W814" s="60"/>
      <c r="X814" s="123"/>
      <c r="Y814" s="117"/>
      <c r="Z814" s="117"/>
      <c r="AH814" s="88"/>
      <c r="AI814" s="88"/>
    </row>
    <row r="815" spans="1:35">
      <c r="A815" s="38"/>
      <c r="B815" s="38"/>
      <c r="C815" s="38"/>
      <c r="D815" s="38"/>
      <c r="E815" s="38"/>
      <c r="F815" s="43"/>
      <c r="G815" s="44"/>
      <c r="H815" s="45"/>
      <c r="I815" s="38"/>
      <c r="J815" s="38"/>
      <c r="K815" s="46"/>
      <c r="L815" s="47"/>
      <c r="M815" s="46"/>
      <c r="N815" s="46"/>
      <c r="O815" s="38"/>
      <c r="P815" s="38"/>
      <c r="Q815" s="14"/>
      <c r="R815" s="50"/>
      <c r="S815" s="50"/>
      <c r="T815" s="50"/>
      <c r="U815" s="52"/>
      <c r="V815" s="53"/>
      <c r="W815" s="60"/>
      <c r="X815" s="123"/>
      <c r="Y815" s="117"/>
      <c r="Z815" s="117"/>
      <c r="AH815" s="88"/>
      <c r="AI815" s="88"/>
    </row>
    <row r="816" spans="1:35">
      <c r="A816" s="38"/>
      <c r="B816" s="38"/>
      <c r="C816" s="38"/>
      <c r="D816" s="38"/>
      <c r="E816" s="38"/>
      <c r="F816" s="43"/>
      <c r="G816" s="44"/>
      <c r="H816" s="45"/>
      <c r="I816" s="38"/>
      <c r="J816" s="38"/>
      <c r="K816" s="46"/>
      <c r="L816" s="47"/>
      <c r="M816" s="46"/>
      <c r="N816" s="46"/>
      <c r="O816" s="38"/>
      <c r="P816" s="38"/>
      <c r="Q816" s="14"/>
      <c r="R816" s="50"/>
      <c r="S816" s="50"/>
      <c r="T816" s="50"/>
      <c r="U816" s="52"/>
      <c r="V816" s="53"/>
      <c r="W816" s="60"/>
      <c r="X816" s="123"/>
      <c r="Y816" s="117"/>
      <c r="Z816" s="117"/>
      <c r="AH816" s="88"/>
      <c r="AI816" s="88"/>
    </row>
    <row r="817" spans="1:35">
      <c r="A817" s="38"/>
      <c r="B817" s="38"/>
      <c r="C817" s="38"/>
      <c r="D817" s="38"/>
      <c r="E817" s="38"/>
      <c r="F817" s="43"/>
      <c r="G817" s="44"/>
      <c r="H817" s="45"/>
      <c r="I817" s="38"/>
      <c r="J817" s="38"/>
      <c r="K817" s="46"/>
      <c r="L817" s="47"/>
      <c r="M817" s="46"/>
      <c r="N817" s="46"/>
      <c r="O817" s="38"/>
      <c r="P817" s="38"/>
      <c r="Q817" s="14"/>
      <c r="R817" s="50"/>
      <c r="S817" s="50"/>
      <c r="T817" s="50"/>
      <c r="U817" s="52"/>
      <c r="V817" s="53"/>
      <c r="W817" s="60"/>
      <c r="X817" s="123"/>
      <c r="Y817" s="117"/>
      <c r="Z817" s="117"/>
      <c r="AH817" s="88"/>
      <c r="AI817" s="88"/>
    </row>
    <row r="818" spans="1:35">
      <c r="A818" s="38"/>
      <c r="B818" s="38"/>
      <c r="C818" s="38"/>
      <c r="D818" s="38"/>
      <c r="E818" s="38"/>
      <c r="F818" s="43"/>
      <c r="G818" s="44"/>
      <c r="H818" s="45"/>
      <c r="I818" s="38"/>
      <c r="J818" s="38"/>
      <c r="K818" s="46"/>
      <c r="L818" s="47"/>
      <c r="M818" s="46"/>
      <c r="N818" s="46"/>
      <c r="O818" s="38"/>
      <c r="P818" s="38"/>
      <c r="Q818" s="14"/>
      <c r="R818" s="50"/>
      <c r="S818" s="50"/>
      <c r="T818" s="50"/>
      <c r="U818" s="52"/>
      <c r="V818" s="53"/>
      <c r="W818" s="60"/>
      <c r="X818" s="123"/>
      <c r="Y818" s="117"/>
      <c r="Z818" s="117"/>
      <c r="AH818" s="88"/>
      <c r="AI818" s="88"/>
    </row>
    <row r="819" spans="1:35">
      <c r="A819" s="38"/>
      <c r="B819" s="38"/>
      <c r="C819" s="38"/>
      <c r="D819" s="38"/>
      <c r="E819" s="38"/>
      <c r="F819" s="43"/>
      <c r="G819" s="44"/>
      <c r="H819" s="45"/>
      <c r="I819" s="38"/>
      <c r="J819" s="38"/>
      <c r="K819" s="46"/>
      <c r="L819" s="47"/>
      <c r="M819" s="46"/>
      <c r="N819" s="46"/>
      <c r="O819" s="38"/>
      <c r="P819" s="38"/>
      <c r="Q819" s="14"/>
      <c r="R819" s="50"/>
      <c r="S819" s="50"/>
      <c r="T819" s="50"/>
      <c r="U819" s="52"/>
      <c r="V819" s="53"/>
      <c r="W819" s="60"/>
      <c r="X819" s="123"/>
      <c r="Y819" s="117"/>
      <c r="Z819" s="117"/>
      <c r="AH819" s="88"/>
      <c r="AI819" s="88"/>
    </row>
    <row r="820" spans="1:35">
      <c r="A820" s="38"/>
      <c r="B820" s="38"/>
      <c r="C820" s="38"/>
      <c r="D820" s="38"/>
      <c r="E820" s="38"/>
      <c r="F820" s="43"/>
      <c r="G820" s="44"/>
      <c r="H820" s="45"/>
      <c r="I820" s="38"/>
      <c r="J820" s="38"/>
      <c r="K820" s="46"/>
      <c r="L820" s="47"/>
      <c r="M820" s="46"/>
      <c r="N820" s="46"/>
      <c r="O820" s="38"/>
      <c r="P820" s="38"/>
      <c r="Q820" s="14"/>
      <c r="R820" s="50"/>
      <c r="S820" s="50"/>
      <c r="T820" s="50"/>
      <c r="U820" s="52"/>
      <c r="V820" s="53"/>
      <c r="W820" s="60"/>
      <c r="X820" s="123"/>
      <c r="Y820" s="117"/>
      <c r="Z820" s="117"/>
      <c r="AH820" s="88"/>
      <c r="AI820" s="88"/>
    </row>
    <row r="821" spans="1:35">
      <c r="A821" s="38"/>
      <c r="B821" s="38"/>
      <c r="C821" s="38"/>
      <c r="D821" s="38"/>
      <c r="E821" s="38"/>
      <c r="F821" s="43"/>
      <c r="G821" s="44"/>
      <c r="H821" s="45"/>
      <c r="I821" s="38"/>
      <c r="J821" s="38"/>
      <c r="K821" s="46"/>
      <c r="L821" s="47"/>
      <c r="M821" s="46"/>
      <c r="N821" s="46"/>
      <c r="O821" s="38"/>
      <c r="P821" s="38"/>
      <c r="Q821" s="14"/>
      <c r="R821" s="50"/>
      <c r="S821" s="50"/>
      <c r="T821" s="50"/>
      <c r="U821" s="52"/>
      <c r="V821" s="53"/>
      <c r="W821" s="60"/>
      <c r="X821" s="123"/>
      <c r="Y821" s="117"/>
      <c r="Z821" s="117"/>
      <c r="AH821" s="6"/>
      <c r="AI821" s="6"/>
    </row>
    <row r="822" spans="1:35">
      <c r="A822" s="38"/>
      <c r="B822" s="38"/>
      <c r="C822" s="6"/>
      <c r="D822" s="38"/>
      <c r="E822" s="38"/>
      <c r="F822" s="43"/>
      <c r="G822" s="44"/>
      <c r="H822" s="45"/>
      <c r="I822" s="38"/>
      <c r="J822" s="38"/>
      <c r="K822" s="197"/>
      <c r="L822" s="47"/>
      <c r="M822" s="197"/>
      <c r="N822" s="197"/>
      <c r="O822" s="38"/>
      <c r="P822" s="38"/>
      <c r="Q822" s="14"/>
      <c r="R822" s="50"/>
      <c r="S822" s="50"/>
      <c r="T822" s="50"/>
      <c r="U822" s="52"/>
      <c r="V822" s="53"/>
      <c r="W822" s="60"/>
      <c r="X822" s="123"/>
      <c r="Y822" s="117"/>
      <c r="Z822" s="117"/>
      <c r="AH822" s="6"/>
      <c r="AI822" s="6"/>
    </row>
    <row r="823" spans="1:35">
      <c r="A823" s="38"/>
      <c r="B823" s="38"/>
      <c r="C823" s="6"/>
      <c r="D823" s="38"/>
      <c r="E823" s="38"/>
      <c r="F823" s="43"/>
      <c r="G823" s="44"/>
      <c r="H823" s="45"/>
      <c r="I823" s="38"/>
      <c r="J823" s="38"/>
      <c r="K823" s="197"/>
      <c r="L823" s="47"/>
      <c r="M823" s="197"/>
      <c r="N823" s="197"/>
      <c r="O823" s="38"/>
      <c r="P823" s="38"/>
      <c r="Q823" s="14"/>
      <c r="R823" s="50"/>
      <c r="S823" s="50"/>
      <c r="T823" s="50"/>
      <c r="U823" s="52"/>
      <c r="V823" s="53"/>
      <c r="W823" s="60"/>
      <c r="X823" s="123"/>
      <c r="Y823" s="117"/>
      <c r="Z823" s="117"/>
      <c r="AH823" s="6"/>
      <c r="AI823" s="6"/>
    </row>
    <row r="824" spans="1:35">
      <c r="A824" s="38"/>
      <c r="B824" s="38"/>
      <c r="C824" s="6"/>
      <c r="D824" s="38"/>
      <c r="E824" s="38"/>
      <c r="F824" s="43"/>
      <c r="G824" s="44"/>
      <c r="H824" s="45"/>
      <c r="I824" s="38"/>
      <c r="J824" s="38"/>
      <c r="K824" s="197"/>
      <c r="L824" s="47"/>
      <c r="M824" s="197"/>
      <c r="N824" s="197"/>
      <c r="O824" s="38"/>
      <c r="P824" s="38"/>
      <c r="Q824" s="14"/>
      <c r="R824" s="50"/>
      <c r="S824" s="50"/>
      <c r="T824" s="50"/>
      <c r="U824" s="52"/>
      <c r="V824" s="53"/>
      <c r="W824" s="60"/>
      <c r="X824" s="123"/>
      <c r="Y824" s="117"/>
      <c r="Z824" s="117"/>
      <c r="AH824" s="6"/>
      <c r="AI824" s="6"/>
    </row>
    <row r="825" spans="1:35">
      <c r="A825" s="38"/>
      <c r="B825" s="38"/>
      <c r="C825" s="6"/>
      <c r="D825" s="38"/>
      <c r="E825" s="38"/>
      <c r="F825" s="43"/>
      <c r="G825" s="44"/>
      <c r="H825" s="45"/>
      <c r="I825" s="38"/>
      <c r="J825" s="38"/>
      <c r="K825" s="197"/>
      <c r="L825" s="47"/>
      <c r="M825" s="197"/>
      <c r="N825" s="197"/>
      <c r="O825" s="38"/>
      <c r="P825" s="38"/>
      <c r="Q825" s="14"/>
      <c r="R825" s="50"/>
      <c r="S825" s="50"/>
      <c r="T825" s="50"/>
      <c r="U825" s="52"/>
      <c r="V825" s="53"/>
      <c r="W825" s="60"/>
      <c r="X825" s="123"/>
      <c r="Y825" s="117"/>
      <c r="Z825" s="117"/>
      <c r="AH825" s="6"/>
      <c r="AI825" s="6"/>
    </row>
    <row r="826" spans="1:35">
      <c r="A826" s="38"/>
      <c r="B826" s="38"/>
      <c r="C826" s="6"/>
      <c r="D826" s="38"/>
      <c r="E826" s="38"/>
      <c r="F826" s="43"/>
      <c r="G826" s="44"/>
      <c r="H826" s="45"/>
      <c r="I826" s="38"/>
      <c r="J826" s="38"/>
      <c r="K826" s="197"/>
      <c r="L826" s="47"/>
      <c r="M826" s="197"/>
      <c r="N826" s="197"/>
      <c r="O826" s="38"/>
      <c r="P826" s="38"/>
      <c r="Q826" s="14"/>
      <c r="R826" s="50"/>
      <c r="S826" s="50"/>
      <c r="T826" s="50"/>
      <c r="U826" s="52"/>
      <c r="V826" s="53"/>
      <c r="W826" s="60"/>
      <c r="X826" s="123"/>
      <c r="Y826" s="117"/>
      <c r="Z826" s="117"/>
      <c r="AH826" s="6"/>
      <c r="AI826" s="6"/>
    </row>
    <row r="827" spans="1:35">
      <c r="A827" s="38"/>
      <c r="B827" s="38"/>
      <c r="C827" s="6"/>
      <c r="D827" s="38"/>
      <c r="E827" s="38"/>
      <c r="F827" s="43"/>
      <c r="G827" s="44"/>
      <c r="H827" s="45"/>
      <c r="I827" s="38"/>
      <c r="J827" s="38"/>
      <c r="K827" s="197"/>
      <c r="L827" s="47"/>
      <c r="M827" s="197"/>
      <c r="N827" s="197"/>
      <c r="O827" s="38"/>
      <c r="P827" s="38"/>
      <c r="Q827" s="14"/>
      <c r="R827" s="50"/>
      <c r="S827" s="50"/>
      <c r="T827" s="50"/>
      <c r="U827" s="52"/>
      <c r="V827" s="53"/>
      <c r="W827" s="60"/>
      <c r="X827" s="123"/>
      <c r="Y827" s="117"/>
      <c r="Z827" s="117"/>
      <c r="AH827" s="6"/>
      <c r="AI827" s="6"/>
    </row>
    <row r="828" spans="1:35">
      <c r="A828" s="38"/>
      <c r="B828" s="38"/>
      <c r="C828" s="6"/>
      <c r="D828" s="38"/>
      <c r="E828" s="38"/>
      <c r="F828" s="43"/>
      <c r="G828" s="44"/>
      <c r="H828" s="45"/>
      <c r="I828" s="38"/>
      <c r="J828" s="38"/>
      <c r="K828" s="197"/>
      <c r="L828" s="47"/>
      <c r="M828" s="197"/>
      <c r="N828" s="197"/>
      <c r="O828" s="38"/>
      <c r="P828" s="38"/>
      <c r="Q828" s="14"/>
      <c r="R828" s="50"/>
      <c r="S828" s="50"/>
      <c r="T828" s="50"/>
      <c r="U828" s="52"/>
      <c r="V828" s="53"/>
      <c r="W828" s="60"/>
      <c r="X828" s="123"/>
      <c r="Y828" s="117"/>
      <c r="Z828" s="117"/>
      <c r="AH828" s="6"/>
      <c r="AI828" s="6"/>
    </row>
    <row r="829" spans="1:35">
      <c r="A829" s="38"/>
      <c r="B829" s="38"/>
      <c r="C829" s="6"/>
      <c r="D829" s="38"/>
      <c r="E829" s="38"/>
      <c r="F829" s="43"/>
      <c r="G829" s="44"/>
      <c r="H829" s="45"/>
      <c r="I829" s="38"/>
      <c r="J829" s="38"/>
      <c r="K829" s="197"/>
      <c r="L829" s="47"/>
      <c r="M829" s="197"/>
      <c r="N829" s="197"/>
      <c r="O829" s="38"/>
      <c r="P829" s="38"/>
      <c r="Q829" s="14"/>
      <c r="R829" s="50"/>
      <c r="S829" s="50"/>
      <c r="T829" s="50"/>
      <c r="U829" s="52"/>
      <c r="V829" s="53"/>
      <c r="W829" s="60"/>
      <c r="X829" s="123"/>
      <c r="Y829" s="117"/>
      <c r="Z829" s="117"/>
      <c r="AH829" s="6"/>
      <c r="AI829" s="6"/>
    </row>
    <row r="830" spans="1:35">
      <c r="A830" s="38"/>
      <c r="B830" s="38"/>
      <c r="C830" s="6"/>
      <c r="D830" s="38"/>
      <c r="E830" s="38"/>
      <c r="F830" s="43"/>
      <c r="G830" s="44"/>
      <c r="H830" s="45"/>
      <c r="I830" s="38"/>
      <c r="J830" s="38"/>
      <c r="K830" s="197"/>
      <c r="L830" s="47"/>
      <c r="M830" s="197"/>
      <c r="N830" s="197"/>
      <c r="O830" s="38"/>
      <c r="P830" s="38"/>
      <c r="Q830" s="14"/>
      <c r="R830" s="50"/>
      <c r="S830" s="50"/>
      <c r="T830" s="50"/>
      <c r="U830" s="52"/>
      <c r="V830" s="53"/>
      <c r="W830" s="60"/>
      <c r="X830" s="123"/>
      <c r="Y830" s="117"/>
      <c r="Z830" s="117"/>
      <c r="AH830" s="6"/>
      <c r="AI830" s="6"/>
    </row>
    <row r="831" spans="1:35">
      <c r="A831" s="38"/>
      <c r="B831" s="38"/>
      <c r="C831" s="6"/>
      <c r="D831" s="38"/>
      <c r="E831" s="38"/>
      <c r="F831" s="43"/>
      <c r="G831" s="44"/>
      <c r="H831" s="45"/>
      <c r="I831" s="38"/>
      <c r="J831" s="38"/>
      <c r="K831" s="197"/>
      <c r="L831" s="47"/>
      <c r="M831" s="197"/>
      <c r="N831" s="197"/>
      <c r="O831" s="38"/>
      <c r="P831" s="38"/>
      <c r="Q831" s="14"/>
      <c r="R831" s="50"/>
      <c r="S831" s="50"/>
      <c r="T831" s="50"/>
      <c r="U831" s="52"/>
      <c r="V831" s="53"/>
      <c r="W831" s="60"/>
      <c r="X831" s="123"/>
      <c r="Y831" s="117"/>
      <c r="Z831" s="117"/>
      <c r="AH831" s="6"/>
      <c r="AI831" s="6"/>
    </row>
    <row r="832" spans="1:35">
      <c r="A832" s="38"/>
      <c r="B832" s="38"/>
      <c r="C832" s="6"/>
      <c r="D832" s="38"/>
      <c r="E832" s="38"/>
      <c r="F832" s="43"/>
      <c r="G832" s="44"/>
      <c r="H832" s="45"/>
      <c r="I832" s="38"/>
      <c r="J832" s="38"/>
      <c r="K832" s="197"/>
      <c r="L832" s="47"/>
      <c r="M832" s="197"/>
      <c r="N832" s="197"/>
      <c r="O832" s="38"/>
      <c r="P832" s="38"/>
      <c r="Q832" s="14"/>
      <c r="R832" s="50"/>
      <c r="S832" s="50"/>
      <c r="T832" s="50"/>
      <c r="U832" s="52"/>
      <c r="V832" s="53"/>
      <c r="W832" s="60"/>
      <c r="X832" s="123"/>
      <c r="Y832" s="117"/>
      <c r="Z832" s="117"/>
      <c r="AH832" s="6"/>
      <c r="AI832" s="6"/>
    </row>
    <row r="833" spans="1:35">
      <c r="A833" s="38"/>
      <c r="B833" s="38"/>
      <c r="C833" s="6"/>
      <c r="D833" s="38"/>
      <c r="E833" s="38"/>
      <c r="F833" s="43"/>
      <c r="G833" s="44"/>
      <c r="H833" s="45"/>
      <c r="I833" s="38"/>
      <c r="J833" s="38"/>
      <c r="K833" s="197"/>
      <c r="L833" s="47"/>
      <c r="M833" s="197"/>
      <c r="N833" s="197"/>
      <c r="O833" s="38"/>
      <c r="P833" s="38"/>
      <c r="Q833" s="14"/>
      <c r="R833" s="50"/>
      <c r="S833" s="50"/>
      <c r="T833" s="50"/>
      <c r="U833" s="52"/>
      <c r="V833" s="53"/>
      <c r="W833" s="60"/>
      <c r="X833" s="123"/>
      <c r="Y833" s="117"/>
      <c r="Z833" s="117"/>
      <c r="AH833" s="6"/>
      <c r="AI833" s="6"/>
    </row>
    <row r="834" spans="1:35">
      <c r="A834" s="38"/>
      <c r="B834" s="38"/>
      <c r="C834" s="6"/>
      <c r="D834" s="38"/>
      <c r="E834" s="38"/>
      <c r="F834" s="43"/>
      <c r="G834" s="44"/>
      <c r="H834" s="45"/>
      <c r="I834" s="38"/>
      <c r="J834" s="38"/>
      <c r="K834" s="197"/>
      <c r="L834" s="47"/>
      <c r="M834" s="197"/>
      <c r="N834" s="197"/>
      <c r="O834" s="38"/>
      <c r="P834" s="38"/>
      <c r="Q834" s="14"/>
      <c r="R834" s="50"/>
      <c r="S834" s="50"/>
      <c r="T834" s="50"/>
      <c r="U834" s="52"/>
      <c r="V834" s="53"/>
      <c r="W834" s="60"/>
      <c r="X834" s="123"/>
      <c r="Y834" s="117"/>
      <c r="Z834" s="117"/>
      <c r="AH834" s="6"/>
      <c r="AI834" s="6"/>
    </row>
    <row r="835" spans="1:35">
      <c r="A835" s="38"/>
      <c r="B835" s="38"/>
      <c r="C835" s="6"/>
      <c r="D835" s="38"/>
      <c r="E835" s="38"/>
      <c r="F835" s="43"/>
      <c r="G835" s="44"/>
      <c r="H835" s="45"/>
      <c r="I835" s="38"/>
      <c r="J835" s="38"/>
      <c r="K835" s="197"/>
      <c r="L835" s="47"/>
      <c r="M835" s="197"/>
      <c r="N835" s="197"/>
      <c r="O835" s="38"/>
      <c r="P835" s="38"/>
      <c r="Q835" s="14"/>
      <c r="R835" s="50"/>
      <c r="S835" s="50"/>
      <c r="T835" s="50"/>
      <c r="U835" s="52"/>
      <c r="V835" s="53"/>
      <c r="W835" s="60"/>
      <c r="X835" s="123"/>
      <c r="Y835" s="117"/>
      <c r="Z835" s="117"/>
      <c r="AH835" s="6"/>
      <c r="AI835" s="6"/>
    </row>
    <row r="836" spans="1:35">
      <c r="A836" s="38"/>
      <c r="B836" s="38"/>
      <c r="C836" s="6"/>
      <c r="D836" s="38"/>
      <c r="E836" s="38"/>
      <c r="F836" s="43"/>
      <c r="G836" s="44"/>
      <c r="H836" s="45"/>
      <c r="I836" s="38"/>
      <c r="J836" s="38"/>
      <c r="K836" s="197"/>
      <c r="L836" s="47"/>
      <c r="M836" s="197"/>
      <c r="N836" s="197"/>
      <c r="O836" s="38"/>
      <c r="P836" s="38"/>
      <c r="Q836" s="14"/>
      <c r="R836" s="50"/>
      <c r="S836" s="50"/>
      <c r="T836" s="50"/>
      <c r="U836" s="52"/>
      <c r="V836" s="53"/>
      <c r="W836" s="60"/>
      <c r="X836" s="123"/>
      <c r="Y836" s="117"/>
      <c r="Z836" s="117"/>
      <c r="AH836" s="6"/>
      <c r="AI836" s="6"/>
    </row>
    <row r="837" spans="1:35">
      <c r="A837" s="38"/>
      <c r="B837" s="38"/>
      <c r="C837" s="6"/>
      <c r="D837" s="38"/>
      <c r="E837" s="38"/>
      <c r="F837" s="43"/>
      <c r="G837" s="44"/>
      <c r="H837" s="45"/>
      <c r="I837" s="38"/>
      <c r="J837" s="38"/>
      <c r="K837" s="197"/>
      <c r="L837" s="47"/>
      <c r="M837" s="197"/>
      <c r="N837" s="197"/>
      <c r="O837" s="38"/>
      <c r="P837" s="38"/>
      <c r="Q837" s="14"/>
      <c r="R837" s="50"/>
      <c r="S837" s="50"/>
      <c r="T837" s="50"/>
      <c r="U837" s="52"/>
      <c r="V837" s="53"/>
      <c r="W837" s="60"/>
      <c r="X837" s="123"/>
      <c r="Y837" s="117"/>
      <c r="Z837" s="117"/>
      <c r="AH837" s="6"/>
      <c r="AI837" s="6"/>
    </row>
    <row r="838" spans="1:35">
      <c r="A838" s="38"/>
      <c r="B838" s="38"/>
      <c r="C838" s="6"/>
      <c r="D838" s="38"/>
      <c r="E838" s="38"/>
      <c r="F838" s="43"/>
      <c r="G838" s="44"/>
      <c r="H838" s="45"/>
      <c r="I838" s="38"/>
      <c r="J838" s="38"/>
      <c r="K838" s="197"/>
      <c r="L838" s="47"/>
      <c r="M838" s="197"/>
      <c r="N838" s="197"/>
      <c r="O838" s="38"/>
      <c r="P838" s="38"/>
      <c r="Q838" s="14"/>
      <c r="R838" s="50"/>
      <c r="S838" s="50"/>
      <c r="T838" s="50"/>
      <c r="U838" s="52"/>
      <c r="V838" s="53"/>
      <c r="W838" s="60"/>
      <c r="X838" s="123"/>
      <c r="Y838" s="117"/>
      <c r="Z838" s="117"/>
      <c r="AH838" s="6"/>
      <c r="AI838" s="6"/>
    </row>
    <row r="839" spans="1:35">
      <c r="A839" s="38"/>
      <c r="B839" s="38"/>
      <c r="C839" s="6"/>
      <c r="D839" s="38"/>
      <c r="E839" s="38"/>
      <c r="F839" s="43"/>
      <c r="G839" s="44"/>
      <c r="H839" s="45"/>
      <c r="I839" s="38"/>
      <c r="J839" s="38"/>
      <c r="K839" s="197"/>
      <c r="L839" s="47"/>
      <c r="M839" s="197"/>
      <c r="N839" s="197"/>
      <c r="O839" s="38"/>
      <c r="P839" s="38"/>
      <c r="Q839" s="14"/>
      <c r="R839" s="50"/>
      <c r="S839" s="50"/>
      <c r="T839" s="50"/>
      <c r="U839" s="52"/>
      <c r="V839" s="53"/>
      <c r="W839" s="60"/>
      <c r="X839" s="123"/>
      <c r="Y839" s="117"/>
      <c r="Z839" s="117"/>
      <c r="AH839" s="6"/>
      <c r="AI839" s="6"/>
    </row>
    <row r="840" spans="1:35">
      <c r="A840" s="38"/>
      <c r="B840" s="38"/>
      <c r="C840" s="6"/>
      <c r="D840" s="38"/>
      <c r="E840" s="38"/>
      <c r="F840" s="43"/>
      <c r="G840" s="44"/>
      <c r="H840" s="45"/>
      <c r="I840" s="38"/>
      <c r="J840" s="38"/>
      <c r="K840" s="197"/>
      <c r="L840" s="47"/>
      <c r="M840" s="197"/>
      <c r="N840" s="197"/>
      <c r="O840" s="38"/>
      <c r="P840" s="38"/>
      <c r="Q840" s="14"/>
      <c r="R840" s="50"/>
      <c r="S840" s="50"/>
      <c r="T840" s="50"/>
      <c r="U840" s="52"/>
      <c r="V840" s="53"/>
      <c r="W840" s="60"/>
      <c r="X840" s="123"/>
      <c r="Y840" s="117"/>
      <c r="Z840" s="117"/>
      <c r="AH840" s="6"/>
      <c r="AI840" s="6"/>
    </row>
    <row r="841" spans="1:35">
      <c r="A841" s="38"/>
      <c r="B841" s="38"/>
      <c r="C841" s="6"/>
      <c r="D841" s="38"/>
      <c r="E841" s="38"/>
      <c r="F841" s="43"/>
      <c r="G841" s="44"/>
      <c r="H841" s="45"/>
      <c r="I841" s="38"/>
      <c r="J841" s="38"/>
      <c r="K841" s="197"/>
      <c r="L841" s="47"/>
      <c r="M841" s="197"/>
      <c r="N841" s="197"/>
      <c r="O841" s="38"/>
      <c r="P841" s="38"/>
      <c r="Q841" s="14"/>
      <c r="R841" s="50"/>
      <c r="S841" s="50"/>
      <c r="T841" s="50"/>
      <c r="U841" s="52"/>
      <c r="V841" s="53"/>
      <c r="W841" s="60"/>
      <c r="X841" s="123"/>
      <c r="Y841" s="117"/>
      <c r="Z841" s="117"/>
      <c r="AH841" s="6"/>
      <c r="AI841" s="6"/>
    </row>
    <row r="842" spans="1:35">
      <c r="A842" s="38"/>
      <c r="B842" s="38"/>
      <c r="C842" s="6"/>
      <c r="D842" s="38"/>
      <c r="E842" s="38"/>
      <c r="F842" s="43"/>
      <c r="G842" s="44"/>
      <c r="H842" s="45"/>
      <c r="I842" s="38"/>
      <c r="J842" s="38"/>
      <c r="K842" s="197"/>
      <c r="L842" s="47"/>
      <c r="M842" s="197"/>
      <c r="N842" s="197"/>
      <c r="O842" s="38"/>
      <c r="P842" s="38"/>
      <c r="Q842" s="14"/>
      <c r="R842" s="50"/>
      <c r="S842" s="50"/>
      <c r="T842" s="50"/>
      <c r="U842" s="52"/>
      <c r="V842" s="53"/>
      <c r="W842" s="60"/>
      <c r="X842" s="123"/>
      <c r="Y842" s="117"/>
      <c r="Z842" s="117"/>
      <c r="AH842" s="6"/>
      <c r="AI842" s="6"/>
    </row>
    <row r="843" spans="1:35">
      <c r="A843" s="38"/>
      <c r="B843" s="38"/>
      <c r="C843" s="6"/>
      <c r="D843" s="38"/>
      <c r="E843" s="38"/>
      <c r="F843" s="43"/>
      <c r="G843" s="44"/>
      <c r="H843" s="45"/>
      <c r="I843" s="38"/>
      <c r="J843" s="38"/>
      <c r="K843" s="197"/>
      <c r="L843" s="47"/>
      <c r="M843" s="197"/>
      <c r="N843" s="197"/>
      <c r="O843" s="38"/>
      <c r="P843" s="38"/>
      <c r="Q843" s="14"/>
      <c r="R843" s="50"/>
      <c r="S843" s="50"/>
      <c r="T843" s="50"/>
      <c r="U843" s="52"/>
      <c r="V843" s="53"/>
      <c r="W843" s="60"/>
      <c r="X843" s="123"/>
      <c r="Y843" s="117"/>
      <c r="Z843" s="117"/>
      <c r="AH843" s="6"/>
      <c r="AI843" s="6"/>
    </row>
    <row r="844" spans="1:35">
      <c r="A844" s="38"/>
      <c r="B844" s="38"/>
      <c r="C844" s="6"/>
      <c r="D844" s="38"/>
      <c r="E844" s="38"/>
      <c r="F844" s="43"/>
      <c r="G844" s="44"/>
      <c r="H844" s="45"/>
      <c r="I844" s="38"/>
      <c r="J844" s="38"/>
      <c r="K844" s="197"/>
      <c r="L844" s="47"/>
      <c r="M844" s="197"/>
      <c r="N844" s="197"/>
      <c r="O844" s="38"/>
      <c r="P844" s="38"/>
      <c r="Q844" s="14"/>
      <c r="R844" s="50"/>
      <c r="S844" s="50"/>
      <c r="T844" s="50"/>
      <c r="U844" s="52"/>
      <c r="V844" s="53"/>
      <c r="W844" s="60"/>
      <c r="X844" s="123"/>
      <c r="Y844" s="117"/>
      <c r="Z844" s="117"/>
      <c r="AH844" s="6"/>
      <c r="AI844" s="6"/>
    </row>
    <row r="845" spans="1:35">
      <c r="A845" s="38"/>
      <c r="B845" s="38"/>
      <c r="C845" s="6"/>
      <c r="D845" s="38"/>
      <c r="E845" s="38"/>
      <c r="F845" s="43"/>
      <c r="G845" s="44"/>
      <c r="H845" s="45"/>
      <c r="I845" s="38"/>
      <c r="J845" s="38"/>
      <c r="K845" s="197"/>
      <c r="L845" s="47"/>
      <c r="M845" s="197"/>
      <c r="N845" s="197"/>
      <c r="O845" s="38"/>
      <c r="P845" s="38"/>
      <c r="Q845" s="14"/>
      <c r="R845" s="50"/>
      <c r="S845" s="50"/>
      <c r="T845" s="50"/>
      <c r="U845" s="52"/>
      <c r="V845" s="53"/>
      <c r="W845" s="60"/>
      <c r="X845" s="123"/>
      <c r="Y845" s="117"/>
      <c r="Z845" s="117"/>
      <c r="AH845" s="6"/>
      <c r="AI845" s="6"/>
    </row>
    <row r="846" spans="1:35">
      <c r="A846" s="38"/>
      <c r="B846" s="38"/>
      <c r="C846" s="6"/>
      <c r="D846" s="38"/>
      <c r="E846" s="38"/>
      <c r="F846" s="43"/>
      <c r="G846" s="44"/>
      <c r="H846" s="45"/>
      <c r="I846" s="38"/>
      <c r="J846" s="38"/>
      <c r="K846" s="197"/>
      <c r="L846" s="47"/>
      <c r="M846" s="197"/>
      <c r="N846" s="197"/>
      <c r="O846" s="38"/>
      <c r="P846" s="38"/>
      <c r="Q846" s="14"/>
      <c r="R846" s="50"/>
      <c r="S846" s="50"/>
      <c r="T846" s="50"/>
      <c r="U846" s="52"/>
      <c r="V846" s="53"/>
      <c r="W846" s="60"/>
      <c r="X846" s="123"/>
      <c r="Y846" s="117"/>
      <c r="Z846" s="117"/>
      <c r="AH846" s="6"/>
      <c r="AI846" s="6"/>
    </row>
    <row r="847" spans="1:35">
      <c r="A847" s="38"/>
      <c r="B847" s="38"/>
      <c r="C847" s="6"/>
      <c r="D847" s="38"/>
      <c r="E847" s="38"/>
      <c r="F847" s="43"/>
      <c r="G847" s="44"/>
      <c r="H847" s="45"/>
      <c r="I847" s="38"/>
      <c r="J847" s="38"/>
      <c r="K847" s="197"/>
      <c r="L847" s="47"/>
      <c r="M847" s="197"/>
      <c r="N847" s="197"/>
      <c r="O847" s="38"/>
      <c r="P847" s="38"/>
      <c r="Q847" s="14"/>
      <c r="R847" s="50"/>
      <c r="S847" s="50"/>
      <c r="T847" s="50"/>
      <c r="U847" s="52"/>
      <c r="V847" s="53"/>
      <c r="W847" s="60"/>
      <c r="X847" s="123"/>
      <c r="Y847" s="117"/>
      <c r="Z847" s="117"/>
      <c r="AH847" s="6"/>
      <c r="AI847" s="6"/>
    </row>
    <row r="848" spans="1:35">
      <c r="A848" s="38"/>
      <c r="B848" s="38"/>
      <c r="C848" s="6"/>
      <c r="D848" s="38"/>
      <c r="E848" s="38"/>
      <c r="F848" s="43"/>
      <c r="G848" s="44"/>
      <c r="H848" s="45"/>
      <c r="I848" s="38"/>
      <c r="J848" s="38"/>
      <c r="K848" s="197"/>
      <c r="L848" s="47"/>
      <c r="M848" s="197"/>
      <c r="N848" s="197"/>
      <c r="O848" s="38"/>
      <c r="P848" s="38"/>
      <c r="Q848" s="14"/>
      <c r="R848" s="50"/>
      <c r="S848" s="50"/>
      <c r="T848" s="50"/>
      <c r="U848" s="52"/>
      <c r="V848" s="53"/>
      <c r="W848" s="60"/>
      <c r="X848" s="123"/>
      <c r="Y848" s="117"/>
      <c r="Z848" s="117"/>
      <c r="AH848" s="6"/>
      <c r="AI848" s="6"/>
    </row>
    <row r="849" spans="1:35">
      <c r="A849" s="38"/>
      <c r="B849" s="38"/>
      <c r="C849" s="6"/>
      <c r="D849" s="38"/>
      <c r="E849" s="38"/>
      <c r="F849" s="43"/>
      <c r="G849" s="44"/>
      <c r="H849" s="45"/>
      <c r="I849" s="38"/>
      <c r="J849" s="38"/>
      <c r="K849" s="197"/>
      <c r="L849" s="47"/>
      <c r="M849" s="197"/>
      <c r="N849" s="197"/>
      <c r="O849" s="38"/>
      <c r="P849" s="38"/>
      <c r="Q849" s="14"/>
      <c r="R849" s="50"/>
      <c r="S849" s="50"/>
      <c r="T849" s="50"/>
      <c r="U849" s="52"/>
      <c r="V849" s="53"/>
      <c r="W849" s="60"/>
      <c r="X849" s="123"/>
      <c r="Y849" s="117"/>
      <c r="Z849" s="117"/>
      <c r="AH849" s="6"/>
      <c r="AI849" s="6"/>
    </row>
    <row r="850" spans="1:35">
      <c r="A850" s="38"/>
      <c r="B850" s="38"/>
      <c r="C850" s="6"/>
      <c r="D850" s="38"/>
      <c r="E850" s="38"/>
      <c r="F850" s="43"/>
      <c r="G850" s="44"/>
      <c r="H850" s="45"/>
      <c r="I850" s="38"/>
      <c r="J850" s="38"/>
      <c r="K850" s="197"/>
      <c r="L850" s="47"/>
      <c r="M850" s="197"/>
      <c r="N850" s="197"/>
      <c r="O850" s="38"/>
      <c r="P850" s="38"/>
      <c r="Q850" s="14"/>
      <c r="R850" s="50"/>
      <c r="S850" s="50"/>
      <c r="T850" s="50"/>
      <c r="U850" s="52"/>
      <c r="V850" s="53"/>
      <c r="W850" s="60"/>
      <c r="X850" s="123"/>
      <c r="Y850" s="117"/>
      <c r="Z850" s="117"/>
      <c r="AH850" s="6"/>
      <c r="AI850" s="6"/>
    </row>
    <row r="851" spans="1:35">
      <c r="A851" s="38"/>
      <c r="B851" s="38"/>
      <c r="C851" s="6"/>
      <c r="D851" s="38"/>
      <c r="E851" s="38"/>
      <c r="F851" s="43"/>
      <c r="G851" s="44"/>
      <c r="H851" s="45"/>
      <c r="I851" s="38"/>
      <c r="J851" s="38"/>
      <c r="K851" s="197"/>
      <c r="L851" s="47"/>
      <c r="M851" s="197"/>
      <c r="N851" s="197"/>
      <c r="O851" s="38"/>
      <c r="P851" s="38"/>
      <c r="Q851" s="14"/>
      <c r="R851" s="50"/>
      <c r="S851" s="50"/>
      <c r="T851" s="50"/>
      <c r="U851" s="52"/>
      <c r="V851" s="53"/>
      <c r="W851" s="60"/>
      <c r="X851" s="123"/>
      <c r="Y851" s="117"/>
      <c r="Z851" s="117"/>
      <c r="AH851" s="6"/>
      <c r="AI851" s="6"/>
    </row>
    <row r="852" spans="1:35">
      <c r="A852" s="38"/>
      <c r="B852" s="38"/>
      <c r="C852" s="6"/>
      <c r="D852" s="38"/>
      <c r="E852" s="38"/>
      <c r="F852" s="43"/>
      <c r="G852" s="44"/>
      <c r="H852" s="45"/>
      <c r="I852" s="38"/>
      <c r="J852" s="38"/>
      <c r="K852" s="197"/>
      <c r="L852" s="47"/>
      <c r="M852" s="197"/>
      <c r="N852" s="197"/>
      <c r="O852" s="38"/>
      <c r="P852" s="38"/>
      <c r="Q852" s="14"/>
      <c r="R852" s="50"/>
      <c r="S852" s="50"/>
      <c r="T852" s="50"/>
      <c r="U852" s="52"/>
      <c r="V852" s="53"/>
      <c r="W852" s="60"/>
      <c r="X852" s="123"/>
      <c r="Y852" s="117"/>
      <c r="Z852" s="117"/>
      <c r="AH852" s="6"/>
      <c r="AI852" s="6"/>
    </row>
    <row r="853" spans="1:35">
      <c r="A853" s="38"/>
      <c r="B853" s="38"/>
      <c r="C853" s="6"/>
      <c r="D853" s="38"/>
      <c r="E853" s="38"/>
      <c r="F853" s="43"/>
      <c r="G853" s="44"/>
      <c r="H853" s="45"/>
      <c r="I853" s="38"/>
      <c r="J853" s="38"/>
      <c r="K853" s="197"/>
      <c r="L853" s="47"/>
      <c r="M853" s="197"/>
      <c r="N853" s="197"/>
      <c r="O853" s="38"/>
      <c r="P853" s="38"/>
      <c r="Q853" s="14"/>
      <c r="R853" s="50"/>
      <c r="S853" s="50"/>
      <c r="T853" s="50"/>
      <c r="U853" s="52"/>
      <c r="V853" s="53"/>
      <c r="W853" s="60"/>
      <c r="X853" s="123"/>
      <c r="Y853" s="117"/>
      <c r="Z853" s="117"/>
      <c r="AH853" s="6"/>
      <c r="AI853" s="6"/>
    </row>
    <row r="854" spans="1:35">
      <c r="A854" s="38"/>
      <c r="B854" s="38"/>
      <c r="C854" s="6"/>
      <c r="D854" s="38"/>
      <c r="E854" s="38"/>
      <c r="F854" s="43"/>
      <c r="G854" s="44"/>
      <c r="H854" s="45"/>
      <c r="I854" s="38"/>
      <c r="J854" s="38"/>
      <c r="K854" s="197"/>
      <c r="L854" s="47"/>
      <c r="M854" s="197"/>
      <c r="N854" s="197"/>
      <c r="O854" s="38"/>
      <c r="P854" s="38"/>
      <c r="Q854" s="14"/>
      <c r="R854" s="50"/>
      <c r="S854" s="50"/>
      <c r="T854" s="50"/>
      <c r="U854" s="52"/>
      <c r="V854" s="53"/>
      <c r="W854" s="60"/>
      <c r="X854" s="123"/>
      <c r="Y854" s="117"/>
      <c r="Z854" s="117"/>
      <c r="AH854" s="6"/>
      <c r="AI854" s="6"/>
    </row>
    <row r="855" spans="1:35">
      <c r="A855" s="38"/>
      <c r="B855" s="38"/>
      <c r="C855" s="6"/>
      <c r="D855" s="38"/>
      <c r="E855" s="38"/>
      <c r="F855" s="43"/>
      <c r="G855" s="44"/>
      <c r="H855" s="45"/>
      <c r="I855" s="38"/>
      <c r="J855" s="38"/>
      <c r="K855" s="197"/>
      <c r="L855" s="47"/>
      <c r="M855" s="197"/>
      <c r="N855" s="197"/>
      <c r="O855" s="38"/>
      <c r="P855" s="38"/>
      <c r="Q855" s="14"/>
      <c r="R855" s="50"/>
      <c r="S855" s="50"/>
      <c r="T855" s="50"/>
      <c r="U855" s="52"/>
      <c r="V855" s="53"/>
      <c r="W855" s="60"/>
      <c r="X855" s="123"/>
      <c r="Y855" s="117"/>
      <c r="Z855" s="117"/>
      <c r="AH855" s="6"/>
      <c r="AI855" s="6"/>
    </row>
    <row r="856" spans="1:35">
      <c r="A856" s="38"/>
      <c r="B856" s="38"/>
      <c r="C856" s="6"/>
      <c r="D856" s="38"/>
      <c r="E856" s="38"/>
      <c r="F856" s="43"/>
      <c r="G856" s="44"/>
      <c r="H856" s="45"/>
      <c r="I856" s="38"/>
      <c r="J856" s="38"/>
      <c r="K856" s="197"/>
      <c r="L856" s="47"/>
      <c r="M856" s="197"/>
      <c r="N856" s="197"/>
      <c r="O856" s="38"/>
      <c r="P856" s="38"/>
      <c r="Q856" s="14"/>
      <c r="R856" s="50"/>
      <c r="S856" s="50"/>
      <c r="T856" s="50"/>
      <c r="U856" s="52"/>
      <c r="V856" s="53"/>
      <c r="W856" s="60"/>
      <c r="X856" s="123"/>
      <c r="Y856" s="117"/>
      <c r="Z856" s="117"/>
      <c r="AH856" s="6"/>
      <c r="AI856" s="6"/>
    </row>
    <row r="857" spans="1:35">
      <c r="A857" s="38"/>
      <c r="B857" s="38"/>
      <c r="C857" s="6"/>
      <c r="D857" s="38"/>
      <c r="E857" s="38"/>
      <c r="F857" s="43"/>
      <c r="G857" s="44"/>
      <c r="H857" s="45"/>
      <c r="I857" s="38"/>
      <c r="J857" s="38"/>
      <c r="K857" s="197"/>
      <c r="L857" s="47"/>
      <c r="M857" s="197"/>
      <c r="N857" s="197"/>
      <c r="O857" s="38"/>
      <c r="P857" s="38"/>
      <c r="Q857" s="14"/>
      <c r="R857" s="50"/>
      <c r="S857" s="50"/>
      <c r="T857" s="50"/>
      <c r="U857" s="52"/>
      <c r="V857" s="53"/>
      <c r="W857" s="60"/>
      <c r="X857" s="123"/>
      <c r="Y857" s="117"/>
      <c r="Z857" s="117"/>
      <c r="AH857" s="6"/>
      <c r="AI857" s="6"/>
    </row>
    <row r="858" spans="1:35">
      <c r="A858" s="38"/>
      <c r="B858" s="38"/>
      <c r="C858" s="6"/>
      <c r="D858" s="38"/>
      <c r="E858" s="38"/>
      <c r="F858" s="43"/>
      <c r="G858" s="44"/>
      <c r="H858" s="45"/>
      <c r="I858" s="38"/>
      <c r="J858" s="38"/>
      <c r="K858" s="197"/>
      <c r="L858" s="47"/>
      <c r="M858" s="197"/>
      <c r="N858" s="197"/>
      <c r="O858" s="38"/>
      <c r="P858" s="38"/>
      <c r="Q858" s="14"/>
      <c r="R858" s="50"/>
      <c r="S858" s="50"/>
      <c r="T858" s="50"/>
      <c r="U858" s="52"/>
      <c r="V858" s="53"/>
      <c r="W858" s="60"/>
      <c r="X858" s="123"/>
      <c r="Y858" s="117"/>
      <c r="Z858" s="117"/>
      <c r="AH858" s="6"/>
      <c r="AI858" s="6"/>
    </row>
    <row r="859" spans="1:35">
      <c r="A859" s="38"/>
      <c r="B859" s="38"/>
      <c r="C859" s="6"/>
      <c r="D859" s="38"/>
      <c r="E859" s="38"/>
      <c r="F859" s="43"/>
      <c r="G859" s="44"/>
      <c r="H859" s="45"/>
      <c r="I859" s="38"/>
      <c r="J859" s="38"/>
      <c r="K859" s="197"/>
      <c r="L859" s="47"/>
      <c r="M859" s="197"/>
      <c r="N859" s="197"/>
      <c r="O859" s="38"/>
      <c r="P859" s="38"/>
      <c r="Q859" s="14"/>
      <c r="R859" s="50"/>
      <c r="S859" s="50"/>
      <c r="T859" s="50"/>
      <c r="U859" s="52"/>
      <c r="V859" s="53"/>
      <c r="W859" s="60"/>
      <c r="X859" s="123"/>
      <c r="Y859" s="117"/>
      <c r="Z859" s="117"/>
      <c r="AH859" s="6"/>
      <c r="AI859" s="6"/>
    </row>
    <row r="860" spans="1:35">
      <c r="A860" s="38"/>
      <c r="B860" s="38"/>
      <c r="C860" s="6"/>
      <c r="D860" s="38"/>
      <c r="E860" s="38"/>
      <c r="F860" s="43"/>
      <c r="G860" s="44"/>
      <c r="H860" s="45"/>
      <c r="I860" s="38"/>
      <c r="J860" s="38"/>
      <c r="K860" s="197"/>
      <c r="L860" s="47"/>
      <c r="M860" s="197"/>
      <c r="N860" s="197"/>
      <c r="O860" s="38"/>
      <c r="P860" s="38"/>
      <c r="Q860" s="14"/>
      <c r="R860" s="50"/>
      <c r="S860" s="50"/>
      <c r="T860" s="50"/>
      <c r="U860" s="52"/>
      <c r="V860" s="53"/>
      <c r="W860" s="60"/>
      <c r="X860" s="123"/>
      <c r="Y860" s="117"/>
      <c r="Z860" s="117"/>
      <c r="AH860" s="6"/>
      <c r="AI860" s="6"/>
    </row>
    <row r="861" spans="1:35">
      <c r="A861" s="38"/>
      <c r="B861" s="38"/>
      <c r="C861" s="6"/>
      <c r="D861" s="38"/>
      <c r="E861" s="38"/>
      <c r="F861" s="43"/>
      <c r="G861" s="44"/>
      <c r="H861" s="45"/>
      <c r="I861" s="38"/>
      <c r="J861" s="38"/>
      <c r="K861" s="197"/>
      <c r="L861" s="47"/>
      <c r="M861" s="197"/>
      <c r="N861" s="197"/>
      <c r="O861" s="38"/>
      <c r="P861" s="38"/>
      <c r="Q861" s="14"/>
      <c r="R861" s="50"/>
      <c r="S861" s="50"/>
      <c r="T861" s="50"/>
      <c r="U861" s="52"/>
      <c r="V861" s="53"/>
      <c r="W861" s="60"/>
      <c r="X861" s="123"/>
      <c r="Y861" s="117"/>
      <c r="Z861" s="117"/>
      <c r="AH861" s="6"/>
      <c r="AI861" s="6"/>
    </row>
    <row r="862" spans="1:35">
      <c r="A862" s="38"/>
      <c r="B862" s="38"/>
      <c r="C862" s="6"/>
      <c r="D862" s="38"/>
      <c r="E862" s="38"/>
      <c r="F862" s="43"/>
      <c r="G862" s="44"/>
      <c r="H862" s="45"/>
      <c r="I862" s="38"/>
      <c r="J862" s="38"/>
      <c r="K862" s="197"/>
      <c r="L862" s="47"/>
      <c r="M862" s="197"/>
      <c r="N862" s="197"/>
      <c r="O862" s="38"/>
      <c r="P862" s="38"/>
      <c r="Q862" s="14"/>
      <c r="R862" s="50"/>
      <c r="S862" s="50"/>
      <c r="T862" s="50"/>
      <c r="U862" s="52"/>
      <c r="V862" s="53"/>
      <c r="W862" s="60"/>
      <c r="X862" s="123"/>
      <c r="Y862" s="117"/>
      <c r="Z862" s="117"/>
      <c r="AH862" s="6"/>
      <c r="AI862" s="6"/>
    </row>
    <row r="863" spans="1:35">
      <c r="A863" s="38"/>
      <c r="B863" s="38"/>
      <c r="C863" s="6"/>
      <c r="D863" s="38"/>
      <c r="E863" s="38"/>
      <c r="F863" s="43"/>
      <c r="G863" s="44"/>
      <c r="H863" s="45"/>
      <c r="I863" s="38"/>
      <c r="J863" s="38"/>
      <c r="K863" s="197"/>
      <c r="L863" s="47"/>
      <c r="M863" s="197"/>
      <c r="N863" s="197"/>
      <c r="O863" s="38"/>
      <c r="P863" s="38"/>
      <c r="Q863" s="14"/>
      <c r="R863" s="50"/>
      <c r="S863" s="50"/>
      <c r="T863" s="50"/>
      <c r="U863" s="52"/>
      <c r="V863" s="53"/>
      <c r="W863" s="60"/>
      <c r="X863" s="123"/>
      <c r="Y863" s="117"/>
      <c r="Z863" s="117"/>
      <c r="AH863" s="6"/>
      <c r="AI863" s="6"/>
    </row>
    <row r="864" spans="1:35">
      <c r="A864" s="38"/>
      <c r="B864" s="38"/>
      <c r="C864" s="6"/>
      <c r="D864" s="38"/>
      <c r="E864" s="38"/>
      <c r="F864" s="43"/>
      <c r="G864" s="44"/>
      <c r="H864" s="45"/>
      <c r="I864" s="38"/>
      <c r="J864" s="38"/>
      <c r="K864" s="197"/>
      <c r="L864" s="47"/>
      <c r="M864" s="197"/>
      <c r="N864" s="197"/>
      <c r="O864" s="38"/>
      <c r="P864" s="38"/>
      <c r="Q864" s="14"/>
      <c r="R864" s="50"/>
      <c r="S864" s="50"/>
      <c r="T864" s="50"/>
      <c r="U864" s="52"/>
      <c r="V864" s="53"/>
      <c r="W864" s="60"/>
      <c r="X864" s="123"/>
      <c r="Y864" s="117"/>
      <c r="Z864" s="117"/>
      <c r="AH864" s="6"/>
      <c r="AI864" s="6"/>
    </row>
    <row r="865" spans="1:35">
      <c r="A865" s="38"/>
      <c r="B865" s="38"/>
      <c r="C865" s="6"/>
      <c r="D865" s="38"/>
      <c r="E865" s="38"/>
      <c r="F865" s="43"/>
      <c r="G865" s="44"/>
      <c r="H865" s="45"/>
      <c r="I865" s="38"/>
      <c r="J865" s="38"/>
      <c r="K865" s="197"/>
      <c r="L865" s="47"/>
      <c r="M865" s="197"/>
      <c r="N865" s="197"/>
      <c r="O865" s="38"/>
      <c r="P865" s="38"/>
      <c r="Q865" s="14"/>
      <c r="R865" s="50"/>
      <c r="S865" s="50"/>
      <c r="T865" s="50"/>
      <c r="U865" s="52"/>
      <c r="V865" s="53"/>
      <c r="W865" s="60"/>
      <c r="X865" s="123"/>
      <c r="Y865" s="117"/>
      <c r="Z865" s="117"/>
      <c r="AH865" s="6"/>
      <c r="AI865" s="6"/>
    </row>
    <row r="866" spans="1:35">
      <c r="A866" s="38"/>
      <c r="B866" s="38"/>
      <c r="C866" s="6"/>
      <c r="D866" s="38"/>
      <c r="E866" s="38"/>
      <c r="F866" s="43"/>
      <c r="G866" s="44"/>
      <c r="H866" s="45"/>
      <c r="I866" s="38"/>
      <c r="J866" s="38"/>
      <c r="K866" s="197"/>
      <c r="L866" s="47"/>
      <c r="M866" s="197"/>
      <c r="N866" s="197"/>
      <c r="O866" s="38"/>
      <c r="P866" s="38"/>
      <c r="Q866" s="14"/>
      <c r="R866" s="50"/>
      <c r="S866" s="50"/>
      <c r="T866" s="50"/>
      <c r="U866" s="52"/>
      <c r="V866" s="53"/>
      <c r="W866" s="60"/>
      <c r="X866" s="123"/>
      <c r="Y866" s="117"/>
      <c r="Z866" s="117"/>
      <c r="AH866" s="6"/>
      <c r="AI866" s="6"/>
    </row>
    <row r="867" spans="1:35">
      <c r="A867" s="38"/>
      <c r="B867" s="38"/>
      <c r="C867" s="6"/>
      <c r="D867" s="38"/>
      <c r="E867" s="38"/>
      <c r="F867" s="43"/>
      <c r="G867" s="44"/>
      <c r="H867" s="45"/>
      <c r="I867" s="38"/>
      <c r="J867" s="38"/>
      <c r="K867" s="197"/>
      <c r="L867" s="47"/>
      <c r="M867" s="197"/>
      <c r="N867" s="197"/>
      <c r="O867" s="38"/>
      <c r="P867" s="38"/>
      <c r="Q867" s="14"/>
      <c r="R867" s="50"/>
      <c r="S867" s="50"/>
      <c r="T867" s="50"/>
      <c r="U867" s="52"/>
      <c r="V867" s="53"/>
      <c r="W867" s="60"/>
      <c r="X867" s="123"/>
      <c r="Y867" s="117"/>
      <c r="Z867" s="117"/>
      <c r="AH867" s="6"/>
      <c r="AI867" s="6"/>
    </row>
    <row r="868" spans="1:35">
      <c r="A868" s="38"/>
      <c r="B868" s="38"/>
      <c r="C868" s="6"/>
      <c r="D868" s="38"/>
      <c r="E868" s="38"/>
      <c r="F868" s="43"/>
      <c r="G868" s="44"/>
      <c r="H868" s="45"/>
      <c r="I868" s="38"/>
      <c r="J868" s="38"/>
      <c r="K868" s="197"/>
      <c r="L868" s="47"/>
      <c r="M868" s="197"/>
      <c r="N868" s="197"/>
      <c r="O868" s="38"/>
      <c r="P868" s="38"/>
      <c r="Q868" s="14"/>
      <c r="R868" s="50"/>
      <c r="S868" s="50"/>
      <c r="T868" s="50"/>
      <c r="U868" s="52"/>
      <c r="V868" s="53"/>
      <c r="W868" s="60"/>
      <c r="X868" s="123"/>
      <c r="Y868" s="117"/>
      <c r="Z868" s="117"/>
      <c r="AH868" s="6"/>
      <c r="AI868" s="6"/>
    </row>
    <row r="869" spans="1:35">
      <c r="A869" s="38"/>
      <c r="B869" s="38"/>
      <c r="C869" s="6"/>
      <c r="D869" s="38"/>
      <c r="E869" s="38"/>
      <c r="F869" s="43"/>
      <c r="G869" s="44"/>
      <c r="H869" s="45"/>
      <c r="I869" s="38"/>
      <c r="J869" s="38"/>
      <c r="K869" s="197"/>
      <c r="L869" s="47"/>
      <c r="M869" s="197"/>
      <c r="N869" s="197"/>
      <c r="O869" s="38"/>
      <c r="P869" s="38"/>
      <c r="Q869" s="14"/>
      <c r="R869" s="50"/>
      <c r="S869" s="50"/>
      <c r="T869" s="50"/>
      <c r="U869" s="52"/>
      <c r="V869" s="53"/>
      <c r="W869" s="60"/>
      <c r="X869" s="123"/>
      <c r="Y869" s="117"/>
      <c r="Z869" s="117"/>
      <c r="AH869" s="6"/>
      <c r="AI869" s="6"/>
    </row>
    <row r="870" spans="1:35">
      <c r="A870" s="38"/>
      <c r="B870" s="38"/>
      <c r="C870" s="6"/>
      <c r="D870" s="38"/>
      <c r="E870" s="38"/>
      <c r="F870" s="43"/>
      <c r="G870" s="44"/>
      <c r="H870" s="45"/>
      <c r="I870" s="38"/>
      <c r="J870" s="38"/>
      <c r="K870" s="197"/>
      <c r="L870" s="47"/>
      <c r="M870" s="197"/>
      <c r="N870" s="197"/>
      <c r="O870" s="38"/>
      <c r="P870" s="38"/>
      <c r="Q870" s="14"/>
      <c r="R870" s="50"/>
      <c r="S870" s="50"/>
      <c r="T870" s="50"/>
      <c r="U870" s="52"/>
      <c r="V870" s="53"/>
      <c r="W870" s="60"/>
      <c r="X870" s="123"/>
      <c r="Y870" s="117"/>
      <c r="Z870" s="117"/>
      <c r="AH870" s="6"/>
      <c r="AI870" s="6"/>
    </row>
    <row r="871" spans="1:35">
      <c r="A871" s="38"/>
      <c r="B871" s="38"/>
      <c r="C871" s="6"/>
      <c r="D871" s="38"/>
      <c r="E871" s="38"/>
      <c r="F871" s="43"/>
      <c r="G871" s="44"/>
      <c r="H871" s="45"/>
      <c r="I871" s="38"/>
      <c r="J871" s="38"/>
      <c r="K871" s="197"/>
      <c r="L871" s="47"/>
      <c r="M871" s="197"/>
      <c r="N871" s="197"/>
      <c r="O871" s="38"/>
      <c r="P871" s="38"/>
      <c r="Q871" s="14"/>
      <c r="R871" s="50"/>
      <c r="S871" s="50"/>
      <c r="T871" s="50"/>
      <c r="U871" s="52"/>
      <c r="V871" s="53"/>
      <c r="W871" s="60"/>
      <c r="X871" s="123"/>
      <c r="Y871" s="117"/>
      <c r="Z871" s="117"/>
      <c r="AH871" s="6"/>
      <c r="AI871" s="6"/>
    </row>
    <row r="872" spans="1:35">
      <c r="A872" s="38"/>
      <c r="B872" s="38"/>
      <c r="C872" s="6"/>
      <c r="D872" s="38"/>
      <c r="E872" s="38"/>
      <c r="F872" s="43"/>
      <c r="G872" s="44"/>
      <c r="H872" s="45"/>
      <c r="I872" s="38"/>
      <c r="J872" s="38"/>
      <c r="K872" s="197"/>
      <c r="L872" s="47"/>
      <c r="M872" s="197"/>
      <c r="N872" s="197"/>
      <c r="O872" s="38"/>
      <c r="P872" s="38"/>
      <c r="Q872" s="14"/>
      <c r="R872" s="50"/>
      <c r="S872" s="50"/>
      <c r="T872" s="50"/>
      <c r="U872" s="52"/>
      <c r="V872" s="53"/>
      <c r="W872" s="60"/>
      <c r="X872" s="123"/>
      <c r="Y872" s="117"/>
      <c r="Z872" s="117"/>
      <c r="AH872" s="6"/>
      <c r="AI872" s="6"/>
    </row>
    <row r="873" spans="1:35">
      <c r="A873" s="38"/>
      <c r="B873" s="38"/>
      <c r="C873" s="6"/>
      <c r="D873" s="38"/>
      <c r="E873" s="38"/>
      <c r="F873" s="43"/>
      <c r="G873" s="44"/>
      <c r="H873" s="45"/>
      <c r="I873" s="38"/>
      <c r="J873" s="38"/>
      <c r="K873" s="197"/>
      <c r="L873" s="47"/>
      <c r="M873" s="197"/>
      <c r="N873" s="197"/>
      <c r="O873" s="38"/>
      <c r="P873" s="38"/>
      <c r="Q873" s="14"/>
      <c r="R873" s="50"/>
      <c r="S873" s="50"/>
      <c r="T873" s="50"/>
      <c r="U873" s="52"/>
      <c r="V873" s="53"/>
      <c r="W873" s="60"/>
      <c r="X873" s="123"/>
      <c r="Y873" s="117"/>
      <c r="Z873" s="117"/>
      <c r="AH873" s="6"/>
      <c r="AI873" s="6"/>
    </row>
    <row r="874" spans="1:35">
      <c r="A874" s="38"/>
      <c r="B874" s="38"/>
      <c r="C874" s="6"/>
      <c r="D874" s="38"/>
      <c r="E874" s="38"/>
      <c r="F874" s="43"/>
      <c r="G874" s="44"/>
      <c r="H874" s="45"/>
      <c r="I874" s="38"/>
      <c r="J874" s="38"/>
      <c r="K874" s="197"/>
      <c r="L874" s="47"/>
      <c r="M874" s="197"/>
      <c r="N874" s="197"/>
      <c r="O874" s="38"/>
      <c r="P874" s="38"/>
      <c r="Q874" s="14"/>
      <c r="R874" s="50"/>
      <c r="S874" s="50"/>
      <c r="T874" s="50"/>
      <c r="U874" s="52"/>
      <c r="V874" s="53"/>
      <c r="W874" s="60"/>
      <c r="X874" s="123"/>
      <c r="Y874" s="117"/>
      <c r="Z874" s="117"/>
      <c r="AH874" s="6"/>
      <c r="AI874" s="6"/>
    </row>
    <row r="875" spans="1:35">
      <c r="A875" s="38"/>
      <c r="B875" s="38"/>
      <c r="C875" s="6"/>
      <c r="D875" s="38"/>
      <c r="E875" s="38"/>
      <c r="F875" s="43"/>
      <c r="G875" s="44"/>
      <c r="H875" s="45"/>
      <c r="I875" s="38"/>
      <c r="J875" s="38"/>
      <c r="K875" s="197"/>
      <c r="L875" s="47"/>
      <c r="M875" s="197"/>
      <c r="N875" s="197"/>
      <c r="O875" s="38"/>
      <c r="P875" s="38"/>
      <c r="Q875" s="14"/>
      <c r="R875" s="50"/>
      <c r="S875" s="50"/>
      <c r="T875" s="50"/>
      <c r="U875" s="52"/>
      <c r="V875" s="53"/>
      <c r="W875" s="60"/>
      <c r="X875" s="123"/>
      <c r="Y875" s="117"/>
      <c r="Z875" s="117"/>
      <c r="AH875" s="6"/>
      <c r="AI875" s="6"/>
    </row>
    <row r="876" spans="1:35">
      <c r="A876" s="38"/>
      <c r="B876" s="38"/>
      <c r="C876" s="6"/>
      <c r="D876" s="38"/>
      <c r="E876" s="38"/>
      <c r="F876" s="43"/>
      <c r="G876" s="44"/>
      <c r="H876" s="45"/>
      <c r="I876" s="38"/>
      <c r="J876" s="38"/>
      <c r="K876" s="197"/>
      <c r="L876" s="47"/>
      <c r="M876" s="197"/>
      <c r="N876" s="197"/>
      <c r="O876" s="38"/>
      <c r="P876" s="38"/>
      <c r="Q876" s="14"/>
      <c r="R876" s="50"/>
      <c r="S876" s="50"/>
      <c r="T876" s="50"/>
      <c r="U876" s="52"/>
      <c r="V876" s="53"/>
      <c r="W876" s="60"/>
      <c r="X876" s="123"/>
      <c r="Y876" s="117"/>
      <c r="Z876" s="117"/>
      <c r="AH876" s="6"/>
      <c r="AI876" s="6"/>
    </row>
    <row r="877" spans="1:35">
      <c r="A877" s="38"/>
      <c r="B877" s="38"/>
      <c r="C877" s="6"/>
      <c r="D877" s="38"/>
      <c r="E877" s="38"/>
      <c r="F877" s="43"/>
      <c r="G877" s="44"/>
      <c r="H877" s="45"/>
      <c r="I877" s="38"/>
      <c r="J877" s="38"/>
      <c r="K877" s="197"/>
      <c r="L877" s="47"/>
      <c r="M877" s="197"/>
      <c r="N877" s="197"/>
      <c r="O877" s="38"/>
      <c r="P877" s="38"/>
      <c r="Q877" s="14"/>
      <c r="R877" s="50"/>
      <c r="S877" s="50"/>
      <c r="T877" s="50"/>
      <c r="U877" s="52"/>
      <c r="V877" s="53"/>
      <c r="W877" s="60"/>
      <c r="X877" s="123"/>
      <c r="Y877" s="117"/>
      <c r="Z877" s="117"/>
      <c r="AH877" s="6"/>
      <c r="AI877" s="6"/>
    </row>
    <row r="878" spans="1:35">
      <c r="A878" s="38"/>
      <c r="B878" s="38"/>
      <c r="C878" s="6"/>
      <c r="D878" s="38"/>
      <c r="E878" s="38"/>
      <c r="F878" s="43"/>
      <c r="G878" s="44"/>
      <c r="H878" s="45"/>
      <c r="I878" s="38"/>
      <c r="J878" s="38"/>
      <c r="K878" s="197"/>
      <c r="L878" s="47"/>
      <c r="M878" s="197"/>
      <c r="N878" s="197"/>
      <c r="O878" s="38"/>
      <c r="P878" s="38"/>
      <c r="Q878" s="14"/>
      <c r="R878" s="50"/>
      <c r="S878" s="50"/>
      <c r="T878" s="50"/>
      <c r="U878" s="52"/>
      <c r="V878" s="53"/>
      <c r="W878" s="60"/>
      <c r="X878" s="123"/>
      <c r="Y878" s="117"/>
      <c r="Z878" s="117"/>
      <c r="AH878" s="6"/>
      <c r="AI878" s="6"/>
    </row>
    <row r="879" spans="1:35">
      <c r="A879" s="38"/>
      <c r="B879" s="38"/>
      <c r="C879" s="6"/>
      <c r="D879" s="38"/>
      <c r="E879" s="38"/>
      <c r="F879" s="43"/>
      <c r="G879" s="44"/>
      <c r="H879" s="45"/>
      <c r="I879" s="38"/>
      <c r="J879" s="38"/>
      <c r="K879" s="197"/>
      <c r="L879" s="47"/>
      <c r="M879" s="197"/>
      <c r="N879" s="197"/>
      <c r="O879" s="38"/>
      <c r="P879" s="38"/>
      <c r="Q879" s="14"/>
      <c r="R879" s="50"/>
      <c r="S879" s="50"/>
      <c r="T879" s="50"/>
      <c r="U879" s="52"/>
      <c r="V879" s="53"/>
      <c r="W879" s="60"/>
      <c r="X879" s="123"/>
      <c r="Y879" s="117"/>
      <c r="Z879" s="117"/>
      <c r="AH879" s="6"/>
      <c r="AI879" s="6"/>
    </row>
    <row r="880" spans="1:35">
      <c r="A880" s="38"/>
      <c r="B880" s="38"/>
      <c r="C880" s="6"/>
      <c r="D880" s="38"/>
      <c r="E880" s="38"/>
      <c r="F880" s="43"/>
      <c r="G880" s="44"/>
      <c r="H880" s="45"/>
      <c r="I880" s="38"/>
      <c r="J880" s="38"/>
      <c r="K880" s="197"/>
      <c r="L880" s="47"/>
      <c r="M880" s="197"/>
      <c r="N880" s="197"/>
      <c r="O880" s="38"/>
      <c r="P880" s="38"/>
      <c r="Q880" s="14"/>
      <c r="R880" s="50"/>
      <c r="S880" s="50"/>
      <c r="T880" s="50"/>
      <c r="U880" s="52"/>
      <c r="V880" s="53"/>
      <c r="W880" s="60"/>
      <c r="X880" s="123"/>
      <c r="Y880" s="117"/>
      <c r="Z880" s="117"/>
      <c r="AH880" s="6"/>
      <c r="AI880" s="6"/>
    </row>
    <row r="881" spans="1:35">
      <c r="A881" s="38"/>
      <c r="B881" s="38"/>
      <c r="C881" s="6"/>
      <c r="D881" s="38"/>
      <c r="E881" s="38"/>
      <c r="F881" s="43"/>
      <c r="G881" s="44"/>
      <c r="H881" s="45"/>
      <c r="I881" s="38"/>
      <c r="J881" s="38"/>
      <c r="K881" s="197"/>
      <c r="L881" s="47"/>
      <c r="M881" s="197"/>
      <c r="N881" s="197"/>
      <c r="O881" s="38"/>
      <c r="P881" s="38"/>
      <c r="Q881" s="14"/>
      <c r="R881" s="50"/>
      <c r="S881" s="50"/>
      <c r="T881" s="50"/>
      <c r="U881" s="52"/>
      <c r="V881" s="53"/>
      <c r="W881" s="60"/>
      <c r="X881" s="123"/>
      <c r="Y881" s="117"/>
      <c r="Z881" s="117"/>
      <c r="AH881" s="6"/>
      <c r="AI881" s="6"/>
    </row>
    <row r="882" spans="1:35">
      <c r="A882" s="38"/>
      <c r="B882" s="38"/>
      <c r="C882" s="6"/>
      <c r="D882" s="38"/>
      <c r="E882" s="38"/>
      <c r="F882" s="43"/>
      <c r="G882" s="44"/>
      <c r="H882" s="45"/>
      <c r="I882" s="38"/>
      <c r="J882" s="38"/>
      <c r="K882" s="197"/>
      <c r="L882" s="47"/>
      <c r="M882" s="197"/>
      <c r="N882" s="197"/>
      <c r="O882" s="38"/>
      <c r="P882" s="38"/>
      <c r="Q882" s="14"/>
      <c r="R882" s="50"/>
      <c r="S882" s="50"/>
      <c r="T882" s="50"/>
      <c r="U882" s="52"/>
      <c r="V882" s="53"/>
      <c r="W882" s="60"/>
      <c r="X882" s="123"/>
      <c r="Y882" s="117"/>
      <c r="Z882" s="117"/>
      <c r="AH882" s="6"/>
      <c r="AI882" s="6"/>
    </row>
    <row r="883" spans="1:35">
      <c r="A883" s="38"/>
      <c r="B883" s="38"/>
      <c r="C883" s="6"/>
      <c r="D883" s="38"/>
      <c r="E883" s="38"/>
      <c r="F883" s="43"/>
      <c r="G883" s="44"/>
      <c r="H883" s="45"/>
      <c r="I883" s="38"/>
      <c r="J883" s="38"/>
      <c r="K883" s="197"/>
      <c r="L883" s="47"/>
      <c r="M883" s="197"/>
      <c r="N883" s="197"/>
      <c r="O883" s="38"/>
      <c r="P883" s="38"/>
      <c r="Q883" s="14"/>
      <c r="R883" s="50"/>
      <c r="S883" s="50"/>
      <c r="T883" s="50"/>
      <c r="U883" s="52"/>
      <c r="V883" s="53"/>
      <c r="W883" s="60"/>
      <c r="X883" s="123"/>
      <c r="Y883" s="117"/>
      <c r="Z883" s="117"/>
      <c r="AH883" s="6"/>
      <c r="AI883" s="6"/>
    </row>
    <row r="884" spans="1:35">
      <c r="A884" s="38"/>
      <c r="B884" s="38"/>
      <c r="C884" s="6"/>
      <c r="D884" s="38"/>
      <c r="E884" s="38"/>
      <c r="F884" s="43"/>
      <c r="G884" s="44"/>
      <c r="H884" s="45"/>
      <c r="I884" s="38"/>
      <c r="J884" s="38"/>
      <c r="K884" s="197"/>
      <c r="L884" s="47"/>
      <c r="M884" s="197"/>
      <c r="N884" s="197"/>
      <c r="O884" s="38"/>
      <c r="P884" s="38"/>
      <c r="Q884" s="14"/>
      <c r="R884" s="50"/>
      <c r="S884" s="50"/>
      <c r="T884" s="50"/>
      <c r="U884" s="52"/>
      <c r="V884" s="53"/>
      <c r="W884" s="60"/>
      <c r="X884" s="123"/>
      <c r="Y884" s="117"/>
      <c r="Z884" s="117"/>
      <c r="AH884" s="6"/>
      <c r="AI884" s="6"/>
    </row>
    <row r="885" spans="1:35">
      <c r="A885" s="38"/>
      <c r="B885" s="38"/>
      <c r="C885" s="6"/>
      <c r="D885" s="38"/>
      <c r="E885" s="38"/>
      <c r="F885" s="43"/>
      <c r="G885" s="44"/>
      <c r="H885" s="45"/>
      <c r="I885" s="38"/>
      <c r="J885" s="38"/>
      <c r="K885" s="197"/>
      <c r="L885" s="47"/>
      <c r="M885" s="197"/>
      <c r="N885" s="197"/>
      <c r="O885" s="38"/>
      <c r="P885" s="38"/>
      <c r="Q885" s="14"/>
      <c r="R885" s="50"/>
      <c r="S885" s="50"/>
      <c r="T885" s="50"/>
      <c r="U885" s="52"/>
      <c r="V885" s="53"/>
      <c r="W885" s="60"/>
      <c r="X885" s="123"/>
      <c r="Y885" s="117"/>
      <c r="Z885" s="117"/>
      <c r="AH885" s="6"/>
      <c r="AI885" s="6"/>
    </row>
    <row r="886" spans="1:35">
      <c r="A886" s="38"/>
      <c r="B886" s="38"/>
      <c r="C886" s="6"/>
      <c r="D886" s="38"/>
      <c r="E886" s="38"/>
      <c r="F886" s="43"/>
      <c r="G886" s="44"/>
      <c r="H886" s="45"/>
      <c r="I886" s="38"/>
      <c r="J886" s="38"/>
      <c r="K886" s="197"/>
      <c r="L886" s="47"/>
      <c r="M886" s="197"/>
      <c r="N886" s="197"/>
      <c r="O886" s="38"/>
      <c r="P886" s="38"/>
      <c r="Q886" s="14"/>
      <c r="R886" s="50"/>
      <c r="S886" s="50"/>
      <c r="T886" s="50"/>
      <c r="U886" s="52"/>
      <c r="V886" s="53"/>
      <c r="W886" s="60"/>
      <c r="X886" s="123"/>
      <c r="Y886" s="117"/>
      <c r="Z886" s="117"/>
      <c r="AH886" s="6"/>
      <c r="AI886" s="6"/>
    </row>
    <row r="887" spans="1:35">
      <c r="A887" s="38"/>
      <c r="B887" s="38"/>
      <c r="C887" s="6"/>
      <c r="D887" s="38"/>
      <c r="E887" s="38"/>
      <c r="F887" s="43"/>
      <c r="G887" s="44"/>
      <c r="H887" s="45"/>
      <c r="I887" s="38"/>
      <c r="J887" s="38"/>
      <c r="K887" s="197"/>
      <c r="L887" s="47"/>
      <c r="M887" s="197"/>
      <c r="N887" s="197"/>
      <c r="O887" s="38"/>
      <c r="P887" s="38"/>
      <c r="Q887" s="14"/>
      <c r="R887" s="50"/>
      <c r="S887" s="50"/>
      <c r="T887" s="50"/>
      <c r="U887" s="52"/>
      <c r="V887" s="53"/>
      <c r="W887" s="60"/>
      <c r="X887" s="123"/>
      <c r="Y887" s="117"/>
      <c r="Z887" s="117"/>
      <c r="AH887" s="6"/>
      <c r="AI887" s="6"/>
    </row>
    <row r="888" spans="1:35">
      <c r="A888" s="38"/>
      <c r="B888" s="38"/>
      <c r="C888" s="6"/>
      <c r="D888" s="38"/>
      <c r="E888" s="38"/>
      <c r="F888" s="43"/>
      <c r="G888" s="44"/>
      <c r="H888" s="45"/>
      <c r="I888" s="38"/>
      <c r="J888" s="38"/>
      <c r="K888" s="197"/>
      <c r="L888" s="47"/>
      <c r="M888" s="197"/>
      <c r="N888" s="197"/>
      <c r="O888" s="38"/>
      <c r="P888" s="38"/>
      <c r="Q888" s="14"/>
      <c r="R888" s="50"/>
      <c r="S888" s="50"/>
      <c r="T888" s="50"/>
      <c r="U888" s="52"/>
      <c r="V888" s="53"/>
      <c r="W888" s="60"/>
      <c r="X888" s="123"/>
      <c r="Y888" s="117"/>
      <c r="Z888" s="117"/>
      <c r="AH888" s="6"/>
      <c r="AI888" s="6"/>
    </row>
    <row r="889" spans="1:35">
      <c r="A889" s="38"/>
      <c r="B889" s="38"/>
      <c r="C889" s="6"/>
      <c r="D889" s="38"/>
      <c r="E889" s="38"/>
      <c r="F889" s="43"/>
      <c r="G889" s="44"/>
      <c r="H889" s="45"/>
      <c r="I889" s="38"/>
      <c r="J889" s="38"/>
      <c r="K889" s="197"/>
      <c r="L889" s="47"/>
      <c r="M889" s="197"/>
      <c r="N889" s="197"/>
      <c r="O889" s="38"/>
      <c r="P889" s="38"/>
      <c r="Q889" s="14"/>
      <c r="R889" s="50"/>
      <c r="S889" s="50"/>
      <c r="T889" s="50"/>
      <c r="U889" s="52"/>
      <c r="V889" s="53"/>
      <c r="W889" s="60"/>
      <c r="X889" s="123"/>
      <c r="Y889" s="117"/>
      <c r="Z889" s="117"/>
      <c r="AH889" s="6"/>
      <c r="AI889" s="6"/>
    </row>
    <row r="890" spans="1:35">
      <c r="A890" s="38"/>
      <c r="B890" s="38"/>
      <c r="C890" s="6"/>
      <c r="D890" s="38"/>
      <c r="E890" s="38"/>
      <c r="F890" s="43"/>
      <c r="G890" s="44"/>
      <c r="H890" s="45"/>
      <c r="I890" s="38"/>
      <c r="J890" s="38"/>
      <c r="K890" s="197"/>
      <c r="L890" s="47"/>
      <c r="M890" s="197"/>
      <c r="N890" s="197"/>
      <c r="O890" s="38"/>
      <c r="P890" s="38"/>
      <c r="Q890" s="14"/>
      <c r="R890" s="50"/>
      <c r="S890" s="50"/>
      <c r="T890" s="50"/>
      <c r="U890" s="52"/>
      <c r="V890" s="53"/>
      <c r="W890" s="60"/>
      <c r="X890" s="123"/>
      <c r="Y890" s="117"/>
      <c r="Z890" s="117"/>
      <c r="AH890" s="6"/>
      <c r="AI890" s="6"/>
    </row>
    <row r="891" spans="1:35">
      <c r="A891" s="38"/>
      <c r="B891" s="38"/>
      <c r="C891" s="6"/>
      <c r="D891" s="38"/>
      <c r="E891" s="38"/>
      <c r="F891" s="43"/>
      <c r="G891" s="44"/>
      <c r="H891" s="45"/>
      <c r="I891" s="38"/>
      <c r="J891" s="38"/>
      <c r="K891" s="197"/>
      <c r="L891" s="47"/>
      <c r="M891" s="197"/>
      <c r="N891" s="197"/>
      <c r="O891" s="38"/>
      <c r="P891" s="38"/>
      <c r="Q891" s="14"/>
      <c r="R891" s="50"/>
      <c r="S891" s="50"/>
      <c r="T891" s="50"/>
      <c r="U891" s="52"/>
      <c r="V891" s="53"/>
      <c r="W891" s="60"/>
      <c r="X891" s="123"/>
      <c r="Y891" s="117"/>
      <c r="Z891" s="117"/>
      <c r="AH891" s="6"/>
      <c r="AI891" s="6"/>
    </row>
    <row r="892" spans="1:35">
      <c r="A892" s="38"/>
      <c r="B892" s="38"/>
      <c r="C892" s="6"/>
      <c r="D892" s="38"/>
      <c r="E892" s="38"/>
      <c r="F892" s="43"/>
      <c r="G892" s="44"/>
      <c r="H892" s="45"/>
      <c r="I892" s="38"/>
      <c r="J892" s="38"/>
      <c r="K892" s="197"/>
      <c r="L892" s="47"/>
      <c r="M892" s="197"/>
      <c r="N892" s="197"/>
      <c r="O892" s="38"/>
      <c r="P892" s="38"/>
      <c r="Q892" s="14"/>
      <c r="R892" s="50"/>
      <c r="S892" s="50"/>
      <c r="T892" s="50"/>
      <c r="U892" s="52"/>
      <c r="V892" s="53"/>
      <c r="W892" s="60"/>
      <c r="X892" s="123"/>
      <c r="Y892" s="117"/>
      <c r="Z892" s="117"/>
      <c r="AH892" s="6"/>
      <c r="AI892" s="6"/>
    </row>
    <row r="893" spans="1:35">
      <c r="A893" s="38"/>
      <c r="B893" s="38"/>
      <c r="C893" s="6"/>
      <c r="D893" s="38"/>
      <c r="E893" s="38"/>
      <c r="F893" s="43"/>
      <c r="G893" s="44"/>
      <c r="H893" s="45"/>
      <c r="I893" s="38"/>
      <c r="J893" s="38"/>
      <c r="K893" s="197"/>
      <c r="L893" s="47"/>
      <c r="M893" s="197"/>
      <c r="N893" s="197"/>
      <c r="O893" s="38"/>
      <c r="P893" s="38"/>
      <c r="Q893" s="14"/>
      <c r="R893" s="50"/>
      <c r="S893" s="50"/>
      <c r="T893" s="50"/>
      <c r="U893" s="52"/>
      <c r="V893" s="53"/>
      <c r="W893" s="60"/>
      <c r="X893" s="123"/>
      <c r="Y893" s="117"/>
      <c r="Z893" s="117"/>
      <c r="AH893" s="6"/>
      <c r="AI893" s="6"/>
    </row>
    <row r="894" spans="1:35">
      <c r="A894" s="38"/>
      <c r="B894" s="38"/>
      <c r="C894" s="6"/>
      <c r="D894" s="38"/>
      <c r="E894" s="38"/>
      <c r="F894" s="43"/>
      <c r="G894" s="44"/>
      <c r="H894" s="45"/>
      <c r="I894" s="38"/>
      <c r="J894" s="38"/>
      <c r="K894" s="197"/>
      <c r="L894" s="47"/>
      <c r="M894" s="197"/>
      <c r="N894" s="197"/>
      <c r="O894" s="38"/>
      <c r="P894" s="38"/>
      <c r="Q894" s="14"/>
      <c r="R894" s="50"/>
      <c r="S894" s="50"/>
      <c r="T894" s="50"/>
      <c r="U894" s="52"/>
      <c r="V894" s="53"/>
      <c r="W894" s="60"/>
      <c r="X894" s="123"/>
      <c r="Y894" s="117"/>
      <c r="Z894" s="117"/>
      <c r="AH894" s="6"/>
      <c r="AI894" s="6"/>
    </row>
    <row r="895" spans="1:35">
      <c r="A895" s="38"/>
      <c r="B895" s="38"/>
      <c r="C895" s="6"/>
      <c r="D895" s="38"/>
      <c r="E895" s="38"/>
      <c r="F895" s="43"/>
      <c r="G895" s="44"/>
      <c r="H895" s="45"/>
      <c r="I895" s="38"/>
      <c r="J895" s="38"/>
      <c r="K895" s="197"/>
      <c r="L895" s="47"/>
      <c r="M895" s="197"/>
      <c r="N895" s="197"/>
      <c r="O895" s="38"/>
      <c r="P895" s="38"/>
      <c r="Q895" s="14"/>
      <c r="R895" s="50"/>
      <c r="S895" s="50"/>
      <c r="T895" s="50"/>
      <c r="U895" s="52"/>
      <c r="V895" s="53"/>
      <c r="W895" s="60"/>
      <c r="X895" s="123"/>
      <c r="Y895" s="117"/>
      <c r="Z895" s="117"/>
      <c r="AH895" s="6"/>
      <c r="AI895" s="6"/>
    </row>
    <row r="896" spans="1:35">
      <c r="A896" s="38"/>
      <c r="B896" s="38"/>
      <c r="C896" s="6"/>
      <c r="D896" s="38"/>
      <c r="E896" s="38"/>
      <c r="F896" s="43"/>
      <c r="G896" s="44"/>
      <c r="H896" s="45"/>
      <c r="I896" s="38"/>
      <c r="J896" s="38"/>
      <c r="K896" s="197"/>
      <c r="L896" s="47"/>
      <c r="M896" s="197"/>
      <c r="N896" s="197"/>
      <c r="O896" s="38"/>
      <c r="P896" s="38"/>
      <c r="Q896" s="14"/>
      <c r="R896" s="50"/>
      <c r="S896" s="50"/>
      <c r="T896" s="50"/>
      <c r="U896" s="52"/>
      <c r="V896" s="53"/>
      <c r="W896" s="60"/>
      <c r="X896" s="123"/>
      <c r="Y896" s="117"/>
      <c r="Z896" s="117"/>
      <c r="AH896" s="6"/>
      <c r="AI896" s="6"/>
    </row>
    <row r="897" spans="1:35">
      <c r="A897" s="38"/>
      <c r="B897" s="38"/>
      <c r="C897" s="6"/>
      <c r="D897" s="38"/>
      <c r="E897" s="38"/>
      <c r="F897" s="43"/>
      <c r="G897" s="44"/>
      <c r="H897" s="45"/>
      <c r="I897" s="38"/>
      <c r="J897" s="38"/>
      <c r="K897" s="197"/>
      <c r="L897" s="47"/>
      <c r="M897" s="197"/>
      <c r="N897" s="197"/>
      <c r="O897" s="38"/>
      <c r="P897" s="38"/>
      <c r="Q897" s="14"/>
      <c r="R897" s="50"/>
      <c r="S897" s="50"/>
      <c r="T897" s="50"/>
      <c r="U897" s="52"/>
      <c r="V897" s="53"/>
      <c r="W897" s="60"/>
      <c r="X897" s="123"/>
      <c r="Y897" s="117"/>
      <c r="Z897" s="117"/>
      <c r="AH897" s="6"/>
      <c r="AI897" s="6"/>
    </row>
    <row r="898" spans="1:35">
      <c r="A898" s="38"/>
      <c r="B898" s="38"/>
      <c r="C898" s="6"/>
      <c r="D898" s="38"/>
      <c r="E898" s="38"/>
      <c r="F898" s="43"/>
      <c r="G898" s="44"/>
      <c r="H898" s="45"/>
      <c r="I898" s="38"/>
      <c r="J898" s="38"/>
      <c r="K898" s="197"/>
      <c r="L898" s="47"/>
      <c r="M898" s="197"/>
      <c r="N898" s="197"/>
      <c r="O898" s="38"/>
      <c r="P898" s="38"/>
      <c r="Q898" s="14"/>
      <c r="R898" s="50"/>
      <c r="S898" s="50"/>
      <c r="T898" s="50"/>
      <c r="U898" s="52"/>
      <c r="V898" s="53"/>
      <c r="W898" s="60"/>
      <c r="X898" s="123"/>
      <c r="Y898" s="117"/>
      <c r="Z898" s="117"/>
      <c r="AH898" s="6"/>
      <c r="AI898" s="6"/>
    </row>
    <row r="899" spans="1:35">
      <c r="A899" s="38"/>
      <c r="B899" s="38"/>
      <c r="C899" s="6"/>
      <c r="D899" s="38"/>
      <c r="E899" s="38"/>
      <c r="F899" s="43"/>
      <c r="G899" s="44"/>
      <c r="H899" s="45"/>
      <c r="I899" s="38"/>
      <c r="J899" s="38"/>
      <c r="K899" s="197"/>
      <c r="L899" s="47"/>
      <c r="M899" s="197"/>
      <c r="N899" s="197"/>
      <c r="O899" s="38"/>
      <c r="P899" s="38"/>
      <c r="Q899" s="14"/>
      <c r="R899" s="50"/>
      <c r="S899" s="50"/>
      <c r="T899" s="50"/>
      <c r="U899" s="52"/>
      <c r="V899" s="53"/>
      <c r="W899" s="60"/>
      <c r="X899" s="123"/>
      <c r="Y899" s="117"/>
      <c r="Z899" s="117"/>
      <c r="AH899" s="6"/>
      <c r="AI899" s="6"/>
    </row>
    <row r="900" spans="1:35">
      <c r="A900" s="38"/>
      <c r="B900" s="38"/>
      <c r="C900" s="6"/>
      <c r="D900" s="38"/>
      <c r="E900" s="38"/>
      <c r="F900" s="43"/>
      <c r="G900" s="44"/>
      <c r="H900" s="45"/>
      <c r="I900" s="38"/>
      <c r="J900" s="38"/>
      <c r="K900" s="197"/>
      <c r="L900" s="47"/>
      <c r="M900" s="197"/>
      <c r="N900" s="197"/>
      <c r="O900" s="38"/>
      <c r="P900" s="38"/>
      <c r="Q900" s="14"/>
      <c r="R900" s="50"/>
      <c r="S900" s="50"/>
      <c r="T900" s="50"/>
      <c r="U900" s="52"/>
      <c r="V900" s="53"/>
      <c r="W900" s="60"/>
      <c r="X900" s="123"/>
      <c r="Y900" s="117"/>
      <c r="Z900" s="117"/>
      <c r="AH900" s="6"/>
      <c r="AI900" s="6"/>
    </row>
    <row r="901" spans="1:35">
      <c r="A901" s="38"/>
      <c r="B901" s="38"/>
      <c r="C901" s="6"/>
      <c r="D901" s="38"/>
      <c r="E901" s="38"/>
      <c r="F901" s="43"/>
      <c r="G901" s="44"/>
      <c r="H901" s="45"/>
      <c r="I901" s="38"/>
      <c r="J901" s="38"/>
      <c r="K901" s="197"/>
      <c r="L901" s="47"/>
      <c r="M901" s="197"/>
      <c r="N901" s="197"/>
      <c r="O901" s="38"/>
      <c r="P901" s="38"/>
      <c r="Q901" s="14"/>
      <c r="R901" s="50"/>
      <c r="S901" s="50"/>
      <c r="T901" s="50"/>
      <c r="U901" s="52"/>
      <c r="V901" s="53"/>
      <c r="W901" s="60"/>
      <c r="X901" s="123"/>
      <c r="Y901" s="117"/>
      <c r="Z901" s="117"/>
      <c r="AH901" s="6"/>
      <c r="AI901" s="6"/>
    </row>
    <row r="902" spans="1:35">
      <c r="A902" s="38"/>
      <c r="B902" s="38"/>
      <c r="C902" s="6"/>
      <c r="D902" s="38"/>
      <c r="E902" s="38"/>
      <c r="F902" s="43"/>
      <c r="G902" s="44"/>
      <c r="H902" s="45"/>
      <c r="I902" s="38"/>
      <c r="J902" s="38"/>
      <c r="K902" s="197"/>
      <c r="L902" s="47"/>
      <c r="M902" s="197"/>
      <c r="N902" s="197"/>
      <c r="O902" s="38"/>
      <c r="P902" s="38"/>
      <c r="Q902" s="14"/>
      <c r="R902" s="50"/>
      <c r="S902" s="50"/>
      <c r="T902" s="50"/>
      <c r="U902" s="52"/>
      <c r="V902" s="53"/>
      <c r="W902" s="60"/>
      <c r="X902" s="123"/>
      <c r="Y902" s="117"/>
      <c r="Z902" s="117"/>
      <c r="AH902" s="6"/>
      <c r="AI902" s="6"/>
    </row>
    <row r="903" spans="1:35">
      <c r="A903" s="38"/>
      <c r="B903" s="38"/>
      <c r="C903" s="6"/>
      <c r="D903" s="38"/>
      <c r="E903" s="38"/>
      <c r="F903" s="43"/>
      <c r="G903" s="44"/>
      <c r="H903" s="45"/>
      <c r="I903" s="38"/>
      <c r="J903" s="38"/>
      <c r="K903" s="197"/>
      <c r="L903" s="47"/>
      <c r="M903" s="197"/>
      <c r="N903" s="197"/>
      <c r="O903" s="38"/>
      <c r="P903" s="38"/>
      <c r="Q903" s="14"/>
      <c r="R903" s="50"/>
      <c r="S903" s="50"/>
      <c r="T903" s="50"/>
      <c r="U903" s="52"/>
      <c r="V903" s="53"/>
      <c r="W903" s="60"/>
      <c r="X903" s="123"/>
      <c r="Y903" s="117"/>
      <c r="Z903" s="117"/>
      <c r="AH903" s="6"/>
      <c r="AI903" s="6"/>
    </row>
    <row r="904" spans="1:35">
      <c r="A904" s="38"/>
      <c r="B904" s="38"/>
      <c r="C904" s="6"/>
      <c r="D904" s="38"/>
      <c r="E904" s="38"/>
      <c r="F904" s="43"/>
      <c r="G904" s="44"/>
      <c r="H904" s="45"/>
      <c r="I904" s="38"/>
      <c r="J904" s="38"/>
      <c r="K904" s="197"/>
      <c r="L904" s="47"/>
      <c r="M904" s="197"/>
      <c r="N904" s="197"/>
      <c r="O904" s="38"/>
      <c r="P904" s="38"/>
      <c r="Q904" s="14"/>
      <c r="R904" s="50"/>
      <c r="S904" s="50"/>
      <c r="T904" s="50"/>
      <c r="U904" s="52"/>
      <c r="V904" s="53"/>
      <c r="W904" s="60"/>
      <c r="X904" s="123"/>
      <c r="Y904" s="117"/>
      <c r="Z904" s="117"/>
      <c r="AH904" s="6"/>
      <c r="AI904" s="6"/>
    </row>
    <row r="905" spans="1:35">
      <c r="A905" s="38"/>
      <c r="B905" s="38"/>
      <c r="C905" s="6"/>
      <c r="D905" s="38"/>
      <c r="E905" s="38"/>
      <c r="F905" s="43"/>
      <c r="G905" s="44"/>
      <c r="H905" s="45"/>
      <c r="I905" s="38"/>
      <c r="J905" s="38"/>
      <c r="K905" s="197"/>
      <c r="L905" s="47"/>
      <c r="M905" s="197"/>
      <c r="N905" s="197"/>
      <c r="O905" s="38"/>
      <c r="P905" s="38"/>
      <c r="Q905" s="14"/>
      <c r="R905" s="50"/>
      <c r="S905" s="50"/>
      <c r="T905" s="50"/>
      <c r="U905" s="52"/>
      <c r="V905" s="53"/>
      <c r="W905" s="60"/>
      <c r="X905" s="123"/>
      <c r="Y905" s="117"/>
      <c r="Z905" s="117"/>
      <c r="AH905" s="6"/>
      <c r="AI905" s="6"/>
    </row>
    <row r="906" spans="1:35">
      <c r="A906" s="38"/>
      <c r="B906" s="38"/>
      <c r="C906" s="6"/>
      <c r="D906" s="38"/>
      <c r="E906" s="38"/>
      <c r="F906" s="43"/>
      <c r="G906" s="44"/>
      <c r="H906" s="45"/>
      <c r="I906" s="38"/>
      <c r="J906" s="38"/>
      <c r="K906" s="197"/>
      <c r="L906" s="47"/>
      <c r="M906" s="197"/>
      <c r="N906" s="197"/>
      <c r="O906" s="38"/>
      <c r="P906" s="38"/>
      <c r="Q906" s="14"/>
      <c r="R906" s="50"/>
      <c r="S906" s="50"/>
      <c r="T906" s="50"/>
      <c r="U906" s="52"/>
      <c r="V906" s="53"/>
      <c r="W906" s="60"/>
      <c r="X906" s="123"/>
      <c r="Y906" s="117"/>
      <c r="Z906" s="117"/>
      <c r="AH906" s="6"/>
      <c r="AI906" s="6"/>
    </row>
    <row r="907" spans="1:35">
      <c r="A907" s="38"/>
      <c r="B907" s="38"/>
      <c r="C907" s="6"/>
      <c r="D907" s="38"/>
      <c r="E907" s="38"/>
      <c r="F907" s="43"/>
      <c r="G907" s="44"/>
      <c r="H907" s="45"/>
      <c r="I907" s="38"/>
      <c r="J907" s="38"/>
      <c r="K907" s="197"/>
      <c r="L907" s="47"/>
      <c r="M907" s="197"/>
      <c r="N907" s="197"/>
      <c r="O907" s="38"/>
      <c r="P907" s="38"/>
      <c r="Q907" s="14"/>
      <c r="R907" s="50"/>
      <c r="S907" s="50"/>
      <c r="T907" s="50"/>
      <c r="U907" s="52"/>
      <c r="V907" s="53"/>
      <c r="W907" s="60"/>
      <c r="X907" s="123"/>
      <c r="Y907" s="117"/>
      <c r="Z907" s="117"/>
      <c r="AH907" s="6"/>
      <c r="AI907" s="6"/>
    </row>
    <row r="908" spans="1:35">
      <c r="A908" s="38"/>
      <c r="B908" s="38"/>
      <c r="C908" s="6"/>
      <c r="D908" s="38"/>
      <c r="E908" s="38"/>
      <c r="F908" s="43"/>
      <c r="G908" s="44"/>
      <c r="H908" s="45"/>
      <c r="I908" s="38"/>
      <c r="J908" s="38"/>
      <c r="K908" s="197"/>
      <c r="L908" s="47"/>
      <c r="M908" s="197"/>
      <c r="N908" s="197"/>
      <c r="O908" s="38"/>
      <c r="P908" s="38"/>
      <c r="Q908" s="14"/>
      <c r="R908" s="50"/>
      <c r="S908" s="50"/>
      <c r="T908" s="50"/>
      <c r="U908" s="52"/>
      <c r="V908" s="53"/>
      <c r="W908" s="60"/>
      <c r="X908" s="123"/>
      <c r="Y908" s="117"/>
      <c r="Z908" s="117"/>
      <c r="AH908" s="6"/>
      <c r="AI908" s="6"/>
    </row>
    <row r="909" spans="1:35">
      <c r="A909" s="38"/>
      <c r="B909" s="38"/>
      <c r="C909" s="6"/>
      <c r="D909" s="38"/>
      <c r="E909" s="38"/>
      <c r="F909" s="43"/>
      <c r="G909" s="44"/>
      <c r="H909" s="45"/>
      <c r="I909" s="38"/>
      <c r="J909" s="38"/>
      <c r="K909" s="197"/>
      <c r="L909" s="47"/>
      <c r="M909" s="197"/>
      <c r="N909" s="197"/>
      <c r="O909" s="38"/>
      <c r="P909" s="38"/>
      <c r="Q909" s="14"/>
      <c r="R909" s="50"/>
      <c r="S909" s="50"/>
      <c r="T909" s="50"/>
      <c r="U909" s="52"/>
      <c r="V909" s="53"/>
      <c r="W909" s="60"/>
      <c r="X909" s="123"/>
      <c r="Y909" s="117"/>
      <c r="Z909" s="117"/>
      <c r="AH909" s="6"/>
      <c r="AI909" s="6"/>
    </row>
    <row r="910" spans="1:35">
      <c r="A910" s="38"/>
      <c r="B910" s="38"/>
      <c r="C910" s="6"/>
      <c r="D910" s="38"/>
      <c r="E910" s="38"/>
      <c r="F910" s="43"/>
      <c r="G910" s="44"/>
      <c r="H910" s="45"/>
      <c r="I910" s="38"/>
      <c r="J910" s="38"/>
      <c r="K910" s="197"/>
      <c r="L910" s="47"/>
      <c r="M910" s="197"/>
      <c r="N910" s="197"/>
      <c r="O910" s="38"/>
      <c r="P910" s="38"/>
      <c r="Q910" s="14"/>
      <c r="R910" s="50"/>
      <c r="S910" s="50"/>
      <c r="T910" s="50"/>
      <c r="U910" s="52"/>
      <c r="V910" s="53"/>
      <c r="W910" s="60"/>
      <c r="X910" s="123"/>
      <c r="Y910" s="117"/>
      <c r="Z910" s="117"/>
      <c r="AH910" s="6"/>
      <c r="AI910" s="6"/>
    </row>
    <row r="911" spans="1:35">
      <c r="A911" s="38"/>
      <c r="B911" s="38"/>
      <c r="C911" s="6"/>
      <c r="D911" s="38"/>
      <c r="E911" s="38"/>
      <c r="F911" s="43"/>
      <c r="G911" s="44"/>
      <c r="H911" s="45"/>
      <c r="I911" s="38"/>
      <c r="J911" s="38"/>
      <c r="K911" s="197"/>
      <c r="L911" s="47"/>
      <c r="M911" s="197"/>
      <c r="N911" s="197"/>
      <c r="O911" s="38"/>
      <c r="P911" s="38"/>
      <c r="Q911" s="14"/>
      <c r="R911" s="50"/>
      <c r="S911" s="50"/>
      <c r="T911" s="50"/>
      <c r="U911" s="52"/>
      <c r="V911" s="53"/>
      <c r="W911" s="60"/>
      <c r="X911" s="123"/>
      <c r="Y911" s="117"/>
      <c r="Z911" s="117"/>
      <c r="AH911" s="6"/>
      <c r="AI911" s="6"/>
    </row>
    <row r="912" spans="1:35">
      <c r="A912" s="38"/>
      <c r="B912" s="38"/>
      <c r="C912" s="6"/>
      <c r="D912" s="38"/>
      <c r="E912" s="38"/>
      <c r="F912" s="43"/>
      <c r="G912" s="44"/>
      <c r="H912" s="45"/>
      <c r="I912" s="38"/>
      <c r="J912" s="38"/>
      <c r="K912" s="197"/>
      <c r="L912" s="47"/>
      <c r="M912" s="197"/>
      <c r="N912" s="197"/>
      <c r="O912" s="38"/>
      <c r="P912" s="38"/>
      <c r="Q912" s="14"/>
      <c r="R912" s="50"/>
      <c r="S912" s="50"/>
      <c r="T912" s="50"/>
      <c r="U912" s="52"/>
      <c r="V912" s="53"/>
      <c r="W912" s="60"/>
      <c r="X912" s="123"/>
      <c r="Y912" s="117"/>
      <c r="Z912" s="117"/>
      <c r="AH912" s="6"/>
      <c r="AI912" s="6"/>
    </row>
    <row r="913" spans="1:35">
      <c r="A913" s="38"/>
      <c r="B913" s="38"/>
      <c r="C913" s="6"/>
      <c r="D913" s="38"/>
      <c r="E913" s="38"/>
      <c r="F913" s="43"/>
      <c r="G913" s="44"/>
      <c r="H913" s="45"/>
      <c r="I913" s="38"/>
      <c r="J913" s="38"/>
      <c r="K913" s="197"/>
      <c r="L913" s="47"/>
      <c r="M913" s="197"/>
      <c r="N913" s="197"/>
      <c r="O913" s="38"/>
      <c r="P913" s="38"/>
      <c r="Q913" s="14"/>
      <c r="R913" s="50"/>
      <c r="S913" s="50"/>
      <c r="T913" s="50"/>
      <c r="U913" s="52"/>
      <c r="V913" s="53"/>
      <c r="W913" s="60"/>
      <c r="X913" s="123"/>
      <c r="Y913" s="117"/>
      <c r="Z913" s="117"/>
      <c r="AH913" s="6"/>
      <c r="AI913" s="6"/>
    </row>
    <row r="914" spans="1:35">
      <c r="A914" s="38"/>
      <c r="B914" s="38"/>
      <c r="C914" s="6"/>
      <c r="D914" s="38"/>
      <c r="E914" s="38"/>
      <c r="F914" s="43"/>
      <c r="G914" s="44"/>
      <c r="H914" s="45"/>
      <c r="I914" s="38"/>
      <c r="J914" s="38"/>
      <c r="K914" s="197"/>
      <c r="L914" s="47"/>
      <c r="M914" s="197"/>
      <c r="N914" s="197"/>
      <c r="O914" s="38"/>
      <c r="P914" s="38"/>
      <c r="Q914" s="14"/>
      <c r="R914" s="50"/>
      <c r="S914" s="50"/>
      <c r="T914" s="50"/>
      <c r="U914" s="52"/>
      <c r="V914" s="53"/>
      <c r="W914" s="60"/>
      <c r="X914" s="123"/>
      <c r="Y914" s="117"/>
      <c r="Z914" s="117"/>
      <c r="AH914" s="6"/>
      <c r="AI914" s="6"/>
    </row>
    <row r="915" spans="1:35">
      <c r="A915" s="38"/>
      <c r="B915" s="38"/>
      <c r="C915" s="6"/>
      <c r="D915" s="38"/>
      <c r="E915" s="38"/>
      <c r="F915" s="43"/>
      <c r="G915" s="44"/>
      <c r="H915" s="45"/>
      <c r="I915" s="38"/>
      <c r="J915" s="38"/>
      <c r="K915" s="197"/>
      <c r="L915" s="47"/>
      <c r="M915" s="197"/>
      <c r="N915" s="197"/>
      <c r="O915" s="38"/>
      <c r="P915" s="38"/>
      <c r="Q915" s="14"/>
      <c r="R915" s="50"/>
      <c r="S915" s="50"/>
      <c r="T915" s="50"/>
      <c r="U915" s="52"/>
      <c r="V915" s="53"/>
      <c r="W915" s="60"/>
      <c r="X915" s="123"/>
      <c r="Y915" s="117"/>
      <c r="Z915" s="117"/>
      <c r="AH915" s="6"/>
      <c r="AI915" s="6"/>
    </row>
    <row r="916" spans="1:35">
      <c r="A916" s="38"/>
      <c r="B916" s="42"/>
      <c r="C916" s="6"/>
      <c r="D916" s="42"/>
      <c r="E916" s="38"/>
      <c r="F916" s="43"/>
      <c r="G916" s="44"/>
      <c r="H916" s="45"/>
      <c r="I916" s="38"/>
      <c r="J916" s="38"/>
      <c r="K916" s="197"/>
      <c r="L916" s="144"/>
      <c r="M916" s="197"/>
      <c r="N916" s="197"/>
      <c r="O916" s="38"/>
      <c r="P916" s="198"/>
      <c r="Q916" s="14"/>
      <c r="R916" s="50"/>
      <c r="S916" s="50"/>
      <c r="T916" s="50"/>
      <c r="U916" s="52"/>
      <c r="V916" s="53"/>
      <c r="W916" s="57"/>
      <c r="X916" s="123"/>
      <c r="Y916" s="117"/>
      <c r="Z916" s="117"/>
      <c r="AH916" s="6"/>
      <c r="AI916" s="6"/>
    </row>
    <row r="917" spans="1:35">
      <c r="A917" s="42"/>
      <c r="B917" s="42"/>
      <c r="C917" s="6"/>
      <c r="D917" s="42"/>
      <c r="E917" s="38"/>
      <c r="F917" s="188"/>
      <c r="G917" s="63"/>
      <c r="H917" s="58"/>
      <c r="I917" s="38"/>
      <c r="J917" s="38"/>
      <c r="K917" s="197"/>
      <c r="L917" s="144"/>
      <c r="M917" s="197"/>
      <c r="N917" s="197"/>
      <c r="O917" s="46"/>
      <c r="P917" s="198"/>
      <c r="Q917" s="14"/>
      <c r="R917" s="39"/>
      <c r="S917" s="39"/>
      <c r="T917" s="39"/>
      <c r="U917" s="40"/>
      <c r="V917" s="54"/>
      <c r="W917" s="69"/>
      <c r="X917" s="71"/>
      <c r="Y917" s="42"/>
      <c r="Z917" s="42"/>
      <c r="AH917" s="6"/>
      <c r="AI917" s="6"/>
    </row>
    <row r="918" spans="1:35">
      <c r="A918" s="42"/>
      <c r="B918" s="42"/>
      <c r="C918" s="6"/>
      <c r="D918" s="42"/>
      <c r="E918" s="38"/>
      <c r="F918" s="188"/>
      <c r="G918" s="63"/>
      <c r="H918" s="58"/>
      <c r="I918" s="38"/>
      <c r="J918" s="38"/>
      <c r="K918" s="197"/>
      <c r="L918" s="47"/>
      <c r="M918" s="197"/>
      <c r="N918" s="197"/>
      <c r="O918" s="46"/>
      <c r="P918" s="198"/>
      <c r="Q918" s="14"/>
      <c r="R918" s="67"/>
      <c r="S918" s="67"/>
      <c r="T918" s="67"/>
      <c r="U918" s="52"/>
      <c r="V918" s="53"/>
      <c r="W918" s="60"/>
      <c r="X918" s="71"/>
      <c r="Y918" s="42"/>
      <c r="Z918" s="42"/>
      <c r="AH918" s="6"/>
      <c r="AI918" s="6"/>
    </row>
    <row r="919" spans="1:35">
      <c r="A919" s="42"/>
      <c r="B919" s="42"/>
      <c r="C919" s="6"/>
      <c r="D919" s="42"/>
      <c r="E919" s="38"/>
      <c r="F919" s="188"/>
      <c r="G919" s="63"/>
      <c r="H919" s="58"/>
      <c r="I919" s="38"/>
      <c r="J919" s="38"/>
      <c r="K919" s="197"/>
      <c r="L919" s="47"/>
      <c r="M919" s="197"/>
      <c r="N919" s="197"/>
      <c r="O919" s="46"/>
      <c r="P919" s="198"/>
      <c r="Q919" s="14"/>
      <c r="R919" s="67"/>
      <c r="S919" s="67"/>
      <c r="T919" s="67"/>
      <c r="U919" s="52"/>
      <c r="V919" s="53"/>
      <c r="W919" s="60"/>
      <c r="X919" s="71"/>
      <c r="Y919" s="42"/>
      <c r="Z919" s="42"/>
      <c r="AH919" s="6"/>
      <c r="AI919" s="6"/>
    </row>
    <row r="920" spans="1:35">
      <c r="A920" s="42"/>
      <c r="B920" s="42"/>
      <c r="C920" s="6"/>
      <c r="D920" s="42"/>
      <c r="E920" s="38"/>
      <c r="F920" s="188"/>
      <c r="G920" s="63"/>
      <c r="H920" s="58"/>
      <c r="I920" s="38"/>
      <c r="J920" s="38"/>
      <c r="K920" s="197"/>
      <c r="L920" s="47"/>
      <c r="M920" s="197"/>
      <c r="N920" s="197"/>
      <c r="O920" s="46"/>
      <c r="P920" s="198"/>
      <c r="Q920" s="14"/>
      <c r="R920" s="67"/>
      <c r="S920" s="67"/>
      <c r="T920" s="67"/>
      <c r="U920" s="52"/>
      <c r="V920" s="53"/>
      <c r="W920" s="60"/>
      <c r="X920" s="71"/>
      <c r="Y920" s="42"/>
      <c r="Z920" s="42"/>
      <c r="AH920" s="6"/>
      <c r="AI920" s="6"/>
    </row>
    <row r="921" spans="1:35">
      <c r="A921" s="42"/>
      <c r="B921" s="42"/>
      <c r="C921" s="6"/>
      <c r="D921" s="42"/>
      <c r="E921" s="38"/>
      <c r="F921" s="58"/>
      <c r="G921" s="58"/>
      <c r="H921" s="58"/>
      <c r="I921" s="38"/>
      <c r="J921" s="38"/>
      <c r="K921" s="197"/>
      <c r="L921" s="47"/>
      <c r="M921" s="197"/>
      <c r="N921" s="197"/>
      <c r="O921" s="46"/>
      <c r="P921" s="198"/>
      <c r="Q921" s="14"/>
      <c r="R921" s="67"/>
      <c r="S921" s="67"/>
      <c r="T921" s="67"/>
      <c r="U921" s="52"/>
      <c r="V921" s="53"/>
      <c r="W921" s="60"/>
      <c r="X921" s="71"/>
      <c r="Y921" s="42"/>
      <c r="Z921" s="42"/>
      <c r="AH921" s="6"/>
      <c r="AI921" s="6"/>
    </row>
    <row r="922" spans="1:35">
      <c r="A922" s="42"/>
      <c r="B922" s="42"/>
      <c r="C922" s="6"/>
      <c r="D922" s="42"/>
      <c r="E922" s="38"/>
      <c r="F922" s="188"/>
      <c r="G922" s="58"/>
      <c r="H922" s="58"/>
      <c r="I922" s="38"/>
      <c r="J922" s="38"/>
      <c r="K922" s="197"/>
      <c r="L922" s="47"/>
      <c r="M922" s="197"/>
      <c r="N922" s="197"/>
      <c r="O922" s="46"/>
      <c r="P922" s="198"/>
      <c r="Q922" s="14"/>
      <c r="R922" s="67"/>
      <c r="S922" s="67"/>
      <c r="T922" s="67"/>
      <c r="U922" s="52"/>
      <c r="V922" s="53"/>
      <c r="W922" s="60"/>
      <c r="X922" s="71"/>
      <c r="Y922" s="42"/>
      <c r="Z922" s="42"/>
      <c r="AH922" s="6"/>
      <c r="AI922" s="6"/>
    </row>
    <row r="923" spans="1:35">
      <c r="A923" s="42"/>
      <c r="B923" s="42"/>
      <c r="C923" s="6"/>
      <c r="D923" s="42"/>
      <c r="E923" s="38"/>
      <c r="F923" s="188"/>
      <c r="G923" s="63"/>
      <c r="H923" s="45"/>
      <c r="I923" s="38"/>
      <c r="J923" s="38"/>
      <c r="K923" s="197"/>
      <c r="L923" s="47"/>
      <c r="M923" s="197"/>
      <c r="N923" s="197"/>
      <c r="O923" s="46"/>
      <c r="P923" s="198"/>
      <c r="Q923" s="14"/>
      <c r="R923" s="67"/>
      <c r="S923" s="67"/>
      <c r="T923" s="67"/>
      <c r="U923" s="52"/>
      <c r="V923" s="53"/>
      <c r="W923" s="60"/>
      <c r="X923" s="71"/>
      <c r="Y923" s="42"/>
      <c r="Z923" s="42"/>
      <c r="AH923" s="6"/>
      <c r="AI923" s="6"/>
    </row>
    <row r="924" spans="1:35">
      <c r="A924" s="42"/>
      <c r="B924" s="42"/>
      <c r="C924" s="6"/>
      <c r="D924" s="42"/>
      <c r="E924" s="38"/>
      <c r="F924" s="188"/>
      <c r="G924" s="63"/>
      <c r="H924" s="58"/>
      <c r="I924" s="38"/>
      <c r="J924" s="38"/>
      <c r="K924" s="197"/>
      <c r="L924" s="47"/>
      <c r="M924" s="197"/>
      <c r="N924" s="197"/>
      <c r="O924" s="46"/>
      <c r="P924" s="198"/>
      <c r="Q924" s="14"/>
      <c r="R924" s="67"/>
      <c r="S924" s="67"/>
      <c r="T924" s="67"/>
      <c r="U924" s="52"/>
      <c r="V924" s="53"/>
      <c r="W924" s="60"/>
      <c r="X924" s="71"/>
      <c r="Y924" s="42"/>
      <c r="Z924" s="42"/>
      <c r="AH924" s="6"/>
      <c r="AI924" s="6"/>
    </row>
    <row r="925" spans="1:35">
      <c r="A925" s="42"/>
      <c r="B925" s="42"/>
      <c r="C925" s="6"/>
      <c r="D925" s="42"/>
      <c r="E925" s="38"/>
      <c r="F925" s="188"/>
      <c r="G925" s="63"/>
      <c r="H925" s="58"/>
      <c r="I925" s="38"/>
      <c r="J925" s="38"/>
      <c r="K925" s="197"/>
      <c r="L925" s="47"/>
      <c r="M925" s="197"/>
      <c r="N925" s="197"/>
      <c r="O925" s="46"/>
      <c r="P925" s="198"/>
      <c r="Q925" s="14"/>
      <c r="R925" s="67"/>
      <c r="S925" s="67"/>
      <c r="T925" s="67"/>
      <c r="U925" s="52"/>
      <c r="V925" s="53"/>
      <c r="W925" s="60"/>
      <c r="X925" s="71"/>
      <c r="Y925" s="42"/>
      <c r="Z925" s="42"/>
      <c r="AH925" s="6"/>
      <c r="AI925" s="6"/>
    </row>
    <row r="926" spans="1:35">
      <c r="A926" s="85"/>
      <c r="B926" s="42"/>
      <c r="C926" s="6"/>
      <c r="D926" s="42"/>
      <c r="E926" s="38"/>
      <c r="F926" s="188"/>
      <c r="G926" s="42"/>
      <c r="H926" s="45"/>
      <c r="I926" s="38"/>
      <c r="J926" s="38"/>
      <c r="K926" s="197"/>
      <c r="L926" s="47"/>
      <c r="M926" s="197"/>
      <c r="N926" s="197"/>
      <c r="O926" s="46"/>
      <c r="P926" s="198"/>
      <c r="Q926" s="14"/>
      <c r="R926" s="67"/>
      <c r="S926" s="67"/>
      <c r="T926" s="67"/>
      <c r="U926" s="52"/>
      <c r="V926" s="53"/>
      <c r="W926" s="60"/>
      <c r="X926" s="199"/>
      <c r="AH926" s="6"/>
      <c r="AI926" s="6"/>
    </row>
    <row r="927" spans="1:35">
      <c r="A927" s="42"/>
      <c r="B927" s="42"/>
      <c r="C927" s="6"/>
      <c r="D927" s="42"/>
      <c r="E927" s="38"/>
      <c r="F927" s="188"/>
      <c r="G927" s="42"/>
      <c r="H927" s="45"/>
      <c r="I927" s="38"/>
      <c r="J927" s="38"/>
      <c r="K927" s="197"/>
      <c r="L927" s="47"/>
      <c r="M927" s="197"/>
      <c r="N927" s="197"/>
      <c r="O927" s="46"/>
      <c r="P927" s="198"/>
      <c r="Q927" s="14"/>
      <c r="R927" s="67"/>
      <c r="S927" s="67"/>
      <c r="T927" s="67"/>
      <c r="U927" s="52"/>
      <c r="V927" s="53"/>
      <c r="W927" s="60"/>
      <c r="X927" s="199"/>
      <c r="AH927" s="6"/>
      <c r="AI927" s="6"/>
    </row>
    <row r="928" spans="1:35">
      <c r="A928" s="85"/>
      <c r="B928" s="42"/>
      <c r="C928" s="6"/>
      <c r="D928" s="42"/>
      <c r="E928" s="38"/>
      <c r="F928" s="188"/>
      <c r="G928" s="42"/>
      <c r="H928" s="58"/>
      <c r="I928" s="38"/>
      <c r="J928" s="38"/>
      <c r="K928" s="197"/>
      <c r="L928" s="47"/>
      <c r="M928" s="197"/>
      <c r="N928" s="197"/>
      <c r="O928" s="76"/>
      <c r="P928" s="198"/>
      <c r="Q928" s="14"/>
      <c r="R928" s="67"/>
      <c r="S928" s="67"/>
      <c r="T928" s="67"/>
      <c r="U928" s="52"/>
      <c r="V928" s="53"/>
      <c r="W928" s="60"/>
      <c r="X928" s="199"/>
      <c r="AH928" s="6"/>
      <c r="AI928" s="6"/>
    </row>
    <row r="929" spans="1:35">
      <c r="A929" s="38"/>
      <c r="B929" s="38"/>
      <c r="C929" s="6"/>
      <c r="D929" s="117"/>
      <c r="E929" s="38"/>
      <c r="F929" s="44"/>
      <c r="G929" s="38"/>
      <c r="H929" s="14"/>
      <c r="I929" s="38"/>
      <c r="J929" s="38"/>
      <c r="K929" s="197"/>
      <c r="L929" s="47"/>
      <c r="M929" s="197"/>
      <c r="N929" s="197"/>
      <c r="O929" s="117"/>
      <c r="P929" s="117"/>
      <c r="Q929" s="200"/>
      <c r="R929" s="119"/>
      <c r="S929" s="119"/>
      <c r="T929" s="119"/>
      <c r="U929" s="120"/>
      <c r="V929" s="121"/>
      <c r="W929" s="122"/>
      <c r="X929" s="123"/>
      <c r="Y929" s="117"/>
      <c r="Z929" s="117"/>
      <c r="AH929" s="6"/>
      <c r="AI929" s="6"/>
    </row>
    <row r="930" spans="1:35">
      <c r="A930" s="38"/>
      <c r="B930" s="38"/>
      <c r="C930" s="6"/>
      <c r="D930" s="117"/>
      <c r="E930" s="38"/>
      <c r="F930" s="44"/>
      <c r="G930" s="38"/>
      <c r="H930" s="14"/>
      <c r="I930" s="38"/>
      <c r="J930" s="38"/>
      <c r="K930" s="197"/>
      <c r="L930" s="47"/>
      <c r="M930" s="197"/>
      <c r="N930" s="197"/>
      <c r="O930" s="117"/>
      <c r="P930" s="117"/>
      <c r="Q930" s="200"/>
      <c r="R930" s="119"/>
      <c r="S930" s="119"/>
      <c r="T930" s="119"/>
      <c r="U930" s="120"/>
      <c r="V930" s="121"/>
      <c r="W930" s="122"/>
      <c r="X930" s="123"/>
      <c r="Y930" s="117"/>
      <c r="Z930" s="117"/>
      <c r="AH930" s="6"/>
      <c r="AI930" s="6"/>
    </row>
    <row r="931" spans="1:35">
      <c r="A931" s="38"/>
      <c r="B931" s="38"/>
      <c r="C931" s="6"/>
      <c r="D931" s="117"/>
      <c r="E931" s="38"/>
      <c r="F931" s="44"/>
      <c r="G931" s="38"/>
      <c r="H931" s="14"/>
      <c r="I931" s="38"/>
      <c r="J931" s="38"/>
      <c r="K931" s="197"/>
      <c r="L931" s="47"/>
      <c r="M931" s="197"/>
      <c r="N931" s="197"/>
      <c r="O931" s="117"/>
      <c r="P931" s="117"/>
      <c r="Q931" s="200"/>
      <c r="R931" s="119"/>
      <c r="S931" s="119"/>
      <c r="T931" s="119"/>
      <c r="U931" s="120"/>
      <c r="V931" s="121"/>
      <c r="W931" s="122"/>
      <c r="X931" s="123"/>
      <c r="Y931" s="117"/>
      <c r="Z931" s="117"/>
      <c r="AH931" s="6"/>
      <c r="AI931" s="6"/>
    </row>
    <row r="932" spans="1:35">
      <c r="A932" s="38"/>
      <c r="B932" s="38"/>
      <c r="C932" s="6"/>
      <c r="D932" s="117"/>
      <c r="E932" s="38"/>
      <c r="F932" s="44"/>
      <c r="G932" s="38"/>
      <c r="H932" s="14"/>
      <c r="I932" s="38"/>
      <c r="J932" s="38"/>
      <c r="K932" s="197"/>
      <c r="L932" s="47"/>
      <c r="M932" s="197"/>
      <c r="N932" s="197"/>
      <c r="O932" s="117"/>
      <c r="P932" s="117"/>
      <c r="Q932" s="200"/>
      <c r="R932" s="119"/>
      <c r="S932" s="119"/>
      <c r="T932" s="119"/>
      <c r="U932" s="120"/>
      <c r="V932" s="121"/>
      <c r="W932" s="122"/>
      <c r="X932" s="123"/>
      <c r="Y932" s="117"/>
      <c r="Z932" s="117"/>
      <c r="AH932" s="6"/>
      <c r="AI932" s="6"/>
    </row>
    <row r="933" spans="1:35">
      <c r="A933" s="38"/>
      <c r="B933" s="38"/>
      <c r="C933" s="6"/>
      <c r="D933" s="117"/>
      <c r="E933" s="38"/>
      <c r="F933" s="44"/>
      <c r="G933" s="38"/>
      <c r="H933" s="14"/>
      <c r="I933" s="38"/>
      <c r="J933" s="38"/>
      <c r="K933" s="197"/>
      <c r="L933" s="47"/>
      <c r="M933" s="197"/>
      <c r="N933" s="197"/>
      <c r="O933" s="117"/>
      <c r="P933" s="117"/>
      <c r="Q933" s="200"/>
      <c r="R933" s="119"/>
      <c r="S933" s="119"/>
      <c r="T933" s="119"/>
      <c r="U933" s="120"/>
      <c r="V933" s="121"/>
      <c r="W933" s="122"/>
      <c r="X933" s="123"/>
      <c r="Y933" s="117"/>
      <c r="Z933" s="117"/>
      <c r="AH933" s="6"/>
      <c r="AI933" s="6"/>
    </row>
    <row r="934" spans="1:35">
      <c r="A934" s="38"/>
      <c r="B934" s="38"/>
      <c r="C934" s="6"/>
      <c r="D934" s="117"/>
      <c r="E934" s="38"/>
      <c r="F934" s="44"/>
      <c r="G934" s="38"/>
      <c r="H934" s="14"/>
      <c r="I934" s="38"/>
      <c r="J934" s="38"/>
      <c r="K934" s="197"/>
      <c r="L934" s="47"/>
      <c r="M934" s="197"/>
      <c r="N934" s="197"/>
      <c r="O934" s="117"/>
      <c r="P934" s="117"/>
      <c r="Q934" s="200"/>
      <c r="R934" s="119"/>
      <c r="S934" s="119"/>
      <c r="T934" s="119"/>
      <c r="U934" s="120"/>
      <c r="V934" s="121"/>
      <c r="W934" s="122"/>
      <c r="X934" s="123"/>
      <c r="Y934" s="117"/>
      <c r="Z934" s="117"/>
      <c r="AH934" s="6"/>
      <c r="AI934" s="6"/>
    </row>
    <row r="935" spans="1:35">
      <c r="A935" s="38"/>
      <c r="B935" s="38"/>
      <c r="C935" s="6"/>
      <c r="D935" s="117"/>
      <c r="E935" s="38"/>
      <c r="F935" s="38"/>
      <c r="G935" s="38"/>
      <c r="H935" s="14"/>
      <c r="I935" s="38"/>
      <c r="J935" s="38"/>
      <c r="K935" s="197"/>
      <c r="L935" s="47"/>
      <c r="M935" s="197"/>
      <c r="N935" s="197"/>
      <c r="O935" s="117"/>
      <c r="P935" s="117"/>
      <c r="Q935" s="200"/>
      <c r="R935" s="119"/>
      <c r="S935" s="119"/>
      <c r="T935" s="119"/>
      <c r="U935" s="120"/>
      <c r="V935" s="121"/>
      <c r="W935" s="122"/>
      <c r="X935" s="123"/>
      <c r="Y935" s="117"/>
      <c r="Z935" s="117"/>
      <c r="AH935" s="6"/>
      <c r="AI935" s="6"/>
    </row>
    <row r="936" spans="1:35">
      <c r="A936" s="117"/>
      <c r="B936" s="117"/>
      <c r="C936" s="6"/>
      <c r="D936" s="117"/>
      <c r="E936" s="117"/>
      <c r="F936" s="117"/>
      <c r="G936" s="117"/>
      <c r="H936" s="117"/>
      <c r="I936" s="117"/>
      <c r="J936" s="117"/>
      <c r="K936" s="197"/>
      <c r="L936" s="117"/>
      <c r="M936" s="197"/>
      <c r="N936" s="197"/>
      <c r="O936" s="117"/>
      <c r="P936" s="117"/>
      <c r="Q936" s="200"/>
      <c r="R936" s="119"/>
      <c r="S936" s="119"/>
      <c r="T936" s="119"/>
      <c r="U936" s="120"/>
      <c r="V936" s="121"/>
      <c r="W936" s="122"/>
      <c r="X936" s="123"/>
      <c r="Y936" s="117"/>
      <c r="Z936" s="117"/>
      <c r="AH936" s="6"/>
      <c r="AI936" s="6"/>
    </row>
    <row r="937" spans="1:35">
      <c r="A937" s="117"/>
      <c r="B937" s="117"/>
      <c r="C937" s="6"/>
      <c r="D937" s="117"/>
      <c r="E937" s="117"/>
      <c r="F937" s="117"/>
      <c r="G937" s="117"/>
      <c r="H937" s="117"/>
      <c r="I937" s="117"/>
      <c r="J937" s="117"/>
      <c r="K937" s="197"/>
      <c r="L937" s="117"/>
      <c r="M937" s="197"/>
      <c r="N937" s="197"/>
      <c r="O937" s="117"/>
      <c r="P937" s="117"/>
      <c r="Q937" s="200"/>
      <c r="R937" s="119"/>
      <c r="S937" s="119"/>
      <c r="T937" s="119"/>
      <c r="U937" s="120"/>
      <c r="V937" s="121"/>
      <c r="W937" s="122"/>
      <c r="X937" s="123"/>
      <c r="Y937" s="117"/>
      <c r="Z937" s="117"/>
      <c r="AH937" s="6"/>
      <c r="AI937" s="6"/>
    </row>
    <row r="938" spans="1:35">
      <c r="A938" s="117"/>
      <c r="B938" s="117"/>
      <c r="C938" s="6"/>
      <c r="D938" s="117"/>
      <c r="E938" s="117"/>
      <c r="F938" s="117"/>
      <c r="G938" s="117"/>
      <c r="H938" s="117"/>
      <c r="I938" s="117"/>
      <c r="J938" s="117"/>
      <c r="K938" s="197"/>
      <c r="L938" s="117"/>
      <c r="M938" s="197"/>
      <c r="N938" s="197"/>
      <c r="O938" s="117"/>
      <c r="P938" s="117"/>
      <c r="Q938" s="200"/>
      <c r="R938" s="119"/>
      <c r="S938" s="119"/>
      <c r="T938" s="119"/>
      <c r="U938" s="120"/>
      <c r="V938" s="121"/>
      <c r="W938" s="122"/>
      <c r="X938" s="123"/>
      <c r="Y938" s="117"/>
      <c r="Z938" s="117"/>
      <c r="AH938" s="6"/>
      <c r="AI938" s="6"/>
    </row>
    <row r="939" spans="1:35">
      <c r="A939" s="117"/>
      <c r="B939" s="117"/>
      <c r="C939" s="6"/>
      <c r="D939" s="117"/>
      <c r="E939" s="117"/>
      <c r="F939" s="117"/>
      <c r="G939" s="117"/>
      <c r="H939" s="117"/>
      <c r="I939" s="117"/>
      <c r="J939" s="117"/>
      <c r="K939" s="197"/>
      <c r="L939" s="117"/>
      <c r="M939" s="197"/>
      <c r="N939" s="197"/>
      <c r="O939" s="117"/>
      <c r="P939" s="117"/>
      <c r="Q939" s="200"/>
      <c r="R939" s="119"/>
      <c r="S939" s="119"/>
      <c r="T939" s="119"/>
      <c r="U939" s="120"/>
      <c r="V939" s="121"/>
      <c r="W939" s="122"/>
      <c r="X939" s="123"/>
      <c r="Y939" s="117"/>
      <c r="Z939" s="117"/>
      <c r="AH939" s="6"/>
      <c r="AI939" s="6"/>
    </row>
    <row r="940" spans="1:35">
      <c r="A940" s="117"/>
      <c r="B940" s="117"/>
      <c r="C940" s="6"/>
      <c r="D940" s="117"/>
      <c r="E940" s="117"/>
      <c r="F940" s="117"/>
      <c r="G940" s="117"/>
      <c r="H940" s="117"/>
      <c r="I940" s="117"/>
      <c r="J940" s="117"/>
      <c r="K940" s="197"/>
      <c r="L940" s="117"/>
      <c r="M940" s="197"/>
      <c r="N940" s="197"/>
      <c r="O940" s="117"/>
      <c r="P940" s="117"/>
      <c r="Q940" s="200"/>
      <c r="R940" s="119"/>
      <c r="S940" s="119"/>
      <c r="T940" s="119"/>
      <c r="U940" s="120"/>
      <c r="V940" s="121"/>
      <c r="W940" s="122"/>
      <c r="X940" s="123"/>
      <c r="Y940" s="117"/>
      <c r="Z940" s="117"/>
      <c r="AH940" s="6"/>
      <c r="AI940" s="6"/>
    </row>
    <row r="941" spans="1:35">
      <c r="A941" s="117"/>
      <c r="B941" s="117"/>
      <c r="C941" s="6"/>
      <c r="D941" s="117"/>
      <c r="E941" s="117"/>
      <c r="F941" s="117"/>
      <c r="G941" s="117"/>
      <c r="H941" s="117"/>
      <c r="I941" s="117"/>
      <c r="J941" s="117"/>
      <c r="K941" s="197"/>
      <c r="L941" s="117"/>
      <c r="M941" s="197"/>
      <c r="N941" s="197"/>
      <c r="O941" s="117"/>
      <c r="P941" s="117"/>
      <c r="Q941" s="200"/>
      <c r="R941" s="119"/>
      <c r="S941" s="119"/>
      <c r="T941" s="119"/>
      <c r="U941" s="120"/>
      <c r="V941" s="121"/>
      <c r="W941" s="122"/>
      <c r="X941" s="123"/>
      <c r="Y941" s="117"/>
      <c r="Z941" s="117"/>
      <c r="AH941" s="6"/>
      <c r="AI941" s="6"/>
    </row>
    <row r="942" spans="1:35">
      <c r="A942" s="117"/>
      <c r="B942" s="117"/>
      <c r="C942" s="6"/>
      <c r="D942" s="117"/>
      <c r="E942" s="117"/>
      <c r="F942" s="117"/>
      <c r="G942" s="117"/>
      <c r="H942" s="117"/>
      <c r="I942" s="117"/>
      <c r="J942" s="117"/>
      <c r="K942" s="197"/>
      <c r="L942" s="117"/>
      <c r="M942" s="197"/>
      <c r="N942" s="197"/>
      <c r="O942" s="117"/>
      <c r="P942" s="117"/>
      <c r="Q942" s="200"/>
      <c r="R942" s="119"/>
      <c r="S942" s="119"/>
      <c r="T942" s="119"/>
      <c r="U942" s="120"/>
      <c r="V942" s="121"/>
      <c r="W942" s="122"/>
      <c r="X942" s="123"/>
      <c r="Y942" s="117"/>
      <c r="Z942" s="117"/>
      <c r="AH942" s="6"/>
      <c r="AI942" s="6"/>
    </row>
    <row r="943" spans="1:35">
      <c r="A943" s="117"/>
      <c r="B943" s="117"/>
      <c r="C943" s="6"/>
      <c r="D943" s="117"/>
      <c r="E943" s="117"/>
      <c r="F943" s="117"/>
      <c r="G943" s="117"/>
      <c r="H943" s="117"/>
      <c r="I943" s="117"/>
      <c r="J943" s="117"/>
      <c r="K943" s="197"/>
      <c r="L943" s="117"/>
      <c r="M943" s="197"/>
      <c r="N943" s="197"/>
      <c r="O943" s="117"/>
      <c r="P943" s="117"/>
      <c r="Q943" s="200"/>
      <c r="R943" s="119"/>
      <c r="S943" s="119"/>
      <c r="T943" s="119"/>
      <c r="U943" s="120"/>
      <c r="V943" s="121"/>
      <c r="W943" s="122"/>
      <c r="X943" s="123"/>
      <c r="Y943" s="117"/>
      <c r="Z943" s="117"/>
      <c r="AH943" s="6"/>
      <c r="AI943" s="6"/>
    </row>
    <row r="944" spans="1:35">
      <c r="A944" s="117"/>
      <c r="B944" s="117"/>
      <c r="C944" s="6"/>
      <c r="D944" s="117"/>
      <c r="E944" s="117"/>
      <c r="F944" s="117"/>
      <c r="G944" s="117"/>
      <c r="H944" s="117"/>
      <c r="I944" s="117"/>
      <c r="J944" s="117"/>
      <c r="K944" s="197"/>
      <c r="L944" s="117"/>
      <c r="M944" s="197"/>
      <c r="N944" s="197"/>
      <c r="O944" s="117"/>
      <c r="P944" s="117"/>
      <c r="Q944" s="200"/>
      <c r="R944" s="119"/>
      <c r="S944" s="119"/>
      <c r="T944" s="119"/>
      <c r="U944" s="120"/>
      <c r="V944" s="121"/>
      <c r="W944" s="122"/>
      <c r="X944" s="123"/>
      <c r="Y944" s="117"/>
      <c r="Z944" s="117"/>
      <c r="AH944" s="6"/>
      <c r="AI944" s="6"/>
    </row>
    <row r="945" spans="1:35">
      <c r="A945" s="117"/>
      <c r="B945" s="117"/>
      <c r="C945" s="6"/>
      <c r="D945" s="117"/>
      <c r="E945" s="117"/>
      <c r="F945" s="117"/>
      <c r="G945" s="117"/>
      <c r="H945" s="117"/>
      <c r="I945" s="117"/>
      <c r="J945" s="117"/>
      <c r="K945" s="197"/>
      <c r="L945" s="117"/>
      <c r="M945" s="197"/>
      <c r="N945" s="197"/>
      <c r="O945" s="117"/>
      <c r="P945" s="117"/>
      <c r="Q945" s="200"/>
      <c r="R945" s="119"/>
      <c r="S945" s="119"/>
      <c r="T945" s="119"/>
      <c r="U945" s="120"/>
      <c r="V945" s="121"/>
      <c r="W945" s="122"/>
      <c r="X945" s="123"/>
      <c r="Y945" s="117"/>
      <c r="Z945" s="117"/>
      <c r="AH945" s="6"/>
      <c r="AI945" s="6"/>
    </row>
    <row r="946" spans="1:35">
      <c r="A946" s="117"/>
      <c r="B946" s="117"/>
      <c r="C946" s="6"/>
      <c r="D946" s="117"/>
      <c r="E946" s="117"/>
      <c r="F946" s="117"/>
      <c r="G946" s="117"/>
      <c r="H946" s="117"/>
      <c r="I946" s="117"/>
      <c r="J946" s="117"/>
      <c r="K946" s="197"/>
      <c r="L946" s="117"/>
      <c r="M946" s="197"/>
      <c r="N946" s="197"/>
      <c r="O946" s="117"/>
      <c r="P946" s="117"/>
      <c r="Q946" s="200"/>
      <c r="R946" s="119"/>
      <c r="S946" s="119"/>
      <c r="T946" s="119"/>
      <c r="U946" s="120"/>
      <c r="V946" s="121"/>
      <c r="W946" s="122"/>
      <c r="X946" s="123"/>
      <c r="Y946" s="117"/>
      <c r="Z946" s="117"/>
      <c r="AH946" s="6"/>
      <c r="AI946" s="6"/>
    </row>
    <row r="947" spans="1:35">
      <c r="A947" s="117"/>
      <c r="B947" s="117"/>
      <c r="C947" s="6"/>
      <c r="D947" s="117"/>
      <c r="E947" s="117"/>
      <c r="F947" s="117"/>
      <c r="G947" s="117"/>
      <c r="H947" s="117"/>
      <c r="I947" s="117"/>
      <c r="J947" s="117"/>
      <c r="K947" s="197"/>
      <c r="L947" s="117"/>
      <c r="M947" s="197"/>
      <c r="N947" s="197"/>
      <c r="O947" s="117"/>
      <c r="P947" s="117"/>
      <c r="Q947" s="200"/>
      <c r="R947" s="119"/>
      <c r="S947" s="119"/>
      <c r="T947" s="119"/>
      <c r="U947" s="120"/>
      <c r="V947" s="121"/>
      <c r="W947" s="122"/>
      <c r="X947" s="123"/>
      <c r="Y947" s="117"/>
      <c r="Z947" s="117"/>
      <c r="AH947" s="6"/>
      <c r="AI947" s="6"/>
    </row>
    <row r="948" spans="1:35">
      <c r="A948" s="117"/>
      <c r="B948" s="117"/>
      <c r="C948" s="6"/>
      <c r="D948" s="117"/>
      <c r="E948" s="117"/>
      <c r="F948" s="117"/>
      <c r="G948" s="117"/>
      <c r="H948" s="117"/>
      <c r="I948" s="117"/>
      <c r="J948" s="117"/>
      <c r="K948" s="197"/>
      <c r="L948" s="117"/>
      <c r="M948" s="197"/>
      <c r="N948" s="197"/>
      <c r="O948" s="117"/>
      <c r="P948" s="117"/>
      <c r="Q948" s="200"/>
      <c r="R948" s="119"/>
      <c r="S948" s="119"/>
      <c r="T948" s="119"/>
      <c r="U948" s="120"/>
      <c r="V948" s="121"/>
      <c r="W948" s="122"/>
      <c r="X948" s="123"/>
      <c r="Y948" s="117"/>
      <c r="Z948" s="117"/>
      <c r="AH948" s="6"/>
      <c r="AI948" s="6"/>
    </row>
    <row r="949" spans="1:35">
      <c r="A949" s="117"/>
      <c r="B949" s="117"/>
      <c r="C949" s="6"/>
      <c r="D949" s="117"/>
      <c r="E949" s="117"/>
      <c r="F949" s="117"/>
      <c r="G949" s="117"/>
      <c r="H949" s="117"/>
      <c r="I949" s="117"/>
      <c r="J949" s="117"/>
      <c r="K949" s="197"/>
      <c r="L949" s="117"/>
      <c r="M949" s="197"/>
      <c r="N949" s="197"/>
      <c r="O949" s="117"/>
      <c r="P949" s="117"/>
      <c r="Q949" s="200"/>
      <c r="R949" s="119"/>
      <c r="S949" s="119"/>
      <c r="T949" s="119"/>
      <c r="U949" s="120"/>
      <c r="V949" s="121"/>
      <c r="W949" s="122"/>
      <c r="X949" s="123"/>
      <c r="Y949" s="117"/>
      <c r="Z949" s="117"/>
      <c r="AH949" s="6"/>
      <c r="AI949" s="6"/>
    </row>
    <row r="950" spans="1:35">
      <c r="A950" s="117"/>
      <c r="B950" s="117"/>
      <c r="C950" s="6"/>
      <c r="D950" s="117"/>
      <c r="E950" s="117"/>
      <c r="F950" s="117"/>
      <c r="G950" s="117"/>
      <c r="H950" s="117"/>
      <c r="I950" s="117"/>
      <c r="J950" s="117"/>
      <c r="K950" s="197"/>
      <c r="L950" s="117"/>
      <c r="M950" s="197"/>
      <c r="N950" s="197"/>
      <c r="O950" s="117"/>
      <c r="P950" s="117"/>
      <c r="Q950" s="200"/>
      <c r="R950" s="119"/>
      <c r="S950" s="119"/>
      <c r="T950" s="119"/>
      <c r="U950" s="120"/>
      <c r="V950" s="121"/>
      <c r="W950" s="122"/>
      <c r="X950" s="123"/>
      <c r="Y950" s="117"/>
      <c r="Z950" s="117"/>
      <c r="AH950" s="6"/>
      <c r="AI950" s="6"/>
    </row>
    <row r="951" spans="1:35">
      <c r="A951" s="117"/>
      <c r="B951" s="117"/>
      <c r="C951" s="6"/>
      <c r="D951" s="117"/>
      <c r="E951" s="117"/>
      <c r="F951" s="117"/>
      <c r="G951" s="117"/>
      <c r="H951" s="117"/>
      <c r="I951" s="117"/>
      <c r="J951" s="117"/>
      <c r="K951" s="197"/>
      <c r="L951" s="117"/>
      <c r="M951" s="197"/>
      <c r="N951" s="197"/>
      <c r="O951" s="117"/>
      <c r="P951" s="117"/>
      <c r="Q951" s="200"/>
      <c r="R951" s="119"/>
      <c r="S951" s="119"/>
      <c r="T951" s="119"/>
      <c r="U951" s="120"/>
      <c r="V951" s="121"/>
      <c r="W951" s="122"/>
      <c r="X951" s="123"/>
      <c r="Y951" s="117"/>
      <c r="Z951" s="117"/>
      <c r="AH951" s="6"/>
      <c r="AI951" s="6"/>
    </row>
    <row r="952" spans="1:35">
      <c r="A952" s="117"/>
      <c r="B952" s="117"/>
      <c r="C952" s="6"/>
      <c r="D952" s="117"/>
      <c r="E952" s="117"/>
      <c r="F952" s="117"/>
      <c r="G952" s="117"/>
      <c r="H952" s="117"/>
      <c r="I952" s="117"/>
      <c r="J952" s="117"/>
      <c r="K952" s="197"/>
      <c r="L952" s="117"/>
      <c r="M952" s="197"/>
      <c r="N952" s="197"/>
      <c r="O952" s="117"/>
      <c r="P952" s="117"/>
      <c r="Q952" s="200"/>
      <c r="R952" s="119"/>
      <c r="S952" s="119"/>
      <c r="T952" s="119"/>
      <c r="U952" s="120"/>
      <c r="V952" s="121"/>
      <c r="W952" s="122"/>
      <c r="X952" s="123"/>
      <c r="Y952" s="117"/>
      <c r="Z952" s="117"/>
      <c r="AH952" s="6"/>
      <c r="AI952" s="6"/>
    </row>
    <row r="953" spans="1:35">
      <c r="A953" s="117"/>
      <c r="B953" s="117"/>
      <c r="C953" s="6"/>
      <c r="D953" s="117"/>
      <c r="E953" s="117"/>
      <c r="F953" s="117"/>
      <c r="G953" s="117"/>
      <c r="H953" s="117"/>
      <c r="I953" s="117"/>
      <c r="J953" s="117"/>
      <c r="K953" s="197"/>
      <c r="L953" s="117"/>
      <c r="M953" s="197"/>
      <c r="N953" s="197"/>
      <c r="O953" s="117"/>
      <c r="P953" s="117"/>
      <c r="Q953" s="200"/>
      <c r="R953" s="119"/>
      <c r="S953" s="119"/>
      <c r="T953" s="119"/>
      <c r="U953" s="120"/>
      <c r="V953" s="121"/>
      <c r="W953" s="122"/>
      <c r="X953" s="123"/>
      <c r="Y953" s="117"/>
      <c r="Z953" s="117"/>
      <c r="AH953" s="6"/>
      <c r="AI953" s="6"/>
    </row>
    <row r="954" spans="1:35">
      <c r="A954" s="117"/>
      <c r="B954" s="117"/>
      <c r="C954" s="6"/>
      <c r="D954" s="117"/>
      <c r="E954" s="117"/>
      <c r="F954" s="117"/>
      <c r="G954" s="117"/>
      <c r="H954" s="117"/>
      <c r="I954" s="117"/>
      <c r="J954" s="117"/>
      <c r="K954" s="197"/>
      <c r="L954" s="117"/>
      <c r="M954" s="197"/>
      <c r="N954" s="197"/>
      <c r="O954" s="117"/>
      <c r="P954" s="117"/>
      <c r="Q954" s="200"/>
      <c r="R954" s="119"/>
      <c r="S954" s="119"/>
      <c r="T954" s="119"/>
      <c r="U954" s="120"/>
      <c r="V954" s="121"/>
      <c r="W954" s="122"/>
      <c r="X954" s="123"/>
      <c r="Y954" s="117"/>
      <c r="Z954" s="117"/>
      <c r="AH954" s="6"/>
      <c r="AI954" s="6"/>
    </row>
    <row r="955" spans="1:35">
      <c r="A955" s="117"/>
      <c r="B955" s="117"/>
      <c r="C955" s="6"/>
      <c r="D955" s="117"/>
      <c r="E955" s="117"/>
      <c r="F955" s="117"/>
      <c r="G955" s="117"/>
      <c r="H955" s="117"/>
      <c r="I955" s="117"/>
      <c r="J955" s="117"/>
      <c r="K955" s="197"/>
      <c r="L955" s="117"/>
      <c r="M955" s="197"/>
      <c r="N955" s="197"/>
      <c r="O955" s="117"/>
      <c r="P955" s="117"/>
      <c r="Q955" s="200"/>
      <c r="R955" s="119"/>
      <c r="S955" s="119"/>
      <c r="T955" s="119"/>
      <c r="U955" s="120"/>
      <c r="V955" s="121"/>
      <c r="W955" s="122"/>
      <c r="X955" s="123"/>
      <c r="Y955" s="117"/>
      <c r="Z955" s="117"/>
      <c r="AH955" s="6"/>
      <c r="AI955" s="6"/>
    </row>
    <row r="956" spans="1:35">
      <c r="A956" s="117"/>
      <c r="B956" s="117"/>
      <c r="C956" s="6"/>
      <c r="D956" s="117"/>
      <c r="E956" s="117"/>
      <c r="F956" s="117"/>
      <c r="G956" s="117"/>
      <c r="H956" s="117"/>
      <c r="I956" s="117"/>
      <c r="J956" s="117"/>
      <c r="K956" s="197"/>
      <c r="L956" s="117"/>
      <c r="M956" s="197"/>
      <c r="N956" s="197"/>
      <c r="O956" s="117"/>
      <c r="P956" s="117"/>
      <c r="Q956" s="200"/>
      <c r="R956" s="119"/>
      <c r="S956" s="119"/>
      <c r="T956" s="119"/>
      <c r="U956" s="120"/>
      <c r="V956" s="121"/>
      <c r="W956" s="122"/>
      <c r="X956" s="123"/>
      <c r="Y956" s="117"/>
      <c r="Z956" s="117"/>
      <c r="AH956" s="6"/>
      <c r="AI956" s="6"/>
    </row>
    <row r="957" spans="1:35">
      <c r="A957" s="117"/>
      <c r="B957" s="117"/>
      <c r="C957" s="6"/>
      <c r="D957" s="117"/>
      <c r="E957" s="117"/>
      <c r="F957" s="117"/>
      <c r="G957" s="117"/>
      <c r="H957" s="117"/>
      <c r="I957" s="117"/>
      <c r="J957" s="117"/>
      <c r="K957" s="197"/>
      <c r="L957" s="117"/>
      <c r="M957" s="197"/>
      <c r="N957" s="197"/>
      <c r="O957" s="117"/>
      <c r="P957" s="117"/>
      <c r="Q957" s="200"/>
      <c r="R957" s="119"/>
      <c r="S957" s="119"/>
      <c r="T957" s="119"/>
      <c r="U957" s="120"/>
      <c r="V957" s="121"/>
      <c r="W957" s="122"/>
      <c r="X957" s="123"/>
      <c r="Y957" s="117"/>
      <c r="Z957" s="117"/>
      <c r="AH957" s="6"/>
      <c r="AI957" s="6"/>
    </row>
    <row r="958" spans="1:35">
      <c r="A958" s="117"/>
      <c r="B958" s="117"/>
      <c r="C958" s="6"/>
      <c r="D958" s="117"/>
      <c r="E958" s="117"/>
      <c r="F958" s="117"/>
      <c r="G958" s="117"/>
      <c r="H958" s="117"/>
      <c r="I958" s="117"/>
      <c r="J958" s="117"/>
      <c r="K958" s="197"/>
      <c r="L958" s="117"/>
      <c r="M958" s="197"/>
      <c r="N958" s="197"/>
      <c r="O958" s="117"/>
      <c r="P958" s="117"/>
      <c r="Q958" s="200"/>
      <c r="R958" s="119"/>
      <c r="S958" s="119"/>
      <c r="T958" s="119"/>
      <c r="U958" s="120"/>
      <c r="V958" s="121"/>
      <c r="W958" s="122"/>
      <c r="X958" s="123"/>
      <c r="Y958" s="117"/>
      <c r="Z958" s="117"/>
      <c r="AH958" s="6"/>
      <c r="AI958" s="6"/>
    </row>
    <row r="959" spans="1:35">
      <c r="A959" s="117"/>
      <c r="B959" s="117"/>
      <c r="C959" s="6"/>
      <c r="D959" s="117"/>
      <c r="E959" s="117"/>
      <c r="F959" s="117"/>
      <c r="G959" s="117"/>
      <c r="H959" s="117"/>
      <c r="I959" s="117"/>
      <c r="J959" s="117"/>
      <c r="K959" s="197"/>
      <c r="L959" s="117"/>
      <c r="M959" s="197"/>
      <c r="N959" s="197"/>
      <c r="O959" s="117"/>
      <c r="P959" s="117"/>
      <c r="Q959" s="200"/>
      <c r="R959" s="119"/>
      <c r="S959" s="119"/>
      <c r="T959" s="119"/>
      <c r="U959" s="120"/>
      <c r="V959" s="121"/>
      <c r="W959" s="122"/>
      <c r="X959" s="123"/>
      <c r="Y959" s="117"/>
      <c r="Z959" s="117"/>
      <c r="AH959" s="6"/>
      <c r="AI959" s="6"/>
    </row>
    <row r="960" spans="1:35">
      <c r="A960" s="117"/>
      <c r="B960" s="117"/>
      <c r="C960" s="6"/>
      <c r="D960" s="117"/>
      <c r="E960" s="117"/>
      <c r="F960" s="117"/>
      <c r="G960" s="117"/>
      <c r="H960" s="117"/>
      <c r="I960" s="117"/>
      <c r="J960" s="117"/>
      <c r="K960" s="197"/>
      <c r="L960" s="117"/>
      <c r="M960" s="197"/>
      <c r="N960" s="197"/>
      <c r="O960" s="117"/>
      <c r="P960" s="117"/>
      <c r="Q960" s="200"/>
      <c r="R960" s="119"/>
      <c r="S960" s="119"/>
      <c r="T960" s="119"/>
      <c r="U960" s="120"/>
      <c r="V960" s="121"/>
      <c r="W960" s="122"/>
      <c r="X960" s="123"/>
      <c r="Y960" s="117"/>
      <c r="Z960" s="117"/>
      <c r="AH960" s="6"/>
      <c r="AI960" s="6"/>
    </row>
    <row r="961" spans="1:35">
      <c r="A961" s="117"/>
      <c r="B961" s="117"/>
      <c r="C961" s="6"/>
      <c r="D961" s="117"/>
      <c r="E961" s="117"/>
      <c r="F961" s="117"/>
      <c r="G961" s="117"/>
      <c r="H961" s="117"/>
      <c r="I961" s="117"/>
      <c r="J961" s="117"/>
      <c r="K961" s="197"/>
      <c r="L961" s="117"/>
      <c r="M961" s="197"/>
      <c r="N961" s="197"/>
      <c r="O961" s="117"/>
      <c r="P961" s="117"/>
      <c r="Q961" s="200"/>
      <c r="R961" s="119"/>
      <c r="S961" s="119"/>
      <c r="T961" s="119"/>
      <c r="U961" s="120"/>
      <c r="V961" s="121"/>
      <c r="W961" s="122"/>
      <c r="X961" s="123"/>
      <c r="Y961" s="117"/>
      <c r="Z961" s="117"/>
      <c r="AH961" s="6"/>
      <c r="AI961" s="6"/>
    </row>
    <row r="962" spans="1:35">
      <c r="A962" s="117"/>
      <c r="B962" s="117"/>
      <c r="C962" s="6"/>
      <c r="D962" s="117"/>
      <c r="E962" s="117"/>
      <c r="F962" s="117"/>
      <c r="G962" s="117"/>
      <c r="H962" s="117"/>
      <c r="I962" s="117"/>
      <c r="J962" s="117"/>
      <c r="K962" s="197"/>
      <c r="L962" s="117"/>
      <c r="M962" s="197"/>
      <c r="N962" s="197"/>
      <c r="O962" s="117"/>
      <c r="P962" s="117"/>
      <c r="Q962" s="200"/>
      <c r="R962" s="119"/>
      <c r="S962" s="119"/>
      <c r="T962" s="119"/>
      <c r="U962" s="120"/>
      <c r="V962" s="121"/>
      <c r="W962" s="122"/>
      <c r="X962" s="123"/>
      <c r="Y962" s="117"/>
      <c r="Z962" s="117"/>
      <c r="AH962" s="6"/>
      <c r="AI962" s="6"/>
    </row>
    <row r="963" spans="1:35">
      <c r="A963" s="117"/>
      <c r="B963" s="117"/>
      <c r="C963" s="6"/>
      <c r="D963" s="117"/>
      <c r="E963" s="117"/>
      <c r="F963" s="117"/>
      <c r="G963" s="117"/>
      <c r="H963" s="117"/>
      <c r="I963" s="117"/>
      <c r="J963" s="117"/>
      <c r="K963" s="197"/>
      <c r="L963" s="117"/>
      <c r="M963" s="197"/>
      <c r="N963" s="197"/>
      <c r="O963" s="117"/>
      <c r="P963" s="117"/>
      <c r="Q963" s="200"/>
      <c r="R963" s="119"/>
      <c r="S963" s="119"/>
      <c r="T963" s="119"/>
      <c r="U963" s="120"/>
      <c r="V963" s="121"/>
      <c r="W963" s="122"/>
      <c r="X963" s="123"/>
      <c r="Y963" s="117"/>
      <c r="Z963" s="117"/>
      <c r="AH963" s="6"/>
      <c r="AI963" s="6"/>
    </row>
    <row r="964" spans="1:35">
      <c r="A964" s="117"/>
      <c r="B964" s="117"/>
      <c r="C964" s="6"/>
      <c r="D964" s="117"/>
      <c r="E964" s="117"/>
      <c r="F964" s="117"/>
      <c r="G964" s="117"/>
      <c r="H964" s="117"/>
      <c r="I964" s="117"/>
      <c r="J964" s="117"/>
      <c r="K964" s="197"/>
      <c r="L964" s="117"/>
      <c r="M964" s="197"/>
      <c r="N964" s="197"/>
      <c r="O964" s="117"/>
      <c r="P964" s="117"/>
      <c r="Q964" s="200"/>
      <c r="R964" s="119"/>
      <c r="S964" s="119"/>
      <c r="T964" s="119"/>
      <c r="U964" s="120"/>
      <c r="V964" s="121"/>
      <c r="W964" s="122"/>
      <c r="X964" s="123"/>
      <c r="Y964" s="117"/>
      <c r="Z964" s="117"/>
      <c r="AH964" s="6"/>
      <c r="AI964" s="6"/>
    </row>
    <row r="965" spans="1:35">
      <c r="A965" s="117"/>
      <c r="B965" s="117"/>
      <c r="C965" s="6"/>
      <c r="D965" s="117"/>
      <c r="E965" s="117"/>
      <c r="F965" s="117"/>
      <c r="G965" s="117"/>
      <c r="H965" s="117"/>
      <c r="I965" s="117"/>
      <c r="J965" s="117"/>
      <c r="K965" s="197"/>
      <c r="L965" s="117"/>
      <c r="M965" s="197"/>
      <c r="N965" s="197"/>
      <c r="O965" s="117"/>
      <c r="P965" s="117"/>
      <c r="Q965" s="200"/>
      <c r="R965" s="119"/>
      <c r="S965" s="119"/>
      <c r="T965" s="119"/>
      <c r="U965" s="120"/>
      <c r="V965" s="121"/>
      <c r="W965" s="122"/>
      <c r="X965" s="123"/>
      <c r="Y965" s="117"/>
      <c r="Z965" s="117"/>
      <c r="AH965" s="6"/>
      <c r="AI965" s="6"/>
    </row>
    <row r="966" spans="1:35">
      <c r="A966" s="117"/>
      <c r="B966" s="117"/>
      <c r="C966" s="6"/>
      <c r="D966" s="117"/>
      <c r="E966" s="117"/>
      <c r="F966" s="117"/>
      <c r="G966" s="117"/>
      <c r="H966" s="117"/>
      <c r="I966" s="117"/>
      <c r="J966" s="117"/>
      <c r="K966" s="197"/>
      <c r="L966" s="117"/>
      <c r="M966" s="197"/>
      <c r="N966" s="197"/>
      <c r="O966" s="117"/>
      <c r="P966" s="117"/>
      <c r="Q966" s="200"/>
      <c r="R966" s="119"/>
      <c r="S966" s="119"/>
      <c r="T966" s="119"/>
      <c r="U966" s="120"/>
      <c r="V966" s="121"/>
      <c r="W966" s="122"/>
      <c r="X966" s="123"/>
      <c r="Y966" s="117"/>
      <c r="Z966" s="117"/>
      <c r="AH966" s="6"/>
      <c r="AI966" s="6"/>
    </row>
    <row r="967" spans="1:35">
      <c r="A967" s="117"/>
      <c r="B967" s="117"/>
      <c r="C967" s="6"/>
      <c r="D967" s="117"/>
      <c r="E967" s="117"/>
      <c r="F967" s="117"/>
      <c r="G967" s="117"/>
      <c r="H967" s="117"/>
      <c r="I967" s="117"/>
      <c r="J967" s="117"/>
      <c r="K967" s="197"/>
      <c r="L967" s="117"/>
      <c r="M967" s="197"/>
      <c r="N967" s="197"/>
      <c r="O967" s="117"/>
      <c r="P967" s="117"/>
      <c r="Q967" s="200"/>
      <c r="R967" s="119"/>
      <c r="S967" s="119"/>
      <c r="T967" s="119"/>
      <c r="U967" s="120"/>
      <c r="V967" s="121"/>
      <c r="W967" s="122"/>
      <c r="X967" s="123"/>
      <c r="Y967" s="117"/>
      <c r="Z967" s="117"/>
      <c r="AH967" s="6"/>
      <c r="AI967" s="6"/>
    </row>
    <row r="968" spans="1:35">
      <c r="A968" s="117"/>
      <c r="B968" s="117"/>
      <c r="C968" s="6"/>
      <c r="D968" s="117"/>
      <c r="E968" s="117"/>
      <c r="F968" s="117"/>
      <c r="G968" s="117"/>
      <c r="H968" s="117"/>
      <c r="I968" s="117"/>
      <c r="J968" s="117"/>
      <c r="K968" s="197"/>
      <c r="L968" s="117"/>
      <c r="M968" s="197"/>
      <c r="N968" s="197"/>
      <c r="O968" s="117"/>
      <c r="P968" s="117"/>
      <c r="Q968" s="200"/>
      <c r="R968" s="119"/>
      <c r="S968" s="119"/>
      <c r="T968" s="119"/>
      <c r="U968" s="120"/>
      <c r="V968" s="121"/>
      <c r="W968" s="122"/>
      <c r="X968" s="123"/>
      <c r="Y968" s="117"/>
      <c r="Z968" s="117"/>
      <c r="AH968" s="6"/>
      <c r="AI968" s="6"/>
    </row>
    <row r="969" spans="1:35">
      <c r="A969" s="117"/>
      <c r="B969" s="117"/>
      <c r="C969" s="6"/>
      <c r="D969" s="117"/>
      <c r="E969" s="117"/>
      <c r="F969" s="117"/>
      <c r="G969" s="117"/>
      <c r="H969" s="117"/>
      <c r="I969" s="117"/>
      <c r="J969" s="117"/>
      <c r="K969" s="197"/>
      <c r="L969" s="117"/>
      <c r="M969" s="197"/>
      <c r="N969" s="197"/>
      <c r="O969" s="117"/>
      <c r="P969" s="117"/>
      <c r="Q969" s="200"/>
      <c r="R969" s="119"/>
      <c r="S969" s="119"/>
      <c r="T969" s="119"/>
      <c r="U969" s="120"/>
      <c r="V969" s="121"/>
      <c r="W969" s="122"/>
      <c r="X969" s="123"/>
      <c r="Y969" s="117"/>
      <c r="Z969" s="117"/>
      <c r="AH969" s="6"/>
      <c r="AI969" s="6"/>
    </row>
    <row r="970" spans="1:35">
      <c r="A970" s="117"/>
      <c r="B970" s="117"/>
      <c r="C970" s="6"/>
      <c r="D970" s="117"/>
      <c r="E970" s="117"/>
      <c r="F970" s="117"/>
      <c r="G970" s="117"/>
      <c r="H970" s="117"/>
      <c r="I970" s="117"/>
      <c r="J970" s="117"/>
      <c r="K970" s="197"/>
      <c r="L970" s="117"/>
      <c r="M970" s="197"/>
      <c r="N970" s="197"/>
      <c r="O970" s="117"/>
      <c r="P970" s="117"/>
      <c r="Q970" s="200"/>
      <c r="R970" s="119"/>
      <c r="S970" s="119"/>
      <c r="T970" s="119"/>
      <c r="U970" s="120"/>
      <c r="V970" s="121"/>
      <c r="W970" s="122"/>
      <c r="X970" s="123"/>
      <c r="Y970" s="117"/>
      <c r="Z970" s="117"/>
      <c r="AH970" s="6"/>
      <c r="AI970" s="6"/>
    </row>
    <row r="971" spans="1:35">
      <c r="A971" s="117"/>
      <c r="B971" s="117"/>
      <c r="C971" s="6"/>
      <c r="D971" s="117"/>
      <c r="E971" s="117"/>
      <c r="F971" s="117"/>
      <c r="G971" s="117"/>
      <c r="H971" s="117"/>
      <c r="I971" s="117"/>
      <c r="J971" s="117"/>
      <c r="K971" s="197"/>
      <c r="L971" s="117"/>
      <c r="M971" s="197"/>
      <c r="N971" s="197"/>
      <c r="O971" s="117"/>
      <c r="P971" s="117"/>
      <c r="Q971" s="200"/>
      <c r="R971" s="119"/>
      <c r="S971" s="119"/>
      <c r="T971" s="119"/>
      <c r="U971" s="120"/>
      <c r="V971" s="121"/>
      <c r="W971" s="122"/>
      <c r="X971" s="123"/>
      <c r="Y971" s="117"/>
      <c r="Z971" s="117"/>
      <c r="AH971" s="6"/>
      <c r="AI971" s="6"/>
    </row>
    <row r="972" spans="1:35">
      <c r="A972" s="117"/>
      <c r="B972" s="117"/>
      <c r="C972" s="6"/>
      <c r="D972" s="117"/>
      <c r="E972" s="117"/>
      <c r="F972" s="117"/>
      <c r="G972" s="117"/>
      <c r="H972" s="117"/>
      <c r="I972" s="117"/>
      <c r="J972" s="117"/>
      <c r="K972" s="197"/>
      <c r="L972" s="117"/>
      <c r="M972" s="197"/>
      <c r="N972" s="197"/>
      <c r="O972" s="117"/>
      <c r="P972" s="117"/>
      <c r="Q972" s="200"/>
      <c r="R972" s="119"/>
      <c r="S972" s="119"/>
      <c r="T972" s="119"/>
      <c r="U972" s="120"/>
      <c r="V972" s="121"/>
      <c r="W972" s="122"/>
      <c r="X972" s="123"/>
      <c r="Y972" s="117"/>
      <c r="Z972" s="117"/>
      <c r="AH972" s="6"/>
      <c r="AI972" s="6"/>
    </row>
    <row r="973" spans="1:35">
      <c r="A973" s="117"/>
      <c r="B973" s="117"/>
      <c r="C973" s="6"/>
      <c r="D973" s="117"/>
      <c r="E973" s="117"/>
      <c r="F973" s="117"/>
      <c r="G973" s="117"/>
      <c r="H973" s="117"/>
      <c r="I973" s="117"/>
      <c r="J973" s="117"/>
      <c r="K973" s="197"/>
      <c r="L973" s="117"/>
      <c r="M973" s="197"/>
      <c r="N973" s="197"/>
      <c r="O973" s="117"/>
      <c r="P973" s="117"/>
      <c r="Q973" s="200"/>
      <c r="R973" s="119"/>
      <c r="S973" s="119"/>
      <c r="T973" s="119"/>
      <c r="U973" s="120"/>
      <c r="V973" s="121"/>
      <c r="W973" s="122"/>
      <c r="X973" s="123"/>
      <c r="Y973" s="117"/>
      <c r="Z973" s="117"/>
      <c r="AH973" s="6"/>
      <c r="AI973" s="6"/>
    </row>
    <row r="974" spans="1:35">
      <c r="A974" s="117"/>
      <c r="B974" s="117"/>
      <c r="C974" s="6"/>
      <c r="D974" s="117"/>
      <c r="E974" s="117"/>
      <c r="F974" s="117"/>
      <c r="G974" s="117"/>
      <c r="H974" s="117"/>
      <c r="I974" s="117"/>
      <c r="J974" s="117"/>
      <c r="K974" s="197"/>
      <c r="L974" s="117"/>
      <c r="M974" s="197"/>
      <c r="N974" s="197"/>
      <c r="O974" s="117"/>
      <c r="P974" s="117"/>
      <c r="Q974" s="200"/>
      <c r="R974" s="119"/>
      <c r="S974" s="119"/>
      <c r="T974" s="119"/>
      <c r="U974" s="120"/>
      <c r="V974" s="121"/>
      <c r="W974" s="122"/>
      <c r="X974" s="123"/>
      <c r="Y974" s="117"/>
      <c r="Z974" s="117"/>
      <c r="AH974" s="6"/>
      <c r="AI974" s="6"/>
    </row>
    <row r="975" spans="1:35">
      <c r="A975" s="117"/>
      <c r="B975" s="117"/>
      <c r="C975" s="6"/>
      <c r="D975" s="117"/>
      <c r="E975" s="117"/>
      <c r="F975" s="117"/>
      <c r="G975" s="117"/>
      <c r="H975" s="117"/>
      <c r="I975" s="117"/>
      <c r="J975" s="117"/>
      <c r="K975" s="197"/>
      <c r="L975" s="117"/>
      <c r="M975" s="197"/>
      <c r="N975" s="197"/>
      <c r="O975" s="117"/>
      <c r="P975" s="117"/>
      <c r="Q975" s="200"/>
      <c r="R975" s="119"/>
      <c r="S975" s="119"/>
      <c r="T975" s="119"/>
      <c r="U975" s="120"/>
      <c r="V975" s="121"/>
      <c r="W975" s="122"/>
      <c r="X975" s="123"/>
      <c r="Y975" s="117"/>
      <c r="Z975" s="117"/>
      <c r="AH975" s="6"/>
      <c r="AI975" s="6"/>
    </row>
    <row r="976" spans="1:35">
      <c r="A976" s="117"/>
      <c r="B976" s="117"/>
      <c r="C976" s="6"/>
      <c r="D976" s="117"/>
      <c r="E976" s="117"/>
      <c r="F976" s="117"/>
      <c r="G976" s="117"/>
      <c r="H976" s="117"/>
      <c r="I976" s="117"/>
      <c r="J976" s="117"/>
      <c r="K976" s="197"/>
      <c r="L976" s="117"/>
      <c r="M976" s="197"/>
      <c r="N976" s="197"/>
      <c r="O976" s="117"/>
      <c r="P976" s="117"/>
      <c r="Q976" s="200"/>
      <c r="R976" s="119"/>
      <c r="S976" s="119"/>
      <c r="T976" s="119"/>
      <c r="U976" s="120"/>
      <c r="V976" s="121"/>
      <c r="W976" s="122"/>
      <c r="X976" s="123"/>
      <c r="Y976" s="117"/>
      <c r="Z976" s="117"/>
      <c r="AH976" s="6"/>
      <c r="AI976" s="6"/>
    </row>
    <row r="977" spans="1:35">
      <c r="A977" s="117"/>
      <c r="B977" s="117"/>
      <c r="C977" s="6"/>
      <c r="D977" s="117"/>
      <c r="E977" s="117"/>
      <c r="F977" s="117"/>
      <c r="G977" s="117"/>
      <c r="H977" s="117"/>
      <c r="I977" s="117"/>
      <c r="J977" s="117"/>
      <c r="K977" s="197"/>
      <c r="L977" s="117"/>
      <c r="M977" s="197"/>
      <c r="N977" s="197"/>
      <c r="O977" s="117"/>
      <c r="P977" s="117"/>
      <c r="Q977" s="200"/>
      <c r="R977" s="119"/>
      <c r="S977" s="119"/>
      <c r="T977" s="119"/>
      <c r="U977" s="120"/>
      <c r="V977" s="121"/>
      <c r="W977" s="122"/>
      <c r="X977" s="123"/>
      <c r="Y977" s="117"/>
      <c r="Z977" s="117"/>
      <c r="AH977" s="6"/>
      <c r="AI977" s="6"/>
    </row>
    <row r="978" spans="1:35">
      <c r="A978" s="117"/>
      <c r="B978" s="117"/>
      <c r="C978" s="6"/>
      <c r="D978" s="117"/>
      <c r="E978" s="117"/>
      <c r="F978" s="117"/>
      <c r="G978" s="117"/>
      <c r="H978" s="117"/>
      <c r="I978" s="117"/>
      <c r="J978" s="117"/>
      <c r="K978" s="197"/>
      <c r="L978" s="117"/>
      <c r="M978" s="197"/>
      <c r="N978" s="197"/>
      <c r="O978" s="117"/>
      <c r="P978" s="117"/>
      <c r="Q978" s="200"/>
      <c r="R978" s="119"/>
      <c r="S978" s="119"/>
      <c r="T978" s="119"/>
      <c r="U978" s="120"/>
      <c r="V978" s="121"/>
      <c r="W978" s="122"/>
      <c r="X978" s="123"/>
      <c r="Y978" s="117"/>
      <c r="Z978" s="117"/>
      <c r="AH978" s="6"/>
      <c r="AI978" s="6"/>
    </row>
    <row r="979" spans="1:35">
      <c r="A979" s="117"/>
      <c r="B979" s="117"/>
      <c r="C979" s="6"/>
      <c r="D979" s="117"/>
      <c r="E979" s="117"/>
      <c r="F979" s="117"/>
      <c r="G979" s="117"/>
      <c r="H979" s="117"/>
      <c r="I979" s="117"/>
      <c r="J979" s="117"/>
      <c r="K979" s="197"/>
      <c r="L979" s="117"/>
      <c r="M979" s="197"/>
      <c r="N979" s="197"/>
      <c r="O979" s="117"/>
      <c r="P979" s="117"/>
      <c r="Q979" s="200"/>
      <c r="R979" s="119"/>
      <c r="S979" s="119"/>
      <c r="T979" s="119"/>
      <c r="U979" s="120"/>
      <c r="V979" s="121"/>
      <c r="W979" s="122"/>
      <c r="X979" s="123"/>
      <c r="Y979" s="117"/>
      <c r="Z979" s="117"/>
      <c r="AH979" s="6"/>
      <c r="AI979" s="6"/>
    </row>
    <row r="980" spans="1:35">
      <c r="A980" s="117"/>
      <c r="B980" s="117"/>
      <c r="C980" s="6"/>
      <c r="D980" s="117"/>
      <c r="E980" s="117"/>
      <c r="F980" s="117"/>
      <c r="G980" s="117"/>
      <c r="H980" s="117"/>
      <c r="I980" s="117"/>
      <c r="J980" s="117"/>
      <c r="K980" s="197"/>
      <c r="L980" s="117"/>
      <c r="M980" s="197"/>
      <c r="N980" s="197"/>
      <c r="O980" s="117"/>
      <c r="P980" s="117"/>
      <c r="Q980" s="200"/>
      <c r="R980" s="119"/>
      <c r="S980" s="119"/>
      <c r="T980" s="119"/>
      <c r="U980" s="120"/>
      <c r="V980" s="121"/>
      <c r="W980" s="122"/>
      <c r="X980" s="123"/>
      <c r="Y980" s="117"/>
      <c r="Z980" s="117"/>
      <c r="AH980" s="6"/>
      <c r="AI980" s="6"/>
    </row>
    <row r="981" spans="1:35">
      <c r="A981" s="117"/>
      <c r="B981" s="117"/>
      <c r="C981" s="6"/>
      <c r="D981" s="117"/>
      <c r="E981" s="117"/>
      <c r="F981" s="117"/>
      <c r="G981" s="117"/>
      <c r="H981" s="117"/>
      <c r="I981" s="117"/>
      <c r="J981" s="117"/>
      <c r="K981" s="197"/>
      <c r="L981" s="117"/>
      <c r="M981" s="197"/>
      <c r="N981" s="197"/>
      <c r="O981" s="117"/>
      <c r="P981" s="117"/>
      <c r="Q981" s="200"/>
      <c r="R981" s="119"/>
      <c r="S981" s="119"/>
      <c r="T981" s="119"/>
      <c r="U981" s="120"/>
      <c r="V981" s="121"/>
      <c r="W981" s="122"/>
      <c r="X981" s="123"/>
      <c r="Y981" s="117"/>
      <c r="Z981" s="117"/>
      <c r="AH981" s="6"/>
      <c r="AI981" s="6"/>
    </row>
    <row r="982" spans="1:35">
      <c r="A982" s="117"/>
      <c r="B982" s="117"/>
      <c r="C982" s="6"/>
      <c r="D982" s="117"/>
      <c r="E982" s="117"/>
      <c r="F982" s="117"/>
      <c r="G982" s="117"/>
      <c r="H982" s="117"/>
      <c r="I982" s="117"/>
      <c r="J982" s="117"/>
      <c r="K982" s="197"/>
      <c r="L982" s="117"/>
      <c r="M982" s="197"/>
      <c r="N982" s="197"/>
      <c r="O982" s="117"/>
      <c r="P982" s="117"/>
      <c r="Q982" s="200"/>
      <c r="R982" s="119"/>
      <c r="S982" s="119"/>
      <c r="T982" s="119"/>
      <c r="U982" s="120"/>
      <c r="V982" s="121"/>
      <c r="W982" s="122"/>
      <c r="X982" s="123"/>
      <c r="Y982" s="117"/>
      <c r="Z982" s="117"/>
      <c r="AH982" s="6"/>
      <c r="AI982" s="6"/>
    </row>
    <row r="983" spans="1:35">
      <c r="A983" s="117"/>
      <c r="B983" s="117"/>
      <c r="C983" s="6"/>
      <c r="D983" s="117"/>
      <c r="E983" s="117"/>
      <c r="F983" s="117"/>
      <c r="G983" s="117"/>
      <c r="H983" s="117"/>
      <c r="I983" s="117"/>
      <c r="J983" s="117"/>
      <c r="K983" s="197"/>
      <c r="L983" s="117"/>
      <c r="M983" s="197"/>
      <c r="N983" s="197"/>
      <c r="O983" s="117"/>
      <c r="P983" s="117"/>
      <c r="Q983" s="200"/>
      <c r="R983" s="119"/>
      <c r="S983" s="119"/>
      <c r="T983" s="119"/>
      <c r="U983" s="120"/>
      <c r="V983" s="121"/>
      <c r="W983" s="122"/>
      <c r="X983" s="123"/>
      <c r="Y983" s="117"/>
      <c r="Z983" s="117"/>
      <c r="AH983" s="6"/>
      <c r="AI983" s="6"/>
    </row>
    <row r="984" spans="1:35">
      <c r="A984" s="117"/>
      <c r="B984" s="117"/>
      <c r="C984" s="6"/>
      <c r="D984" s="117"/>
      <c r="E984" s="117"/>
      <c r="F984" s="117"/>
      <c r="G984" s="117"/>
      <c r="H984" s="117"/>
      <c r="I984" s="117"/>
      <c r="J984" s="117"/>
      <c r="K984" s="197"/>
      <c r="L984" s="117"/>
      <c r="M984" s="197"/>
      <c r="N984" s="197"/>
      <c r="O984" s="117"/>
      <c r="P984" s="117"/>
      <c r="Q984" s="200"/>
      <c r="R984" s="119"/>
      <c r="S984" s="119"/>
      <c r="T984" s="119"/>
      <c r="U984" s="120"/>
      <c r="V984" s="121"/>
      <c r="W984" s="122"/>
      <c r="X984" s="123"/>
      <c r="Y984" s="117"/>
      <c r="Z984" s="117"/>
      <c r="AH984" s="6"/>
      <c r="AI984" s="6"/>
    </row>
    <row r="985" spans="1:35">
      <c r="A985" s="117"/>
      <c r="B985" s="117"/>
      <c r="C985" s="6"/>
      <c r="D985" s="117"/>
      <c r="E985" s="117"/>
      <c r="F985" s="117"/>
      <c r="G985" s="117"/>
      <c r="H985" s="117"/>
      <c r="I985" s="117"/>
      <c r="J985" s="117"/>
      <c r="K985" s="197"/>
      <c r="L985" s="117"/>
      <c r="M985" s="197"/>
      <c r="N985" s="197"/>
      <c r="O985" s="117"/>
      <c r="P985" s="117"/>
      <c r="Q985" s="200"/>
      <c r="R985" s="119"/>
      <c r="S985" s="119"/>
      <c r="T985" s="119"/>
      <c r="U985" s="120"/>
      <c r="V985" s="121"/>
      <c r="W985" s="122"/>
      <c r="X985" s="123"/>
      <c r="Y985" s="117"/>
      <c r="Z985" s="117"/>
      <c r="AH985" s="6"/>
      <c r="AI985" s="6"/>
    </row>
    <row r="986" spans="1:35">
      <c r="A986" s="117"/>
      <c r="B986" s="117"/>
      <c r="C986" s="6"/>
      <c r="D986" s="117"/>
      <c r="E986" s="117"/>
      <c r="F986" s="117"/>
      <c r="G986" s="117"/>
      <c r="H986" s="117"/>
      <c r="I986" s="117"/>
      <c r="J986" s="117"/>
      <c r="K986" s="197"/>
      <c r="L986" s="117"/>
      <c r="M986" s="197"/>
      <c r="N986" s="197"/>
      <c r="O986" s="117"/>
      <c r="P986" s="117"/>
      <c r="Q986" s="200"/>
      <c r="R986" s="119"/>
      <c r="S986" s="119"/>
      <c r="T986" s="119"/>
      <c r="U986" s="120"/>
      <c r="V986" s="121"/>
      <c r="W986" s="122"/>
      <c r="X986" s="123"/>
      <c r="Y986" s="117"/>
      <c r="Z986" s="117"/>
      <c r="AH986" s="6"/>
      <c r="AI986" s="6"/>
    </row>
    <row r="987" spans="1:35">
      <c r="A987" s="117"/>
      <c r="B987" s="117"/>
      <c r="C987" s="6"/>
      <c r="D987" s="117"/>
      <c r="E987" s="117"/>
      <c r="F987" s="117"/>
      <c r="G987" s="117"/>
      <c r="H987" s="117"/>
      <c r="I987" s="117"/>
      <c r="J987" s="117"/>
      <c r="K987" s="197"/>
      <c r="L987" s="117"/>
      <c r="M987" s="197"/>
      <c r="N987" s="197"/>
      <c r="O987" s="117"/>
      <c r="P987" s="117"/>
      <c r="Q987" s="200"/>
      <c r="R987" s="119"/>
      <c r="S987" s="119"/>
      <c r="T987" s="119"/>
      <c r="U987" s="120"/>
      <c r="V987" s="121"/>
      <c r="W987" s="122"/>
      <c r="X987" s="123"/>
      <c r="Y987" s="117"/>
      <c r="Z987" s="117"/>
      <c r="AH987" s="6"/>
      <c r="AI987" s="6"/>
    </row>
    <row r="988" spans="1:35">
      <c r="A988" s="117"/>
      <c r="B988" s="117"/>
      <c r="C988" s="6"/>
      <c r="D988" s="117"/>
      <c r="E988" s="117"/>
      <c r="F988" s="117"/>
      <c r="G988" s="117"/>
      <c r="H988" s="117"/>
      <c r="I988" s="117"/>
      <c r="J988" s="117"/>
      <c r="K988" s="197"/>
      <c r="L988" s="117"/>
      <c r="M988" s="197"/>
      <c r="N988" s="197"/>
      <c r="O988" s="117"/>
      <c r="P988" s="117"/>
      <c r="Q988" s="200"/>
      <c r="R988" s="119"/>
      <c r="S988" s="119"/>
      <c r="T988" s="119"/>
      <c r="U988" s="120"/>
      <c r="V988" s="121"/>
      <c r="W988" s="122"/>
      <c r="X988" s="123"/>
      <c r="Y988" s="117"/>
      <c r="Z988" s="117"/>
      <c r="AH988" s="6"/>
      <c r="AI988" s="6"/>
    </row>
    <row r="989" spans="1:35">
      <c r="A989" s="117"/>
      <c r="B989" s="117"/>
      <c r="C989" s="6"/>
      <c r="D989" s="117"/>
      <c r="E989" s="117"/>
      <c r="F989" s="117"/>
      <c r="G989" s="117"/>
      <c r="H989" s="117"/>
      <c r="I989" s="117"/>
      <c r="J989" s="117"/>
      <c r="K989" s="197"/>
      <c r="L989" s="117"/>
      <c r="M989" s="197"/>
      <c r="N989" s="197"/>
      <c r="O989" s="117"/>
      <c r="P989" s="117"/>
      <c r="Q989" s="200"/>
      <c r="R989" s="119"/>
      <c r="S989" s="119"/>
      <c r="T989" s="119"/>
      <c r="U989" s="120"/>
      <c r="V989" s="121"/>
      <c r="W989" s="122"/>
      <c r="X989" s="123"/>
      <c r="Y989" s="117"/>
      <c r="Z989" s="117"/>
      <c r="AH989" s="6"/>
      <c r="AI989" s="6"/>
    </row>
    <row r="990" spans="1:35">
      <c r="A990" s="117"/>
      <c r="B990" s="117"/>
      <c r="C990" s="6"/>
      <c r="D990" s="117"/>
      <c r="E990" s="117"/>
      <c r="F990" s="117"/>
      <c r="G990" s="117"/>
      <c r="H990" s="117"/>
      <c r="I990" s="117"/>
      <c r="J990" s="117"/>
      <c r="K990" s="197"/>
      <c r="L990" s="117"/>
      <c r="M990" s="197"/>
      <c r="N990" s="197"/>
      <c r="O990" s="117"/>
      <c r="P990" s="117"/>
      <c r="Q990" s="200"/>
      <c r="R990" s="119"/>
      <c r="S990" s="119"/>
      <c r="T990" s="119"/>
      <c r="U990" s="120"/>
      <c r="V990" s="121"/>
      <c r="W990" s="122"/>
      <c r="X990" s="123"/>
      <c r="Y990" s="117"/>
      <c r="Z990" s="117"/>
      <c r="AH990" s="6"/>
      <c r="AI990" s="6"/>
    </row>
    <row r="991" spans="1:35">
      <c r="A991" s="117"/>
      <c r="B991" s="117"/>
      <c r="C991" s="6"/>
      <c r="D991" s="117"/>
      <c r="E991" s="117"/>
      <c r="F991" s="117"/>
      <c r="G991" s="117"/>
      <c r="H991" s="117"/>
      <c r="I991" s="117"/>
      <c r="J991" s="117"/>
      <c r="K991" s="197"/>
      <c r="L991" s="117"/>
      <c r="M991" s="197"/>
      <c r="N991" s="197"/>
      <c r="O991" s="117"/>
      <c r="P991" s="117"/>
      <c r="Q991" s="200"/>
      <c r="R991" s="119"/>
      <c r="S991" s="119"/>
      <c r="T991" s="119"/>
      <c r="U991" s="120"/>
      <c r="V991" s="121"/>
      <c r="W991" s="122"/>
      <c r="X991" s="123"/>
      <c r="Y991" s="117"/>
      <c r="Z991" s="117"/>
      <c r="AH991" s="6"/>
      <c r="AI991" s="6"/>
    </row>
    <row r="992" spans="1:35">
      <c r="A992" s="117"/>
      <c r="B992" s="117"/>
      <c r="C992" s="6"/>
      <c r="D992" s="117"/>
      <c r="E992" s="117"/>
      <c r="F992" s="117"/>
      <c r="G992" s="117"/>
      <c r="H992" s="117"/>
      <c r="I992" s="117"/>
      <c r="J992" s="117"/>
      <c r="K992" s="197"/>
      <c r="L992" s="117"/>
      <c r="M992" s="197"/>
      <c r="N992" s="197"/>
      <c r="O992" s="117"/>
      <c r="P992" s="117"/>
      <c r="Q992" s="200"/>
      <c r="R992" s="119"/>
      <c r="S992" s="119"/>
      <c r="T992" s="119"/>
      <c r="U992" s="120"/>
      <c r="V992" s="121"/>
      <c r="W992" s="122"/>
      <c r="X992" s="123"/>
      <c r="Y992" s="117"/>
      <c r="Z992" s="117"/>
      <c r="AH992" s="6"/>
      <c r="AI992" s="6"/>
    </row>
    <row r="993" spans="1:35">
      <c r="A993" s="117"/>
      <c r="B993" s="117"/>
      <c r="C993" s="6"/>
      <c r="D993" s="117"/>
      <c r="E993" s="117"/>
      <c r="F993" s="117"/>
      <c r="G993" s="117"/>
      <c r="H993" s="117"/>
      <c r="I993" s="117"/>
      <c r="J993" s="117"/>
      <c r="K993" s="197"/>
      <c r="L993" s="117"/>
      <c r="M993" s="197"/>
      <c r="N993" s="197"/>
      <c r="O993" s="117"/>
      <c r="P993" s="117"/>
      <c r="Q993" s="200"/>
      <c r="R993" s="119"/>
      <c r="S993" s="119"/>
      <c r="T993" s="119"/>
      <c r="U993" s="120"/>
      <c r="V993" s="121"/>
      <c r="W993" s="122"/>
      <c r="X993" s="123"/>
      <c r="Y993" s="117"/>
      <c r="Z993" s="117"/>
      <c r="AH993" s="6"/>
      <c r="AI993" s="6"/>
    </row>
    <row r="994" spans="1:35">
      <c r="A994" s="117"/>
      <c r="B994" s="117"/>
      <c r="C994" s="6"/>
      <c r="D994" s="117"/>
      <c r="E994" s="117"/>
      <c r="F994" s="117"/>
      <c r="G994" s="117"/>
      <c r="H994" s="117"/>
      <c r="I994" s="117"/>
      <c r="J994" s="117"/>
      <c r="K994" s="197"/>
      <c r="L994" s="117"/>
      <c r="M994" s="197"/>
      <c r="N994" s="197"/>
      <c r="O994" s="117"/>
      <c r="P994" s="117"/>
      <c r="Q994" s="200"/>
      <c r="R994" s="119"/>
      <c r="S994" s="119"/>
      <c r="T994" s="119"/>
      <c r="U994" s="120"/>
      <c r="V994" s="121"/>
      <c r="W994" s="122"/>
      <c r="X994" s="123"/>
      <c r="Y994" s="117"/>
      <c r="Z994" s="117"/>
      <c r="AH994" s="6"/>
      <c r="AI994" s="6"/>
    </row>
    <row r="995" spans="1:35">
      <c r="A995" s="117"/>
      <c r="B995" s="117"/>
      <c r="C995" s="6"/>
      <c r="D995" s="117"/>
      <c r="E995" s="117"/>
      <c r="F995" s="117"/>
      <c r="G995" s="117"/>
      <c r="H995" s="117"/>
      <c r="I995" s="117"/>
      <c r="J995" s="117"/>
      <c r="K995" s="197"/>
      <c r="L995" s="117"/>
      <c r="M995" s="197"/>
      <c r="N995" s="197"/>
      <c r="O995" s="117"/>
      <c r="P995" s="117"/>
      <c r="Q995" s="200"/>
      <c r="R995" s="119"/>
      <c r="S995" s="119"/>
      <c r="T995" s="119"/>
      <c r="U995" s="120"/>
      <c r="V995" s="121"/>
      <c r="W995" s="122"/>
      <c r="X995" s="123"/>
      <c r="Y995" s="117"/>
      <c r="Z995" s="117"/>
      <c r="AH995" s="6"/>
      <c r="AI995" s="6"/>
    </row>
    <row r="996" spans="1:35">
      <c r="A996" s="117"/>
      <c r="B996" s="117"/>
      <c r="C996" s="6"/>
      <c r="D996" s="117"/>
      <c r="E996" s="117"/>
      <c r="F996" s="117"/>
      <c r="G996" s="117"/>
      <c r="H996" s="117"/>
      <c r="I996" s="117"/>
      <c r="J996" s="117"/>
      <c r="K996" s="197"/>
      <c r="L996" s="117"/>
      <c r="M996" s="197"/>
      <c r="N996" s="197"/>
      <c r="O996" s="117"/>
      <c r="P996" s="117"/>
      <c r="Q996" s="200"/>
      <c r="R996" s="119"/>
      <c r="S996" s="119"/>
      <c r="T996" s="119"/>
      <c r="U996" s="120"/>
      <c r="V996" s="121"/>
      <c r="W996" s="122"/>
      <c r="X996" s="123"/>
      <c r="Y996" s="117"/>
      <c r="Z996" s="117"/>
      <c r="AH996" s="6"/>
      <c r="AI996" s="6"/>
    </row>
    <row r="997" spans="1:35">
      <c r="A997" s="117"/>
      <c r="B997" s="117"/>
      <c r="C997" s="6"/>
      <c r="D997" s="117"/>
      <c r="E997" s="117"/>
      <c r="F997" s="117"/>
      <c r="G997" s="117"/>
      <c r="H997" s="117"/>
      <c r="I997" s="117"/>
      <c r="J997" s="117"/>
      <c r="K997" s="197"/>
      <c r="L997" s="117"/>
      <c r="M997" s="197"/>
      <c r="N997" s="197"/>
      <c r="O997" s="117"/>
      <c r="P997" s="117"/>
      <c r="Q997" s="200"/>
      <c r="R997" s="119"/>
      <c r="S997" s="119"/>
      <c r="T997" s="119"/>
      <c r="U997" s="120"/>
      <c r="V997" s="121"/>
      <c r="W997" s="122"/>
      <c r="X997" s="123"/>
      <c r="Y997" s="117"/>
      <c r="Z997" s="117"/>
      <c r="AH997" s="6"/>
      <c r="AI997" s="6"/>
    </row>
    <row r="998" spans="1:35">
      <c r="A998" s="117"/>
      <c r="B998" s="117"/>
      <c r="C998" s="6"/>
      <c r="D998" s="117"/>
      <c r="E998" s="117"/>
      <c r="F998" s="117"/>
      <c r="G998" s="117"/>
      <c r="H998" s="117"/>
      <c r="I998" s="117"/>
      <c r="J998" s="117"/>
      <c r="K998" s="197"/>
      <c r="L998" s="117"/>
      <c r="M998" s="197"/>
      <c r="N998" s="197"/>
      <c r="O998" s="117"/>
      <c r="P998" s="117"/>
      <c r="Q998" s="200"/>
      <c r="R998" s="119"/>
      <c r="S998" s="119"/>
      <c r="T998" s="119"/>
      <c r="U998" s="120"/>
      <c r="V998" s="121"/>
      <c r="W998" s="122"/>
      <c r="X998" s="123"/>
      <c r="Y998" s="117"/>
      <c r="Z998" s="117"/>
      <c r="AH998" s="6"/>
      <c r="AI998" s="6"/>
    </row>
    <row r="999" spans="1:35">
      <c r="A999" s="117"/>
      <c r="B999" s="117"/>
      <c r="C999" s="6"/>
      <c r="D999" s="117"/>
      <c r="E999" s="117"/>
      <c r="F999" s="117"/>
      <c r="G999" s="117"/>
      <c r="H999" s="117"/>
      <c r="I999" s="117"/>
      <c r="J999" s="117"/>
      <c r="K999" s="197"/>
      <c r="L999" s="117"/>
      <c r="M999" s="197"/>
      <c r="N999" s="197"/>
      <c r="O999" s="117"/>
      <c r="P999" s="117"/>
      <c r="Q999" s="200"/>
      <c r="R999" s="119"/>
      <c r="S999" s="119"/>
      <c r="T999" s="119"/>
      <c r="U999" s="120"/>
      <c r="V999" s="121"/>
      <c r="W999" s="122"/>
      <c r="X999" s="123"/>
      <c r="Y999" s="117"/>
      <c r="Z999" s="117"/>
      <c r="AH999" s="6"/>
      <c r="AI999" s="6"/>
    </row>
    <row r="1000" spans="1:35">
      <c r="A1000" s="117"/>
      <c r="B1000" s="117"/>
      <c r="C1000" s="6"/>
      <c r="D1000" s="117"/>
      <c r="E1000" s="117"/>
      <c r="F1000" s="117"/>
      <c r="G1000" s="117"/>
      <c r="H1000" s="117"/>
      <c r="I1000" s="117"/>
      <c r="J1000" s="117"/>
      <c r="K1000" s="197"/>
      <c r="L1000" s="117"/>
      <c r="M1000" s="197"/>
      <c r="N1000" s="197"/>
      <c r="O1000" s="117"/>
      <c r="P1000" s="117"/>
      <c r="Q1000" s="200"/>
      <c r="R1000" s="119"/>
      <c r="S1000" s="119"/>
      <c r="T1000" s="119"/>
      <c r="U1000" s="120"/>
      <c r="V1000" s="121"/>
      <c r="W1000" s="122"/>
      <c r="X1000" s="123"/>
      <c r="Y1000" s="117"/>
      <c r="Z1000" s="117"/>
      <c r="AH1000" s="6"/>
      <c r="AI1000" s="6"/>
    </row>
    <row r="1001" spans="1:35">
      <c r="A1001" s="117"/>
      <c r="B1001" s="117"/>
      <c r="C1001" s="6"/>
      <c r="D1001" s="117"/>
      <c r="E1001" s="117"/>
      <c r="F1001" s="117"/>
      <c r="G1001" s="117"/>
      <c r="H1001" s="117"/>
      <c r="I1001" s="117"/>
      <c r="J1001" s="117"/>
      <c r="K1001" s="197"/>
      <c r="L1001" s="117"/>
      <c r="M1001" s="197"/>
      <c r="N1001" s="197"/>
      <c r="O1001" s="117"/>
      <c r="P1001" s="117"/>
      <c r="Q1001" s="200"/>
      <c r="R1001" s="119"/>
      <c r="S1001" s="119"/>
      <c r="T1001" s="119"/>
      <c r="U1001" s="120"/>
      <c r="V1001" s="121"/>
      <c r="W1001" s="122"/>
      <c r="X1001" s="123"/>
      <c r="Y1001" s="117"/>
      <c r="Z1001" s="117"/>
      <c r="AH1001" s="6"/>
      <c r="AI1001" s="6"/>
    </row>
    <row r="1002" spans="1:35">
      <c r="A1002" s="117"/>
      <c r="B1002" s="117"/>
      <c r="C1002" s="6"/>
      <c r="D1002" s="117"/>
      <c r="E1002" s="117"/>
      <c r="F1002" s="117"/>
      <c r="G1002" s="117"/>
      <c r="H1002" s="117"/>
      <c r="I1002" s="117"/>
      <c r="J1002" s="117"/>
      <c r="K1002" s="197"/>
      <c r="L1002" s="117"/>
      <c r="M1002" s="197"/>
      <c r="N1002" s="197"/>
      <c r="O1002" s="117"/>
      <c r="P1002" s="117"/>
      <c r="Q1002" s="200"/>
      <c r="R1002" s="119"/>
      <c r="S1002" s="119"/>
      <c r="T1002" s="119"/>
      <c r="U1002" s="120"/>
      <c r="V1002" s="121"/>
      <c r="W1002" s="122"/>
      <c r="X1002" s="123"/>
      <c r="Y1002" s="117"/>
      <c r="Z1002" s="117"/>
      <c r="AH1002" s="6"/>
      <c r="AI1002" s="6"/>
    </row>
    <row r="1003" spans="1:35">
      <c r="A1003" s="117"/>
      <c r="B1003" s="117"/>
      <c r="C1003" s="6"/>
      <c r="D1003" s="117"/>
      <c r="E1003" s="117"/>
      <c r="F1003" s="117"/>
      <c r="G1003" s="117"/>
      <c r="H1003" s="117"/>
      <c r="I1003" s="117"/>
      <c r="J1003" s="117"/>
      <c r="K1003" s="197"/>
      <c r="L1003" s="117"/>
      <c r="M1003" s="197"/>
      <c r="N1003" s="197"/>
      <c r="O1003" s="117"/>
      <c r="P1003" s="117"/>
      <c r="Q1003" s="200"/>
      <c r="R1003" s="119"/>
      <c r="S1003" s="119"/>
      <c r="T1003" s="119"/>
      <c r="U1003" s="120"/>
      <c r="V1003" s="121"/>
      <c r="W1003" s="122"/>
      <c r="X1003" s="123"/>
      <c r="Y1003" s="117"/>
      <c r="Z1003" s="117"/>
      <c r="AH1003" s="6"/>
      <c r="AI1003" s="6"/>
    </row>
    <row r="1004" spans="1:35">
      <c r="A1004" s="117"/>
      <c r="B1004" s="117"/>
      <c r="C1004" s="6"/>
      <c r="D1004" s="117"/>
      <c r="E1004" s="117"/>
      <c r="F1004" s="117"/>
      <c r="G1004" s="117"/>
      <c r="H1004" s="117"/>
      <c r="I1004" s="117"/>
      <c r="J1004" s="117"/>
      <c r="K1004" s="197"/>
      <c r="L1004" s="117"/>
      <c r="M1004" s="197"/>
      <c r="N1004" s="197"/>
      <c r="O1004" s="117"/>
      <c r="P1004" s="117"/>
      <c r="Q1004" s="200"/>
      <c r="R1004" s="119"/>
      <c r="S1004" s="119"/>
      <c r="T1004" s="119"/>
      <c r="U1004" s="120"/>
      <c r="V1004" s="121"/>
      <c r="W1004" s="122"/>
      <c r="X1004" s="123"/>
      <c r="Y1004" s="117"/>
      <c r="Z1004" s="117"/>
      <c r="AH1004" s="6"/>
      <c r="AI1004" s="6"/>
    </row>
    <row r="1005" spans="1:35">
      <c r="A1005" s="117"/>
      <c r="B1005" s="117"/>
      <c r="C1005" s="6"/>
      <c r="D1005" s="117"/>
      <c r="E1005" s="117"/>
      <c r="F1005" s="117"/>
      <c r="G1005" s="117"/>
      <c r="H1005" s="117"/>
      <c r="I1005" s="117"/>
      <c r="J1005" s="117"/>
      <c r="K1005" s="197"/>
      <c r="L1005" s="117"/>
      <c r="M1005" s="197"/>
      <c r="N1005" s="197"/>
      <c r="O1005" s="117"/>
      <c r="P1005" s="117"/>
      <c r="Q1005" s="200"/>
      <c r="R1005" s="119"/>
      <c r="S1005" s="119"/>
      <c r="T1005" s="119"/>
      <c r="U1005" s="120"/>
      <c r="V1005" s="121"/>
      <c r="W1005" s="122"/>
      <c r="X1005" s="123"/>
      <c r="Y1005" s="117"/>
      <c r="Z1005" s="117"/>
      <c r="AH1005" s="6"/>
      <c r="AI1005" s="6"/>
    </row>
    <row r="1006" spans="1:35">
      <c r="A1006" s="117"/>
      <c r="B1006" s="117"/>
      <c r="C1006" s="6"/>
      <c r="D1006" s="117"/>
      <c r="E1006" s="117"/>
      <c r="F1006" s="117"/>
      <c r="G1006" s="117"/>
      <c r="H1006" s="117"/>
      <c r="I1006" s="117"/>
      <c r="J1006" s="117"/>
      <c r="K1006" s="197"/>
      <c r="L1006" s="117"/>
      <c r="M1006" s="197"/>
      <c r="N1006" s="197"/>
      <c r="O1006" s="117"/>
      <c r="P1006" s="117"/>
      <c r="Q1006" s="200"/>
      <c r="R1006" s="119"/>
      <c r="S1006" s="119"/>
      <c r="T1006" s="119"/>
      <c r="U1006" s="120"/>
      <c r="V1006" s="121"/>
      <c r="W1006" s="122"/>
      <c r="X1006" s="123"/>
      <c r="Y1006" s="117"/>
      <c r="Z1006" s="117"/>
      <c r="AH1006" s="6"/>
      <c r="AI1006" s="6"/>
    </row>
    <row r="1007" spans="1:35">
      <c r="A1007" s="117"/>
      <c r="B1007" s="117"/>
      <c r="C1007" s="6"/>
      <c r="D1007" s="117"/>
      <c r="E1007" s="117"/>
      <c r="F1007" s="117"/>
      <c r="G1007" s="117"/>
      <c r="H1007" s="117"/>
      <c r="I1007" s="117"/>
      <c r="J1007" s="117"/>
      <c r="K1007" s="197"/>
      <c r="L1007" s="117"/>
      <c r="M1007" s="197"/>
      <c r="N1007" s="197"/>
      <c r="O1007" s="117"/>
      <c r="P1007" s="117"/>
      <c r="Q1007" s="200"/>
      <c r="R1007" s="119"/>
      <c r="S1007" s="119"/>
      <c r="T1007" s="119"/>
      <c r="U1007" s="120"/>
      <c r="V1007" s="121"/>
      <c r="W1007" s="122"/>
      <c r="X1007" s="123"/>
      <c r="Y1007" s="117"/>
      <c r="Z1007" s="117"/>
      <c r="AH1007" s="6"/>
      <c r="AI1007" s="6"/>
    </row>
    <row r="1008" spans="1:35">
      <c r="A1008" s="117"/>
      <c r="B1008" s="117"/>
      <c r="C1008" s="6"/>
      <c r="D1008" s="117"/>
      <c r="E1008" s="117"/>
      <c r="F1008" s="117"/>
      <c r="G1008" s="117"/>
      <c r="H1008" s="117"/>
      <c r="I1008" s="117"/>
      <c r="J1008" s="117"/>
      <c r="K1008" s="197"/>
      <c r="L1008" s="117"/>
      <c r="M1008" s="197"/>
      <c r="N1008" s="197"/>
      <c r="O1008" s="117"/>
      <c r="P1008" s="117"/>
      <c r="Q1008" s="200"/>
      <c r="R1008" s="119"/>
      <c r="S1008" s="119"/>
      <c r="T1008" s="119"/>
      <c r="U1008" s="120"/>
      <c r="V1008" s="121"/>
      <c r="W1008" s="122"/>
      <c r="X1008" s="123"/>
      <c r="Y1008" s="117"/>
      <c r="Z1008" s="117"/>
      <c r="AH1008" s="6"/>
      <c r="AI1008" s="6"/>
    </row>
    <row r="1009" spans="1:35">
      <c r="A1009" s="117"/>
      <c r="B1009" s="117"/>
      <c r="C1009" s="6"/>
      <c r="D1009" s="117"/>
      <c r="E1009" s="117"/>
      <c r="F1009" s="117"/>
      <c r="G1009" s="117"/>
      <c r="H1009" s="117"/>
      <c r="I1009" s="117"/>
      <c r="J1009" s="117"/>
      <c r="K1009" s="197"/>
      <c r="L1009" s="117"/>
      <c r="M1009" s="197"/>
      <c r="N1009" s="197"/>
      <c r="O1009" s="117"/>
      <c r="P1009" s="117"/>
      <c r="Q1009" s="200"/>
      <c r="R1009" s="119"/>
      <c r="S1009" s="119"/>
      <c r="T1009" s="119"/>
      <c r="U1009" s="120"/>
      <c r="V1009" s="121"/>
      <c r="W1009" s="122"/>
      <c r="X1009" s="123"/>
      <c r="Y1009" s="117"/>
      <c r="Z1009" s="117"/>
      <c r="AH1009" s="6"/>
      <c r="AI1009" s="6"/>
    </row>
    <row r="1010" spans="1:35">
      <c r="A1010" s="117"/>
      <c r="B1010" s="117"/>
      <c r="C1010" s="6"/>
      <c r="D1010" s="117"/>
      <c r="E1010" s="117"/>
      <c r="F1010" s="117"/>
      <c r="G1010" s="117"/>
      <c r="H1010" s="117"/>
      <c r="I1010" s="117"/>
      <c r="J1010" s="117"/>
      <c r="K1010" s="197"/>
      <c r="L1010" s="117"/>
      <c r="M1010" s="197"/>
      <c r="N1010" s="197"/>
      <c r="O1010" s="117"/>
      <c r="P1010" s="117"/>
      <c r="Q1010" s="200"/>
      <c r="R1010" s="119"/>
      <c r="S1010" s="119"/>
      <c r="T1010" s="119"/>
      <c r="U1010" s="120"/>
      <c r="V1010" s="121"/>
      <c r="W1010" s="122"/>
      <c r="X1010" s="123"/>
      <c r="Y1010" s="117"/>
      <c r="Z1010" s="117"/>
      <c r="AH1010" s="6"/>
      <c r="AI1010" s="6"/>
    </row>
    <row r="1011" spans="1:35">
      <c r="A1011" s="117"/>
      <c r="B1011" s="117"/>
      <c r="C1011" s="6"/>
      <c r="D1011" s="117"/>
      <c r="E1011" s="117"/>
      <c r="F1011" s="117"/>
      <c r="G1011" s="117"/>
      <c r="H1011" s="117"/>
      <c r="I1011" s="117"/>
      <c r="J1011" s="117"/>
      <c r="K1011" s="197"/>
      <c r="L1011" s="117"/>
      <c r="M1011" s="197"/>
      <c r="N1011" s="197"/>
      <c r="O1011" s="117"/>
      <c r="P1011" s="117"/>
      <c r="Q1011" s="200"/>
      <c r="R1011" s="119"/>
      <c r="S1011" s="119"/>
      <c r="T1011" s="119"/>
      <c r="U1011" s="120"/>
      <c r="V1011" s="121"/>
      <c r="W1011" s="122"/>
      <c r="X1011" s="123"/>
      <c r="Y1011" s="117"/>
      <c r="Z1011" s="117"/>
      <c r="AH1011" s="6"/>
      <c r="AI1011" s="6"/>
    </row>
    <row r="1012" spans="1:35">
      <c r="A1012" s="117"/>
      <c r="B1012" s="117"/>
      <c r="C1012" s="6"/>
      <c r="D1012" s="117"/>
      <c r="E1012" s="117"/>
      <c r="F1012" s="117"/>
      <c r="G1012" s="117"/>
      <c r="H1012" s="117"/>
      <c r="I1012" s="117"/>
      <c r="J1012" s="117"/>
      <c r="K1012" s="197"/>
      <c r="L1012" s="117"/>
      <c r="M1012" s="197"/>
      <c r="N1012" s="197"/>
      <c r="O1012" s="117"/>
      <c r="P1012" s="117"/>
      <c r="Q1012" s="200"/>
      <c r="R1012" s="119"/>
      <c r="S1012" s="119"/>
      <c r="T1012" s="119"/>
      <c r="U1012" s="120"/>
      <c r="V1012" s="121"/>
      <c r="W1012" s="122"/>
      <c r="X1012" s="123"/>
      <c r="Y1012" s="117"/>
      <c r="Z1012" s="117"/>
      <c r="AH1012" s="6"/>
      <c r="AI1012" s="6"/>
    </row>
    <row r="1013" spans="1:35">
      <c r="A1013" s="117"/>
      <c r="B1013" s="117"/>
      <c r="C1013" s="6"/>
      <c r="D1013" s="117"/>
      <c r="E1013" s="117"/>
      <c r="F1013" s="117"/>
      <c r="G1013" s="117"/>
      <c r="H1013" s="117"/>
      <c r="I1013" s="117"/>
      <c r="J1013" s="117"/>
      <c r="K1013" s="197"/>
      <c r="L1013" s="117"/>
      <c r="M1013" s="197"/>
      <c r="N1013" s="197"/>
      <c r="O1013" s="117"/>
      <c r="P1013" s="117"/>
      <c r="Q1013" s="200"/>
      <c r="R1013" s="119"/>
      <c r="S1013" s="119"/>
      <c r="T1013" s="119"/>
      <c r="U1013" s="120"/>
      <c r="V1013" s="121"/>
      <c r="W1013" s="122"/>
      <c r="X1013" s="123"/>
      <c r="Y1013" s="117"/>
      <c r="Z1013" s="117"/>
      <c r="AH1013" s="6"/>
      <c r="AI1013" s="6"/>
    </row>
    <row r="1014" spans="1:35">
      <c r="A1014" s="117"/>
      <c r="B1014" s="117"/>
      <c r="C1014" s="6"/>
      <c r="D1014" s="117"/>
      <c r="E1014" s="117"/>
      <c r="F1014" s="117"/>
      <c r="G1014" s="117"/>
      <c r="H1014" s="117"/>
      <c r="I1014" s="117"/>
      <c r="J1014" s="117"/>
      <c r="K1014" s="197"/>
      <c r="L1014" s="117"/>
      <c r="M1014" s="197"/>
      <c r="N1014" s="197"/>
      <c r="O1014" s="117"/>
      <c r="P1014" s="117"/>
      <c r="Q1014" s="200"/>
      <c r="R1014" s="119"/>
      <c r="S1014" s="119"/>
      <c r="T1014" s="119"/>
      <c r="U1014" s="120"/>
      <c r="V1014" s="121"/>
      <c r="W1014" s="122"/>
      <c r="X1014" s="123"/>
      <c r="Y1014" s="117"/>
      <c r="Z1014" s="117"/>
      <c r="AH1014" s="6"/>
      <c r="AI1014" s="6"/>
    </row>
    <row r="1015" spans="1:35">
      <c r="A1015" s="117"/>
      <c r="B1015" s="117"/>
      <c r="C1015" s="6"/>
      <c r="D1015" s="117"/>
      <c r="E1015" s="117"/>
      <c r="F1015" s="117"/>
      <c r="G1015" s="117"/>
      <c r="H1015" s="117"/>
      <c r="I1015" s="117"/>
      <c r="J1015" s="117"/>
      <c r="K1015" s="197"/>
      <c r="L1015" s="117"/>
      <c r="M1015" s="197"/>
      <c r="N1015" s="197"/>
      <c r="O1015" s="117"/>
      <c r="P1015" s="117"/>
      <c r="Q1015" s="200"/>
      <c r="R1015" s="119"/>
      <c r="S1015" s="119"/>
      <c r="T1015" s="119"/>
      <c r="U1015" s="120"/>
      <c r="V1015" s="121"/>
      <c r="W1015" s="122"/>
      <c r="X1015" s="123"/>
      <c r="Y1015" s="117"/>
      <c r="Z1015" s="117"/>
      <c r="AH1015" s="6"/>
      <c r="AI1015" s="6"/>
    </row>
    <row r="1016" spans="1:35">
      <c r="A1016" s="117"/>
      <c r="B1016" s="117"/>
      <c r="C1016" s="6"/>
      <c r="D1016" s="117"/>
      <c r="E1016" s="117"/>
      <c r="F1016" s="117"/>
      <c r="G1016" s="117"/>
      <c r="H1016" s="117"/>
      <c r="I1016" s="117"/>
      <c r="J1016" s="117"/>
      <c r="K1016" s="197"/>
      <c r="L1016" s="117"/>
      <c r="M1016" s="197"/>
      <c r="N1016" s="197"/>
      <c r="O1016" s="117"/>
      <c r="P1016" s="117"/>
      <c r="Q1016" s="200"/>
      <c r="R1016" s="119"/>
      <c r="S1016" s="119"/>
      <c r="T1016" s="119"/>
      <c r="U1016" s="120"/>
      <c r="V1016" s="121"/>
      <c r="W1016" s="122"/>
      <c r="X1016" s="123"/>
      <c r="Y1016" s="117"/>
      <c r="Z1016" s="117"/>
      <c r="AH1016" s="6"/>
      <c r="AI1016" s="6"/>
    </row>
    <row r="1017" spans="1:35">
      <c r="A1017" s="117"/>
      <c r="B1017" s="117"/>
      <c r="C1017" s="6"/>
      <c r="D1017" s="117"/>
      <c r="E1017" s="117"/>
      <c r="F1017" s="117"/>
      <c r="G1017" s="117"/>
      <c r="H1017" s="117"/>
      <c r="I1017" s="117"/>
      <c r="J1017" s="117"/>
      <c r="K1017" s="197"/>
      <c r="L1017" s="117"/>
      <c r="M1017" s="197"/>
      <c r="N1017" s="197"/>
      <c r="O1017" s="117"/>
      <c r="P1017" s="117"/>
      <c r="Q1017" s="200"/>
      <c r="R1017" s="119"/>
      <c r="S1017" s="119"/>
      <c r="T1017" s="119"/>
      <c r="U1017" s="120"/>
      <c r="V1017" s="121"/>
      <c r="W1017" s="122"/>
      <c r="X1017" s="123"/>
      <c r="Y1017" s="117"/>
      <c r="Z1017" s="117"/>
      <c r="AH1017" s="6"/>
      <c r="AI1017" s="6"/>
    </row>
    <row r="1018" spans="1:35">
      <c r="A1018" s="117"/>
      <c r="B1018" s="117"/>
      <c r="C1018" s="6"/>
      <c r="D1018" s="117"/>
      <c r="E1018" s="117"/>
      <c r="F1018" s="117"/>
      <c r="G1018" s="117"/>
      <c r="H1018" s="117"/>
      <c r="I1018" s="117"/>
      <c r="J1018" s="117"/>
      <c r="K1018" s="197"/>
      <c r="L1018" s="117"/>
      <c r="M1018" s="197"/>
      <c r="N1018" s="197"/>
      <c r="O1018" s="117"/>
      <c r="P1018" s="117"/>
      <c r="Q1018" s="200"/>
      <c r="R1018" s="119"/>
      <c r="S1018" s="119"/>
      <c r="T1018" s="119"/>
      <c r="U1018" s="120"/>
      <c r="V1018" s="121"/>
      <c r="W1018" s="122"/>
      <c r="X1018" s="123"/>
      <c r="Y1018" s="117"/>
      <c r="Z1018" s="117"/>
      <c r="AH1018" s="6"/>
      <c r="AI1018" s="6"/>
    </row>
    <row r="1019" spans="1:35">
      <c r="A1019" s="117"/>
      <c r="B1019" s="117"/>
      <c r="C1019" s="6"/>
      <c r="D1019" s="117"/>
      <c r="E1019" s="117"/>
      <c r="F1019" s="117"/>
      <c r="G1019" s="117"/>
      <c r="H1019" s="117"/>
      <c r="I1019" s="117"/>
      <c r="J1019" s="117"/>
      <c r="K1019" s="197"/>
      <c r="L1019" s="117"/>
      <c r="M1019" s="197"/>
      <c r="N1019" s="197"/>
      <c r="O1019" s="117"/>
      <c r="P1019" s="117"/>
      <c r="Q1019" s="200"/>
      <c r="R1019" s="119"/>
      <c r="S1019" s="119"/>
      <c r="T1019" s="119"/>
      <c r="U1019" s="120"/>
      <c r="V1019" s="121"/>
      <c r="W1019" s="122"/>
      <c r="X1019" s="123"/>
      <c r="Y1019" s="117"/>
      <c r="Z1019" s="117"/>
      <c r="AH1019" s="6"/>
      <c r="AI1019" s="6"/>
    </row>
    <row r="1020" spans="1:35">
      <c r="A1020" s="117"/>
      <c r="B1020" s="117"/>
      <c r="C1020" s="6"/>
      <c r="D1020" s="117"/>
      <c r="E1020" s="117"/>
      <c r="F1020" s="117"/>
      <c r="G1020" s="117"/>
      <c r="H1020" s="117"/>
      <c r="I1020" s="117"/>
      <c r="J1020" s="117"/>
      <c r="K1020" s="197"/>
      <c r="L1020" s="117"/>
      <c r="M1020" s="197"/>
      <c r="N1020" s="197"/>
      <c r="O1020" s="117"/>
      <c r="P1020" s="117"/>
      <c r="Q1020" s="200"/>
      <c r="R1020" s="119"/>
      <c r="S1020" s="119"/>
      <c r="T1020" s="119"/>
      <c r="U1020" s="120"/>
      <c r="V1020" s="121"/>
      <c r="W1020" s="122"/>
      <c r="X1020" s="123"/>
      <c r="Y1020" s="117"/>
      <c r="Z1020" s="117"/>
      <c r="AH1020" s="6"/>
      <c r="AI1020" s="6"/>
    </row>
    <row r="1021" spans="1:35">
      <c r="A1021" s="117"/>
      <c r="B1021" s="117"/>
      <c r="C1021" s="6"/>
      <c r="D1021" s="117"/>
      <c r="E1021" s="117"/>
      <c r="F1021" s="117"/>
      <c r="G1021" s="117"/>
      <c r="H1021" s="117"/>
      <c r="I1021" s="117"/>
      <c r="J1021" s="117"/>
      <c r="K1021" s="197"/>
      <c r="L1021" s="117"/>
      <c r="M1021" s="197"/>
      <c r="N1021" s="197"/>
      <c r="O1021" s="117"/>
      <c r="P1021" s="117"/>
      <c r="Q1021" s="200"/>
      <c r="R1021" s="119"/>
      <c r="S1021" s="119"/>
      <c r="T1021" s="119"/>
      <c r="U1021" s="120"/>
      <c r="V1021" s="121"/>
      <c r="W1021" s="122"/>
      <c r="X1021" s="123"/>
      <c r="Y1021" s="117"/>
      <c r="Z1021" s="117"/>
      <c r="AH1021" s="6"/>
      <c r="AI1021" s="6"/>
    </row>
    <row r="1022" spans="1:35">
      <c r="A1022" s="117"/>
      <c r="B1022" s="117"/>
      <c r="C1022" s="6"/>
      <c r="D1022" s="117"/>
      <c r="E1022" s="117"/>
      <c r="F1022" s="117"/>
      <c r="G1022" s="117"/>
      <c r="H1022" s="117"/>
      <c r="I1022" s="117"/>
      <c r="J1022" s="117"/>
      <c r="K1022" s="197"/>
      <c r="L1022" s="117"/>
      <c r="M1022" s="197"/>
      <c r="N1022" s="197"/>
      <c r="O1022" s="117"/>
      <c r="P1022" s="117"/>
      <c r="Q1022" s="200"/>
      <c r="R1022" s="119"/>
      <c r="S1022" s="119"/>
      <c r="T1022" s="119"/>
      <c r="U1022" s="120"/>
      <c r="V1022" s="121"/>
      <c r="W1022" s="122"/>
      <c r="X1022" s="123"/>
      <c r="Y1022" s="117"/>
      <c r="Z1022" s="117"/>
      <c r="AH1022" s="6"/>
      <c r="AI1022" s="6"/>
    </row>
    <row r="1023" spans="1:35">
      <c r="A1023" s="117"/>
      <c r="B1023" s="117"/>
      <c r="C1023" s="6"/>
      <c r="D1023" s="117"/>
      <c r="E1023" s="117"/>
      <c r="F1023" s="117"/>
      <c r="G1023" s="117"/>
      <c r="H1023" s="117"/>
      <c r="I1023" s="117"/>
      <c r="J1023" s="117"/>
      <c r="K1023" s="197"/>
      <c r="L1023" s="117"/>
      <c r="M1023" s="197"/>
      <c r="N1023" s="197"/>
      <c r="O1023" s="117"/>
      <c r="P1023" s="117"/>
      <c r="Q1023" s="200"/>
      <c r="R1023" s="119"/>
      <c r="S1023" s="119"/>
      <c r="T1023" s="119"/>
      <c r="U1023" s="120"/>
      <c r="V1023" s="121"/>
      <c r="W1023" s="122"/>
      <c r="X1023" s="123"/>
      <c r="Y1023" s="117"/>
      <c r="Z1023" s="117"/>
      <c r="AH1023" s="6"/>
      <c r="AI1023" s="6"/>
    </row>
    <row r="1024" spans="1:35">
      <c r="A1024" s="117"/>
      <c r="B1024" s="117"/>
      <c r="C1024" s="6"/>
      <c r="D1024" s="117"/>
      <c r="E1024" s="117"/>
      <c r="F1024" s="117"/>
      <c r="G1024" s="117"/>
      <c r="H1024" s="117"/>
      <c r="I1024" s="117"/>
      <c r="J1024" s="117"/>
      <c r="K1024" s="197"/>
      <c r="L1024" s="117"/>
      <c r="M1024" s="197"/>
      <c r="N1024" s="197"/>
      <c r="O1024" s="117"/>
      <c r="P1024" s="117"/>
      <c r="Q1024" s="200"/>
      <c r="R1024" s="119"/>
      <c r="S1024" s="119"/>
      <c r="T1024" s="119"/>
      <c r="U1024" s="120"/>
      <c r="V1024" s="121"/>
      <c r="W1024" s="122"/>
      <c r="X1024" s="123"/>
      <c r="Y1024" s="117"/>
      <c r="Z1024" s="117"/>
      <c r="AH1024" s="6"/>
      <c r="AI1024" s="6"/>
    </row>
    <row r="1025" spans="1:35">
      <c r="A1025" s="117"/>
      <c r="B1025" s="117"/>
      <c r="C1025" s="6"/>
      <c r="D1025" s="117"/>
      <c r="E1025" s="117"/>
      <c r="F1025" s="117"/>
      <c r="G1025" s="117"/>
      <c r="H1025" s="117"/>
      <c r="I1025" s="117"/>
      <c r="J1025" s="117"/>
      <c r="K1025" s="197"/>
      <c r="L1025" s="117"/>
      <c r="M1025" s="197"/>
      <c r="N1025" s="197"/>
      <c r="O1025" s="117"/>
      <c r="P1025" s="117"/>
      <c r="Q1025" s="200"/>
      <c r="R1025" s="119"/>
      <c r="S1025" s="119"/>
      <c r="T1025" s="119"/>
      <c r="U1025" s="120"/>
      <c r="V1025" s="121"/>
      <c r="W1025" s="122"/>
      <c r="X1025" s="123"/>
      <c r="Y1025" s="117"/>
      <c r="Z1025" s="117"/>
      <c r="AH1025" s="6"/>
      <c r="AI1025" s="6"/>
    </row>
    <row r="1026" spans="1:35">
      <c r="A1026" s="117"/>
      <c r="B1026" s="117"/>
      <c r="C1026" s="6"/>
      <c r="D1026" s="117"/>
      <c r="E1026" s="117"/>
      <c r="F1026" s="117"/>
      <c r="G1026" s="117"/>
      <c r="H1026" s="117"/>
      <c r="I1026" s="117"/>
      <c r="J1026" s="117"/>
      <c r="K1026" s="197"/>
      <c r="L1026" s="117"/>
      <c r="M1026" s="197"/>
      <c r="N1026" s="197"/>
      <c r="O1026" s="117"/>
      <c r="P1026" s="117"/>
      <c r="Q1026" s="200"/>
      <c r="R1026" s="119"/>
      <c r="S1026" s="119"/>
      <c r="T1026" s="119"/>
      <c r="U1026" s="120"/>
      <c r="V1026" s="121"/>
      <c r="W1026" s="122"/>
      <c r="X1026" s="123"/>
      <c r="Y1026" s="117"/>
      <c r="Z1026" s="117"/>
      <c r="AH1026" s="6"/>
      <c r="AI1026" s="6"/>
    </row>
    <row r="1027" spans="1:35">
      <c r="A1027" s="117"/>
      <c r="B1027" s="117"/>
      <c r="C1027" s="6"/>
      <c r="D1027" s="117"/>
      <c r="E1027" s="117"/>
      <c r="F1027" s="117"/>
      <c r="G1027" s="117"/>
      <c r="H1027" s="117"/>
      <c r="I1027" s="117"/>
      <c r="J1027" s="117"/>
      <c r="K1027" s="197"/>
      <c r="L1027" s="117"/>
      <c r="M1027" s="197"/>
      <c r="N1027" s="197"/>
      <c r="O1027" s="117"/>
      <c r="P1027" s="117"/>
      <c r="Q1027" s="200"/>
      <c r="R1027" s="119"/>
      <c r="S1027" s="119"/>
      <c r="T1027" s="119"/>
      <c r="U1027" s="120"/>
      <c r="V1027" s="121"/>
      <c r="W1027" s="122"/>
      <c r="X1027" s="123"/>
      <c r="Y1027" s="117"/>
      <c r="Z1027" s="117"/>
      <c r="AH1027" s="6"/>
      <c r="AI1027" s="6"/>
    </row>
    <row r="1028" spans="1:35">
      <c r="A1028" s="117"/>
      <c r="B1028" s="117"/>
      <c r="C1028" s="6"/>
      <c r="D1028" s="117"/>
      <c r="E1028" s="117"/>
      <c r="F1028" s="117"/>
      <c r="G1028" s="117"/>
      <c r="H1028" s="117"/>
      <c r="I1028" s="117"/>
      <c r="J1028" s="117"/>
      <c r="K1028" s="197"/>
      <c r="L1028" s="117"/>
      <c r="M1028" s="197"/>
      <c r="N1028" s="197"/>
      <c r="O1028" s="117"/>
      <c r="P1028" s="117"/>
      <c r="Q1028" s="200"/>
      <c r="R1028" s="119"/>
      <c r="S1028" s="119"/>
      <c r="T1028" s="119"/>
      <c r="U1028" s="120"/>
      <c r="V1028" s="121"/>
      <c r="W1028" s="122"/>
      <c r="X1028" s="123"/>
      <c r="Y1028" s="117"/>
      <c r="Z1028" s="117"/>
      <c r="AH1028" s="6"/>
      <c r="AI1028" s="6"/>
    </row>
    <row r="1029" spans="1:35">
      <c r="A1029" s="117"/>
      <c r="B1029" s="117"/>
      <c r="C1029" s="6"/>
      <c r="D1029" s="117"/>
      <c r="E1029" s="117"/>
      <c r="F1029" s="117"/>
      <c r="G1029" s="117"/>
      <c r="H1029" s="117"/>
      <c r="I1029" s="117"/>
      <c r="J1029" s="117"/>
      <c r="K1029" s="197"/>
      <c r="L1029" s="117"/>
      <c r="M1029" s="197"/>
      <c r="N1029" s="197"/>
      <c r="O1029" s="117"/>
      <c r="P1029" s="117"/>
      <c r="Q1029" s="200"/>
      <c r="R1029" s="119"/>
      <c r="S1029" s="119"/>
      <c r="T1029" s="119"/>
      <c r="U1029" s="120"/>
      <c r="V1029" s="121"/>
      <c r="W1029" s="122"/>
      <c r="X1029" s="123"/>
      <c r="Y1029" s="117"/>
      <c r="Z1029" s="117"/>
      <c r="AH1029" s="6"/>
      <c r="AI1029" s="6"/>
    </row>
    <row r="1030" spans="1:35">
      <c r="A1030" s="117"/>
      <c r="B1030" s="117"/>
      <c r="C1030" s="6"/>
      <c r="D1030" s="117"/>
      <c r="E1030" s="117"/>
      <c r="F1030" s="117"/>
      <c r="G1030" s="117"/>
      <c r="H1030" s="117"/>
      <c r="I1030" s="117"/>
      <c r="J1030" s="117"/>
      <c r="K1030" s="197"/>
      <c r="L1030" s="117"/>
      <c r="M1030" s="197"/>
      <c r="N1030" s="197"/>
      <c r="O1030" s="117"/>
      <c r="P1030" s="117"/>
      <c r="Q1030" s="200"/>
      <c r="R1030" s="119"/>
      <c r="S1030" s="119"/>
      <c r="T1030" s="119"/>
      <c r="U1030" s="120"/>
      <c r="V1030" s="121"/>
      <c r="W1030" s="122"/>
      <c r="X1030" s="123"/>
      <c r="Y1030" s="117"/>
      <c r="Z1030" s="117"/>
      <c r="AH1030" s="6"/>
      <c r="AI1030" s="6"/>
    </row>
    <row r="1031" spans="1:35">
      <c r="A1031" s="117"/>
      <c r="B1031" s="117"/>
      <c r="C1031" s="6"/>
      <c r="D1031" s="117"/>
      <c r="E1031" s="117"/>
      <c r="F1031" s="117"/>
      <c r="G1031" s="117"/>
      <c r="H1031" s="117"/>
      <c r="I1031" s="117"/>
      <c r="J1031" s="117"/>
      <c r="K1031" s="197"/>
      <c r="L1031" s="117"/>
      <c r="M1031" s="197"/>
      <c r="N1031" s="197"/>
      <c r="O1031" s="117"/>
      <c r="P1031" s="117"/>
      <c r="Q1031" s="200"/>
      <c r="R1031" s="119"/>
      <c r="S1031" s="119"/>
      <c r="T1031" s="119"/>
      <c r="U1031" s="120"/>
      <c r="V1031" s="121"/>
      <c r="W1031" s="122"/>
      <c r="X1031" s="123"/>
      <c r="Y1031" s="117"/>
      <c r="Z1031" s="117"/>
      <c r="AH1031" s="6"/>
      <c r="AI1031" s="6"/>
    </row>
    <row r="1032" spans="1:35">
      <c r="A1032" s="117"/>
      <c r="B1032" s="117"/>
      <c r="C1032" s="6"/>
      <c r="D1032" s="117"/>
      <c r="E1032" s="117"/>
      <c r="F1032" s="117"/>
      <c r="G1032" s="117"/>
      <c r="H1032" s="117"/>
      <c r="I1032" s="117"/>
      <c r="J1032" s="117"/>
      <c r="K1032" s="197"/>
      <c r="L1032" s="117"/>
      <c r="M1032" s="197"/>
      <c r="N1032" s="197"/>
      <c r="O1032" s="117"/>
      <c r="P1032" s="117"/>
      <c r="Q1032" s="200"/>
      <c r="R1032" s="119"/>
      <c r="S1032" s="119"/>
      <c r="T1032" s="119"/>
      <c r="U1032" s="120"/>
      <c r="V1032" s="121"/>
      <c r="W1032" s="122"/>
      <c r="X1032" s="123"/>
      <c r="Y1032" s="117"/>
      <c r="Z1032" s="117"/>
      <c r="AH1032" s="6"/>
      <c r="AI1032" s="6"/>
    </row>
    <row r="1033" spans="1:35">
      <c r="A1033" s="117"/>
      <c r="B1033" s="117"/>
      <c r="C1033" s="6"/>
      <c r="D1033" s="117"/>
      <c r="E1033" s="117"/>
      <c r="F1033" s="117"/>
      <c r="G1033" s="117"/>
      <c r="H1033" s="117"/>
      <c r="I1033" s="117"/>
      <c r="J1033" s="117"/>
      <c r="K1033" s="197"/>
      <c r="L1033" s="117"/>
      <c r="M1033" s="197"/>
      <c r="N1033" s="197"/>
      <c r="O1033" s="117"/>
      <c r="P1033" s="117"/>
      <c r="Q1033" s="200"/>
      <c r="R1033" s="119"/>
      <c r="S1033" s="119"/>
      <c r="T1033" s="119"/>
      <c r="U1033" s="120"/>
      <c r="V1033" s="121"/>
      <c r="W1033" s="122"/>
      <c r="X1033" s="123"/>
      <c r="Y1033" s="117"/>
      <c r="Z1033" s="117"/>
      <c r="AH1033" s="6"/>
      <c r="AI1033" s="6"/>
    </row>
    <row r="1034" spans="1:35">
      <c r="A1034" s="117"/>
      <c r="B1034" s="117"/>
      <c r="C1034" s="6"/>
      <c r="D1034" s="117"/>
      <c r="E1034" s="117"/>
      <c r="F1034" s="117"/>
      <c r="G1034" s="117"/>
      <c r="H1034" s="117"/>
      <c r="I1034" s="117"/>
      <c r="J1034" s="117"/>
      <c r="K1034" s="197"/>
      <c r="L1034" s="117"/>
      <c r="M1034" s="197"/>
      <c r="N1034" s="197"/>
      <c r="O1034" s="117"/>
      <c r="P1034" s="117"/>
      <c r="Q1034" s="200"/>
      <c r="R1034" s="119"/>
      <c r="S1034" s="119"/>
      <c r="T1034" s="119"/>
      <c r="U1034" s="120"/>
      <c r="V1034" s="121"/>
      <c r="W1034" s="122"/>
      <c r="X1034" s="123"/>
      <c r="Y1034" s="117"/>
      <c r="Z1034" s="117"/>
      <c r="AH1034" s="6"/>
      <c r="AI1034" s="6"/>
    </row>
    <row r="1035" spans="1:35">
      <c r="A1035" s="117"/>
      <c r="B1035" s="117"/>
      <c r="C1035" s="6"/>
      <c r="D1035" s="117"/>
      <c r="E1035" s="117"/>
      <c r="F1035" s="117"/>
      <c r="G1035" s="117"/>
      <c r="H1035" s="117"/>
      <c r="I1035" s="117"/>
      <c r="J1035" s="117"/>
      <c r="K1035" s="197"/>
      <c r="L1035" s="117"/>
      <c r="M1035" s="197"/>
      <c r="N1035" s="197"/>
      <c r="O1035" s="117"/>
      <c r="P1035" s="117"/>
      <c r="Q1035" s="200"/>
      <c r="R1035" s="119"/>
      <c r="S1035" s="119"/>
      <c r="T1035" s="119"/>
      <c r="U1035" s="120"/>
      <c r="V1035" s="121"/>
      <c r="W1035" s="122"/>
      <c r="X1035" s="123"/>
      <c r="Y1035" s="117"/>
      <c r="Z1035" s="117"/>
      <c r="AH1035" s="6"/>
      <c r="AI1035" s="6"/>
    </row>
    <row r="1036" spans="1:35">
      <c r="A1036" s="117"/>
      <c r="B1036" s="117"/>
      <c r="C1036" s="6"/>
      <c r="D1036" s="117"/>
      <c r="E1036" s="117"/>
      <c r="F1036" s="117"/>
      <c r="G1036" s="117"/>
      <c r="H1036" s="117"/>
      <c r="I1036" s="117"/>
      <c r="J1036" s="117"/>
      <c r="K1036" s="197"/>
      <c r="L1036" s="117"/>
      <c r="M1036" s="197"/>
      <c r="N1036" s="197"/>
      <c r="O1036" s="117"/>
      <c r="P1036" s="117"/>
      <c r="Q1036" s="200"/>
      <c r="R1036" s="119"/>
      <c r="S1036" s="119"/>
      <c r="T1036" s="119"/>
      <c r="U1036" s="120"/>
      <c r="V1036" s="121"/>
      <c r="W1036" s="122"/>
      <c r="X1036" s="123"/>
      <c r="Y1036" s="117"/>
      <c r="Z1036" s="117"/>
      <c r="AH1036" s="6"/>
      <c r="AI1036" s="6"/>
    </row>
    <row r="1037" spans="1:35">
      <c r="A1037" s="117"/>
      <c r="B1037" s="117"/>
      <c r="C1037" s="6"/>
      <c r="D1037" s="117"/>
      <c r="E1037" s="117"/>
      <c r="F1037" s="117"/>
      <c r="G1037" s="117"/>
      <c r="H1037" s="117"/>
      <c r="I1037" s="117"/>
      <c r="J1037" s="117"/>
      <c r="K1037" s="197"/>
      <c r="L1037" s="117"/>
      <c r="M1037" s="197"/>
      <c r="N1037" s="197"/>
      <c r="O1037" s="117"/>
      <c r="P1037" s="117"/>
      <c r="Q1037" s="200"/>
      <c r="R1037" s="119"/>
      <c r="S1037" s="119"/>
      <c r="T1037" s="119"/>
      <c r="U1037" s="120"/>
      <c r="V1037" s="121"/>
      <c r="W1037" s="122"/>
      <c r="X1037" s="123"/>
      <c r="Y1037" s="117"/>
      <c r="Z1037" s="117"/>
      <c r="AH1037" s="6"/>
      <c r="AI1037" s="6"/>
    </row>
    <row r="1038" spans="1:35">
      <c r="A1038" s="117"/>
      <c r="B1038" s="117"/>
      <c r="C1038" s="6"/>
      <c r="D1038" s="117"/>
      <c r="E1038" s="117"/>
      <c r="F1038" s="117"/>
      <c r="G1038" s="117"/>
      <c r="H1038" s="117"/>
      <c r="I1038" s="117"/>
      <c r="J1038" s="117"/>
      <c r="K1038" s="197"/>
      <c r="L1038" s="117"/>
      <c r="M1038" s="197"/>
      <c r="N1038" s="197"/>
      <c r="O1038" s="117"/>
      <c r="P1038" s="117"/>
      <c r="Q1038" s="200"/>
      <c r="R1038" s="119"/>
      <c r="S1038" s="119"/>
      <c r="T1038" s="119"/>
      <c r="U1038" s="120"/>
      <c r="V1038" s="121"/>
      <c r="W1038" s="122"/>
      <c r="X1038" s="123"/>
      <c r="Y1038" s="117"/>
      <c r="Z1038" s="117"/>
      <c r="AH1038" s="6"/>
      <c r="AI1038" s="6"/>
    </row>
    <row r="1039" spans="1:35">
      <c r="A1039" s="117"/>
      <c r="B1039" s="117"/>
      <c r="C1039" s="6"/>
      <c r="D1039" s="117"/>
      <c r="E1039" s="117"/>
      <c r="F1039" s="117"/>
      <c r="G1039" s="117"/>
      <c r="H1039" s="117"/>
      <c r="I1039" s="117"/>
      <c r="J1039" s="117"/>
      <c r="K1039" s="197"/>
      <c r="L1039" s="117"/>
      <c r="M1039" s="197"/>
      <c r="N1039" s="197"/>
      <c r="O1039" s="117"/>
      <c r="P1039" s="117"/>
      <c r="Q1039" s="200"/>
      <c r="R1039" s="119"/>
      <c r="S1039" s="119"/>
      <c r="T1039" s="119"/>
      <c r="U1039" s="120"/>
      <c r="V1039" s="121"/>
      <c r="W1039" s="122"/>
      <c r="X1039" s="123"/>
      <c r="Y1039" s="117"/>
      <c r="Z1039" s="117"/>
      <c r="AH1039" s="6"/>
      <c r="AI1039" s="6"/>
    </row>
    <row r="1040" spans="1:35">
      <c r="A1040" s="117"/>
      <c r="B1040" s="117"/>
      <c r="C1040" s="6"/>
      <c r="D1040" s="117"/>
      <c r="E1040" s="117"/>
      <c r="F1040" s="117"/>
      <c r="G1040" s="117"/>
      <c r="H1040" s="117"/>
      <c r="I1040" s="117"/>
      <c r="J1040" s="117"/>
      <c r="K1040" s="197"/>
      <c r="L1040" s="117"/>
      <c r="M1040" s="197"/>
      <c r="N1040" s="197"/>
      <c r="O1040" s="117"/>
      <c r="P1040" s="117"/>
      <c r="Q1040" s="200"/>
      <c r="R1040" s="119"/>
      <c r="S1040" s="119"/>
      <c r="T1040" s="119"/>
      <c r="U1040" s="120"/>
      <c r="V1040" s="121"/>
      <c r="W1040" s="122"/>
      <c r="X1040" s="123"/>
      <c r="Y1040" s="117"/>
      <c r="Z1040" s="117"/>
      <c r="AH1040" s="6"/>
      <c r="AI1040" s="6"/>
    </row>
    <row r="1041" spans="1:35">
      <c r="A1041" s="117"/>
      <c r="B1041" s="117"/>
      <c r="C1041" s="6"/>
      <c r="D1041" s="117"/>
      <c r="E1041" s="117"/>
      <c r="F1041" s="117"/>
      <c r="G1041" s="117"/>
      <c r="H1041" s="117"/>
      <c r="I1041" s="117"/>
      <c r="J1041" s="117"/>
      <c r="K1041" s="197"/>
      <c r="L1041" s="117"/>
      <c r="M1041" s="197"/>
      <c r="N1041" s="197"/>
      <c r="O1041" s="117"/>
      <c r="P1041" s="117"/>
      <c r="Q1041" s="200"/>
      <c r="R1041" s="119"/>
      <c r="S1041" s="119"/>
      <c r="T1041" s="119"/>
      <c r="U1041" s="120"/>
      <c r="V1041" s="121"/>
      <c r="W1041" s="122"/>
      <c r="X1041" s="123"/>
      <c r="Y1041" s="117"/>
      <c r="Z1041" s="117"/>
      <c r="AH1041" s="6"/>
      <c r="AI1041" s="6"/>
    </row>
    <row r="1042" spans="1:35">
      <c r="A1042" s="117"/>
      <c r="B1042" s="117"/>
      <c r="C1042" s="6"/>
      <c r="D1042" s="117"/>
      <c r="E1042" s="117"/>
      <c r="F1042" s="117"/>
      <c r="G1042" s="117"/>
      <c r="H1042" s="117"/>
      <c r="I1042" s="117"/>
      <c r="J1042" s="117"/>
      <c r="K1042" s="197"/>
      <c r="L1042" s="117"/>
      <c r="M1042" s="197"/>
      <c r="N1042" s="197"/>
      <c r="O1042" s="117"/>
      <c r="P1042" s="117"/>
      <c r="Q1042" s="200"/>
      <c r="R1042" s="119"/>
      <c r="S1042" s="119"/>
      <c r="T1042" s="119"/>
      <c r="U1042" s="120"/>
      <c r="V1042" s="121"/>
      <c r="W1042" s="122"/>
      <c r="X1042" s="123"/>
      <c r="Y1042" s="117"/>
      <c r="Z1042" s="117"/>
      <c r="AH1042" s="6"/>
      <c r="AI1042" s="6"/>
    </row>
    <row r="1043" spans="1:35">
      <c r="A1043" s="117"/>
      <c r="B1043" s="117"/>
      <c r="C1043" s="6"/>
      <c r="D1043" s="117"/>
      <c r="E1043" s="117"/>
      <c r="F1043" s="117"/>
      <c r="G1043" s="117"/>
      <c r="H1043" s="117"/>
      <c r="I1043" s="117"/>
      <c r="J1043" s="117"/>
      <c r="K1043" s="197"/>
      <c r="L1043" s="117"/>
      <c r="M1043" s="197"/>
      <c r="N1043" s="197"/>
      <c r="O1043" s="117"/>
      <c r="P1043" s="117"/>
      <c r="Q1043" s="200"/>
      <c r="R1043" s="119"/>
      <c r="S1043" s="119"/>
      <c r="T1043" s="119"/>
      <c r="U1043" s="120"/>
      <c r="V1043" s="121"/>
      <c r="W1043" s="122"/>
      <c r="X1043" s="123"/>
      <c r="Y1043" s="117"/>
      <c r="Z1043" s="117"/>
      <c r="AH1043" s="6"/>
      <c r="AI1043" s="6"/>
    </row>
    <row r="1044" spans="1:35">
      <c r="A1044" s="117"/>
      <c r="B1044" s="117"/>
      <c r="C1044" s="6"/>
      <c r="D1044" s="117"/>
      <c r="E1044" s="117"/>
      <c r="F1044" s="117"/>
      <c r="G1044" s="117"/>
      <c r="H1044" s="117"/>
      <c r="I1044" s="117"/>
      <c r="J1044" s="117"/>
      <c r="K1044" s="197"/>
      <c r="L1044" s="117"/>
      <c r="M1044" s="197"/>
      <c r="N1044" s="197"/>
      <c r="O1044" s="117"/>
      <c r="P1044" s="117"/>
      <c r="Q1044" s="200"/>
      <c r="R1044" s="119"/>
      <c r="S1044" s="119"/>
      <c r="T1044" s="119"/>
      <c r="U1044" s="120"/>
      <c r="V1044" s="121"/>
      <c r="W1044" s="122"/>
      <c r="X1044" s="123"/>
      <c r="Y1044" s="117"/>
      <c r="Z1044" s="117"/>
    </row>
    <row r="1045" spans="1:35">
      <c r="A1045" s="117"/>
      <c r="B1045" s="117"/>
      <c r="C1045" s="117"/>
      <c r="D1045" s="117"/>
      <c r="E1045" s="117"/>
      <c r="F1045" s="117"/>
      <c r="G1045" s="117"/>
      <c r="H1045" s="117"/>
      <c r="I1045" s="117"/>
      <c r="J1045" s="117"/>
      <c r="K1045" s="117"/>
      <c r="L1045" s="117"/>
      <c r="M1045" s="117"/>
      <c r="N1045" s="117"/>
      <c r="O1045" s="117"/>
      <c r="P1045" s="117"/>
      <c r="Q1045" s="200"/>
      <c r="R1045" s="119"/>
      <c r="S1045" s="119"/>
      <c r="T1045" s="119"/>
      <c r="U1045" s="120"/>
      <c r="V1045" s="121"/>
      <c r="W1045" s="122"/>
      <c r="X1045" s="123"/>
      <c r="Y1045" s="117"/>
      <c r="Z1045" s="117"/>
    </row>
    <row r="1046" spans="1:35">
      <c r="A1046" s="117"/>
      <c r="B1046" s="117"/>
      <c r="C1046" s="117"/>
      <c r="D1046" s="117"/>
      <c r="E1046" s="117"/>
      <c r="F1046" s="117"/>
      <c r="G1046" s="117"/>
      <c r="H1046" s="117"/>
      <c r="I1046" s="117"/>
      <c r="J1046" s="117"/>
      <c r="K1046" s="117"/>
      <c r="L1046" s="117"/>
      <c r="M1046" s="117"/>
      <c r="N1046" s="117"/>
      <c r="O1046" s="117"/>
      <c r="P1046" s="117"/>
      <c r="Q1046" s="200"/>
      <c r="R1046" s="119"/>
      <c r="S1046" s="119"/>
      <c r="T1046" s="119"/>
      <c r="U1046" s="120"/>
      <c r="V1046" s="121"/>
      <c r="W1046" s="122"/>
      <c r="X1046" s="123"/>
      <c r="Y1046" s="117"/>
      <c r="Z1046" s="117"/>
    </row>
    <row r="1047" spans="1:35">
      <c r="A1047" s="117"/>
      <c r="B1047" s="117"/>
      <c r="C1047" s="117"/>
      <c r="D1047" s="117"/>
      <c r="E1047" s="117"/>
      <c r="F1047" s="117"/>
      <c r="G1047" s="117"/>
      <c r="H1047" s="117"/>
      <c r="I1047" s="117"/>
      <c r="J1047" s="117"/>
      <c r="K1047" s="117"/>
      <c r="L1047" s="117"/>
      <c r="M1047" s="117"/>
      <c r="N1047" s="117"/>
      <c r="O1047" s="117"/>
      <c r="P1047" s="117"/>
      <c r="Q1047" s="200"/>
      <c r="R1047" s="119"/>
      <c r="S1047" s="119"/>
      <c r="T1047" s="119"/>
      <c r="U1047" s="120"/>
      <c r="V1047" s="121"/>
      <c r="W1047" s="122"/>
      <c r="X1047" s="123"/>
      <c r="Y1047" s="117"/>
      <c r="Z1047" s="117"/>
    </row>
    <row r="1048" spans="1:35">
      <c r="A1048" s="117"/>
      <c r="B1048" s="117"/>
      <c r="C1048" s="117"/>
      <c r="D1048" s="117"/>
      <c r="E1048" s="117"/>
      <c r="F1048" s="117"/>
      <c r="G1048" s="117"/>
      <c r="H1048" s="117"/>
      <c r="I1048" s="117"/>
      <c r="J1048" s="117"/>
      <c r="K1048" s="117"/>
      <c r="L1048" s="117"/>
      <c r="M1048" s="117"/>
      <c r="N1048" s="117"/>
      <c r="O1048" s="117"/>
      <c r="P1048" s="117"/>
      <c r="Q1048" s="200"/>
      <c r="R1048" s="119"/>
      <c r="S1048" s="119"/>
      <c r="T1048" s="119"/>
      <c r="U1048" s="120"/>
      <c r="V1048" s="121"/>
      <c r="W1048" s="122"/>
      <c r="X1048" s="123"/>
      <c r="Y1048" s="117"/>
      <c r="Z1048" s="117"/>
    </row>
    <row r="1049" spans="1:35">
      <c r="A1049" s="117"/>
      <c r="B1049" s="117"/>
      <c r="C1049" s="117"/>
      <c r="D1049" s="117"/>
      <c r="E1049" s="117"/>
      <c r="F1049" s="117"/>
      <c r="G1049" s="117"/>
      <c r="H1049" s="117"/>
      <c r="I1049" s="117"/>
      <c r="J1049" s="117"/>
      <c r="K1049" s="117"/>
      <c r="L1049" s="117"/>
      <c r="M1049" s="117"/>
      <c r="N1049" s="117"/>
      <c r="O1049" s="117"/>
      <c r="P1049" s="117"/>
      <c r="Q1049" s="200"/>
      <c r="R1049" s="119"/>
      <c r="S1049" s="119"/>
      <c r="T1049" s="119"/>
      <c r="U1049" s="120"/>
      <c r="V1049" s="121"/>
      <c r="W1049" s="122"/>
      <c r="X1049" s="123"/>
      <c r="Y1049" s="117"/>
      <c r="Z1049" s="117"/>
    </row>
    <row r="1050" spans="1:35">
      <c r="A1050" s="117"/>
      <c r="B1050" s="117"/>
      <c r="C1050" s="117"/>
      <c r="D1050" s="117"/>
      <c r="E1050" s="117"/>
      <c r="F1050" s="117"/>
      <c r="G1050" s="117"/>
      <c r="H1050" s="117"/>
      <c r="I1050" s="117"/>
      <c r="J1050" s="117"/>
      <c r="K1050" s="117"/>
      <c r="L1050" s="117"/>
      <c r="M1050" s="117"/>
      <c r="N1050" s="117"/>
      <c r="O1050" s="117"/>
      <c r="P1050" s="117"/>
      <c r="Q1050" s="200"/>
      <c r="R1050" s="119"/>
      <c r="S1050" s="119"/>
      <c r="T1050" s="119"/>
      <c r="U1050" s="120"/>
      <c r="V1050" s="121"/>
      <c r="W1050" s="122"/>
      <c r="X1050" s="123"/>
      <c r="Y1050" s="117"/>
      <c r="Z1050" s="117"/>
    </row>
    <row r="1051" spans="1:35">
      <c r="A1051" s="117"/>
      <c r="B1051" s="117"/>
      <c r="C1051" s="117"/>
      <c r="D1051" s="117"/>
      <c r="E1051" s="117"/>
      <c r="F1051" s="117"/>
      <c r="G1051" s="117"/>
      <c r="H1051" s="117"/>
      <c r="I1051" s="117"/>
      <c r="J1051" s="117"/>
      <c r="K1051" s="117"/>
      <c r="L1051" s="117"/>
      <c r="M1051" s="117"/>
      <c r="N1051" s="117"/>
      <c r="O1051" s="117"/>
      <c r="P1051" s="117"/>
      <c r="Q1051" s="200"/>
      <c r="R1051" s="119"/>
      <c r="S1051" s="119"/>
      <c r="T1051" s="119"/>
      <c r="U1051" s="120"/>
      <c r="V1051" s="121"/>
      <c r="W1051" s="122"/>
      <c r="X1051" s="123"/>
      <c r="Y1051" s="117"/>
      <c r="Z1051" s="117"/>
    </row>
    <row r="1052" spans="1:35">
      <c r="A1052" s="117"/>
      <c r="B1052" s="117"/>
      <c r="C1052" s="117"/>
      <c r="D1052" s="117"/>
      <c r="E1052" s="117"/>
      <c r="F1052" s="117"/>
      <c r="G1052" s="117"/>
      <c r="H1052" s="117"/>
      <c r="I1052" s="117"/>
      <c r="J1052" s="117"/>
      <c r="K1052" s="117"/>
      <c r="L1052" s="117"/>
      <c r="M1052" s="117"/>
      <c r="N1052" s="117"/>
      <c r="O1052" s="117"/>
      <c r="P1052" s="117"/>
      <c r="Q1052" s="200"/>
      <c r="R1052" s="119"/>
      <c r="S1052" s="119"/>
      <c r="T1052" s="119"/>
      <c r="U1052" s="120"/>
      <c r="V1052" s="121"/>
      <c r="W1052" s="122"/>
      <c r="X1052" s="123"/>
      <c r="Y1052" s="117"/>
      <c r="Z1052" s="117"/>
    </row>
    <row r="1053" spans="1:35">
      <c r="A1053" s="117"/>
      <c r="B1053" s="117"/>
      <c r="C1053" s="117"/>
      <c r="D1053" s="117"/>
      <c r="E1053" s="117"/>
      <c r="F1053" s="117"/>
      <c r="G1053" s="117"/>
      <c r="H1053" s="117"/>
      <c r="I1053" s="117"/>
      <c r="J1053" s="117"/>
      <c r="K1053" s="117"/>
      <c r="L1053" s="117"/>
      <c r="M1053" s="117"/>
      <c r="N1053" s="117"/>
      <c r="O1053" s="117"/>
      <c r="P1053" s="117"/>
      <c r="Q1053" s="200"/>
      <c r="R1053" s="119"/>
      <c r="S1053" s="119"/>
      <c r="T1053" s="119"/>
      <c r="U1053" s="120"/>
      <c r="V1053" s="121"/>
      <c r="W1053" s="122"/>
      <c r="X1053" s="123"/>
      <c r="Y1053" s="117"/>
      <c r="Z1053" s="117"/>
    </row>
    <row r="1054" spans="1:35">
      <c r="A1054" s="117"/>
      <c r="B1054" s="117"/>
      <c r="C1054" s="117"/>
      <c r="D1054" s="117"/>
      <c r="E1054" s="117"/>
      <c r="F1054" s="117"/>
      <c r="G1054" s="117"/>
      <c r="H1054" s="117"/>
      <c r="I1054" s="117"/>
      <c r="J1054" s="117"/>
      <c r="K1054" s="117"/>
      <c r="L1054" s="117"/>
      <c r="M1054" s="117"/>
      <c r="N1054" s="117"/>
      <c r="O1054" s="117"/>
      <c r="P1054" s="117"/>
      <c r="Q1054" s="200"/>
      <c r="R1054" s="119"/>
      <c r="S1054" s="119"/>
      <c r="T1054" s="119"/>
      <c r="U1054" s="120"/>
      <c r="V1054" s="121"/>
      <c r="W1054" s="122"/>
      <c r="X1054" s="123"/>
      <c r="Y1054" s="117"/>
      <c r="Z1054" s="117"/>
    </row>
    <row r="1055" spans="1:35">
      <c r="A1055" s="117"/>
      <c r="B1055" s="117"/>
      <c r="C1055" s="117"/>
      <c r="D1055" s="117"/>
      <c r="E1055" s="117"/>
      <c r="F1055" s="117"/>
      <c r="G1055" s="117"/>
      <c r="H1055" s="117"/>
      <c r="I1055" s="117"/>
      <c r="J1055" s="117"/>
      <c r="K1055" s="117"/>
      <c r="L1055" s="117"/>
      <c r="M1055" s="117"/>
      <c r="N1055" s="117"/>
      <c r="O1055" s="117"/>
      <c r="P1055" s="117"/>
      <c r="Q1055" s="200"/>
      <c r="R1055" s="119"/>
      <c r="S1055" s="119"/>
      <c r="T1055" s="119"/>
      <c r="U1055" s="120"/>
      <c r="V1055" s="121"/>
      <c r="W1055" s="122"/>
      <c r="X1055" s="123"/>
      <c r="Y1055" s="117"/>
      <c r="Z1055" s="117"/>
    </row>
    <row r="1056" spans="1:35">
      <c r="A1056" s="117"/>
      <c r="B1056" s="117"/>
      <c r="C1056" s="117"/>
      <c r="D1056" s="117"/>
      <c r="E1056" s="117"/>
      <c r="F1056" s="117"/>
      <c r="G1056" s="117"/>
      <c r="H1056" s="117"/>
      <c r="I1056" s="117"/>
      <c r="J1056" s="117"/>
      <c r="K1056" s="117"/>
      <c r="L1056" s="117"/>
      <c r="M1056" s="117"/>
      <c r="N1056" s="117"/>
      <c r="O1056" s="117"/>
      <c r="P1056" s="117"/>
      <c r="Q1056" s="200"/>
      <c r="R1056" s="119"/>
      <c r="S1056" s="119"/>
      <c r="T1056" s="119"/>
      <c r="U1056" s="120"/>
      <c r="V1056" s="121"/>
      <c r="W1056" s="122"/>
      <c r="X1056" s="123"/>
      <c r="Y1056" s="117"/>
      <c r="Z1056" s="117"/>
    </row>
    <row r="1057" spans="1:26">
      <c r="A1057" s="117"/>
      <c r="B1057" s="117"/>
      <c r="C1057" s="117"/>
      <c r="D1057" s="117"/>
      <c r="E1057" s="117"/>
      <c r="F1057" s="117"/>
      <c r="G1057" s="117"/>
      <c r="H1057" s="117"/>
      <c r="I1057" s="117"/>
      <c r="J1057" s="117"/>
      <c r="K1057" s="117"/>
      <c r="L1057" s="117"/>
      <c r="M1057" s="117"/>
      <c r="N1057" s="117"/>
      <c r="O1057" s="117"/>
      <c r="P1057" s="117"/>
      <c r="Q1057" s="200"/>
      <c r="R1057" s="119"/>
      <c r="S1057" s="119"/>
      <c r="T1057" s="119"/>
      <c r="U1057" s="120"/>
      <c r="V1057" s="121"/>
      <c r="W1057" s="122"/>
      <c r="X1057" s="123"/>
      <c r="Y1057" s="117"/>
      <c r="Z1057" s="117"/>
    </row>
    <row r="1058" spans="1:26">
      <c r="A1058" s="117"/>
      <c r="B1058" s="117"/>
      <c r="C1058" s="117"/>
      <c r="D1058" s="117"/>
      <c r="E1058" s="117"/>
      <c r="F1058" s="117"/>
      <c r="G1058" s="117"/>
      <c r="H1058" s="117"/>
      <c r="I1058" s="117"/>
      <c r="J1058" s="117"/>
      <c r="K1058" s="117"/>
      <c r="L1058" s="117"/>
      <c r="M1058" s="117"/>
      <c r="N1058" s="117"/>
      <c r="O1058" s="117"/>
      <c r="P1058" s="117"/>
      <c r="Q1058" s="200"/>
      <c r="R1058" s="119"/>
      <c r="S1058" s="119"/>
      <c r="T1058" s="119"/>
      <c r="U1058" s="120"/>
      <c r="V1058" s="121"/>
      <c r="W1058" s="122"/>
      <c r="X1058" s="123"/>
      <c r="Y1058" s="117"/>
      <c r="Z1058" s="117"/>
    </row>
    <row r="1059" spans="1:26">
      <c r="A1059" s="117"/>
      <c r="B1059" s="117"/>
      <c r="C1059" s="117"/>
      <c r="D1059" s="117"/>
      <c r="E1059" s="117"/>
      <c r="F1059" s="117"/>
      <c r="G1059" s="117"/>
      <c r="H1059" s="117"/>
      <c r="I1059" s="117"/>
      <c r="J1059" s="117"/>
      <c r="K1059" s="117"/>
      <c r="L1059" s="117"/>
      <c r="M1059" s="117"/>
      <c r="N1059" s="117"/>
      <c r="O1059" s="117"/>
      <c r="P1059" s="117"/>
      <c r="Q1059" s="200"/>
      <c r="R1059" s="119"/>
      <c r="S1059" s="119"/>
      <c r="T1059" s="119"/>
      <c r="U1059" s="120"/>
      <c r="V1059" s="121"/>
      <c r="W1059" s="122"/>
      <c r="X1059" s="123"/>
      <c r="Y1059" s="117"/>
      <c r="Z1059" s="117"/>
    </row>
    <row r="1060" spans="1:26">
      <c r="A1060" s="117"/>
      <c r="B1060" s="117"/>
      <c r="C1060" s="117"/>
      <c r="D1060" s="117"/>
      <c r="E1060" s="117"/>
      <c r="F1060" s="117"/>
      <c r="G1060" s="117"/>
      <c r="H1060" s="117"/>
      <c r="I1060" s="117"/>
      <c r="J1060" s="117"/>
      <c r="K1060" s="117"/>
      <c r="L1060" s="117"/>
      <c r="M1060" s="117"/>
      <c r="N1060" s="117"/>
      <c r="O1060" s="117"/>
      <c r="P1060" s="117"/>
      <c r="Q1060" s="200"/>
      <c r="R1060" s="119"/>
      <c r="S1060" s="119"/>
      <c r="T1060" s="119"/>
      <c r="U1060" s="120"/>
      <c r="V1060" s="121"/>
      <c r="W1060" s="122"/>
      <c r="X1060" s="123"/>
      <c r="Y1060" s="117"/>
      <c r="Z1060" s="117"/>
    </row>
    <row r="1061" spans="1:26">
      <c r="A1061" s="117"/>
      <c r="B1061" s="117"/>
      <c r="C1061" s="117"/>
      <c r="D1061" s="117"/>
      <c r="E1061" s="117"/>
      <c r="F1061" s="117"/>
      <c r="G1061" s="117"/>
      <c r="H1061" s="117"/>
      <c r="I1061" s="117"/>
      <c r="J1061" s="117"/>
      <c r="K1061" s="117"/>
      <c r="L1061" s="117"/>
      <c r="M1061" s="117"/>
      <c r="N1061" s="117"/>
      <c r="O1061" s="117"/>
      <c r="P1061" s="117"/>
      <c r="Q1061" s="200"/>
      <c r="R1061" s="119"/>
      <c r="S1061" s="119"/>
      <c r="T1061" s="119"/>
      <c r="U1061" s="120"/>
      <c r="V1061" s="121"/>
      <c r="W1061" s="122"/>
      <c r="X1061" s="123"/>
      <c r="Y1061" s="117"/>
      <c r="Z1061" s="117"/>
    </row>
    <row r="1062" spans="1:26">
      <c r="A1062" s="117"/>
      <c r="B1062" s="117"/>
      <c r="C1062" s="117"/>
      <c r="D1062" s="117"/>
      <c r="E1062" s="117"/>
      <c r="F1062" s="117"/>
      <c r="G1062" s="117"/>
      <c r="H1062" s="117"/>
      <c r="I1062" s="117"/>
      <c r="J1062" s="117"/>
      <c r="K1062" s="117"/>
      <c r="L1062" s="117"/>
      <c r="M1062" s="117"/>
      <c r="N1062" s="117"/>
      <c r="O1062" s="117"/>
      <c r="P1062" s="117"/>
      <c r="Q1062" s="200"/>
      <c r="R1062" s="119"/>
      <c r="S1062" s="119"/>
      <c r="T1062" s="119"/>
      <c r="U1062" s="120"/>
      <c r="V1062" s="121"/>
      <c r="W1062" s="122"/>
      <c r="X1062" s="123"/>
      <c r="Y1062" s="117"/>
      <c r="Z1062" s="117"/>
    </row>
    <row r="1063" spans="1:26">
      <c r="A1063" s="117"/>
      <c r="B1063" s="117"/>
      <c r="C1063" s="117"/>
      <c r="D1063" s="117"/>
      <c r="E1063" s="117"/>
      <c r="F1063" s="117"/>
      <c r="G1063" s="117"/>
      <c r="H1063" s="117"/>
      <c r="I1063" s="117"/>
      <c r="J1063" s="117"/>
      <c r="K1063" s="117"/>
      <c r="L1063" s="117"/>
      <c r="M1063" s="117"/>
      <c r="N1063" s="117"/>
      <c r="O1063" s="117"/>
      <c r="P1063" s="117"/>
      <c r="Q1063" s="200"/>
      <c r="R1063" s="119"/>
      <c r="S1063" s="119"/>
      <c r="T1063" s="119"/>
      <c r="U1063" s="120"/>
      <c r="V1063" s="121"/>
      <c r="W1063" s="122"/>
      <c r="X1063" s="123"/>
      <c r="Y1063" s="117"/>
      <c r="Z1063" s="117"/>
    </row>
    <row r="1064" spans="1:26">
      <c r="A1064" s="117"/>
      <c r="B1064" s="117"/>
      <c r="C1064" s="117"/>
      <c r="D1064" s="117"/>
      <c r="E1064" s="117"/>
      <c r="F1064" s="117"/>
      <c r="G1064" s="117"/>
      <c r="H1064" s="117"/>
      <c r="I1064" s="117"/>
      <c r="J1064" s="117"/>
      <c r="K1064" s="117"/>
      <c r="L1064" s="117"/>
      <c r="M1064" s="117"/>
      <c r="N1064" s="117"/>
      <c r="O1064" s="117"/>
      <c r="P1064" s="117"/>
      <c r="Q1064" s="200"/>
      <c r="R1064" s="119"/>
      <c r="S1064" s="119"/>
      <c r="T1064" s="119"/>
      <c r="U1064" s="120"/>
      <c r="V1064" s="121"/>
      <c r="W1064" s="122"/>
      <c r="X1064" s="123"/>
      <c r="Y1064" s="117"/>
      <c r="Z1064" s="117"/>
    </row>
    <row r="1065" spans="1:26">
      <c r="A1065" s="117"/>
      <c r="B1065" s="117"/>
      <c r="C1065" s="117"/>
      <c r="D1065" s="117"/>
      <c r="E1065" s="117"/>
      <c r="F1065" s="117"/>
      <c r="G1065" s="117"/>
      <c r="H1065" s="117"/>
      <c r="I1065" s="117"/>
      <c r="J1065" s="117"/>
      <c r="K1065" s="117"/>
      <c r="L1065" s="117"/>
      <c r="M1065" s="117"/>
      <c r="N1065" s="117"/>
      <c r="O1065" s="117"/>
      <c r="P1065" s="117"/>
      <c r="Q1065" s="200"/>
      <c r="R1065" s="119"/>
      <c r="S1065" s="119"/>
      <c r="T1065" s="119"/>
      <c r="U1065" s="120"/>
      <c r="V1065" s="121"/>
      <c r="W1065" s="122"/>
      <c r="X1065" s="123"/>
      <c r="Y1065" s="117"/>
      <c r="Z1065" s="117"/>
    </row>
    <row r="1066" spans="1:26">
      <c r="A1066" s="117"/>
      <c r="B1066" s="117"/>
      <c r="C1066" s="117"/>
      <c r="D1066" s="117"/>
      <c r="E1066" s="117"/>
      <c r="F1066" s="117"/>
      <c r="G1066" s="117"/>
      <c r="H1066" s="117"/>
      <c r="I1066" s="117"/>
      <c r="J1066" s="117"/>
      <c r="K1066" s="117"/>
      <c r="L1066" s="117"/>
      <c r="M1066" s="117"/>
      <c r="N1066" s="117"/>
      <c r="O1066" s="117"/>
      <c r="P1066" s="117"/>
      <c r="Q1066" s="200"/>
      <c r="R1066" s="119"/>
      <c r="S1066" s="119"/>
      <c r="T1066" s="119"/>
      <c r="U1066" s="120"/>
      <c r="V1066" s="121"/>
      <c r="W1066" s="122"/>
      <c r="X1066" s="123"/>
      <c r="Y1066" s="117"/>
      <c r="Z1066" s="117"/>
    </row>
    <row r="1067" spans="1:26">
      <c r="A1067" s="117"/>
      <c r="B1067" s="117"/>
      <c r="C1067" s="117"/>
      <c r="D1067" s="117"/>
      <c r="E1067" s="117"/>
      <c r="F1067" s="117"/>
      <c r="G1067" s="117"/>
      <c r="H1067" s="117"/>
      <c r="I1067" s="117"/>
      <c r="J1067" s="117"/>
      <c r="K1067" s="117"/>
      <c r="L1067" s="117"/>
      <c r="M1067" s="117"/>
      <c r="N1067" s="117"/>
      <c r="O1067" s="117"/>
      <c r="P1067" s="117"/>
      <c r="Q1067" s="200"/>
      <c r="R1067" s="119"/>
      <c r="S1067" s="119"/>
      <c r="T1067" s="119"/>
      <c r="U1067" s="120"/>
      <c r="V1067" s="121"/>
      <c r="W1067" s="122"/>
      <c r="X1067" s="123"/>
      <c r="Y1067" s="117"/>
      <c r="Z1067" s="117"/>
    </row>
    <row r="1068" spans="1:26">
      <c r="A1068" s="117"/>
      <c r="B1068" s="117"/>
      <c r="C1068" s="117"/>
      <c r="D1068" s="117"/>
      <c r="E1068" s="117"/>
      <c r="F1068" s="117"/>
      <c r="G1068" s="117"/>
      <c r="H1068" s="117"/>
      <c r="I1068" s="117"/>
      <c r="J1068" s="117"/>
      <c r="K1068" s="117"/>
      <c r="L1068" s="117"/>
      <c r="M1068" s="117"/>
      <c r="N1068" s="117"/>
      <c r="O1068" s="117"/>
      <c r="P1068" s="117"/>
      <c r="Q1068" s="200"/>
      <c r="R1068" s="119"/>
      <c r="S1068" s="119"/>
      <c r="T1068" s="119"/>
      <c r="U1068" s="120"/>
      <c r="V1068" s="121"/>
      <c r="W1068" s="122"/>
      <c r="X1068" s="123"/>
      <c r="Y1068" s="117"/>
      <c r="Z1068" s="117"/>
    </row>
    <row r="1069" spans="1:26">
      <c r="A1069" s="117"/>
      <c r="B1069" s="117"/>
      <c r="C1069" s="117"/>
      <c r="D1069" s="117"/>
      <c r="E1069" s="117"/>
      <c r="F1069" s="117"/>
      <c r="G1069" s="117"/>
      <c r="H1069" s="117"/>
      <c r="I1069" s="117"/>
      <c r="J1069" s="117"/>
      <c r="K1069" s="117"/>
      <c r="L1069" s="117"/>
      <c r="M1069" s="117"/>
      <c r="N1069" s="117"/>
      <c r="O1069" s="117"/>
      <c r="P1069" s="117"/>
      <c r="Q1069" s="200"/>
      <c r="R1069" s="119"/>
      <c r="S1069" s="119"/>
      <c r="T1069" s="119"/>
      <c r="U1069" s="120"/>
      <c r="V1069" s="121"/>
      <c r="W1069" s="122"/>
      <c r="X1069" s="123"/>
      <c r="Y1069" s="117"/>
      <c r="Z1069" s="117"/>
    </row>
    <row r="1070" spans="1:26">
      <c r="A1070" s="117"/>
      <c r="B1070" s="117"/>
      <c r="C1070" s="117"/>
      <c r="D1070" s="117"/>
      <c r="E1070" s="117"/>
      <c r="F1070" s="117"/>
      <c r="G1070" s="117"/>
      <c r="H1070" s="117"/>
      <c r="I1070" s="117"/>
      <c r="J1070" s="117"/>
      <c r="K1070" s="117"/>
      <c r="L1070" s="117"/>
      <c r="M1070" s="117"/>
      <c r="N1070" s="117"/>
      <c r="O1070" s="117"/>
      <c r="P1070" s="117"/>
      <c r="Q1070" s="200"/>
      <c r="R1070" s="119"/>
      <c r="S1070" s="119"/>
      <c r="T1070" s="119"/>
      <c r="U1070" s="120"/>
      <c r="V1070" s="121"/>
      <c r="W1070" s="122"/>
      <c r="X1070" s="123"/>
      <c r="Y1070" s="117"/>
      <c r="Z1070" s="117"/>
    </row>
    <row r="1071" spans="1:26">
      <c r="A1071" s="117"/>
      <c r="B1071" s="117"/>
      <c r="C1071" s="117"/>
      <c r="D1071" s="117"/>
      <c r="E1071" s="117"/>
      <c r="F1071" s="117"/>
      <c r="G1071" s="117"/>
      <c r="H1071" s="117"/>
      <c r="I1071" s="117"/>
      <c r="J1071" s="117"/>
      <c r="K1071" s="117"/>
      <c r="L1071" s="117"/>
      <c r="M1071" s="117"/>
      <c r="N1071" s="117"/>
      <c r="O1071" s="117"/>
      <c r="P1071" s="117"/>
      <c r="Q1071" s="200"/>
      <c r="R1071" s="119"/>
      <c r="S1071" s="119"/>
      <c r="T1071" s="119"/>
      <c r="U1071" s="120"/>
      <c r="V1071" s="121"/>
      <c r="W1071" s="122"/>
      <c r="X1071" s="123"/>
      <c r="Y1071" s="117"/>
      <c r="Z1071" s="117"/>
    </row>
    <row r="1072" spans="1:26">
      <c r="A1072" s="117"/>
      <c r="B1072" s="117"/>
      <c r="C1072" s="117"/>
      <c r="D1072" s="117"/>
      <c r="E1072" s="117"/>
      <c r="F1072" s="117"/>
      <c r="G1072" s="117"/>
      <c r="H1072" s="117"/>
      <c r="I1072" s="117"/>
      <c r="J1072" s="117"/>
      <c r="K1072" s="117"/>
      <c r="L1072" s="117"/>
      <c r="M1072" s="117"/>
      <c r="N1072" s="117"/>
      <c r="O1072" s="117"/>
      <c r="P1072" s="117"/>
      <c r="Q1072" s="200"/>
      <c r="R1072" s="119"/>
      <c r="S1072" s="119"/>
      <c r="T1072" s="119"/>
      <c r="U1072" s="120"/>
      <c r="V1072" s="121"/>
      <c r="W1072" s="122"/>
      <c r="X1072" s="123"/>
      <c r="Y1072" s="117"/>
      <c r="Z1072" s="117"/>
    </row>
    <row r="1073" spans="1:26">
      <c r="A1073" s="117"/>
      <c r="B1073" s="117"/>
      <c r="C1073" s="117"/>
      <c r="D1073" s="117"/>
      <c r="E1073" s="117"/>
      <c r="F1073" s="117"/>
      <c r="G1073" s="117"/>
      <c r="H1073" s="117"/>
      <c r="I1073" s="117"/>
      <c r="J1073" s="117"/>
      <c r="K1073" s="117"/>
      <c r="L1073" s="117"/>
      <c r="M1073" s="117"/>
      <c r="N1073" s="117"/>
      <c r="O1073" s="117"/>
      <c r="P1073" s="117"/>
      <c r="Q1073" s="200"/>
      <c r="R1073" s="119"/>
      <c r="S1073" s="119"/>
      <c r="T1073" s="119"/>
      <c r="U1073" s="120"/>
      <c r="V1073" s="121"/>
      <c r="W1073" s="122"/>
      <c r="X1073" s="123"/>
      <c r="Y1073" s="117"/>
      <c r="Z1073" s="117"/>
    </row>
    <row r="1074" spans="1:26">
      <c r="A1074" s="117"/>
      <c r="B1074" s="117"/>
      <c r="C1074" s="117"/>
      <c r="D1074" s="117"/>
      <c r="E1074" s="117"/>
      <c r="F1074" s="117"/>
      <c r="G1074" s="117"/>
      <c r="H1074" s="117"/>
      <c r="I1074" s="117"/>
      <c r="J1074" s="117"/>
      <c r="K1074" s="117"/>
      <c r="L1074" s="117"/>
      <c r="M1074" s="117"/>
      <c r="N1074" s="117"/>
      <c r="O1074" s="117"/>
      <c r="P1074" s="117"/>
      <c r="Q1074" s="200"/>
      <c r="R1074" s="119"/>
      <c r="S1074" s="119"/>
      <c r="T1074" s="119"/>
      <c r="U1074" s="120"/>
      <c r="V1074" s="121"/>
      <c r="W1074" s="122"/>
      <c r="X1074" s="123"/>
      <c r="Y1074" s="117"/>
      <c r="Z1074" s="117"/>
    </row>
    <row r="1075" spans="1:26">
      <c r="A1075" s="117"/>
      <c r="B1075" s="117"/>
      <c r="C1075" s="117"/>
      <c r="D1075" s="117"/>
      <c r="E1075" s="117"/>
      <c r="F1075" s="117"/>
      <c r="G1075" s="117"/>
      <c r="H1075" s="117"/>
      <c r="I1075" s="117"/>
      <c r="J1075" s="117"/>
      <c r="K1075" s="117"/>
      <c r="L1075" s="117"/>
      <c r="M1075" s="117"/>
      <c r="N1075" s="117"/>
      <c r="O1075" s="117"/>
      <c r="P1075" s="117"/>
      <c r="Q1075" s="200"/>
      <c r="R1075" s="119"/>
      <c r="S1075" s="119"/>
      <c r="T1075" s="119"/>
      <c r="U1075" s="120"/>
      <c r="V1075" s="121"/>
      <c r="W1075" s="122"/>
      <c r="X1075" s="123"/>
      <c r="Y1075" s="117"/>
      <c r="Z1075" s="117"/>
    </row>
    <row r="1076" spans="1:26">
      <c r="A1076" s="117"/>
      <c r="B1076" s="117"/>
      <c r="C1076" s="117"/>
      <c r="D1076" s="117"/>
      <c r="E1076" s="117"/>
      <c r="F1076" s="117"/>
      <c r="G1076" s="117"/>
      <c r="H1076" s="117"/>
      <c r="I1076" s="117"/>
      <c r="J1076" s="117"/>
      <c r="K1076" s="117"/>
      <c r="L1076" s="117"/>
      <c r="M1076" s="117"/>
      <c r="N1076" s="117"/>
      <c r="O1076" s="117"/>
      <c r="P1076" s="117"/>
      <c r="Q1076" s="200"/>
      <c r="R1076" s="119"/>
      <c r="S1076" s="119"/>
      <c r="T1076" s="119"/>
      <c r="U1076" s="120"/>
      <c r="V1076" s="121"/>
      <c r="W1076" s="122"/>
      <c r="X1076" s="123"/>
      <c r="Y1076" s="117"/>
      <c r="Z1076" s="117"/>
    </row>
    <row r="1077" spans="1:26">
      <c r="A1077" s="117"/>
      <c r="B1077" s="117"/>
      <c r="C1077" s="117"/>
      <c r="D1077" s="117"/>
      <c r="E1077" s="117"/>
      <c r="F1077" s="117"/>
      <c r="G1077" s="117"/>
      <c r="H1077" s="117"/>
      <c r="I1077" s="117"/>
      <c r="J1077" s="117"/>
      <c r="K1077" s="117"/>
      <c r="L1077" s="117"/>
      <c r="M1077" s="117"/>
      <c r="N1077" s="117"/>
      <c r="O1077" s="117"/>
      <c r="P1077" s="117"/>
      <c r="Q1077" s="200"/>
      <c r="R1077" s="119"/>
      <c r="S1077" s="119"/>
      <c r="T1077" s="119"/>
      <c r="U1077" s="120"/>
      <c r="V1077" s="121"/>
      <c r="W1077" s="122"/>
      <c r="X1077" s="123"/>
      <c r="Y1077" s="117"/>
      <c r="Z1077" s="117"/>
    </row>
    <row r="1078" spans="1:26">
      <c r="A1078" s="117"/>
      <c r="B1078" s="117"/>
      <c r="C1078" s="117"/>
      <c r="D1078" s="117"/>
      <c r="E1078" s="117"/>
      <c r="F1078" s="117"/>
      <c r="G1078" s="117"/>
      <c r="H1078" s="117"/>
      <c r="I1078" s="117"/>
      <c r="J1078" s="117"/>
      <c r="K1078" s="117"/>
      <c r="L1078" s="117"/>
      <c r="M1078" s="117"/>
      <c r="N1078" s="117"/>
      <c r="O1078" s="117"/>
      <c r="P1078" s="117"/>
      <c r="Q1078" s="200"/>
      <c r="R1078" s="119"/>
      <c r="S1078" s="119"/>
      <c r="T1078" s="119"/>
      <c r="U1078" s="120"/>
      <c r="V1078" s="121"/>
      <c r="W1078" s="122"/>
      <c r="X1078" s="123"/>
      <c r="Y1078" s="117"/>
      <c r="Z1078" s="117"/>
    </row>
    <row r="1079" spans="1:26">
      <c r="A1079" s="117"/>
      <c r="B1079" s="117"/>
      <c r="C1079" s="117"/>
      <c r="D1079" s="117"/>
      <c r="E1079" s="117"/>
      <c r="F1079" s="117"/>
      <c r="G1079" s="117"/>
      <c r="H1079" s="117"/>
      <c r="I1079" s="117"/>
      <c r="J1079" s="117"/>
      <c r="K1079" s="117"/>
      <c r="L1079" s="117"/>
      <c r="M1079" s="117"/>
      <c r="N1079" s="117"/>
      <c r="O1079" s="117"/>
      <c r="P1079" s="117"/>
      <c r="Q1079" s="200"/>
      <c r="R1079" s="119"/>
      <c r="S1079" s="119"/>
      <c r="T1079" s="119"/>
      <c r="U1079" s="120"/>
      <c r="V1079" s="121"/>
      <c r="W1079" s="122"/>
      <c r="X1079" s="123"/>
      <c r="Y1079" s="117"/>
      <c r="Z1079" s="117"/>
    </row>
    <row r="1080" spans="1:26">
      <c r="A1080" s="117"/>
      <c r="B1080" s="117"/>
      <c r="C1080" s="117"/>
      <c r="D1080" s="117"/>
      <c r="E1080" s="117"/>
      <c r="F1080" s="117"/>
      <c r="G1080" s="117"/>
      <c r="H1080" s="117"/>
      <c r="I1080" s="117"/>
      <c r="J1080" s="117"/>
      <c r="K1080" s="117"/>
      <c r="L1080" s="117"/>
      <c r="M1080" s="117"/>
      <c r="N1080" s="117"/>
      <c r="O1080" s="117"/>
      <c r="P1080" s="117"/>
      <c r="Q1080" s="200"/>
      <c r="R1080" s="119"/>
      <c r="S1080" s="119"/>
      <c r="T1080" s="119"/>
      <c r="U1080" s="120"/>
      <c r="V1080" s="121"/>
      <c r="W1080" s="122"/>
      <c r="X1080" s="123"/>
      <c r="Y1080" s="117"/>
      <c r="Z1080" s="117"/>
    </row>
    <row r="1081" spans="1:26">
      <c r="A1081" s="117"/>
      <c r="B1081" s="117"/>
      <c r="C1081" s="117"/>
      <c r="D1081" s="117"/>
      <c r="E1081" s="117"/>
      <c r="F1081" s="117"/>
      <c r="G1081" s="117"/>
      <c r="H1081" s="117"/>
      <c r="I1081" s="117"/>
      <c r="J1081" s="117"/>
      <c r="K1081" s="117"/>
      <c r="L1081" s="117"/>
      <c r="M1081" s="117"/>
      <c r="N1081" s="117"/>
      <c r="O1081" s="117"/>
      <c r="P1081" s="117"/>
      <c r="Q1081" s="200"/>
      <c r="R1081" s="119"/>
      <c r="S1081" s="119"/>
      <c r="T1081" s="119"/>
      <c r="U1081" s="120"/>
      <c r="V1081" s="121"/>
      <c r="W1081" s="122"/>
      <c r="X1081" s="123"/>
      <c r="Y1081" s="117"/>
      <c r="Z1081" s="117"/>
    </row>
    <row r="1082" spans="1:26">
      <c r="A1082" s="117"/>
      <c r="B1082" s="117"/>
      <c r="C1082" s="117"/>
      <c r="D1082" s="117"/>
      <c r="E1082" s="117"/>
      <c r="F1082" s="117"/>
      <c r="G1082" s="117"/>
      <c r="H1082" s="117"/>
      <c r="I1082" s="117"/>
      <c r="J1082" s="117"/>
      <c r="K1082" s="117"/>
      <c r="L1082" s="117"/>
      <c r="M1082" s="117"/>
      <c r="N1082" s="117"/>
      <c r="O1082" s="117"/>
      <c r="P1082" s="117"/>
      <c r="Q1082" s="200"/>
      <c r="R1082" s="119"/>
      <c r="S1082" s="119"/>
      <c r="T1082" s="119"/>
      <c r="U1082" s="120"/>
      <c r="V1082" s="121"/>
      <c r="W1082" s="122"/>
      <c r="X1082" s="123"/>
      <c r="Y1082" s="117"/>
      <c r="Z1082" s="117"/>
    </row>
    <row r="1083" spans="1:26">
      <c r="A1083" s="117"/>
      <c r="B1083" s="117"/>
      <c r="C1083" s="117"/>
      <c r="D1083" s="117"/>
      <c r="E1083" s="117"/>
      <c r="F1083" s="117"/>
      <c r="G1083" s="117"/>
      <c r="H1083" s="117"/>
      <c r="I1083" s="117"/>
      <c r="J1083" s="117"/>
      <c r="K1083" s="117"/>
      <c r="L1083" s="117"/>
      <c r="M1083" s="117"/>
      <c r="N1083" s="117"/>
      <c r="O1083" s="117"/>
      <c r="P1083" s="117"/>
      <c r="Q1083" s="200"/>
      <c r="R1083" s="119"/>
      <c r="S1083" s="119"/>
      <c r="T1083" s="119"/>
      <c r="U1083" s="120"/>
      <c r="V1083" s="121"/>
      <c r="W1083" s="122"/>
      <c r="X1083" s="123"/>
      <c r="Y1083" s="117"/>
      <c r="Z1083" s="117"/>
    </row>
    <row r="1084" spans="1:26">
      <c r="A1084" s="117"/>
      <c r="B1084" s="117"/>
      <c r="C1084" s="117"/>
      <c r="D1084" s="117"/>
      <c r="E1084" s="117"/>
      <c r="F1084" s="117"/>
      <c r="G1084" s="117"/>
      <c r="H1084" s="117"/>
      <c r="I1084" s="117"/>
      <c r="J1084" s="117"/>
      <c r="K1084" s="117"/>
      <c r="L1084" s="117"/>
      <c r="M1084" s="117"/>
      <c r="N1084" s="117"/>
      <c r="O1084" s="117"/>
      <c r="P1084" s="117"/>
      <c r="Q1084" s="200"/>
      <c r="R1084" s="119"/>
      <c r="S1084" s="119"/>
      <c r="T1084" s="119"/>
      <c r="U1084" s="120"/>
      <c r="V1084" s="121"/>
      <c r="W1084" s="122"/>
      <c r="X1084" s="123"/>
      <c r="Y1084" s="117"/>
      <c r="Z1084" s="117"/>
    </row>
    <row r="1085" spans="1:26">
      <c r="A1085" s="117"/>
      <c r="B1085" s="117"/>
      <c r="C1085" s="117"/>
      <c r="D1085" s="117"/>
      <c r="E1085" s="117"/>
      <c r="F1085" s="117"/>
      <c r="G1085" s="117"/>
      <c r="H1085" s="117"/>
      <c r="I1085" s="117"/>
      <c r="J1085" s="117"/>
      <c r="K1085" s="117"/>
      <c r="L1085" s="117"/>
      <c r="M1085" s="117"/>
      <c r="N1085" s="117"/>
      <c r="O1085" s="117"/>
      <c r="P1085" s="117"/>
      <c r="Q1085" s="200"/>
      <c r="R1085" s="119"/>
      <c r="S1085" s="119"/>
      <c r="T1085" s="119"/>
      <c r="U1085" s="120"/>
      <c r="V1085" s="121"/>
      <c r="W1085" s="122"/>
      <c r="X1085" s="123"/>
      <c r="Y1085" s="117"/>
      <c r="Z1085" s="117"/>
    </row>
    <row r="1086" spans="1:26">
      <c r="A1086" s="117"/>
      <c r="B1086" s="117"/>
      <c r="C1086" s="117"/>
      <c r="D1086" s="117"/>
      <c r="E1086" s="117"/>
      <c r="F1086" s="117"/>
      <c r="G1086" s="117"/>
      <c r="H1086" s="117"/>
      <c r="I1086" s="117"/>
      <c r="J1086" s="117"/>
      <c r="K1086" s="117"/>
      <c r="L1086" s="117"/>
      <c r="M1086" s="117"/>
      <c r="N1086" s="117"/>
      <c r="O1086" s="117"/>
      <c r="P1086" s="117"/>
      <c r="Q1086" s="200"/>
      <c r="R1086" s="119"/>
      <c r="S1086" s="119"/>
      <c r="T1086" s="119"/>
      <c r="U1086" s="120"/>
      <c r="V1086" s="121"/>
      <c r="W1086" s="122"/>
      <c r="X1086" s="123"/>
      <c r="Y1086" s="117"/>
      <c r="Z1086" s="117"/>
    </row>
    <row r="1087" spans="1:26">
      <c r="A1087" s="117"/>
      <c r="B1087" s="117"/>
      <c r="C1087" s="117"/>
      <c r="D1087" s="117"/>
      <c r="E1087" s="117"/>
      <c r="F1087" s="117"/>
      <c r="G1087" s="117"/>
      <c r="H1087" s="117"/>
      <c r="I1087" s="117"/>
      <c r="J1087" s="117"/>
      <c r="K1087" s="117"/>
      <c r="L1087" s="117"/>
      <c r="M1087" s="117"/>
      <c r="N1087" s="117"/>
      <c r="O1087" s="117"/>
      <c r="P1087" s="117"/>
      <c r="Q1087" s="200"/>
      <c r="R1087" s="119"/>
      <c r="S1087" s="119"/>
      <c r="T1087" s="119"/>
      <c r="U1087" s="120"/>
      <c r="V1087" s="121"/>
      <c r="W1087" s="122"/>
      <c r="X1087" s="123"/>
      <c r="Y1087" s="117"/>
      <c r="Z1087" s="117"/>
    </row>
    <row r="1088" spans="1:26">
      <c r="A1088" s="117"/>
      <c r="B1088" s="117"/>
      <c r="C1088" s="117"/>
      <c r="D1088" s="117"/>
      <c r="E1088" s="117"/>
      <c r="F1088" s="117"/>
      <c r="G1088" s="117"/>
      <c r="H1088" s="117"/>
      <c r="I1088" s="117"/>
      <c r="J1088" s="117"/>
      <c r="K1088" s="117"/>
      <c r="L1088" s="117"/>
      <c r="M1088" s="117"/>
      <c r="N1088" s="117"/>
      <c r="O1088" s="117"/>
      <c r="P1088" s="117"/>
      <c r="Q1088" s="200"/>
      <c r="R1088" s="119"/>
      <c r="S1088" s="119"/>
      <c r="T1088" s="119"/>
      <c r="U1088" s="120"/>
      <c r="V1088" s="121"/>
      <c r="W1088" s="122"/>
      <c r="X1088" s="123"/>
      <c r="Y1088" s="117"/>
      <c r="Z1088" s="117"/>
    </row>
    <row r="1089" spans="1:26">
      <c r="A1089" s="117"/>
      <c r="B1089" s="117"/>
      <c r="C1089" s="117"/>
      <c r="D1089" s="117"/>
      <c r="E1089" s="117"/>
      <c r="F1089" s="117"/>
      <c r="G1089" s="117"/>
      <c r="H1089" s="117"/>
      <c r="I1089" s="117"/>
      <c r="J1089" s="117"/>
      <c r="K1089" s="117"/>
      <c r="L1089" s="117"/>
      <c r="M1089" s="117"/>
      <c r="N1089" s="117"/>
      <c r="O1089" s="117"/>
      <c r="P1089" s="117"/>
      <c r="Q1089" s="200"/>
      <c r="R1089" s="119"/>
      <c r="S1089" s="119"/>
      <c r="T1089" s="119"/>
      <c r="U1089" s="120"/>
      <c r="V1089" s="121"/>
      <c r="W1089" s="122"/>
      <c r="X1089" s="123"/>
      <c r="Y1089" s="117"/>
      <c r="Z1089" s="117"/>
    </row>
    <row r="1090" spans="1:26">
      <c r="A1090" s="117"/>
      <c r="B1090" s="117"/>
      <c r="C1090" s="117"/>
      <c r="D1090" s="117"/>
      <c r="E1090" s="117"/>
      <c r="F1090" s="117"/>
      <c r="G1090" s="117"/>
      <c r="H1090" s="117"/>
      <c r="I1090" s="117"/>
      <c r="J1090" s="117"/>
      <c r="K1090" s="117"/>
      <c r="L1090" s="117"/>
      <c r="M1090" s="117"/>
      <c r="N1090" s="117"/>
      <c r="O1090" s="117"/>
      <c r="P1090" s="117"/>
      <c r="Q1090" s="200"/>
      <c r="R1090" s="119"/>
      <c r="S1090" s="119"/>
      <c r="T1090" s="119"/>
      <c r="U1090" s="120"/>
      <c r="V1090" s="121"/>
      <c r="W1090" s="122"/>
      <c r="X1090" s="123"/>
      <c r="Y1090" s="117"/>
      <c r="Z1090" s="117"/>
    </row>
    <row r="1091" spans="1:26">
      <c r="A1091" s="117"/>
      <c r="B1091" s="117"/>
      <c r="C1091" s="117"/>
      <c r="D1091" s="117"/>
      <c r="E1091" s="117"/>
      <c r="F1091" s="117"/>
      <c r="G1091" s="117"/>
      <c r="H1091" s="117"/>
      <c r="I1091" s="117"/>
      <c r="J1091" s="117"/>
      <c r="K1091" s="117"/>
      <c r="L1091" s="117"/>
      <c r="M1091" s="117"/>
      <c r="N1091" s="117"/>
      <c r="O1091" s="117"/>
      <c r="P1091" s="117"/>
      <c r="Q1091" s="200"/>
      <c r="R1091" s="119"/>
      <c r="S1091" s="119"/>
      <c r="T1091" s="119"/>
      <c r="U1091" s="120"/>
      <c r="V1091" s="121"/>
      <c r="W1091" s="122"/>
      <c r="X1091" s="123"/>
      <c r="Y1091" s="117"/>
      <c r="Z1091" s="117"/>
    </row>
    <row r="1092" spans="1:26">
      <c r="A1092" s="117"/>
      <c r="B1092" s="117"/>
      <c r="C1092" s="117"/>
      <c r="D1092" s="117"/>
      <c r="E1092" s="117"/>
      <c r="F1092" s="117"/>
      <c r="G1092" s="117"/>
      <c r="H1092" s="117"/>
      <c r="I1092" s="117"/>
      <c r="J1092" s="117"/>
      <c r="K1092" s="117"/>
      <c r="L1092" s="117"/>
      <c r="M1092" s="117"/>
      <c r="N1092" s="117"/>
      <c r="O1092" s="117"/>
      <c r="P1092" s="117"/>
      <c r="Q1092" s="200"/>
      <c r="R1092" s="119"/>
      <c r="S1092" s="119"/>
      <c r="T1092" s="119"/>
      <c r="U1092" s="120"/>
      <c r="V1092" s="121"/>
      <c r="W1092" s="122"/>
      <c r="X1092" s="123"/>
      <c r="Y1092" s="117"/>
      <c r="Z1092" s="117"/>
    </row>
    <row r="1093" spans="1:26">
      <c r="A1093" s="117"/>
      <c r="B1093" s="117"/>
      <c r="C1093" s="117"/>
      <c r="D1093" s="117"/>
      <c r="E1093" s="117"/>
      <c r="F1093" s="117"/>
      <c r="G1093" s="117"/>
      <c r="H1093" s="117"/>
      <c r="I1093" s="117"/>
      <c r="J1093" s="117"/>
      <c r="K1093" s="117"/>
      <c r="L1093" s="117"/>
      <c r="M1093" s="117"/>
      <c r="N1093" s="117"/>
      <c r="O1093" s="117"/>
      <c r="P1093" s="117"/>
      <c r="Q1093" s="200"/>
      <c r="R1093" s="119"/>
      <c r="S1093" s="119"/>
      <c r="T1093" s="119"/>
      <c r="U1093" s="120"/>
      <c r="V1093" s="121"/>
      <c r="W1093" s="122"/>
      <c r="X1093" s="123"/>
      <c r="Y1093" s="117"/>
      <c r="Z1093" s="117"/>
    </row>
    <row r="1094" spans="1:26">
      <c r="A1094" s="117"/>
      <c r="B1094" s="117"/>
      <c r="C1094" s="117"/>
      <c r="D1094" s="117"/>
      <c r="E1094" s="117"/>
      <c r="F1094" s="117"/>
      <c r="G1094" s="117"/>
      <c r="H1094" s="117"/>
      <c r="I1094" s="117"/>
      <c r="J1094" s="117"/>
      <c r="K1094" s="117"/>
      <c r="L1094" s="117"/>
      <c r="M1094" s="117"/>
      <c r="N1094" s="117"/>
      <c r="O1094" s="117"/>
      <c r="P1094" s="117"/>
      <c r="Q1094" s="200"/>
      <c r="R1094" s="119"/>
      <c r="S1094" s="119"/>
      <c r="T1094" s="119"/>
      <c r="U1094" s="120"/>
      <c r="V1094" s="121"/>
      <c r="W1094" s="122"/>
      <c r="X1094" s="123"/>
      <c r="Y1094" s="117"/>
      <c r="Z1094" s="117"/>
    </row>
    <row r="1095" spans="1:26">
      <c r="A1095" s="117"/>
      <c r="B1095" s="117"/>
      <c r="C1095" s="117"/>
      <c r="D1095" s="117"/>
      <c r="E1095" s="117"/>
      <c r="F1095" s="117"/>
      <c r="G1095" s="117"/>
      <c r="H1095" s="117"/>
      <c r="I1095" s="117"/>
      <c r="J1095" s="117"/>
      <c r="K1095" s="117"/>
      <c r="L1095" s="117"/>
      <c r="M1095" s="117"/>
      <c r="N1095" s="117"/>
      <c r="O1095" s="117"/>
      <c r="P1095" s="117"/>
      <c r="Q1095" s="200"/>
      <c r="R1095" s="119"/>
      <c r="S1095" s="119"/>
      <c r="T1095" s="119"/>
      <c r="U1095" s="120"/>
      <c r="V1095" s="121"/>
      <c r="W1095" s="122"/>
      <c r="X1095" s="123"/>
      <c r="Y1095" s="117"/>
      <c r="Z1095" s="117"/>
    </row>
    <row r="1096" spans="1:26">
      <c r="A1096" s="117"/>
      <c r="B1096" s="117"/>
      <c r="C1096" s="117"/>
      <c r="D1096" s="117"/>
      <c r="E1096" s="117"/>
      <c r="F1096" s="117"/>
      <c r="G1096" s="117"/>
      <c r="H1096" s="117"/>
      <c r="I1096" s="117"/>
      <c r="J1096" s="117"/>
      <c r="K1096" s="117"/>
      <c r="L1096" s="117"/>
      <c r="M1096" s="117"/>
      <c r="N1096" s="117"/>
      <c r="O1096" s="117"/>
      <c r="P1096" s="117"/>
      <c r="Q1096" s="200"/>
      <c r="R1096" s="119"/>
      <c r="S1096" s="119"/>
      <c r="T1096" s="119"/>
      <c r="U1096" s="120"/>
      <c r="V1096" s="121"/>
      <c r="W1096" s="122"/>
      <c r="X1096" s="123"/>
      <c r="Y1096" s="117"/>
      <c r="Z1096" s="117"/>
    </row>
    <row r="1097" spans="1:26">
      <c r="A1097" s="117"/>
      <c r="B1097" s="117"/>
      <c r="C1097" s="117"/>
      <c r="D1097" s="117"/>
      <c r="E1097" s="117"/>
      <c r="F1097" s="117"/>
      <c r="G1097" s="117"/>
      <c r="H1097" s="117"/>
      <c r="I1097" s="117"/>
      <c r="J1097" s="117"/>
      <c r="K1097" s="117"/>
      <c r="L1097" s="117"/>
      <c r="M1097" s="117"/>
      <c r="N1097" s="117"/>
      <c r="O1097" s="117"/>
      <c r="P1097" s="117"/>
      <c r="Q1097" s="200"/>
      <c r="R1097" s="119"/>
      <c r="S1097" s="119"/>
      <c r="T1097" s="119"/>
      <c r="U1097" s="120"/>
      <c r="V1097" s="121"/>
      <c r="W1097" s="122"/>
      <c r="X1097" s="123"/>
      <c r="Y1097" s="117"/>
      <c r="Z1097" s="117"/>
    </row>
    <row r="1098" spans="1:26">
      <c r="A1098" s="117"/>
      <c r="B1098" s="117"/>
      <c r="C1098" s="117"/>
      <c r="D1098" s="117"/>
      <c r="E1098" s="117"/>
      <c r="F1098" s="117"/>
      <c r="G1098" s="117"/>
      <c r="H1098" s="117"/>
      <c r="I1098" s="117"/>
      <c r="J1098" s="117"/>
      <c r="K1098" s="117"/>
      <c r="L1098" s="117"/>
      <c r="M1098" s="117"/>
      <c r="N1098" s="117"/>
      <c r="O1098" s="117"/>
      <c r="P1098" s="117"/>
      <c r="Q1098" s="200"/>
      <c r="R1098" s="119"/>
      <c r="S1098" s="119"/>
      <c r="T1098" s="119"/>
      <c r="U1098" s="120"/>
      <c r="V1098" s="121"/>
      <c r="W1098" s="122"/>
      <c r="X1098" s="123"/>
      <c r="Y1098" s="117"/>
      <c r="Z1098" s="117"/>
    </row>
    <row r="1099" spans="1:26">
      <c r="A1099" s="117"/>
      <c r="B1099" s="117"/>
      <c r="C1099" s="117"/>
      <c r="D1099" s="117"/>
      <c r="E1099" s="117"/>
      <c r="F1099" s="117"/>
      <c r="G1099" s="117"/>
      <c r="H1099" s="117"/>
      <c r="I1099" s="117"/>
      <c r="J1099" s="117"/>
      <c r="K1099" s="117"/>
      <c r="L1099" s="117"/>
      <c r="M1099" s="117"/>
      <c r="N1099" s="117"/>
      <c r="O1099" s="117"/>
      <c r="P1099" s="117"/>
      <c r="Q1099" s="200"/>
      <c r="R1099" s="119"/>
      <c r="S1099" s="119"/>
      <c r="T1099" s="119"/>
      <c r="U1099" s="120"/>
      <c r="V1099" s="121"/>
      <c r="W1099" s="122"/>
      <c r="X1099" s="123"/>
      <c r="Y1099" s="117"/>
      <c r="Z1099" s="117"/>
    </row>
  </sheetData>
  <conditionalFormatting sqref="G117">
    <cfRule type="notContainsBlanks" dxfId="1" priority="1">
      <formula>LEN(TRIM(G117))&gt;0</formula>
    </cfRule>
  </conditionalFormatting>
  <dataValidations count="1">
    <dataValidation type="list" allowBlank="1" showErrorMessage="1" sqref="U3:U14 U16 S177:S179 S181:S862" xr:uid="{00000000-0002-0000-0200-000002000000}">
      <formula1>"Yes,No"</formula1>
    </dataValidation>
  </dataValidations>
  <hyperlinks>
    <hyperlink ref="F2" r:id="rId1" xr:uid="{00000000-0004-0000-0200-000000000000}"/>
    <hyperlink ref="F15" r:id="rId2" xr:uid="{00000000-0004-0000-0200-000001000000}"/>
    <hyperlink ref="F18" r:id="rId3" xr:uid="{00000000-0004-0000-0200-000002000000}"/>
    <hyperlink ref="F20" r:id="rId4" xr:uid="{00000000-0004-0000-0200-000003000000}"/>
    <hyperlink ref="F25" r:id="rId5" xr:uid="{00000000-0004-0000-0200-000004000000}"/>
    <hyperlink ref="F27" r:id="rId6" xr:uid="{00000000-0004-0000-0200-000005000000}"/>
    <hyperlink ref="F29" r:id="rId7" xr:uid="{00000000-0004-0000-0200-000006000000}"/>
    <hyperlink ref="F31" r:id="rId8" xr:uid="{00000000-0004-0000-0200-000007000000}"/>
    <hyperlink ref="F33" r:id="rId9" xr:uid="{00000000-0004-0000-0200-000008000000}"/>
    <hyperlink ref="F35" r:id="rId10" xr:uid="{00000000-0004-0000-0200-000009000000}"/>
    <hyperlink ref="F36" r:id="rId11" xr:uid="{00000000-0004-0000-0200-00000A000000}"/>
    <hyperlink ref="F38" r:id="rId12" xr:uid="{00000000-0004-0000-0200-00000B000000}"/>
    <hyperlink ref="F41" r:id="rId13" xr:uid="{00000000-0004-0000-0200-00000C000000}"/>
    <hyperlink ref="F58" r:id="rId14" xr:uid="{00000000-0004-0000-0200-00000D000000}"/>
    <hyperlink ref="F69" r:id="rId15" xr:uid="{00000000-0004-0000-0200-00000E000000}"/>
    <hyperlink ref="F71" r:id="rId16" xr:uid="{00000000-0004-0000-0200-00000F000000}"/>
    <hyperlink ref="F73" r:id="rId17" xr:uid="{00000000-0004-0000-0200-000010000000}"/>
    <hyperlink ref="F75" r:id="rId18" xr:uid="{00000000-0004-0000-0200-000011000000}"/>
    <hyperlink ref="F77" r:id="rId19" xr:uid="{00000000-0004-0000-0200-000012000000}"/>
    <hyperlink ref="F79" r:id="rId20" xr:uid="{00000000-0004-0000-0200-000013000000}"/>
    <hyperlink ref="F81" r:id="rId21" xr:uid="{00000000-0004-0000-0200-000014000000}"/>
    <hyperlink ref="F82" r:id="rId22" xr:uid="{00000000-0004-0000-0200-000015000000}"/>
    <hyperlink ref="F83" r:id="rId23" xr:uid="{00000000-0004-0000-0200-000016000000}"/>
    <hyperlink ref="F85" r:id="rId24" xr:uid="{00000000-0004-0000-0200-000017000000}"/>
    <hyperlink ref="F87" r:id="rId25" xr:uid="{00000000-0004-0000-0200-000018000000}"/>
    <hyperlink ref="F101" r:id="rId26" xr:uid="{00000000-0004-0000-0200-000019000000}"/>
    <hyperlink ref="F127" r:id="rId27" xr:uid="{00000000-0004-0000-0200-00001A000000}"/>
    <hyperlink ref="F139" r:id="rId28" xr:uid="{00000000-0004-0000-0200-00001B000000}"/>
    <hyperlink ref="F151" r:id="rId29" xr:uid="{00000000-0004-0000-0200-00001C000000}"/>
    <hyperlink ref="F165" r:id="rId30" xr:uid="{00000000-0004-0000-0200-00001D000000}"/>
    <hyperlink ref="F171" r:id="rId31" xr:uid="{00000000-0004-0000-0200-00001E000000}"/>
    <hyperlink ref="F176" r:id="rId32" xr:uid="{00000000-0004-0000-0200-00001F000000}"/>
    <hyperlink ref="F180" r:id="rId33" xr:uid="{00000000-0004-0000-0200-000020000000}"/>
  </hyperlinks>
  <pageMargins left="0.7" right="0.7" top="0.75" bottom="0.75" header="0.3" footer="0.3"/>
  <drawing r:id="rId34"/>
  <legacyDrawing r:id="rId35"/>
  <extLst>
    <ext xmlns:x14="http://schemas.microsoft.com/office/spreadsheetml/2009/9/main" uri="{CCE6A557-97BC-4b89-ADB6-D9C93CAAB3DF}">
      <x14:dataValidations xmlns:xm="http://schemas.microsoft.com/office/excel/2006/main" count="4">
        <x14:dataValidation type="list" allowBlank="1" xr:uid="{00000000-0002-0000-0200-000000000000}">
          <x14:formula1>
            <xm:f>Fields!$F$2:$F$4</xm:f>
          </x14:formula1>
          <xm:sqref>C177:C179 C181:C802</xm:sqref>
        </x14:dataValidation>
        <x14:dataValidation type="list" allowBlank="1" xr:uid="{00000000-0002-0000-0200-000001000000}">
          <x14:formula1>
            <xm:f>Fields!$D$2:$D$15</xm:f>
          </x14:formula1>
          <xm:sqref>B2:B176 B180</xm:sqref>
        </x14:dataValidation>
        <x14:dataValidation type="list" allowBlank="1" xr:uid="{00000000-0002-0000-0200-000003000000}">
          <x14:formula1>
            <xm:f>Fields!$F$2:$F$12</xm:f>
          </x14:formula1>
          <xm:sqref>C2:C176 C180</xm:sqref>
        </x14:dataValidation>
        <x14:dataValidation type="list" allowBlank="1" xr:uid="{00000000-0002-0000-0200-000004000000}">
          <x14:formula1>
            <xm:f>Fields!$A$2:$A$8</xm:f>
          </x14:formula1>
          <xm:sqref>D2:D38 D41:D176 D180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9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42"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2" t="s">
        <v>1</v>
      </c>
      <c r="B1" s="7" t="str">
        <f>HYPERLINK("#rangeid=2086300674","Content Owner")</f>
        <v>Content Owner</v>
      </c>
      <c r="C1" s="11" t="str">
        <f>HYPERLINK("#rangeid=632369931","Video Owner")</f>
        <v>Video Owner</v>
      </c>
      <c r="D1" s="13" t="s">
        <v>6</v>
      </c>
      <c r="E1" s="14" t="s">
        <v>12</v>
      </c>
      <c r="F1" s="16" t="s">
        <v>16</v>
      </c>
      <c r="G1" s="2" t="s">
        <v>18</v>
      </c>
      <c r="H1" s="26" t="str">
        <f>HYPERLINK("#rangeid=906849400","Description")</f>
        <v>Description</v>
      </c>
      <c r="I1" s="21" t="s">
        <v>22</v>
      </c>
      <c r="J1" s="2" t="s">
        <v>24</v>
      </c>
      <c r="K1" s="23" t="s">
        <v>25</v>
      </c>
      <c r="L1" s="2" t="s">
        <v>27</v>
      </c>
      <c r="M1" s="2" t="s">
        <v>28</v>
      </c>
      <c r="N1" s="2"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c r="AC1" s="37"/>
      <c r="AD1" s="37"/>
      <c r="AE1" s="37"/>
      <c r="AF1" s="37"/>
      <c r="AG1" s="37"/>
      <c r="AH1" s="37"/>
      <c r="AI1" s="37"/>
      <c r="AJ1" s="37"/>
      <c r="AK1" s="37"/>
    </row>
    <row r="2" spans="1:37">
      <c r="A2" s="38">
        <v>1</v>
      </c>
      <c r="B2" s="38" t="s">
        <v>55</v>
      </c>
      <c r="C2" s="42"/>
      <c r="D2" s="38" t="s">
        <v>56</v>
      </c>
      <c r="E2" s="38" t="s">
        <v>58</v>
      </c>
      <c r="F2" s="43" t="s">
        <v>60</v>
      </c>
      <c r="G2" s="44" t="s">
        <v>118</v>
      </c>
      <c r="H2" s="45" t="s">
        <v>119</v>
      </c>
      <c r="I2" s="38"/>
      <c r="J2" s="38">
        <f>7*1000</f>
        <v>7000</v>
      </c>
      <c r="K2" s="46">
        <v>9.6296296296296303E-3</v>
      </c>
      <c r="L2" s="47" t="s">
        <v>61</v>
      </c>
      <c r="M2" s="46"/>
      <c r="N2" s="46"/>
      <c r="O2" s="38"/>
      <c r="P2" s="49">
        <v>42989</v>
      </c>
      <c r="Q2" s="14" t="str">
        <f t="shared" ref="Q2:Q104" ca="1" si="0">HYPERLINK(IF(INT(A2)-A2=0,"",REPLACE(INDIRECT("MasterList!e"&amp;INT(A2)+1),25,8,"embed/")&amp;"?start="&amp;HOUR(M2)*3600+MINUTE(M2)*60+SECOND(M2)&amp;"&amp;end="&amp;HOUR(N2)*3600+MINUTE(N2)*60+SECOND(N2)&amp;"&amp;autoplay=1"))</f>
        <v/>
      </c>
      <c r="R2" s="50" t="s">
        <v>63</v>
      </c>
      <c r="S2" s="50" t="s">
        <v>63</v>
      </c>
      <c r="T2" s="50" t="s">
        <v>63</v>
      </c>
      <c r="U2" s="52"/>
      <c r="V2" s="53"/>
      <c r="W2" s="60" t="s">
        <v>64</v>
      </c>
      <c r="X2" s="56"/>
      <c r="Y2" s="38"/>
      <c r="Z2" s="38"/>
    </row>
    <row r="3" spans="1:37">
      <c r="A3" s="38">
        <v>2</v>
      </c>
      <c r="B3" s="38" t="s">
        <v>55</v>
      </c>
      <c r="C3" s="42"/>
      <c r="D3" s="38" t="s">
        <v>56</v>
      </c>
      <c r="E3" s="38" t="s">
        <v>65</v>
      </c>
      <c r="F3" s="43" t="s">
        <v>66</v>
      </c>
      <c r="G3" s="44" t="s">
        <v>128</v>
      </c>
      <c r="H3" s="58" t="s">
        <v>129</v>
      </c>
      <c r="I3" s="38"/>
      <c r="J3" s="38">
        <f>4*1000</f>
        <v>4000</v>
      </c>
      <c r="K3" s="46">
        <v>1.0289351851851852E-2</v>
      </c>
      <c r="L3" s="47" t="s">
        <v>61</v>
      </c>
      <c r="M3" s="46"/>
      <c r="N3" s="46"/>
      <c r="O3" s="38"/>
      <c r="P3" s="49">
        <v>42989</v>
      </c>
      <c r="Q3" s="14" t="str">
        <f t="shared" ca="1" si="0"/>
        <v/>
      </c>
      <c r="R3" s="50" t="s">
        <v>63</v>
      </c>
      <c r="S3" s="50" t="s">
        <v>63</v>
      </c>
      <c r="T3" s="50" t="s">
        <v>63</v>
      </c>
      <c r="U3" s="52"/>
      <c r="V3" s="53"/>
      <c r="W3" s="60" t="s">
        <v>64</v>
      </c>
      <c r="X3" s="56"/>
      <c r="Y3" s="38"/>
      <c r="Z3" s="38"/>
    </row>
    <row r="4" spans="1:37">
      <c r="A4" s="38">
        <v>3</v>
      </c>
      <c r="B4" s="38" t="s">
        <v>55</v>
      </c>
      <c r="C4" s="42"/>
      <c r="D4" s="38" t="s">
        <v>56</v>
      </c>
      <c r="E4" s="38" t="s">
        <v>70</v>
      </c>
      <c r="F4" s="43" t="s">
        <v>71</v>
      </c>
      <c r="G4" s="44" t="s">
        <v>134</v>
      </c>
      <c r="H4" s="45" t="s">
        <v>135</v>
      </c>
      <c r="I4" s="38"/>
      <c r="J4" s="38">
        <f>826</f>
        <v>826</v>
      </c>
      <c r="K4" s="46">
        <v>2.1643518518518518E-3</v>
      </c>
      <c r="L4" s="47" t="s">
        <v>61</v>
      </c>
      <c r="M4" s="46"/>
      <c r="N4" s="46"/>
      <c r="O4" s="38"/>
      <c r="P4" s="49">
        <v>42990</v>
      </c>
      <c r="Q4" s="14" t="str">
        <f t="shared" ca="1" si="0"/>
        <v/>
      </c>
      <c r="R4" s="50" t="s">
        <v>63</v>
      </c>
      <c r="S4" s="50" t="s">
        <v>63</v>
      </c>
      <c r="T4" s="50" t="s">
        <v>63</v>
      </c>
      <c r="U4" s="52"/>
      <c r="V4" s="53"/>
      <c r="W4" s="60" t="s">
        <v>64</v>
      </c>
      <c r="X4" s="56"/>
      <c r="Y4" s="38"/>
      <c r="Z4" s="38"/>
    </row>
    <row r="5" spans="1:37">
      <c r="A5" s="38">
        <v>4</v>
      </c>
      <c r="B5" s="38" t="s">
        <v>55</v>
      </c>
      <c r="C5" s="42"/>
      <c r="D5" s="38" t="s">
        <v>142</v>
      </c>
      <c r="E5" s="38" t="s">
        <v>74</v>
      </c>
      <c r="F5" s="43" t="s">
        <v>75</v>
      </c>
      <c r="G5" s="44" t="s">
        <v>145</v>
      </c>
      <c r="H5" s="45"/>
      <c r="I5" s="38"/>
      <c r="J5" s="38">
        <f>10*1000</f>
        <v>10000</v>
      </c>
      <c r="K5" s="46">
        <v>9.7222222222222209E-4</v>
      </c>
      <c r="L5" s="47" t="s">
        <v>61</v>
      </c>
      <c r="M5" s="46"/>
      <c r="N5" s="46"/>
      <c r="O5" s="38"/>
      <c r="P5" s="49">
        <v>42990</v>
      </c>
      <c r="Q5" s="14" t="str">
        <f t="shared" ca="1" si="0"/>
        <v/>
      </c>
      <c r="R5" s="50" t="s">
        <v>63</v>
      </c>
      <c r="S5" s="50" t="s">
        <v>63</v>
      </c>
      <c r="T5" s="50" t="s">
        <v>148</v>
      </c>
      <c r="U5" s="52"/>
      <c r="V5" s="53"/>
      <c r="W5" s="60" t="s">
        <v>151</v>
      </c>
      <c r="X5" s="56"/>
      <c r="Y5" s="38"/>
      <c r="Z5" s="38"/>
    </row>
    <row r="6" spans="1:37">
      <c r="A6" s="38">
        <v>5</v>
      </c>
      <c r="B6" s="38" t="s">
        <v>55</v>
      </c>
      <c r="C6" s="42"/>
      <c r="D6" s="38" t="s">
        <v>142</v>
      </c>
      <c r="E6" s="38" t="s">
        <v>79</v>
      </c>
      <c r="F6" s="43" t="s">
        <v>80</v>
      </c>
      <c r="G6" s="44" t="s">
        <v>154</v>
      </c>
      <c r="H6" s="45" t="s">
        <v>154</v>
      </c>
      <c r="I6" s="38"/>
      <c r="J6" s="38">
        <f>749</f>
        <v>749</v>
      </c>
      <c r="K6" s="46">
        <v>4.0509259259259258E-4</v>
      </c>
      <c r="L6" s="47" t="s">
        <v>61</v>
      </c>
      <c r="M6" s="46"/>
      <c r="N6" s="46"/>
      <c r="O6" s="38"/>
      <c r="P6" s="49">
        <v>42990</v>
      </c>
      <c r="Q6" s="14" t="str">
        <f t="shared" ca="1" si="0"/>
        <v/>
      </c>
      <c r="R6" s="50" t="s">
        <v>63</v>
      </c>
      <c r="S6" s="50" t="s">
        <v>63</v>
      </c>
      <c r="T6" s="50" t="s">
        <v>148</v>
      </c>
      <c r="U6" s="52"/>
      <c r="V6" s="53"/>
      <c r="W6" s="60" t="s">
        <v>151</v>
      </c>
      <c r="X6" s="56"/>
      <c r="Y6" s="38"/>
      <c r="Z6" s="38"/>
    </row>
    <row r="7" spans="1:37">
      <c r="A7" s="38">
        <v>6</v>
      </c>
      <c r="B7" s="38" t="s">
        <v>55</v>
      </c>
      <c r="C7" s="42"/>
      <c r="D7" s="38" t="s">
        <v>142</v>
      </c>
      <c r="E7" s="38" t="s">
        <v>84</v>
      </c>
      <c r="F7" s="43" t="s">
        <v>85</v>
      </c>
      <c r="G7" s="61" t="s">
        <v>159</v>
      </c>
      <c r="H7" s="45"/>
      <c r="I7" s="38"/>
      <c r="J7" s="38">
        <f>1.7*1000</f>
        <v>1700</v>
      </c>
      <c r="K7" s="46">
        <v>3.9930555555555561E-3</v>
      </c>
      <c r="L7" s="47" t="s">
        <v>61</v>
      </c>
      <c r="M7" s="46"/>
      <c r="N7" s="46"/>
      <c r="O7" s="38"/>
      <c r="P7" s="49">
        <v>42990</v>
      </c>
      <c r="Q7" s="14" t="str">
        <f t="shared" ca="1" si="0"/>
        <v/>
      </c>
      <c r="R7" s="50" t="s">
        <v>63</v>
      </c>
      <c r="S7" s="50" t="s">
        <v>63</v>
      </c>
      <c r="T7" s="50" t="s">
        <v>63</v>
      </c>
      <c r="U7" s="52"/>
      <c r="V7" s="53"/>
      <c r="W7" s="60" t="s">
        <v>151</v>
      </c>
      <c r="X7" s="56"/>
      <c r="Y7" s="38"/>
      <c r="Z7" s="38" t="s">
        <v>162</v>
      </c>
    </row>
    <row r="8" spans="1:37">
      <c r="A8" s="38">
        <v>7</v>
      </c>
      <c r="B8" s="38" t="s">
        <v>55</v>
      </c>
      <c r="C8" s="42"/>
      <c r="D8" s="38" t="s">
        <v>56</v>
      </c>
      <c r="E8" s="38" t="s">
        <v>90</v>
      </c>
      <c r="F8" s="43" t="s">
        <v>91</v>
      </c>
      <c r="G8" s="44" t="s">
        <v>165</v>
      </c>
      <c r="H8" s="45"/>
      <c r="I8" s="38"/>
      <c r="J8" s="38">
        <f>5.1*1000</f>
        <v>5100</v>
      </c>
      <c r="K8" s="46">
        <v>3.3680555555555551E-3</v>
      </c>
      <c r="L8" s="47" t="s">
        <v>61</v>
      </c>
      <c r="M8" s="46"/>
      <c r="N8" s="46"/>
      <c r="O8" s="38"/>
      <c r="P8" s="49">
        <v>42990</v>
      </c>
      <c r="Q8" s="14" t="str">
        <f t="shared" ca="1" si="0"/>
        <v/>
      </c>
      <c r="R8" s="50" t="s">
        <v>63</v>
      </c>
      <c r="S8" s="50" t="s">
        <v>63</v>
      </c>
      <c r="T8" s="50" t="s">
        <v>63</v>
      </c>
      <c r="U8" s="52"/>
      <c r="V8" s="53"/>
      <c r="W8" s="60" t="s">
        <v>151</v>
      </c>
      <c r="X8" s="56"/>
      <c r="Y8" s="38"/>
      <c r="Z8" s="38"/>
    </row>
    <row r="9" spans="1:37">
      <c r="A9" s="38">
        <v>8</v>
      </c>
      <c r="B9" s="38" t="s">
        <v>55</v>
      </c>
      <c r="C9" s="42"/>
      <c r="D9" s="38" t="s">
        <v>56</v>
      </c>
      <c r="E9" s="38" t="s">
        <v>96</v>
      </c>
      <c r="F9" s="43" t="s">
        <v>97</v>
      </c>
      <c r="G9" s="44" t="s">
        <v>168</v>
      </c>
      <c r="H9" s="58" t="s">
        <v>169</v>
      </c>
      <c r="I9" s="38"/>
      <c r="J9" s="38">
        <f>1.9*1000</f>
        <v>1900</v>
      </c>
      <c r="K9" s="46">
        <v>1.037037037037037E-2</v>
      </c>
      <c r="L9" s="47" t="s">
        <v>61</v>
      </c>
      <c r="M9" s="46"/>
      <c r="N9" s="46"/>
      <c r="O9" s="38"/>
      <c r="P9" s="49">
        <v>42990</v>
      </c>
      <c r="Q9" s="14" t="str">
        <f t="shared" ca="1" si="0"/>
        <v/>
      </c>
      <c r="R9" s="50" t="s">
        <v>131</v>
      </c>
      <c r="S9" s="50" t="s">
        <v>63</v>
      </c>
      <c r="T9" s="50" t="s">
        <v>63</v>
      </c>
      <c r="U9" s="52"/>
      <c r="V9" s="53"/>
      <c r="W9" s="60" t="s">
        <v>151</v>
      </c>
      <c r="X9" s="56"/>
      <c r="Y9" s="38"/>
      <c r="Z9" s="38" t="s">
        <v>174</v>
      </c>
    </row>
    <row r="10" spans="1:37">
      <c r="A10" s="42">
        <v>8.01</v>
      </c>
      <c r="B10" s="38" t="s">
        <v>55</v>
      </c>
      <c r="C10" s="42"/>
      <c r="D10" s="38" t="s">
        <v>56</v>
      </c>
      <c r="E10" s="38"/>
      <c r="F10" s="43"/>
      <c r="G10" s="44" t="s">
        <v>175</v>
      </c>
      <c r="H10" s="45"/>
      <c r="I10" s="38"/>
      <c r="J10" s="38"/>
      <c r="K10" s="46"/>
      <c r="L10" s="47"/>
      <c r="M10" s="46">
        <v>2.0254629629629629E-3</v>
      </c>
      <c r="N10" s="46">
        <v>4.0393518518518521E-3</v>
      </c>
      <c r="O10" s="62">
        <f>N10-M10</f>
        <v>2.0138888888888893E-3</v>
      </c>
      <c r="P10" s="49">
        <v>42990</v>
      </c>
      <c r="Q10" s="59" t="str">
        <f t="shared" ca="1" si="0"/>
        <v>https://www.youtube.com/embed/mjFek0gF97s?start=175&amp;end=349&amp;autoplay=1</v>
      </c>
      <c r="R10" s="50" t="s">
        <v>63</v>
      </c>
      <c r="S10" s="50" t="s">
        <v>131</v>
      </c>
      <c r="T10" s="50" t="s">
        <v>63</v>
      </c>
      <c r="U10" s="52"/>
      <c r="V10" s="53"/>
      <c r="W10" s="60" t="s">
        <v>151</v>
      </c>
      <c r="X10" s="56"/>
      <c r="Y10" s="38"/>
      <c r="Z10" s="38" t="s">
        <v>181</v>
      </c>
    </row>
    <row r="11" spans="1:37">
      <c r="A11" s="38">
        <v>9</v>
      </c>
      <c r="B11" s="38" t="s">
        <v>55</v>
      </c>
      <c r="C11" s="42"/>
      <c r="D11" s="38" t="s">
        <v>56</v>
      </c>
      <c r="E11" s="38" t="s">
        <v>100</v>
      </c>
      <c r="F11" s="43" t="s">
        <v>101</v>
      </c>
      <c r="G11" s="44" t="s">
        <v>182</v>
      </c>
      <c r="H11" s="45" t="s">
        <v>183</v>
      </c>
      <c r="I11" s="38"/>
      <c r="J11" s="38">
        <f>1.7*1000</f>
        <v>1700</v>
      </c>
      <c r="K11" s="46">
        <v>3.472222222222222E-3</v>
      </c>
      <c r="L11" s="47" t="s">
        <v>61</v>
      </c>
      <c r="M11" s="46"/>
      <c r="N11" s="46"/>
      <c r="O11" s="38"/>
      <c r="P11" s="49">
        <v>42990</v>
      </c>
      <c r="Q11" s="14" t="str">
        <f t="shared" ca="1" si="0"/>
        <v/>
      </c>
      <c r="R11" s="50" t="s">
        <v>63</v>
      </c>
      <c r="S11" s="50" t="s">
        <v>63</v>
      </c>
      <c r="T11" s="50" t="s">
        <v>63</v>
      </c>
      <c r="U11" s="52"/>
      <c r="V11" s="53"/>
      <c r="W11" s="60" t="s">
        <v>64</v>
      </c>
      <c r="X11" s="56"/>
      <c r="Y11" s="38"/>
      <c r="Z11" s="38" t="s">
        <v>188</v>
      </c>
    </row>
    <row r="12" spans="1:37">
      <c r="A12" s="38">
        <v>10</v>
      </c>
      <c r="B12" s="38" t="s">
        <v>55</v>
      </c>
      <c r="C12" s="42"/>
      <c r="D12" s="38" t="s">
        <v>56</v>
      </c>
      <c r="E12" s="38" t="s">
        <v>105</v>
      </c>
      <c r="F12" s="43" t="s">
        <v>106</v>
      </c>
      <c r="G12" s="44" t="s">
        <v>189</v>
      </c>
      <c r="H12" s="45" t="s">
        <v>190</v>
      </c>
      <c r="I12" s="38"/>
      <c r="J12" s="38">
        <f>490</f>
        <v>490</v>
      </c>
      <c r="K12" s="46">
        <v>3.0324074074074073E-3</v>
      </c>
      <c r="L12" s="47" t="s">
        <v>61</v>
      </c>
      <c r="M12" s="46"/>
      <c r="N12" s="46"/>
      <c r="O12" s="38"/>
      <c r="P12" s="49">
        <v>42990</v>
      </c>
      <c r="Q12" s="14" t="str">
        <f t="shared" ca="1" si="0"/>
        <v/>
      </c>
      <c r="R12" s="50" t="s">
        <v>63</v>
      </c>
      <c r="S12" s="50" t="s">
        <v>63</v>
      </c>
      <c r="T12" s="50" t="s">
        <v>63</v>
      </c>
      <c r="U12" s="52"/>
      <c r="V12" s="53"/>
      <c r="W12" s="60" t="s">
        <v>64</v>
      </c>
      <c r="X12" s="56"/>
      <c r="Y12" s="38"/>
      <c r="Z12" s="38"/>
    </row>
    <row r="13" spans="1:37">
      <c r="A13" s="42">
        <v>10.01</v>
      </c>
      <c r="B13" s="38" t="s">
        <v>55</v>
      </c>
      <c r="C13" s="42"/>
      <c r="D13" s="38" t="s">
        <v>56</v>
      </c>
      <c r="E13" s="38"/>
      <c r="F13" s="43"/>
      <c r="G13" s="44" t="s">
        <v>195</v>
      </c>
      <c r="H13" s="45"/>
      <c r="I13" s="38"/>
      <c r="J13" s="38"/>
      <c r="K13" s="46"/>
      <c r="L13" s="47"/>
      <c r="M13" s="46">
        <v>1.0300925925925926E-3</v>
      </c>
      <c r="N13" s="46">
        <v>1.4467592592592594E-3</v>
      </c>
      <c r="O13" s="62">
        <f>N13-M13</f>
        <v>4.1666666666666675E-4</v>
      </c>
      <c r="P13" s="49">
        <v>42990</v>
      </c>
      <c r="Q13" s="59" t="str">
        <f t="shared" ca="1" si="0"/>
        <v>https://www.youtube.com/embed/Kxuiy8OL30w?start=89&amp;end=125&amp;autoplay=1</v>
      </c>
      <c r="R13" s="50" t="s">
        <v>63</v>
      </c>
      <c r="S13" s="50" t="s">
        <v>63</v>
      </c>
      <c r="T13" s="50" t="s">
        <v>63</v>
      </c>
      <c r="U13" s="52"/>
      <c r="V13" s="53"/>
      <c r="W13" s="60" t="s">
        <v>64</v>
      </c>
      <c r="X13" s="56"/>
      <c r="Y13" s="38"/>
      <c r="Z13" s="38"/>
    </row>
    <row r="14" spans="1:37">
      <c r="A14" s="38">
        <v>11</v>
      </c>
      <c r="B14" s="38" t="s">
        <v>55</v>
      </c>
      <c r="C14" s="42"/>
      <c r="D14" s="38" t="s">
        <v>56</v>
      </c>
      <c r="E14" s="38" t="s">
        <v>109</v>
      </c>
      <c r="F14" s="43" t="s">
        <v>110</v>
      </c>
      <c r="G14" s="63" t="s">
        <v>200</v>
      </c>
      <c r="H14" s="58" t="s">
        <v>201</v>
      </c>
      <c r="I14" s="38"/>
      <c r="J14" s="38">
        <f>551</f>
        <v>551</v>
      </c>
      <c r="K14" s="46">
        <v>2.4189814814814816E-3</v>
      </c>
      <c r="L14" s="47" t="s">
        <v>61</v>
      </c>
      <c r="M14" s="46"/>
      <c r="N14" s="46"/>
      <c r="O14" s="38"/>
      <c r="P14" s="49">
        <v>42991</v>
      </c>
      <c r="Q14" s="14" t="str">
        <f t="shared" ca="1" si="0"/>
        <v/>
      </c>
      <c r="R14" s="50" t="s">
        <v>63</v>
      </c>
      <c r="S14" s="50" t="s">
        <v>63</v>
      </c>
      <c r="T14" s="50" t="s">
        <v>63</v>
      </c>
      <c r="U14" s="52"/>
      <c r="V14" s="53"/>
      <c r="W14" s="60" t="s">
        <v>151</v>
      </c>
      <c r="X14" s="56"/>
      <c r="Y14" s="38"/>
      <c r="Z14" s="38" t="s">
        <v>162</v>
      </c>
    </row>
    <row r="15" spans="1:37">
      <c r="A15" s="38">
        <v>12</v>
      </c>
      <c r="B15" s="38" t="s">
        <v>55</v>
      </c>
      <c r="C15" s="42"/>
      <c r="D15" s="38" t="s">
        <v>56</v>
      </c>
      <c r="E15" s="38" t="s">
        <v>112</v>
      </c>
      <c r="F15" s="43" t="s">
        <v>114</v>
      </c>
      <c r="G15" s="45" t="s">
        <v>207</v>
      </c>
      <c r="H15" s="44" t="s">
        <v>208</v>
      </c>
      <c r="I15" s="44"/>
      <c r="J15" s="44">
        <v>384</v>
      </c>
      <c r="K15" s="46">
        <v>2.2222222222222222E-3</v>
      </c>
      <c r="L15" s="47" t="s">
        <v>61</v>
      </c>
      <c r="M15" s="46"/>
      <c r="N15" s="46"/>
      <c r="O15" s="38"/>
      <c r="P15" s="49">
        <v>42991</v>
      </c>
      <c r="Q15" s="14" t="str">
        <f t="shared" ca="1" si="0"/>
        <v/>
      </c>
      <c r="R15" s="50" t="s">
        <v>63</v>
      </c>
      <c r="S15" s="50" t="s">
        <v>63</v>
      </c>
      <c r="T15" s="50" t="s">
        <v>63</v>
      </c>
      <c r="U15" s="52"/>
      <c r="V15" s="53"/>
      <c r="W15" s="60" t="s">
        <v>151</v>
      </c>
      <c r="X15" s="56"/>
      <c r="Y15" s="38"/>
      <c r="Z15" s="38" t="s">
        <v>162</v>
      </c>
    </row>
    <row r="16" spans="1:37">
      <c r="A16" s="38">
        <v>13</v>
      </c>
      <c r="B16" s="38" t="s">
        <v>55</v>
      </c>
      <c r="C16" s="42"/>
      <c r="D16" s="38" t="s">
        <v>56</v>
      </c>
      <c r="E16" s="38" t="s">
        <v>116</v>
      </c>
      <c r="F16" s="43" t="s">
        <v>117</v>
      </c>
      <c r="G16" s="38" t="s">
        <v>213</v>
      </c>
      <c r="H16" s="45" t="s">
        <v>214</v>
      </c>
      <c r="I16" s="38"/>
      <c r="J16" s="38">
        <f>1.5*1000</f>
        <v>1500</v>
      </c>
      <c r="K16" s="46">
        <v>3.530092592592592E-3</v>
      </c>
      <c r="L16" s="47" t="s">
        <v>61</v>
      </c>
      <c r="M16" s="46"/>
      <c r="N16" s="46"/>
      <c r="O16" s="38"/>
      <c r="P16" s="49">
        <v>42991</v>
      </c>
      <c r="Q16" s="14" t="str">
        <f t="shared" ca="1" si="0"/>
        <v/>
      </c>
      <c r="R16" s="50" t="s">
        <v>63</v>
      </c>
      <c r="S16" s="50" t="s">
        <v>63</v>
      </c>
      <c r="T16" s="50" t="s">
        <v>63</v>
      </c>
      <c r="U16" s="52"/>
      <c r="V16" s="53"/>
      <c r="W16" s="60" t="s">
        <v>151</v>
      </c>
      <c r="X16" s="56"/>
      <c r="Y16" s="38"/>
      <c r="Z16" s="38" t="s">
        <v>162</v>
      </c>
    </row>
    <row r="17" spans="1:33">
      <c r="A17" s="38">
        <v>14</v>
      </c>
      <c r="B17" s="38" t="s">
        <v>55</v>
      </c>
      <c r="C17" s="42"/>
      <c r="D17" s="38" t="s">
        <v>56</v>
      </c>
      <c r="E17" s="38" t="s">
        <v>122</v>
      </c>
      <c r="F17" s="43" t="s">
        <v>123</v>
      </c>
      <c r="G17" s="44" t="s">
        <v>218</v>
      </c>
      <c r="H17" s="45"/>
      <c r="I17" s="38"/>
      <c r="J17" s="38">
        <f>595</f>
        <v>595</v>
      </c>
      <c r="K17" s="46">
        <v>4.0740740740740746E-3</v>
      </c>
      <c r="L17" s="47" t="s">
        <v>61</v>
      </c>
      <c r="M17" s="46"/>
      <c r="N17" s="46"/>
      <c r="O17" s="38"/>
      <c r="P17" s="49">
        <v>42991</v>
      </c>
      <c r="Q17" s="14" t="str">
        <f t="shared" ca="1" si="0"/>
        <v/>
      </c>
      <c r="R17" s="50" t="s">
        <v>63</v>
      </c>
      <c r="S17" s="50" t="s">
        <v>63</v>
      </c>
      <c r="T17" s="50" t="s">
        <v>63</v>
      </c>
      <c r="U17" s="52"/>
      <c r="V17" s="53"/>
      <c r="W17" s="60" t="s">
        <v>151</v>
      </c>
      <c r="X17" s="56"/>
      <c r="Y17" s="38"/>
      <c r="Z17" s="38" t="s">
        <v>162</v>
      </c>
    </row>
    <row r="18" spans="1:33">
      <c r="A18" s="38">
        <v>15</v>
      </c>
      <c r="B18" s="38" t="s">
        <v>55</v>
      </c>
      <c r="C18" s="42"/>
      <c r="D18" s="38" t="s">
        <v>56</v>
      </c>
      <c r="E18" s="38" t="s">
        <v>126</v>
      </c>
      <c r="F18" s="43" t="s">
        <v>127</v>
      </c>
      <c r="G18" s="44" t="s">
        <v>223</v>
      </c>
      <c r="H18" s="45"/>
      <c r="I18" s="38"/>
      <c r="J18" s="38">
        <f>477</f>
        <v>477</v>
      </c>
      <c r="K18" s="46">
        <v>2.673611111111111E-3</v>
      </c>
      <c r="L18" s="47" t="s">
        <v>61</v>
      </c>
      <c r="M18" s="46"/>
      <c r="N18" s="46"/>
      <c r="O18" s="38"/>
      <c r="P18" s="49">
        <v>42991</v>
      </c>
      <c r="Q18" s="14" t="str">
        <f t="shared" ca="1" si="0"/>
        <v/>
      </c>
      <c r="R18" s="50" t="s">
        <v>63</v>
      </c>
      <c r="S18" s="50" t="s">
        <v>63</v>
      </c>
      <c r="T18" s="50" t="s">
        <v>63</v>
      </c>
      <c r="U18" s="52"/>
      <c r="V18" s="53"/>
      <c r="W18" s="60" t="s">
        <v>151</v>
      </c>
      <c r="X18" s="56"/>
      <c r="Y18" s="38"/>
      <c r="Z18" s="38"/>
    </row>
    <row r="19" spans="1:33">
      <c r="A19" s="38">
        <v>16</v>
      </c>
      <c r="B19" s="38" t="s">
        <v>55</v>
      </c>
      <c r="C19" s="42"/>
      <c r="D19" s="38" t="s">
        <v>56</v>
      </c>
      <c r="E19" s="38" t="s">
        <v>130</v>
      </c>
      <c r="F19" s="43" t="s">
        <v>132</v>
      </c>
      <c r="G19" s="44" t="s">
        <v>227</v>
      </c>
      <c r="H19" s="45" t="s">
        <v>228</v>
      </c>
      <c r="I19" s="38"/>
      <c r="J19" s="38">
        <f>506</f>
        <v>506</v>
      </c>
      <c r="K19" s="46">
        <v>5.7175925925925927E-3</v>
      </c>
      <c r="L19" s="47" t="s">
        <v>61</v>
      </c>
      <c r="M19" s="46"/>
      <c r="N19" s="46"/>
      <c r="O19" s="38"/>
      <c r="P19" s="49">
        <v>42991</v>
      </c>
      <c r="Q19" s="14" t="str">
        <f t="shared" ca="1" si="0"/>
        <v/>
      </c>
      <c r="R19" s="50" t="s">
        <v>63</v>
      </c>
      <c r="S19" s="50" t="s">
        <v>63</v>
      </c>
      <c r="T19" s="50" t="s">
        <v>63</v>
      </c>
      <c r="U19" s="52"/>
      <c r="V19" s="53"/>
      <c r="W19" s="60" t="s">
        <v>151</v>
      </c>
      <c r="X19" s="56"/>
      <c r="Y19" s="38"/>
      <c r="Z19" s="38" t="s">
        <v>233</v>
      </c>
    </row>
    <row r="20" spans="1:33">
      <c r="A20" s="38">
        <v>59</v>
      </c>
      <c r="B20" s="38" t="s">
        <v>55</v>
      </c>
      <c r="C20" s="42"/>
      <c r="D20" s="38" t="s">
        <v>56</v>
      </c>
      <c r="E20" s="38" t="s">
        <v>234</v>
      </c>
      <c r="F20" s="43" t="s">
        <v>235</v>
      </c>
      <c r="G20" s="44"/>
      <c r="H20" s="45"/>
      <c r="I20" s="38"/>
      <c r="J20" s="38">
        <f>3.6*1000</f>
        <v>3600</v>
      </c>
      <c r="K20" s="46">
        <v>3.6516203703703703E-2</v>
      </c>
      <c r="L20" s="47" t="s">
        <v>61</v>
      </c>
      <c r="M20" s="46"/>
      <c r="N20" s="46"/>
      <c r="O20" s="38"/>
      <c r="P20" s="38">
        <v>42989</v>
      </c>
      <c r="Q20" s="14" t="str">
        <f t="shared" ca="1" si="0"/>
        <v/>
      </c>
      <c r="R20" s="50" t="s">
        <v>63</v>
      </c>
      <c r="S20" s="50" t="s">
        <v>63</v>
      </c>
      <c r="T20" s="50" t="s">
        <v>63</v>
      </c>
      <c r="U20" s="52"/>
      <c r="V20" s="53"/>
      <c r="W20" s="60" t="s">
        <v>64</v>
      </c>
      <c r="X20" s="56"/>
      <c r="Y20" s="38"/>
      <c r="Z20" s="38"/>
    </row>
    <row r="21" spans="1:33">
      <c r="A21" s="38">
        <v>59.01</v>
      </c>
      <c r="B21" s="38" t="s">
        <v>55</v>
      </c>
      <c r="C21" s="42"/>
      <c r="D21" s="38" t="s">
        <v>56</v>
      </c>
      <c r="E21" s="38"/>
      <c r="F21" s="43"/>
      <c r="G21" s="44" t="s">
        <v>241</v>
      </c>
      <c r="H21" s="45" t="s">
        <v>242</v>
      </c>
      <c r="I21" s="38"/>
      <c r="J21" s="38"/>
      <c r="K21" s="46"/>
      <c r="L21" s="47"/>
      <c r="M21" s="46">
        <v>0</v>
      </c>
      <c r="N21" s="46">
        <v>5.208333333333333E-3</v>
      </c>
      <c r="O21" s="46">
        <f t="shared" ref="O21:O34" si="1">N21-M21</f>
        <v>5.208333333333333E-3</v>
      </c>
      <c r="P21" s="38">
        <v>42989</v>
      </c>
      <c r="Q21" s="59" t="str">
        <f t="shared" ca="1" si="0"/>
        <v>https://www.youtube.com/embed/ByaheAphduQ?start=0&amp;end=450&amp;autoplay=1</v>
      </c>
      <c r="R21" s="50" t="s">
        <v>63</v>
      </c>
      <c r="S21" s="50" t="s">
        <v>63</v>
      </c>
      <c r="T21" s="50" t="s">
        <v>63</v>
      </c>
      <c r="U21" s="52"/>
      <c r="V21" s="53"/>
      <c r="W21" s="60" t="s">
        <v>64</v>
      </c>
      <c r="X21" s="56"/>
      <c r="Y21" s="38"/>
      <c r="Z21" s="38"/>
    </row>
    <row r="22" spans="1:33">
      <c r="A22" s="38">
        <v>59.02</v>
      </c>
      <c r="B22" s="38" t="s">
        <v>55</v>
      </c>
      <c r="C22" s="38"/>
      <c r="D22" s="38" t="s">
        <v>56</v>
      </c>
      <c r="E22" s="38"/>
      <c r="F22" s="43"/>
      <c r="G22" s="44" t="s">
        <v>247</v>
      </c>
      <c r="H22" s="45" t="s">
        <v>248</v>
      </c>
      <c r="I22" s="38"/>
      <c r="J22" s="38"/>
      <c r="K22" s="46"/>
      <c r="L22" s="47"/>
      <c r="M22" s="46">
        <v>6.1921296296296299E-3</v>
      </c>
      <c r="N22" s="46">
        <v>1.1064814814814814E-2</v>
      </c>
      <c r="O22" s="46">
        <f t="shared" si="1"/>
        <v>4.8726851851851839E-3</v>
      </c>
      <c r="P22" s="38">
        <v>42989</v>
      </c>
      <c r="Q22" s="59" t="str">
        <f t="shared" ca="1" si="0"/>
        <v>https://www.youtube.com/embed/ByaheAphduQ?start=535&amp;end=956&amp;autoplay=1</v>
      </c>
      <c r="R22" s="50" t="s">
        <v>63</v>
      </c>
      <c r="S22" s="50" t="s">
        <v>63</v>
      </c>
      <c r="T22" s="50" t="s">
        <v>63</v>
      </c>
      <c r="U22" s="52"/>
      <c r="V22" s="53"/>
      <c r="W22" s="60" t="s">
        <v>64</v>
      </c>
      <c r="X22" s="56"/>
      <c r="Y22" s="38"/>
      <c r="Z22" s="38"/>
    </row>
    <row r="23" spans="1:33">
      <c r="A23" s="38">
        <v>59.03</v>
      </c>
      <c r="B23" s="38" t="s">
        <v>55</v>
      </c>
      <c r="C23" s="42"/>
      <c r="D23" s="38" t="s">
        <v>56</v>
      </c>
      <c r="E23" s="38"/>
      <c r="F23" s="43"/>
      <c r="G23" s="44" t="s">
        <v>250</v>
      </c>
      <c r="H23" s="45" t="s">
        <v>251</v>
      </c>
      <c r="I23" s="38"/>
      <c r="J23" s="38"/>
      <c r="K23" s="46"/>
      <c r="L23" s="47"/>
      <c r="M23" s="46">
        <v>1.2615740740740742E-2</v>
      </c>
      <c r="N23" s="46">
        <v>1.3877314814814815E-2</v>
      </c>
      <c r="O23" s="46">
        <f t="shared" si="1"/>
        <v>1.2615740740740729E-3</v>
      </c>
      <c r="P23" s="74">
        <v>42989</v>
      </c>
      <c r="Q23" s="59" t="str">
        <f t="shared" ca="1" si="0"/>
        <v>https://www.youtube.com/embed/ByaheAphduQ?start=1090&amp;end=1199&amp;autoplay=1</v>
      </c>
      <c r="R23" s="50" t="s">
        <v>63</v>
      </c>
      <c r="S23" s="50" t="s">
        <v>63</v>
      </c>
      <c r="T23" s="50" t="s">
        <v>63</v>
      </c>
      <c r="U23" s="52"/>
      <c r="V23" s="53"/>
      <c r="W23" s="60" t="s">
        <v>64</v>
      </c>
      <c r="X23" s="56"/>
      <c r="Y23" s="38"/>
      <c r="Z23" s="38"/>
      <c r="AA23" s="73"/>
      <c r="AB23" s="73"/>
      <c r="AC23" s="73"/>
      <c r="AD23" s="73"/>
      <c r="AE23" s="73"/>
      <c r="AF23" s="73"/>
      <c r="AG23" s="73"/>
    </row>
    <row r="24" spans="1:33">
      <c r="A24" s="42">
        <v>59.04</v>
      </c>
      <c r="B24" s="38" t="s">
        <v>55</v>
      </c>
      <c r="C24" s="42"/>
      <c r="D24" s="38" t="s">
        <v>56</v>
      </c>
      <c r="E24" s="38"/>
      <c r="F24" s="43"/>
      <c r="G24" s="44" t="s">
        <v>260</v>
      </c>
      <c r="H24" s="58" t="s">
        <v>261</v>
      </c>
      <c r="I24" s="38"/>
      <c r="J24" s="38"/>
      <c r="K24" s="46"/>
      <c r="L24" s="47"/>
      <c r="M24" s="46">
        <v>1.3946759259259258E-2</v>
      </c>
      <c r="N24" s="46">
        <v>1.4814814814814814E-2</v>
      </c>
      <c r="O24" s="62">
        <f t="shared" si="1"/>
        <v>8.6805555555555594E-4</v>
      </c>
      <c r="P24" s="74">
        <v>42989</v>
      </c>
      <c r="Q24" s="59" t="str">
        <f t="shared" ca="1" si="0"/>
        <v>https://www.youtube.com/embed/ByaheAphduQ?start=1205&amp;end=1280&amp;autoplay=1</v>
      </c>
      <c r="R24" s="67" t="s">
        <v>63</v>
      </c>
      <c r="S24" s="67" t="s">
        <v>63</v>
      </c>
      <c r="T24" s="67" t="s">
        <v>63</v>
      </c>
      <c r="U24" s="75"/>
      <c r="V24" s="53"/>
      <c r="W24" s="60" t="s">
        <v>64</v>
      </c>
      <c r="X24" s="56"/>
      <c r="Y24" s="38"/>
      <c r="Z24" s="38"/>
      <c r="AA24" s="73"/>
      <c r="AB24" s="73"/>
      <c r="AC24" s="73"/>
      <c r="AD24" s="73"/>
      <c r="AE24" s="73"/>
      <c r="AF24" s="73"/>
      <c r="AG24" s="73"/>
    </row>
    <row r="25" spans="1:33">
      <c r="A25" s="42">
        <v>59.05</v>
      </c>
      <c r="B25" s="38" t="s">
        <v>55</v>
      </c>
      <c r="C25" s="42"/>
      <c r="D25" s="38" t="s">
        <v>56</v>
      </c>
      <c r="E25" s="38"/>
      <c r="F25" s="43"/>
      <c r="G25" s="63" t="s">
        <v>267</v>
      </c>
      <c r="H25" s="44" t="s">
        <v>268</v>
      </c>
      <c r="I25" s="38"/>
      <c r="J25" s="38"/>
      <c r="K25" s="46"/>
      <c r="L25" s="47"/>
      <c r="M25" s="46">
        <v>1.4837962962962963E-2</v>
      </c>
      <c r="N25" s="46">
        <v>1.6319444444444445E-2</v>
      </c>
      <c r="O25" s="62">
        <f t="shared" si="1"/>
        <v>1.4814814814814829E-3</v>
      </c>
      <c r="P25" s="74">
        <v>42989</v>
      </c>
      <c r="Q25" s="59" t="str">
        <f t="shared" ca="1" si="0"/>
        <v>https://www.youtube.com/embed/ByaheAphduQ?start=1282&amp;end=1410&amp;autoplay=1</v>
      </c>
      <c r="R25" s="67" t="s">
        <v>63</v>
      </c>
      <c r="S25" s="67" t="s">
        <v>63</v>
      </c>
      <c r="T25" s="67" t="s">
        <v>63</v>
      </c>
      <c r="U25" s="75"/>
      <c r="V25" s="53"/>
      <c r="W25" s="60" t="s">
        <v>64</v>
      </c>
      <c r="X25" s="56"/>
      <c r="Y25" s="38"/>
      <c r="Z25" s="38"/>
      <c r="AA25" s="73"/>
      <c r="AB25" s="73"/>
      <c r="AC25" s="73"/>
      <c r="AD25" s="73"/>
      <c r="AE25" s="73"/>
      <c r="AF25" s="73"/>
      <c r="AG25" s="73"/>
    </row>
    <row r="26" spans="1:33">
      <c r="A26" s="42">
        <v>59.06</v>
      </c>
      <c r="B26" s="38" t="s">
        <v>55</v>
      </c>
      <c r="C26" s="42"/>
      <c r="D26" s="38" t="s">
        <v>56</v>
      </c>
      <c r="E26" s="38"/>
      <c r="F26" s="43"/>
      <c r="G26" s="44" t="s">
        <v>272</v>
      </c>
      <c r="H26" s="58"/>
      <c r="I26" s="38"/>
      <c r="J26" s="38"/>
      <c r="K26" s="46"/>
      <c r="L26" s="47"/>
      <c r="M26" s="46">
        <v>1.6782407407407409E-2</v>
      </c>
      <c r="N26" s="46">
        <v>1.8749999999999999E-2</v>
      </c>
      <c r="O26" s="62">
        <f t="shared" si="1"/>
        <v>1.9675925925925902E-3</v>
      </c>
      <c r="P26" s="74">
        <v>42989</v>
      </c>
      <c r="Q26" s="59" t="str">
        <f t="shared" ca="1" si="0"/>
        <v>https://www.youtube.com/embed/ByaheAphduQ?start=1450&amp;end=1620&amp;autoplay=1</v>
      </c>
      <c r="R26" s="67" t="s">
        <v>63</v>
      </c>
      <c r="S26" s="67" t="s">
        <v>63</v>
      </c>
      <c r="T26" s="67" t="s">
        <v>63</v>
      </c>
      <c r="U26" s="52"/>
      <c r="V26" s="53"/>
      <c r="W26" s="60" t="s">
        <v>64</v>
      </c>
      <c r="X26" s="56"/>
      <c r="Y26" s="38"/>
      <c r="Z26" s="38"/>
      <c r="AA26" s="73"/>
      <c r="AB26" s="73"/>
      <c r="AC26" s="73"/>
      <c r="AD26" s="73"/>
      <c r="AE26" s="73"/>
      <c r="AF26" s="73"/>
      <c r="AG26" s="73"/>
    </row>
    <row r="27" spans="1:33">
      <c r="A27" s="38">
        <v>59.07</v>
      </c>
      <c r="B27" s="38" t="s">
        <v>55</v>
      </c>
      <c r="C27" s="42"/>
      <c r="D27" s="38" t="s">
        <v>56</v>
      </c>
      <c r="E27" s="38"/>
      <c r="F27" s="43"/>
      <c r="G27" s="44" t="s">
        <v>275</v>
      </c>
      <c r="H27" s="45"/>
      <c r="I27" s="38"/>
      <c r="J27" s="38"/>
      <c r="K27" s="46"/>
      <c r="L27" s="47"/>
      <c r="M27" s="46">
        <v>1.9490740740740743E-2</v>
      </c>
      <c r="N27" s="46">
        <v>2.071759259259259E-2</v>
      </c>
      <c r="O27" s="46">
        <f t="shared" si="1"/>
        <v>1.226851851851847E-3</v>
      </c>
      <c r="P27" s="38">
        <v>42989</v>
      </c>
      <c r="Q27" s="59" t="str">
        <f t="shared" ca="1" si="0"/>
        <v>https://www.youtube.com/embed/ByaheAphduQ?start=1684&amp;end=1790&amp;autoplay=1</v>
      </c>
      <c r="R27" s="50" t="s">
        <v>63</v>
      </c>
      <c r="S27" s="50" t="s">
        <v>63</v>
      </c>
      <c r="T27" s="50" t="s">
        <v>63</v>
      </c>
      <c r="U27" s="52"/>
      <c r="V27" s="53"/>
      <c r="W27" s="60" t="s">
        <v>64</v>
      </c>
      <c r="X27" s="56"/>
      <c r="Y27" s="38"/>
      <c r="Z27" s="38"/>
    </row>
    <row r="28" spans="1:33">
      <c r="A28" s="38">
        <v>59.08</v>
      </c>
      <c r="B28" s="38" t="s">
        <v>55</v>
      </c>
      <c r="C28" s="42"/>
      <c r="D28" s="38" t="s">
        <v>56</v>
      </c>
      <c r="E28" s="38"/>
      <c r="F28" s="43"/>
      <c r="G28" s="44" t="s">
        <v>277</v>
      </c>
      <c r="H28" s="45" t="s">
        <v>278</v>
      </c>
      <c r="I28" s="38"/>
      <c r="J28" s="38"/>
      <c r="K28" s="46"/>
      <c r="L28" s="47"/>
      <c r="M28" s="46">
        <v>2.1122685185185185E-2</v>
      </c>
      <c r="N28" s="46">
        <v>2.1701388888888892E-2</v>
      </c>
      <c r="O28" s="46">
        <f t="shared" si="1"/>
        <v>5.7870370370370627E-4</v>
      </c>
      <c r="P28" s="74">
        <v>42989</v>
      </c>
      <c r="Q28" s="59" t="str">
        <f t="shared" ca="1" si="0"/>
        <v>https://www.youtube.com/embed/ByaheAphduQ?start=1825&amp;end=1875&amp;autoplay=1</v>
      </c>
      <c r="R28" s="50" t="s">
        <v>63</v>
      </c>
      <c r="S28" s="50" t="s">
        <v>63</v>
      </c>
      <c r="T28" s="50" t="s">
        <v>63</v>
      </c>
      <c r="U28" s="52"/>
      <c r="V28" s="53"/>
      <c r="W28" s="60" t="s">
        <v>64</v>
      </c>
      <c r="X28" s="56"/>
      <c r="Y28" s="38"/>
      <c r="Z28" s="38"/>
      <c r="AA28" s="73"/>
      <c r="AB28" s="73"/>
      <c r="AC28" s="73"/>
      <c r="AD28" s="73"/>
      <c r="AE28" s="73"/>
      <c r="AF28" s="73"/>
      <c r="AG28" s="73"/>
    </row>
    <row r="29" spans="1:33">
      <c r="A29" s="42">
        <v>59.09</v>
      </c>
      <c r="B29" s="38" t="s">
        <v>55</v>
      </c>
      <c r="C29" s="42"/>
      <c r="D29" s="38" t="s">
        <v>56</v>
      </c>
      <c r="E29" s="38"/>
      <c r="F29" s="43"/>
      <c r="G29" s="44" t="s">
        <v>281</v>
      </c>
      <c r="H29" s="58" t="s">
        <v>282</v>
      </c>
      <c r="I29" s="38"/>
      <c r="J29" s="38"/>
      <c r="K29" s="46"/>
      <c r="L29" s="47"/>
      <c r="M29" s="46">
        <v>2.2800925925925929E-2</v>
      </c>
      <c r="N29" s="46">
        <v>2.4212962962962964E-2</v>
      </c>
      <c r="O29" s="62">
        <f t="shared" si="1"/>
        <v>1.4120370370370346E-3</v>
      </c>
      <c r="P29" s="74">
        <v>42989</v>
      </c>
      <c r="Q29" s="59" t="str">
        <f t="shared" ca="1" si="0"/>
        <v>https://www.youtube.com/embed/ByaheAphduQ?start=1970&amp;end=2092&amp;autoplay=1</v>
      </c>
      <c r="R29" s="67" t="s">
        <v>63</v>
      </c>
      <c r="S29" s="67" t="s">
        <v>63</v>
      </c>
      <c r="T29" s="67" t="s">
        <v>63</v>
      </c>
      <c r="U29" s="52"/>
      <c r="V29" s="53"/>
      <c r="W29" s="60" t="s">
        <v>64</v>
      </c>
      <c r="X29" s="56"/>
      <c r="Y29" s="38"/>
      <c r="Z29" s="38"/>
      <c r="AA29" s="73"/>
      <c r="AB29" s="73"/>
      <c r="AC29" s="73"/>
      <c r="AD29" s="73"/>
      <c r="AE29" s="73"/>
      <c r="AF29" s="73"/>
      <c r="AG29" s="73"/>
    </row>
    <row r="30" spans="1:33">
      <c r="A30" s="42">
        <v>59.1</v>
      </c>
      <c r="B30" s="38" t="s">
        <v>55</v>
      </c>
      <c r="C30" s="42"/>
      <c r="D30" s="38" t="s">
        <v>56</v>
      </c>
      <c r="E30" s="38"/>
      <c r="F30" s="43"/>
      <c r="G30" s="44" t="s">
        <v>285</v>
      </c>
      <c r="H30" s="58"/>
      <c r="I30" s="38"/>
      <c r="J30" s="38"/>
      <c r="K30" s="46"/>
      <c r="L30" s="47"/>
      <c r="M30" s="46">
        <v>2.4999999999999998E-2</v>
      </c>
      <c r="N30" s="46">
        <v>2.659722222222222E-2</v>
      </c>
      <c r="O30" s="62">
        <f t="shared" si="1"/>
        <v>1.5972222222222221E-3</v>
      </c>
      <c r="P30" s="74">
        <v>42989</v>
      </c>
      <c r="Q30" s="59" t="str">
        <f t="shared" ca="1" si="0"/>
        <v>https://www.youtube.com/embed/ByaheAphduQ?start=2160&amp;end=2298&amp;autoplay=1</v>
      </c>
      <c r="R30" s="67" t="s">
        <v>63</v>
      </c>
      <c r="S30" s="67" t="s">
        <v>63</v>
      </c>
      <c r="T30" s="67" t="s">
        <v>63</v>
      </c>
      <c r="U30" s="52"/>
      <c r="V30" s="53"/>
      <c r="W30" s="60" t="s">
        <v>64</v>
      </c>
      <c r="X30" s="56"/>
      <c r="Y30" s="38"/>
      <c r="Z30" s="38"/>
      <c r="AA30" s="73"/>
      <c r="AB30" s="73"/>
      <c r="AC30" s="73"/>
      <c r="AD30" s="73"/>
      <c r="AE30" s="73"/>
      <c r="AF30" s="73"/>
      <c r="AG30" s="73"/>
    </row>
    <row r="31" spans="1:33">
      <c r="A31" s="42">
        <v>59.11</v>
      </c>
      <c r="B31" s="38" t="s">
        <v>55</v>
      </c>
      <c r="C31" s="38"/>
      <c r="D31" s="38" t="s">
        <v>56</v>
      </c>
      <c r="E31" s="38"/>
      <c r="F31" s="43"/>
      <c r="G31" s="44" t="s">
        <v>288</v>
      </c>
      <c r="H31" s="58"/>
      <c r="I31" s="38"/>
      <c r="J31" s="38"/>
      <c r="K31" s="46"/>
      <c r="L31" s="47"/>
      <c r="M31" s="46">
        <v>2.6736111111111113E-2</v>
      </c>
      <c r="N31" s="46">
        <v>2.9571759259259259E-2</v>
      </c>
      <c r="O31" s="62">
        <f t="shared" si="1"/>
        <v>2.8356481481481462E-3</v>
      </c>
      <c r="P31" s="74">
        <v>42989</v>
      </c>
      <c r="Q31" s="59" t="str">
        <f t="shared" ca="1" si="0"/>
        <v>https://www.youtube.com/embed/ByaheAphduQ?start=2310&amp;end=2555&amp;autoplay=1</v>
      </c>
      <c r="R31" s="67" t="s">
        <v>63</v>
      </c>
      <c r="S31" s="67" t="s">
        <v>63</v>
      </c>
      <c r="T31" s="67" t="s">
        <v>63</v>
      </c>
      <c r="U31" s="52"/>
      <c r="V31" s="53"/>
      <c r="W31" s="60" t="s">
        <v>64</v>
      </c>
      <c r="X31" s="78"/>
      <c r="Y31" s="61"/>
      <c r="Z31" s="61"/>
      <c r="AA31" s="73"/>
      <c r="AB31" s="73"/>
      <c r="AC31" s="73"/>
      <c r="AD31" s="73"/>
      <c r="AE31" s="73"/>
      <c r="AF31" s="73"/>
      <c r="AG31" s="73"/>
    </row>
    <row r="32" spans="1:33">
      <c r="A32" s="42">
        <v>59.120000000000097</v>
      </c>
      <c r="B32" s="38" t="s">
        <v>55</v>
      </c>
      <c r="C32" s="38"/>
      <c r="D32" s="38" t="s">
        <v>56</v>
      </c>
      <c r="E32" s="38"/>
      <c r="F32" s="43"/>
      <c r="G32" s="44" t="s">
        <v>291</v>
      </c>
      <c r="H32" s="58"/>
      <c r="I32" s="38"/>
      <c r="J32" s="38"/>
      <c r="K32" s="46"/>
      <c r="L32" s="47"/>
      <c r="M32" s="46">
        <v>3.0034722222222223E-2</v>
      </c>
      <c r="N32" s="46">
        <v>3.0671296296296294E-2</v>
      </c>
      <c r="O32" s="62">
        <f t="shared" si="1"/>
        <v>6.3657407407407066E-4</v>
      </c>
      <c r="P32" s="74">
        <v>42989</v>
      </c>
      <c r="Q32" s="59" t="str">
        <f t="shared" ca="1" si="0"/>
        <v>https://www.youtube.com/embed/ByaheAphduQ?start=2595&amp;end=2650&amp;autoplay=1</v>
      </c>
      <c r="R32" s="67" t="s">
        <v>63</v>
      </c>
      <c r="S32" s="67" t="s">
        <v>63</v>
      </c>
      <c r="T32" s="67" t="s">
        <v>63</v>
      </c>
      <c r="U32" s="52"/>
      <c r="V32" s="53"/>
      <c r="W32" s="60" t="s">
        <v>64</v>
      </c>
      <c r="X32" s="78"/>
      <c r="Y32" s="61"/>
      <c r="Z32" s="61"/>
      <c r="AA32" s="73"/>
      <c r="AB32" s="73"/>
      <c r="AC32" s="73"/>
      <c r="AD32" s="73"/>
      <c r="AE32" s="73"/>
      <c r="AF32" s="73"/>
      <c r="AG32" s="73"/>
    </row>
    <row r="33" spans="1:33">
      <c r="A33" s="42">
        <v>59.130000000000102</v>
      </c>
      <c r="B33" s="38" t="s">
        <v>55</v>
      </c>
      <c r="C33" s="38"/>
      <c r="D33" s="38" t="s">
        <v>56</v>
      </c>
      <c r="E33" s="38"/>
      <c r="F33" s="43"/>
      <c r="G33" s="63" t="s">
        <v>294</v>
      </c>
      <c r="H33" s="58" t="s">
        <v>295</v>
      </c>
      <c r="I33" s="38"/>
      <c r="J33" s="38"/>
      <c r="K33" s="46"/>
      <c r="L33" s="47"/>
      <c r="M33" s="46">
        <v>3.1944444444444449E-2</v>
      </c>
      <c r="N33" s="46">
        <v>3.3912037037037039E-2</v>
      </c>
      <c r="O33" s="62">
        <f t="shared" si="1"/>
        <v>1.9675925925925902E-3</v>
      </c>
      <c r="P33" s="74">
        <v>42989</v>
      </c>
      <c r="Q33" s="59" t="str">
        <f t="shared" ca="1" si="0"/>
        <v>https://www.youtube.com/embed/ByaheAphduQ?start=2760&amp;end=2930&amp;autoplay=1</v>
      </c>
      <c r="R33" s="67" t="s">
        <v>63</v>
      </c>
      <c r="S33" s="67" t="s">
        <v>63</v>
      </c>
      <c r="T33" s="67" t="s">
        <v>63</v>
      </c>
      <c r="U33" s="52"/>
      <c r="V33" s="53"/>
      <c r="W33" s="60" t="s">
        <v>64</v>
      </c>
      <c r="X33" s="78"/>
      <c r="Y33" s="61"/>
      <c r="Z33" s="61"/>
      <c r="AA33" s="73"/>
      <c r="AB33" s="73"/>
      <c r="AC33" s="73"/>
      <c r="AD33" s="73"/>
      <c r="AE33" s="73"/>
      <c r="AF33" s="73"/>
      <c r="AG33" s="73"/>
    </row>
    <row r="34" spans="1:33">
      <c r="A34" s="42">
        <v>59.1400000000001</v>
      </c>
      <c r="B34" s="38" t="s">
        <v>55</v>
      </c>
      <c r="C34" s="42"/>
      <c r="D34" s="38" t="s">
        <v>56</v>
      </c>
      <c r="E34" s="38"/>
      <c r="F34" s="43"/>
      <c r="G34" s="44" t="s">
        <v>296</v>
      </c>
      <c r="H34" s="58" t="s">
        <v>297</v>
      </c>
      <c r="I34" s="38"/>
      <c r="J34" s="38"/>
      <c r="K34" s="46"/>
      <c r="L34" s="47"/>
      <c r="M34" s="46">
        <v>3.4606481481481481E-2</v>
      </c>
      <c r="N34" s="46">
        <v>3.5196759259259254E-2</v>
      </c>
      <c r="O34" s="62">
        <f t="shared" si="1"/>
        <v>5.9027777777777291E-4</v>
      </c>
      <c r="P34" s="74">
        <v>42989</v>
      </c>
      <c r="Q34" s="59" t="str">
        <f t="shared" ca="1" si="0"/>
        <v>https://www.youtube.com/embed/ByaheAphduQ?start=2990&amp;end=3041&amp;autoplay=1</v>
      </c>
      <c r="R34" s="67" t="s">
        <v>63</v>
      </c>
      <c r="S34" s="67" t="s">
        <v>63</v>
      </c>
      <c r="T34" s="67" t="s">
        <v>63</v>
      </c>
      <c r="U34" s="52"/>
      <c r="V34" s="53"/>
      <c r="W34" s="60" t="s">
        <v>64</v>
      </c>
      <c r="X34" s="78"/>
      <c r="Y34" s="61"/>
      <c r="Z34" s="61"/>
      <c r="AA34" s="73"/>
      <c r="AB34" s="73"/>
      <c r="AC34" s="73"/>
      <c r="AD34" s="73"/>
      <c r="AE34" s="73"/>
      <c r="AF34" s="73"/>
      <c r="AG34" s="73"/>
    </row>
    <row r="35" spans="1:33">
      <c r="A35" s="38">
        <v>62</v>
      </c>
      <c r="B35" s="38" t="s">
        <v>55</v>
      </c>
      <c r="C35" s="38"/>
      <c r="D35" s="38" t="s">
        <v>56</v>
      </c>
      <c r="E35" s="38" t="s">
        <v>299</v>
      </c>
      <c r="F35" s="43" t="s">
        <v>300</v>
      </c>
      <c r="G35" s="44"/>
      <c r="H35" s="45"/>
      <c r="I35" s="38"/>
      <c r="J35" s="38">
        <f>6.1*1000</f>
        <v>6100</v>
      </c>
      <c r="K35" s="46">
        <v>3.6041666666666666E-2</v>
      </c>
      <c r="L35" s="47" t="s">
        <v>286</v>
      </c>
      <c r="M35" s="46"/>
      <c r="N35" s="46"/>
      <c r="O35" s="38"/>
      <c r="P35" s="74">
        <v>42997</v>
      </c>
      <c r="Q35" s="14" t="str">
        <f t="shared" ca="1" si="0"/>
        <v/>
      </c>
      <c r="R35" s="50" t="s">
        <v>63</v>
      </c>
      <c r="S35" s="50" t="s">
        <v>63</v>
      </c>
      <c r="T35" s="50" t="s">
        <v>63</v>
      </c>
      <c r="U35" s="52"/>
      <c r="V35" s="53"/>
      <c r="W35" s="60" t="s">
        <v>151</v>
      </c>
      <c r="X35" s="56"/>
      <c r="Y35" s="38"/>
      <c r="Z35" s="38"/>
      <c r="AA35" s="73"/>
      <c r="AB35" s="73"/>
      <c r="AC35" s="73"/>
      <c r="AD35" s="73"/>
      <c r="AE35" s="73"/>
      <c r="AF35" s="73"/>
      <c r="AG35" s="73"/>
    </row>
    <row r="36" spans="1:33">
      <c r="A36" s="42">
        <v>62.1</v>
      </c>
      <c r="B36" s="38" t="s">
        <v>55</v>
      </c>
      <c r="C36" s="38"/>
      <c r="D36" s="38" t="s">
        <v>56</v>
      </c>
      <c r="E36" s="38"/>
      <c r="F36" s="43"/>
      <c r="G36" s="44" t="s">
        <v>302</v>
      </c>
      <c r="H36" s="79"/>
      <c r="I36" s="38"/>
      <c r="J36" s="38"/>
      <c r="K36" s="46"/>
      <c r="L36" s="47"/>
      <c r="M36" s="46">
        <v>2.9166666666666668E-3</v>
      </c>
      <c r="N36" s="46">
        <v>4.1666666666666666E-3</v>
      </c>
      <c r="O36" s="62">
        <f t="shared" ref="O36:O42" si="2">N36-M36</f>
        <v>1.2499999999999998E-3</v>
      </c>
      <c r="P36" s="74">
        <v>42997</v>
      </c>
      <c r="Q36" s="59" t="str">
        <f t="shared" ca="1" si="0"/>
        <v>https://www.youtube.com/embed/s3LVHHEe2vc?start=252&amp;end=360&amp;autoplay=1</v>
      </c>
      <c r="R36" s="50" t="s">
        <v>63</v>
      </c>
      <c r="S36" s="50" t="s">
        <v>63</v>
      </c>
      <c r="T36" s="50" t="s">
        <v>63</v>
      </c>
      <c r="U36" s="52"/>
      <c r="V36" s="53"/>
      <c r="W36" s="60" t="s">
        <v>151</v>
      </c>
      <c r="X36" s="56"/>
      <c r="Y36" s="38"/>
      <c r="Z36" s="38"/>
      <c r="AA36" s="73"/>
      <c r="AB36" s="73"/>
      <c r="AC36" s="73"/>
      <c r="AD36" s="73"/>
      <c r="AE36" s="73"/>
      <c r="AF36" s="73"/>
      <c r="AG36" s="73"/>
    </row>
    <row r="37" spans="1:33">
      <c r="A37" s="42">
        <v>62.2</v>
      </c>
      <c r="B37" s="38" t="s">
        <v>55</v>
      </c>
      <c r="C37" s="38"/>
      <c r="D37" s="38" t="s">
        <v>56</v>
      </c>
      <c r="E37" s="38"/>
      <c r="F37" s="43"/>
      <c r="G37" s="44" t="s">
        <v>304</v>
      </c>
      <c r="H37" s="79" t="s">
        <v>305</v>
      </c>
      <c r="I37" s="38"/>
      <c r="J37" s="38"/>
      <c r="K37" s="46"/>
      <c r="L37" s="47"/>
      <c r="M37" s="46">
        <v>5.0347222222222225E-3</v>
      </c>
      <c r="N37" s="46">
        <v>6.4930555555555549E-3</v>
      </c>
      <c r="O37" s="62">
        <f t="shared" si="2"/>
        <v>1.4583333333333323E-3</v>
      </c>
      <c r="P37" s="74">
        <v>42997</v>
      </c>
      <c r="Q37" s="59" t="str">
        <f t="shared" ca="1" si="0"/>
        <v>https://www.youtube.com/embed/s3LVHHEe2vc?start=435&amp;end=561&amp;autoplay=1</v>
      </c>
      <c r="R37" s="50" t="s">
        <v>63</v>
      </c>
      <c r="S37" s="50" t="s">
        <v>63</v>
      </c>
      <c r="T37" s="50" t="s">
        <v>63</v>
      </c>
      <c r="U37" s="52"/>
      <c r="V37" s="53"/>
      <c r="W37" s="60" t="s">
        <v>151</v>
      </c>
      <c r="X37" s="56"/>
      <c r="Y37" s="38"/>
      <c r="Z37" s="38"/>
      <c r="AA37" s="73"/>
      <c r="AB37" s="73"/>
      <c r="AC37" s="73"/>
      <c r="AD37" s="73"/>
      <c r="AE37" s="73"/>
      <c r="AF37" s="73"/>
      <c r="AG37" s="73"/>
    </row>
    <row r="38" spans="1:33">
      <c r="A38" s="42">
        <v>62.3</v>
      </c>
      <c r="B38" s="38" t="s">
        <v>55</v>
      </c>
      <c r="C38" s="38"/>
      <c r="D38" s="38" t="s">
        <v>56</v>
      </c>
      <c r="E38" s="38"/>
      <c r="F38" s="43"/>
      <c r="G38" s="44" t="s">
        <v>307</v>
      </c>
      <c r="H38" s="79" t="s">
        <v>308</v>
      </c>
      <c r="I38" s="38"/>
      <c r="J38" s="38"/>
      <c r="K38" s="46"/>
      <c r="L38" s="47"/>
      <c r="M38" s="46">
        <v>8.4490740740740741E-3</v>
      </c>
      <c r="N38" s="46">
        <v>1.1574074074074075E-2</v>
      </c>
      <c r="O38" s="62">
        <f t="shared" si="2"/>
        <v>3.125000000000001E-3</v>
      </c>
      <c r="P38" s="74">
        <v>42997</v>
      </c>
      <c r="Q38" s="59" t="str">
        <f t="shared" ca="1" si="0"/>
        <v>https://www.youtube.com/embed/s3LVHHEe2vc?start=730&amp;end=1000&amp;autoplay=1</v>
      </c>
      <c r="R38" s="50" t="s">
        <v>63</v>
      </c>
      <c r="S38" s="50" t="s">
        <v>63</v>
      </c>
      <c r="T38" s="50" t="s">
        <v>63</v>
      </c>
      <c r="U38" s="52"/>
      <c r="V38" s="53"/>
      <c r="W38" s="60" t="s">
        <v>151</v>
      </c>
      <c r="X38" s="56"/>
      <c r="Y38" s="38"/>
      <c r="Z38" s="38"/>
      <c r="AA38" s="73"/>
      <c r="AB38" s="73"/>
      <c r="AC38" s="73"/>
      <c r="AD38" s="73"/>
      <c r="AE38" s="73"/>
      <c r="AF38" s="73"/>
      <c r="AG38" s="73"/>
    </row>
    <row r="39" spans="1:33">
      <c r="A39" s="80">
        <v>62.4</v>
      </c>
      <c r="B39" s="42" t="s">
        <v>55</v>
      </c>
      <c r="C39" s="38"/>
      <c r="D39" s="81" t="s">
        <v>56</v>
      </c>
      <c r="E39" s="81"/>
      <c r="F39" s="82"/>
      <c r="G39" s="83" t="s">
        <v>310</v>
      </c>
      <c r="H39" s="73"/>
      <c r="I39" s="80"/>
      <c r="J39" s="80"/>
      <c r="K39" s="46"/>
      <c r="L39" s="80"/>
      <c r="M39" s="46">
        <v>2.5891203703703704E-2</v>
      </c>
      <c r="N39" s="46">
        <v>2.7083333333333334E-2</v>
      </c>
      <c r="O39" s="46">
        <f t="shared" si="2"/>
        <v>1.1921296296296298E-3</v>
      </c>
      <c r="P39" s="74">
        <v>42997</v>
      </c>
      <c r="Q39" s="59" t="str">
        <f t="shared" ca="1" si="0"/>
        <v>https://www.youtube.com/embed/s3LVHHEe2vc?start=2237&amp;end=2340&amp;autoplay=1</v>
      </c>
      <c r="R39" s="50" t="s">
        <v>63</v>
      </c>
      <c r="S39" s="50" t="s">
        <v>63</v>
      </c>
      <c r="T39" s="50" t="s">
        <v>63</v>
      </c>
      <c r="U39" s="52"/>
      <c r="V39" s="53"/>
      <c r="W39" s="60" t="s">
        <v>151</v>
      </c>
      <c r="X39" s="71"/>
      <c r="Y39" s="42"/>
      <c r="Z39" s="42"/>
      <c r="AA39" s="73"/>
      <c r="AB39" s="73"/>
      <c r="AC39" s="73"/>
      <c r="AD39" s="73"/>
      <c r="AE39" s="73"/>
      <c r="AF39" s="73"/>
      <c r="AG39" s="73"/>
    </row>
    <row r="40" spans="1:33">
      <c r="A40" s="42">
        <v>62.5</v>
      </c>
      <c r="B40" s="42" t="s">
        <v>55</v>
      </c>
      <c r="C40" s="42"/>
      <c r="D40" s="38" t="s">
        <v>56</v>
      </c>
      <c r="E40" s="38"/>
      <c r="F40" s="44"/>
      <c r="G40" s="42" t="s">
        <v>311</v>
      </c>
      <c r="H40" s="79"/>
      <c r="I40" s="38"/>
      <c r="J40" s="38"/>
      <c r="K40" s="46"/>
      <c r="L40" s="47"/>
      <c r="M40" s="46">
        <v>2.7546296296296294E-2</v>
      </c>
      <c r="N40" s="46">
        <v>2.8645833333333332E-2</v>
      </c>
      <c r="O40" s="62">
        <f t="shared" si="2"/>
        <v>1.0995370370370378E-3</v>
      </c>
      <c r="P40" s="74">
        <v>42997</v>
      </c>
      <c r="Q40" s="59" t="str">
        <f t="shared" ca="1" si="0"/>
        <v>https://www.youtube.com/embed/s3LVHHEe2vc?start=2380&amp;end=2475&amp;autoplay=1</v>
      </c>
      <c r="R40" s="67" t="s">
        <v>63</v>
      </c>
      <c r="S40" s="67" t="s">
        <v>63</v>
      </c>
      <c r="T40" s="67" t="s">
        <v>63</v>
      </c>
      <c r="U40" s="52"/>
      <c r="V40" s="53"/>
      <c r="W40" s="60" t="s">
        <v>151</v>
      </c>
      <c r="X40" s="84"/>
      <c r="Y40" s="73"/>
      <c r="Z40" s="73"/>
      <c r="AA40" s="73"/>
      <c r="AB40" s="73"/>
      <c r="AC40" s="73"/>
      <c r="AD40" s="73"/>
      <c r="AE40" s="73"/>
      <c r="AF40" s="73"/>
      <c r="AG40" s="73"/>
    </row>
    <row r="41" spans="1:33">
      <c r="A41" s="42">
        <v>62.6</v>
      </c>
      <c r="B41" s="42" t="s">
        <v>55</v>
      </c>
      <c r="C41" s="38"/>
      <c r="D41" s="38" t="s">
        <v>56</v>
      </c>
      <c r="E41" s="38"/>
      <c r="F41" s="44"/>
      <c r="G41" s="42" t="s">
        <v>313</v>
      </c>
      <c r="H41" s="79"/>
      <c r="I41" s="38"/>
      <c r="J41" s="38"/>
      <c r="K41" s="46"/>
      <c r="L41" s="47"/>
      <c r="M41" s="46">
        <v>2.8645833333333332E-2</v>
      </c>
      <c r="N41" s="46">
        <v>3.0439814814814819E-2</v>
      </c>
      <c r="O41" s="62">
        <f t="shared" si="2"/>
        <v>1.7939814814814867E-3</v>
      </c>
      <c r="P41" s="74">
        <v>42997</v>
      </c>
      <c r="Q41" s="59" t="str">
        <f t="shared" ca="1" si="0"/>
        <v>https://www.youtube.com/embed/s3LVHHEe2vc?start=2475&amp;end=2630&amp;autoplay=1</v>
      </c>
      <c r="R41" s="50" t="s">
        <v>63</v>
      </c>
      <c r="S41" s="50" t="s">
        <v>63</v>
      </c>
      <c r="T41" s="50" t="s">
        <v>63</v>
      </c>
      <c r="U41" s="52"/>
      <c r="V41" s="53"/>
      <c r="W41" s="60" t="s">
        <v>151</v>
      </c>
      <c r="X41" s="56"/>
      <c r="Y41" s="38"/>
      <c r="Z41" s="38"/>
      <c r="AA41" s="73"/>
      <c r="AB41" s="73"/>
      <c r="AC41" s="73"/>
      <c r="AD41" s="73"/>
      <c r="AE41" s="73"/>
      <c r="AF41" s="73"/>
      <c r="AG41" s="73"/>
    </row>
    <row r="42" spans="1:33">
      <c r="A42" s="42">
        <v>62.7</v>
      </c>
      <c r="B42" s="42" t="s">
        <v>55</v>
      </c>
      <c r="C42" s="38"/>
      <c r="D42" s="38" t="s">
        <v>56</v>
      </c>
      <c r="E42" s="38"/>
      <c r="F42" s="44"/>
      <c r="G42" s="42" t="s">
        <v>314</v>
      </c>
      <c r="H42" s="79"/>
      <c r="I42" s="38"/>
      <c r="J42" s="38"/>
      <c r="K42" s="46"/>
      <c r="L42" s="47"/>
      <c r="M42" s="46">
        <v>3.0497685185185183E-2</v>
      </c>
      <c r="N42" s="46">
        <v>3.2870370370370376E-2</v>
      </c>
      <c r="O42" s="62">
        <f t="shared" si="2"/>
        <v>2.3726851851851929E-3</v>
      </c>
      <c r="P42" s="74">
        <v>42997</v>
      </c>
      <c r="Q42" s="59" t="str">
        <f t="shared" ca="1" si="0"/>
        <v>https://www.youtube.com/embed/s3LVHHEe2vc?start=2635&amp;end=2840&amp;autoplay=1</v>
      </c>
      <c r="R42" s="50" t="s">
        <v>63</v>
      </c>
      <c r="S42" s="50" t="s">
        <v>63</v>
      </c>
      <c r="T42" s="50" t="s">
        <v>63</v>
      </c>
      <c r="U42" s="52"/>
      <c r="V42" s="53"/>
      <c r="W42" s="60" t="s">
        <v>151</v>
      </c>
      <c r="X42" s="56"/>
      <c r="Y42" s="38"/>
      <c r="Z42" s="38"/>
      <c r="AA42" s="73"/>
      <c r="AB42" s="73"/>
      <c r="AC42" s="73"/>
      <c r="AD42" s="73"/>
      <c r="AE42" s="73"/>
      <c r="AF42" s="73"/>
      <c r="AG42" s="73"/>
    </row>
    <row r="43" spans="1:33">
      <c r="A43" s="42">
        <v>74</v>
      </c>
      <c r="B43" s="42" t="s">
        <v>55</v>
      </c>
      <c r="C43" s="38"/>
      <c r="D43" s="38" t="s">
        <v>56</v>
      </c>
      <c r="E43" s="38" t="s">
        <v>318</v>
      </c>
      <c r="F43" s="86" t="s">
        <v>319</v>
      </c>
      <c r="G43" s="42"/>
      <c r="H43" s="79"/>
      <c r="I43" s="38"/>
      <c r="J43" s="38">
        <f>4.4*1000</f>
        <v>4400</v>
      </c>
      <c r="K43" s="46">
        <v>4.2280092592592598E-2</v>
      </c>
      <c r="L43" s="47" t="s">
        <v>286</v>
      </c>
      <c r="M43" s="46"/>
      <c r="N43" s="46"/>
      <c r="O43" s="62"/>
      <c r="P43" s="74"/>
      <c r="Q43" s="14" t="str">
        <f t="shared" ca="1" si="0"/>
        <v/>
      </c>
      <c r="R43" s="50" t="s">
        <v>63</v>
      </c>
      <c r="S43" s="50" t="s">
        <v>323</v>
      </c>
      <c r="T43" s="50" t="s">
        <v>63</v>
      </c>
      <c r="U43" s="52"/>
      <c r="V43" s="53"/>
      <c r="W43" s="60" t="s">
        <v>64</v>
      </c>
      <c r="X43" s="56"/>
      <c r="Y43" s="38"/>
      <c r="Z43" s="38"/>
      <c r="AA43" s="73"/>
      <c r="AB43" s="73"/>
      <c r="AC43" s="73"/>
      <c r="AD43" s="73"/>
      <c r="AE43" s="73"/>
      <c r="AF43" s="73"/>
      <c r="AG43" s="73"/>
    </row>
    <row r="44" spans="1:33">
      <c r="A44" s="38">
        <v>74.010000000000005</v>
      </c>
      <c r="B44" s="42" t="s">
        <v>55</v>
      </c>
      <c r="C44" s="38"/>
      <c r="D44" s="42" t="s">
        <v>56</v>
      </c>
      <c r="E44" s="38"/>
      <c r="F44" s="43"/>
      <c r="G44" s="44" t="s">
        <v>324</v>
      </c>
      <c r="H44" s="45"/>
      <c r="I44" s="38"/>
      <c r="J44" s="38"/>
      <c r="K44" s="46"/>
      <c r="L44" s="47"/>
      <c r="M44" s="46">
        <v>4.3981481481481484E-3</v>
      </c>
      <c r="N44" s="46">
        <v>4.7453703703703703E-3</v>
      </c>
      <c r="O44" s="46">
        <f t="shared" ref="O44:O54" si="3">N44-M44</f>
        <v>3.4722222222222186E-4</v>
      </c>
      <c r="P44" s="74">
        <v>43003</v>
      </c>
      <c r="Q44" s="59" t="str">
        <f t="shared" ca="1" si="0"/>
        <v>https://www.youtube.com/embed/YFmL65VsWdk?start=380&amp;end=410&amp;autoplay=1</v>
      </c>
      <c r="R44" s="38" t="s">
        <v>63</v>
      </c>
      <c r="S44" s="38" t="s">
        <v>326</v>
      </c>
      <c r="T44" s="38" t="s">
        <v>63</v>
      </c>
      <c r="U44" s="38"/>
      <c r="V44" s="38"/>
      <c r="W44" s="38" t="s">
        <v>151</v>
      </c>
      <c r="X44" s="71"/>
      <c r="Y44" s="42"/>
      <c r="Z44" s="42"/>
      <c r="AA44" s="38"/>
      <c r="AB44" s="38"/>
      <c r="AC44" s="87"/>
      <c r="AD44" s="87"/>
      <c r="AE44" s="87"/>
      <c r="AF44" s="87"/>
      <c r="AG44" s="87"/>
    </row>
    <row r="45" spans="1:33">
      <c r="A45" s="42">
        <v>74.02</v>
      </c>
      <c r="B45" s="42" t="s">
        <v>55</v>
      </c>
      <c r="C45" s="38"/>
      <c r="D45" s="42" t="s">
        <v>56</v>
      </c>
      <c r="E45" s="38"/>
      <c r="F45" s="44"/>
      <c r="G45" s="42" t="s">
        <v>330</v>
      </c>
      <c r="H45" s="79" t="s">
        <v>331</v>
      </c>
      <c r="I45" s="38"/>
      <c r="J45" s="38"/>
      <c r="K45" s="46"/>
      <c r="L45" s="47"/>
      <c r="M45" s="46">
        <v>4.7800925925925919E-3</v>
      </c>
      <c r="N45" s="46">
        <v>5.4861111111111117E-3</v>
      </c>
      <c r="O45" s="62">
        <f t="shared" si="3"/>
        <v>7.0601851851851988E-4</v>
      </c>
      <c r="P45" s="74">
        <v>43003</v>
      </c>
      <c r="Q45" s="59" t="str">
        <f t="shared" ca="1" si="0"/>
        <v>https://www.youtube.com/embed/YFmL65VsWdk?start=413&amp;end=474&amp;autoplay=1</v>
      </c>
      <c r="R45" s="67" t="s">
        <v>63</v>
      </c>
      <c r="S45" s="67" t="s">
        <v>326</v>
      </c>
      <c r="T45" s="67" t="s">
        <v>63</v>
      </c>
      <c r="U45" s="52"/>
      <c r="V45" s="53"/>
      <c r="W45" s="60" t="s">
        <v>151</v>
      </c>
      <c r="X45" s="56"/>
      <c r="Y45" s="38"/>
      <c r="Z45" s="38"/>
      <c r="AA45" s="73"/>
      <c r="AB45" s="73"/>
      <c r="AC45" s="73"/>
      <c r="AD45" s="73"/>
      <c r="AE45" s="73"/>
      <c r="AF45" s="73"/>
      <c r="AG45" s="73"/>
    </row>
    <row r="46" spans="1:33">
      <c r="A46" s="38">
        <v>74.03</v>
      </c>
      <c r="B46" s="38" t="s">
        <v>55</v>
      </c>
      <c r="C46" s="38"/>
      <c r="D46" s="38" t="s">
        <v>56</v>
      </c>
      <c r="E46" s="38"/>
      <c r="F46" s="43"/>
      <c r="G46" s="44" t="s">
        <v>335</v>
      </c>
      <c r="H46" s="45"/>
      <c r="I46" s="38"/>
      <c r="J46" s="38"/>
      <c r="K46" s="46"/>
      <c r="L46" s="47"/>
      <c r="M46" s="46">
        <v>7.106481481481481E-3</v>
      </c>
      <c r="N46" s="46">
        <v>9.2592592592592605E-3</v>
      </c>
      <c r="O46" s="46">
        <f t="shared" si="3"/>
        <v>2.1527777777777795E-3</v>
      </c>
      <c r="P46" s="74">
        <v>43003</v>
      </c>
      <c r="Q46" s="59" t="str">
        <f t="shared" ca="1" si="0"/>
        <v>https://www.youtube.com/embed/YFmL65VsWdk?start=614&amp;end=800&amp;autoplay=1</v>
      </c>
      <c r="R46" s="50" t="s">
        <v>63</v>
      </c>
      <c r="S46" s="50" t="s">
        <v>326</v>
      </c>
      <c r="T46" s="50" t="s">
        <v>63</v>
      </c>
      <c r="U46" s="52"/>
      <c r="V46" s="53"/>
      <c r="W46" s="60" t="s">
        <v>151</v>
      </c>
      <c r="X46" s="56"/>
      <c r="Y46" s="38"/>
      <c r="Z46" s="38"/>
      <c r="AA46" s="73"/>
      <c r="AB46" s="73"/>
      <c r="AC46" s="73"/>
      <c r="AD46" s="73"/>
      <c r="AE46" s="73"/>
      <c r="AF46" s="73"/>
      <c r="AG46" s="73"/>
    </row>
    <row r="47" spans="1:33">
      <c r="A47" s="42">
        <v>74.040000000000006</v>
      </c>
      <c r="B47" s="38" t="s">
        <v>55</v>
      </c>
      <c r="C47" s="38"/>
      <c r="D47" s="38" t="s">
        <v>56</v>
      </c>
      <c r="E47" s="38"/>
      <c r="F47" s="43"/>
      <c r="G47" s="44" t="s">
        <v>339</v>
      </c>
      <c r="H47" s="58" t="s">
        <v>340</v>
      </c>
      <c r="I47" s="38"/>
      <c r="J47" s="38"/>
      <c r="K47" s="46"/>
      <c r="L47" s="47"/>
      <c r="M47" s="46">
        <v>9.2708333333333341E-3</v>
      </c>
      <c r="N47" s="46">
        <v>1.0995370370370371E-2</v>
      </c>
      <c r="O47" s="62">
        <f t="shared" si="3"/>
        <v>1.7245370370370366E-3</v>
      </c>
      <c r="P47" s="74">
        <v>43003</v>
      </c>
      <c r="Q47" s="59" t="str">
        <f t="shared" ca="1" si="0"/>
        <v>https://www.youtube.com/embed/YFmL65VsWdk?start=801&amp;end=950&amp;autoplay=1</v>
      </c>
      <c r="R47" s="50" t="s">
        <v>63</v>
      </c>
      <c r="S47" s="50" t="s">
        <v>326</v>
      </c>
      <c r="T47" s="50" t="s">
        <v>63</v>
      </c>
      <c r="U47" s="52"/>
      <c r="V47" s="53"/>
      <c r="W47" s="60" t="s">
        <v>151</v>
      </c>
      <c r="X47" s="78"/>
      <c r="Y47" s="61"/>
      <c r="Z47" s="61"/>
      <c r="AA47" s="73"/>
      <c r="AB47" s="73"/>
      <c r="AC47" s="73"/>
      <c r="AD47" s="73"/>
      <c r="AE47" s="73"/>
      <c r="AF47" s="73"/>
      <c r="AG47" s="73"/>
    </row>
    <row r="48" spans="1:33">
      <c r="A48" s="42">
        <v>74.05</v>
      </c>
      <c r="B48" s="38" t="s">
        <v>55</v>
      </c>
      <c r="C48" s="38"/>
      <c r="D48" s="38" t="s">
        <v>56</v>
      </c>
      <c r="E48" s="38"/>
      <c r="F48" s="43"/>
      <c r="G48" s="44" t="s">
        <v>344</v>
      </c>
      <c r="H48" s="58"/>
      <c r="I48" s="38"/>
      <c r="J48" s="38"/>
      <c r="K48" s="46"/>
      <c r="L48" s="47"/>
      <c r="M48" s="46">
        <v>9.8958333333333329E-3</v>
      </c>
      <c r="N48" s="46">
        <v>1.0416666666666666E-2</v>
      </c>
      <c r="O48" s="62">
        <f t="shared" si="3"/>
        <v>5.2083333333333322E-4</v>
      </c>
      <c r="P48" s="74">
        <v>43003</v>
      </c>
      <c r="Q48" s="59" t="str">
        <f t="shared" ca="1" si="0"/>
        <v>https://www.youtube.com/embed/YFmL65VsWdk?start=855&amp;end=900&amp;autoplay=1</v>
      </c>
      <c r="R48" s="50" t="s">
        <v>63</v>
      </c>
      <c r="S48" s="50" t="s">
        <v>326</v>
      </c>
      <c r="T48" s="50" t="s">
        <v>63</v>
      </c>
      <c r="U48" s="52"/>
      <c r="V48" s="53"/>
      <c r="W48" s="60" t="s">
        <v>151</v>
      </c>
      <c r="X48" s="78"/>
      <c r="Y48" s="61"/>
      <c r="Z48" s="61"/>
      <c r="AA48" s="73"/>
      <c r="AB48" s="73"/>
      <c r="AC48" s="73"/>
      <c r="AD48" s="73"/>
      <c r="AE48" s="73"/>
      <c r="AF48" s="73"/>
      <c r="AG48" s="73"/>
    </row>
    <row r="49" spans="1:33">
      <c r="A49" s="42">
        <v>74.06</v>
      </c>
      <c r="B49" s="38" t="s">
        <v>55</v>
      </c>
      <c r="C49" s="38"/>
      <c r="D49" s="38" t="s">
        <v>56</v>
      </c>
      <c r="E49" s="38"/>
      <c r="F49" s="43"/>
      <c r="G49" s="44" t="s">
        <v>347</v>
      </c>
      <c r="H49" s="58"/>
      <c r="I49" s="38"/>
      <c r="J49" s="38"/>
      <c r="K49" s="46"/>
      <c r="L49" s="47"/>
      <c r="M49" s="46">
        <v>1.0474537037037037E-2</v>
      </c>
      <c r="N49" s="46">
        <v>1.0995370370370371E-2</v>
      </c>
      <c r="O49" s="62">
        <f t="shared" si="3"/>
        <v>5.2083333333333322E-4</v>
      </c>
      <c r="P49" s="74">
        <v>43003</v>
      </c>
      <c r="Q49" s="59" t="str">
        <f t="shared" ca="1" si="0"/>
        <v>https://www.youtube.com/embed/YFmL65VsWdk?start=905&amp;end=950&amp;autoplay=1</v>
      </c>
      <c r="R49" s="50" t="s">
        <v>63</v>
      </c>
      <c r="S49" s="50" t="s">
        <v>326</v>
      </c>
      <c r="T49" s="50" t="s">
        <v>63</v>
      </c>
      <c r="U49" s="52"/>
      <c r="V49" s="53"/>
      <c r="W49" s="60" t="s">
        <v>151</v>
      </c>
      <c r="X49" s="78"/>
      <c r="Y49" s="61"/>
      <c r="Z49" s="61"/>
      <c r="AA49" s="73"/>
      <c r="AB49" s="73"/>
      <c r="AC49" s="73"/>
      <c r="AD49" s="73"/>
      <c r="AE49" s="73"/>
      <c r="AF49" s="73"/>
      <c r="AG49" s="73"/>
    </row>
    <row r="50" spans="1:33">
      <c r="A50" s="38">
        <v>74.069999999999993</v>
      </c>
      <c r="B50" s="38" t="s">
        <v>55</v>
      </c>
      <c r="C50" s="38"/>
      <c r="D50" s="38" t="s">
        <v>56</v>
      </c>
      <c r="E50" s="38"/>
      <c r="F50" s="43"/>
      <c r="G50" s="44" t="s">
        <v>350</v>
      </c>
      <c r="H50" s="45"/>
      <c r="I50" s="38"/>
      <c r="J50" s="38"/>
      <c r="K50" s="46"/>
      <c r="L50" s="47"/>
      <c r="M50" s="46">
        <v>1.1168981481481481E-2</v>
      </c>
      <c r="N50" s="46">
        <v>1.2430555555555554E-2</v>
      </c>
      <c r="O50" s="46">
        <f t="shared" si="3"/>
        <v>1.2615740740740729E-3</v>
      </c>
      <c r="P50" s="89">
        <v>43003</v>
      </c>
      <c r="Q50" s="59" t="str">
        <f t="shared" ca="1" si="0"/>
        <v>https://www.youtube.com/embed/YFmL65VsWdk?start=965&amp;end=1074&amp;autoplay=1</v>
      </c>
      <c r="R50" s="50" t="s">
        <v>63</v>
      </c>
      <c r="S50" s="50" t="s">
        <v>326</v>
      </c>
      <c r="T50" s="50" t="s">
        <v>63</v>
      </c>
      <c r="U50" s="52"/>
      <c r="V50" s="53"/>
      <c r="W50" s="60" t="s">
        <v>151</v>
      </c>
      <c r="X50" s="78"/>
      <c r="Y50" s="61"/>
      <c r="Z50" s="61"/>
      <c r="AA50" s="73"/>
      <c r="AB50" s="73"/>
      <c r="AC50" s="73"/>
      <c r="AD50" s="73"/>
      <c r="AE50" s="73"/>
      <c r="AF50" s="73"/>
      <c r="AG50" s="73"/>
    </row>
    <row r="51" spans="1:33">
      <c r="A51" s="38">
        <v>74.079999999999899</v>
      </c>
      <c r="B51" s="38" t="s">
        <v>55</v>
      </c>
      <c r="C51" s="38"/>
      <c r="D51" s="38" t="s">
        <v>56</v>
      </c>
      <c r="E51" s="38"/>
      <c r="F51" s="43"/>
      <c r="G51" s="44" t="s">
        <v>354</v>
      </c>
      <c r="H51" s="45"/>
      <c r="I51" s="38"/>
      <c r="J51" s="38"/>
      <c r="K51" s="46"/>
      <c r="L51" s="47"/>
      <c r="M51" s="46">
        <v>1.8229166666666668E-2</v>
      </c>
      <c r="N51" s="46">
        <v>2.2222222222222223E-2</v>
      </c>
      <c r="O51" s="46">
        <f t="shared" si="3"/>
        <v>3.9930555555555552E-3</v>
      </c>
      <c r="P51" s="89">
        <v>43003</v>
      </c>
      <c r="Q51" s="59" t="str">
        <f t="shared" ca="1" si="0"/>
        <v>https://www.youtube.com/embed/YFmL65VsWdk?start=1575&amp;end=1920&amp;autoplay=1</v>
      </c>
      <c r="R51" s="50" t="s">
        <v>63</v>
      </c>
      <c r="S51" s="50" t="s">
        <v>326</v>
      </c>
      <c r="T51" s="50" t="s">
        <v>63</v>
      </c>
      <c r="U51" s="52"/>
      <c r="V51" s="53"/>
      <c r="W51" s="60" t="s">
        <v>151</v>
      </c>
      <c r="X51" s="56"/>
      <c r="Y51" s="38"/>
      <c r="Z51" s="38"/>
      <c r="AA51" s="73"/>
      <c r="AB51" s="73"/>
      <c r="AC51" s="73"/>
      <c r="AD51" s="73"/>
      <c r="AE51" s="73"/>
      <c r="AF51" s="73"/>
      <c r="AG51" s="73"/>
    </row>
    <row r="52" spans="1:33">
      <c r="A52" s="42">
        <v>74.089999999999904</v>
      </c>
      <c r="B52" s="38" t="s">
        <v>55</v>
      </c>
      <c r="C52" s="38"/>
      <c r="D52" s="38" t="s">
        <v>56</v>
      </c>
      <c r="E52" s="38"/>
      <c r="F52" s="43"/>
      <c r="G52" s="44" t="s">
        <v>355</v>
      </c>
      <c r="H52" s="58"/>
      <c r="I52" s="38"/>
      <c r="J52" s="38"/>
      <c r="K52" s="46"/>
      <c r="L52" s="47"/>
      <c r="M52" s="46">
        <v>2.0312500000000001E-2</v>
      </c>
      <c r="N52" s="46">
        <v>2.1597222222222223E-2</v>
      </c>
      <c r="O52" s="62">
        <f t="shared" si="3"/>
        <v>1.2847222222222218E-3</v>
      </c>
      <c r="P52" s="74">
        <v>43003</v>
      </c>
      <c r="Q52" s="59" t="str">
        <f t="shared" ca="1" si="0"/>
        <v>https://www.youtube.com/embed/YFmL65VsWdk?start=1755&amp;end=1866&amp;autoplay=1</v>
      </c>
      <c r="R52" s="50" t="s">
        <v>63</v>
      </c>
      <c r="S52" s="50" t="s">
        <v>326</v>
      </c>
      <c r="T52" s="50" t="s">
        <v>63</v>
      </c>
      <c r="U52" s="52"/>
      <c r="V52" s="53"/>
      <c r="W52" s="60" t="s">
        <v>151</v>
      </c>
      <c r="X52" s="78"/>
      <c r="Y52" s="61"/>
      <c r="Z52" s="61"/>
      <c r="AA52" s="73"/>
      <c r="AB52" s="73"/>
      <c r="AC52" s="73"/>
      <c r="AD52" s="73"/>
      <c r="AE52" s="73"/>
      <c r="AF52" s="73"/>
      <c r="AG52" s="73"/>
    </row>
    <row r="53" spans="1:33">
      <c r="A53" s="42">
        <v>74.099999999999895</v>
      </c>
      <c r="B53" s="38" t="s">
        <v>55</v>
      </c>
      <c r="C53" s="38"/>
      <c r="D53" s="38" t="s">
        <v>56</v>
      </c>
      <c r="E53" s="38"/>
      <c r="F53" s="43"/>
      <c r="G53" s="44" t="s">
        <v>359</v>
      </c>
      <c r="H53" s="58"/>
      <c r="I53" s="38"/>
      <c r="J53" s="38"/>
      <c r="K53" s="46"/>
      <c r="L53" s="47"/>
      <c r="M53" s="46">
        <v>2.4155092592592589E-2</v>
      </c>
      <c r="N53" s="46">
        <v>2.5543981481481483E-2</v>
      </c>
      <c r="O53" s="62">
        <f t="shared" si="3"/>
        <v>1.3888888888888944E-3</v>
      </c>
      <c r="P53" s="74">
        <v>43003</v>
      </c>
      <c r="Q53" s="59" t="str">
        <f t="shared" ca="1" si="0"/>
        <v>https://www.youtube.com/embed/YFmL65VsWdk?start=2087&amp;end=2207&amp;autoplay=1</v>
      </c>
      <c r="R53" s="50" t="s">
        <v>63</v>
      </c>
      <c r="S53" s="50" t="s">
        <v>326</v>
      </c>
      <c r="T53" s="50" t="s">
        <v>63</v>
      </c>
      <c r="U53" s="52"/>
      <c r="V53" s="53"/>
      <c r="W53" s="60" t="s">
        <v>151</v>
      </c>
      <c r="X53" s="78"/>
      <c r="Y53" s="61"/>
      <c r="Z53" s="61"/>
      <c r="AA53" s="73"/>
      <c r="AB53" s="73"/>
      <c r="AC53" s="73"/>
      <c r="AD53" s="73"/>
      <c r="AE53" s="73"/>
      <c r="AF53" s="73"/>
      <c r="AG53" s="73"/>
    </row>
    <row r="54" spans="1:33">
      <c r="A54" s="42">
        <v>74.1099999999999</v>
      </c>
      <c r="B54" s="38" t="s">
        <v>55</v>
      </c>
      <c r="C54" s="38"/>
      <c r="D54" s="38" t="s">
        <v>56</v>
      </c>
      <c r="E54" s="38"/>
      <c r="F54" s="43"/>
      <c r="G54" s="63" t="s">
        <v>360</v>
      </c>
      <c r="H54" s="58" t="s">
        <v>361</v>
      </c>
      <c r="I54" s="38"/>
      <c r="J54" s="38"/>
      <c r="K54" s="46"/>
      <c r="L54" s="47"/>
      <c r="M54" s="46">
        <v>2.9224537037037038E-2</v>
      </c>
      <c r="N54" s="46">
        <v>3.2407407407407406E-2</v>
      </c>
      <c r="O54" s="62">
        <f t="shared" si="3"/>
        <v>3.1828703703703672E-3</v>
      </c>
      <c r="P54" s="74">
        <v>43003</v>
      </c>
      <c r="Q54" s="59" t="str">
        <f t="shared" ca="1" si="0"/>
        <v>https://www.youtube.com/embed/YFmL65VsWdk?start=2525&amp;end=2800&amp;autoplay=1</v>
      </c>
      <c r="R54" s="50" t="s">
        <v>63</v>
      </c>
      <c r="S54" s="50" t="s">
        <v>326</v>
      </c>
      <c r="T54" s="50" t="s">
        <v>63</v>
      </c>
      <c r="U54" s="52"/>
      <c r="V54" s="53"/>
      <c r="W54" s="60" t="s">
        <v>151</v>
      </c>
      <c r="X54" s="78"/>
      <c r="Y54" s="61"/>
      <c r="Z54" s="61"/>
      <c r="AA54" s="73"/>
      <c r="AB54" s="73"/>
      <c r="AC54" s="73"/>
      <c r="AD54" s="73"/>
      <c r="AE54" s="73"/>
      <c r="AF54" s="73"/>
      <c r="AG54" s="73"/>
    </row>
    <row r="55" spans="1:33" ht="20.25" customHeight="1">
      <c r="A55" s="42">
        <v>102</v>
      </c>
      <c r="B55" s="38" t="s">
        <v>55</v>
      </c>
      <c r="C55" s="38"/>
      <c r="D55" s="38" t="s">
        <v>56</v>
      </c>
      <c r="E55" s="38" t="s">
        <v>363</v>
      </c>
      <c r="F55" s="43" t="s">
        <v>364</v>
      </c>
      <c r="G55" s="44" t="s">
        <v>365</v>
      </c>
      <c r="H55" s="58" t="s">
        <v>366</v>
      </c>
      <c r="I55" s="38"/>
      <c r="J55" s="38">
        <f>1.3*1000</f>
        <v>1300</v>
      </c>
      <c r="K55" s="46">
        <v>1.1990740740740739E-2</v>
      </c>
      <c r="L55" s="47" t="s">
        <v>286</v>
      </c>
      <c r="M55" s="46"/>
      <c r="N55" s="46"/>
      <c r="O55" s="62"/>
      <c r="P55" s="74"/>
      <c r="Q55" s="14" t="str">
        <f t="shared" ca="1" si="0"/>
        <v/>
      </c>
      <c r="R55" s="50"/>
      <c r="S55" s="50"/>
      <c r="T55" s="50"/>
      <c r="U55" s="52"/>
      <c r="V55" s="53"/>
      <c r="W55" s="60"/>
      <c r="X55" s="78"/>
      <c r="Y55" s="61"/>
      <c r="Z55" s="61" t="s">
        <v>368</v>
      </c>
      <c r="AA55" s="73"/>
      <c r="AB55" s="73"/>
      <c r="AC55" s="73"/>
      <c r="AD55" s="73"/>
      <c r="AE55" s="73"/>
      <c r="AF55" s="73"/>
      <c r="AG55" s="73"/>
    </row>
    <row r="56" spans="1:33">
      <c r="A56" s="38">
        <v>103</v>
      </c>
      <c r="B56" s="38" t="s">
        <v>55</v>
      </c>
      <c r="C56" s="38"/>
      <c r="D56" s="38" t="s">
        <v>56</v>
      </c>
      <c r="E56" s="38" t="s">
        <v>369</v>
      </c>
      <c r="F56" s="43" t="s">
        <v>370</v>
      </c>
      <c r="G56" s="44"/>
      <c r="H56" s="45"/>
      <c r="I56" s="38"/>
      <c r="J56" s="38">
        <f>7.9*1000</f>
        <v>7900</v>
      </c>
      <c r="K56" s="46">
        <v>9.7002314814814805E-2</v>
      </c>
      <c r="L56" s="47" t="s">
        <v>286</v>
      </c>
      <c r="M56" s="46"/>
      <c r="N56" s="46"/>
      <c r="O56" s="38"/>
      <c r="P56" s="74"/>
      <c r="Q56" s="14" t="str">
        <f t="shared" ca="1" si="0"/>
        <v/>
      </c>
      <c r="R56" s="50" t="s">
        <v>63</v>
      </c>
      <c r="S56" s="50" t="s">
        <v>63</v>
      </c>
      <c r="T56" s="50" t="s">
        <v>63</v>
      </c>
      <c r="U56" s="52"/>
      <c r="V56" s="53"/>
      <c r="W56" s="60" t="s">
        <v>64</v>
      </c>
      <c r="X56" s="56"/>
      <c r="Y56" s="38"/>
      <c r="Z56" s="38"/>
      <c r="AA56" s="73"/>
      <c r="AB56" s="73"/>
      <c r="AC56" s="73"/>
      <c r="AD56" s="73"/>
      <c r="AE56" s="73"/>
      <c r="AF56" s="73"/>
      <c r="AG56" s="73"/>
    </row>
    <row r="57" spans="1:33">
      <c r="A57" s="42">
        <v>103.01</v>
      </c>
      <c r="B57" s="38" t="s">
        <v>55</v>
      </c>
      <c r="C57" s="38"/>
      <c r="D57" s="38" t="s">
        <v>56</v>
      </c>
      <c r="E57" s="38"/>
      <c r="F57" s="43"/>
      <c r="G57" s="44" t="s">
        <v>374</v>
      </c>
      <c r="H57" s="58" t="s">
        <v>375</v>
      </c>
      <c r="I57" s="38"/>
      <c r="J57" s="38"/>
      <c r="K57" s="46"/>
      <c r="L57" s="47"/>
      <c r="M57" s="46">
        <v>2.8935185185185184E-4</v>
      </c>
      <c r="N57" s="46">
        <v>3.0787037037037037E-3</v>
      </c>
      <c r="O57" s="62">
        <f t="shared" ref="O57:O75" si="4">N57-M57</f>
        <v>2.7893518518518519E-3</v>
      </c>
      <c r="P57" s="66">
        <v>43007</v>
      </c>
      <c r="Q57" s="59" t="str">
        <f t="shared" ca="1" si="0"/>
        <v>https://www.youtube.com/embed/8RSu4ymCgp4?start=25&amp;end=266&amp;autoplay=1</v>
      </c>
      <c r="R57" s="50" t="s">
        <v>63</v>
      </c>
      <c r="S57" s="50" t="s">
        <v>63</v>
      </c>
      <c r="T57" s="50" t="s">
        <v>63</v>
      </c>
      <c r="U57" s="52"/>
      <c r="V57" s="53"/>
      <c r="W57" s="60"/>
      <c r="X57" s="56"/>
      <c r="Y57" s="38"/>
      <c r="Z57" s="38"/>
      <c r="AA57" s="73"/>
      <c r="AB57" s="73"/>
      <c r="AC57" s="73"/>
      <c r="AD57" s="73"/>
      <c r="AE57" s="73"/>
      <c r="AF57" s="73"/>
      <c r="AG57" s="73"/>
    </row>
    <row r="58" spans="1:33">
      <c r="A58" s="42">
        <v>103.02</v>
      </c>
      <c r="B58" s="38" t="s">
        <v>55</v>
      </c>
      <c r="C58" s="38"/>
      <c r="D58" s="38" t="s">
        <v>56</v>
      </c>
      <c r="E58" s="38"/>
      <c r="F58" s="43"/>
      <c r="G58" s="44" t="s">
        <v>379</v>
      </c>
      <c r="H58" s="58"/>
      <c r="I58" s="38"/>
      <c r="J58" s="38"/>
      <c r="K58" s="46"/>
      <c r="L58" s="47"/>
      <c r="M58" s="46">
        <v>1.5543981481481482E-2</v>
      </c>
      <c r="N58" s="46">
        <v>2.2395833333333334E-2</v>
      </c>
      <c r="O58" s="62">
        <f t="shared" si="4"/>
        <v>6.851851851851852E-3</v>
      </c>
      <c r="P58" s="91">
        <v>43007</v>
      </c>
      <c r="Q58" s="59" t="str">
        <f t="shared" ca="1" si="0"/>
        <v>https://www.youtube.com/embed/8RSu4ymCgp4?start=1343&amp;end=1935&amp;autoplay=1</v>
      </c>
      <c r="R58" s="50" t="s">
        <v>63</v>
      </c>
      <c r="S58" s="50" t="s">
        <v>63</v>
      </c>
      <c r="T58" s="50" t="s">
        <v>63</v>
      </c>
      <c r="U58" s="52"/>
      <c r="V58" s="53"/>
      <c r="W58" s="60"/>
      <c r="X58" s="56"/>
      <c r="Y58" s="38"/>
      <c r="Z58" s="38"/>
      <c r="AA58" s="73"/>
      <c r="AB58" s="73"/>
      <c r="AC58" s="73"/>
      <c r="AD58" s="73"/>
      <c r="AE58" s="73"/>
      <c r="AF58" s="73"/>
      <c r="AG58" s="73"/>
    </row>
    <row r="59" spans="1:33">
      <c r="A59" s="42">
        <v>103.03</v>
      </c>
      <c r="B59" s="38" t="s">
        <v>55</v>
      </c>
      <c r="C59" s="38"/>
      <c r="D59" s="38" t="s">
        <v>56</v>
      </c>
      <c r="E59" s="38"/>
      <c r="F59" s="43"/>
      <c r="G59" s="44" t="s">
        <v>383</v>
      </c>
      <c r="H59" s="58"/>
      <c r="I59" s="38"/>
      <c r="J59" s="38"/>
      <c r="K59" s="46"/>
      <c r="L59" s="47"/>
      <c r="M59" s="46">
        <v>2.2453703703703705E-2</v>
      </c>
      <c r="N59" s="46">
        <v>2.3206018518518518E-2</v>
      </c>
      <c r="O59" s="62">
        <f t="shared" si="4"/>
        <v>7.523148148148133E-4</v>
      </c>
      <c r="P59" s="91">
        <v>43007</v>
      </c>
      <c r="Q59" s="59" t="str">
        <f t="shared" ca="1" si="0"/>
        <v>https://www.youtube.com/embed/8RSu4ymCgp4?start=1940&amp;end=2005&amp;autoplay=1</v>
      </c>
      <c r="R59" s="50" t="s">
        <v>63</v>
      </c>
      <c r="S59" s="50" t="s">
        <v>63</v>
      </c>
      <c r="T59" s="50" t="s">
        <v>63</v>
      </c>
      <c r="U59" s="52"/>
      <c r="V59" s="53"/>
      <c r="W59" s="60"/>
      <c r="X59" s="56"/>
      <c r="Y59" s="38"/>
      <c r="Z59" s="38"/>
      <c r="AA59" s="73"/>
      <c r="AB59" s="73"/>
      <c r="AC59" s="73"/>
      <c r="AD59" s="73"/>
      <c r="AE59" s="73"/>
      <c r="AF59" s="73"/>
      <c r="AG59" s="73"/>
    </row>
    <row r="60" spans="1:33">
      <c r="A60" s="42">
        <v>103.04</v>
      </c>
      <c r="B60" s="38" t="s">
        <v>55</v>
      </c>
      <c r="C60" s="42"/>
      <c r="D60" s="38" t="s">
        <v>56</v>
      </c>
      <c r="E60" s="38"/>
      <c r="F60" s="43"/>
      <c r="G60" s="63" t="s">
        <v>387</v>
      </c>
      <c r="H60" s="58"/>
      <c r="I60" s="38"/>
      <c r="J60" s="38"/>
      <c r="K60" s="46"/>
      <c r="L60" s="47"/>
      <c r="M60" s="46">
        <v>2.326388888888889E-2</v>
      </c>
      <c r="N60" s="46">
        <v>2.3958333333333335E-2</v>
      </c>
      <c r="O60" s="62">
        <f t="shared" si="4"/>
        <v>6.9444444444444545E-4</v>
      </c>
      <c r="P60" s="91">
        <v>43007</v>
      </c>
      <c r="Q60" s="59" t="str">
        <f t="shared" ca="1" si="0"/>
        <v>https://www.youtube.com/embed/8RSu4ymCgp4?start=2010&amp;end=2070&amp;autoplay=1</v>
      </c>
      <c r="R60" s="50" t="s">
        <v>63</v>
      </c>
      <c r="S60" s="50" t="s">
        <v>63</v>
      </c>
      <c r="T60" s="50" t="s">
        <v>63</v>
      </c>
      <c r="U60" s="52"/>
      <c r="V60" s="53"/>
      <c r="W60" s="60"/>
      <c r="X60" s="56"/>
      <c r="Y60" s="38"/>
      <c r="Z60" s="38"/>
      <c r="AA60" s="73"/>
      <c r="AB60" s="73"/>
      <c r="AC60" s="73"/>
      <c r="AD60" s="73"/>
      <c r="AE60" s="73"/>
      <c r="AF60" s="73"/>
      <c r="AG60" s="73"/>
    </row>
    <row r="61" spans="1:33">
      <c r="A61" s="42">
        <v>103.05</v>
      </c>
      <c r="B61" s="38" t="s">
        <v>55</v>
      </c>
      <c r="C61" s="38"/>
      <c r="D61" s="38" t="s">
        <v>56</v>
      </c>
      <c r="E61" s="38"/>
      <c r="F61" s="43"/>
      <c r="G61" s="44" t="s">
        <v>390</v>
      </c>
      <c r="H61" s="58" t="s">
        <v>391</v>
      </c>
      <c r="I61" s="38"/>
      <c r="J61" s="38"/>
      <c r="K61" s="46"/>
      <c r="L61" s="47"/>
      <c r="M61" s="46">
        <v>2.4004629629629629E-2</v>
      </c>
      <c r="N61" s="46">
        <v>2.537037037037037E-2</v>
      </c>
      <c r="O61" s="62">
        <f t="shared" si="4"/>
        <v>1.3657407407407403E-3</v>
      </c>
      <c r="P61" s="91">
        <v>43007</v>
      </c>
      <c r="Q61" s="59" t="str">
        <f t="shared" ca="1" si="0"/>
        <v>https://www.youtube.com/embed/8RSu4ymCgp4?start=2074&amp;end=2192&amp;autoplay=1</v>
      </c>
      <c r="R61" s="50" t="s">
        <v>63</v>
      </c>
      <c r="S61" s="50" t="s">
        <v>63</v>
      </c>
      <c r="T61" s="50" t="s">
        <v>63</v>
      </c>
      <c r="U61" s="52"/>
      <c r="V61" s="53"/>
      <c r="W61" s="60"/>
      <c r="X61" s="56"/>
      <c r="Y61" s="38"/>
      <c r="Z61" s="38"/>
      <c r="AA61" s="73"/>
      <c r="AB61" s="73"/>
      <c r="AC61" s="73"/>
      <c r="AD61" s="73"/>
      <c r="AE61" s="73"/>
      <c r="AF61" s="73"/>
      <c r="AG61" s="73"/>
    </row>
    <row r="62" spans="1:33">
      <c r="A62" s="38">
        <v>103.06</v>
      </c>
      <c r="B62" s="38" t="s">
        <v>55</v>
      </c>
      <c r="C62" s="38"/>
      <c r="D62" s="38" t="s">
        <v>56</v>
      </c>
      <c r="E62" s="38"/>
      <c r="F62" s="43"/>
      <c r="G62" s="44" t="s">
        <v>395</v>
      </c>
      <c r="H62" s="45" t="s">
        <v>397</v>
      </c>
      <c r="I62" s="38"/>
      <c r="J62" s="38"/>
      <c r="K62" s="46"/>
      <c r="L62" s="47"/>
      <c r="M62" s="46">
        <v>2.5509259259259259E-2</v>
      </c>
      <c r="N62" s="46">
        <v>2.6967592592592592E-2</v>
      </c>
      <c r="O62" s="46">
        <f t="shared" si="4"/>
        <v>1.4583333333333323E-3</v>
      </c>
      <c r="P62" s="92">
        <v>43007</v>
      </c>
      <c r="Q62" s="59" t="str">
        <f t="shared" ca="1" si="0"/>
        <v>https://www.youtube.com/embed/8RSu4ymCgp4?start=2204&amp;end=2330&amp;autoplay=1</v>
      </c>
      <c r="R62" s="50" t="s">
        <v>63</v>
      </c>
      <c r="S62" s="50" t="s">
        <v>63</v>
      </c>
      <c r="T62" s="50" t="s">
        <v>63</v>
      </c>
      <c r="U62" s="52"/>
      <c r="V62" s="53"/>
      <c r="W62" s="60"/>
      <c r="X62" s="56"/>
      <c r="Y62" s="38"/>
      <c r="Z62" s="38"/>
    </row>
    <row r="63" spans="1:33">
      <c r="A63" s="38">
        <v>103.07</v>
      </c>
      <c r="B63" s="38" t="s">
        <v>55</v>
      </c>
      <c r="C63" s="42"/>
      <c r="D63" s="38" t="s">
        <v>56</v>
      </c>
      <c r="E63" s="38"/>
      <c r="F63" s="43"/>
      <c r="G63" s="44" t="s">
        <v>402</v>
      </c>
      <c r="H63" s="45" t="s">
        <v>403</v>
      </c>
      <c r="I63" s="38"/>
      <c r="J63" s="38"/>
      <c r="K63" s="46"/>
      <c r="L63" s="47"/>
      <c r="M63" s="46">
        <v>2.7025462962962963E-2</v>
      </c>
      <c r="N63" s="46">
        <v>2.9224537037037038E-2</v>
      </c>
      <c r="O63" s="46">
        <f t="shared" si="4"/>
        <v>2.1990740740740755E-3</v>
      </c>
      <c r="P63" s="92">
        <v>43007</v>
      </c>
      <c r="Q63" s="59" t="str">
        <f t="shared" ca="1" si="0"/>
        <v>https://www.youtube.com/embed/8RSu4ymCgp4?start=2335&amp;end=2525&amp;autoplay=1</v>
      </c>
      <c r="R63" s="50" t="s">
        <v>63</v>
      </c>
      <c r="S63" s="50" t="s">
        <v>63</v>
      </c>
      <c r="T63" s="50" t="s">
        <v>63</v>
      </c>
      <c r="U63" s="52"/>
      <c r="V63" s="53"/>
      <c r="W63" s="60"/>
      <c r="X63" s="56"/>
      <c r="Y63" s="38"/>
      <c r="Z63" s="38"/>
    </row>
    <row r="64" spans="1:33">
      <c r="A64" s="38">
        <v>103.08</v>
      </c>
      <c r="B64" s="38" t="s">
        <v>55</v>
      </c>
      <c r="C64" s="38"/>
      <c r="D64" s="38" t="s">
        <v>56</v>
      </c>
      <c r="E64" s="38"/>
      <c r="F64" s="43"/>
      <c r="G64" s="44" t="s">
        <v>405</v>
      </c>
      <c r="H64" s="45" t="s">
        <v>406</v>
      </c>
      <c r="I64" s="38"/>
      <c r="J64" s="38"/>
      <c r="K64" s="46"/>
      <c r="L64" s="47"/>
      <c r="M64" s="46">
        <v>2.9259259259259259E-2</v>
      </c>
      <c r="N64" s="46">
        <v>2.9965277777777778E-2</v>
      </c>
      <c r="O64" s="46">
        <f t="shared" si="4"/>
        <v>7.0601851851851902E-4</v>
      </c>
      <c r="P64" s="92">
        <v>43007</v>
      </c>
      <c r="Q64" s="59" t="str">
        <f t="shared" ca="1" si="0"/>
        <v>https://www.youtube.com/embed/8RSu4ymCgp4?start=2528&amp;end=2589&amp;autoplay=1</v>
      </c>
      <c r="R64" s="50" t="s">
        <v>63</v>
      </c>
      <c r="S64" s="50" t="s">
        <v>63</v>
      </c>
      <c r="T64" s="50" t="s">
        <v>63</v>
      </c>
      <c r="U64" s="52"/>
      <c r="V64" s="53"/>
      <c r="W64" s="60"/>
      <c r="X64" s="56"/>
      <c r="Y64" s="38"/>
      <c r="Z64" s="38"/>
    </row>
    <row r="65" spans="1:37">
      <c r="A65" s="38">
        <v>103.09</v>
      </c>
      <c r="B65" s="38" t="s">
        <v>55</v>
      </c>
      <c r="C65" s="38"/>
      <c r="D65" s="38" t="s">
        <v>56</v>
      </c>
      <c r="E65" s="38"/>
      <c r="F65" s="43"/>
      <c r="G65" s="44" t="s">
        <v>410</v>
      </c>
      <c r="H65" s="45" t="s">
        <v>411</v>
      </c>
      <c r="I65" s="38"/>
      <c r="J65" s="38"/>
      <c r="K65" s="46"/>
      <c r="L65" s="47"/>
      <c r="M65" s="46">
        <v>3.0671296296296297E-2</v>
      </c>
      <c r="N65" s="46">
        <v>3.2060185185185185E-2</v>
      </c>
      <c r="O65" s="46">
        <f t="shared" si="4"/>
        <v>1.3888888888888874E-3</v>
      </c>
      <c r="P65" s="92">
        <v>43007</v>
      </c>
      <c r="Q65" s="59" t="str">
        <f t="shared" ca="1" si="0"/>
        <v>https://www.youtube.com/embed/8RSu4ymCgp4?start=2650&amp;end=2770&amp;autoplay=1</v>
      </c>
      <c r="R65" s="50" t="s">
        <v>63</v>
      </c>
      <c r="S65" s="50" t="s">
        <v>63</v>
      </c>
      <c r="T65" s="50" t="s">
        <v>63</v>
      </c>
      <c r="U65" s="52"/>
      <c r="V65" s="53"/>
      <c r="W65" s="60"/>
      <c r="X65" s="56"/>
      <c r="Y65" s="38"/>
      <c r="Z65" s="38"/>
    </row>
    <row r="66" spans="1:37">
      <c r="A66" s="38">
        <v>103.1</v>
      </c>
      <c r="B66" s="38" t="s">
        <v>55</v>
      </c>
      <c r="C66" s="38"/>
      <c r="D66" s="38" t="s">
        <v>56</v>
      </c>
      <c r="E66" s="38"/>
      <c r="F66" s="43"/>
      <c r="G66" s="44" t="s">
        <v>415</v>
      </c>
      <c r="H66" s="45" t="s">
        <v>416</v>
      </c>
      <c r="I66" s="38"/>
      <c r="J66" s="38"/>
      <c r="K66" s="46"/>
      <c r="L66" s="47"/>
      <c r="M66" s="46">
        <v>3.2175925925925927E-2</v>
      </c>
      <c r="N66" s="46">
        <v>3.726851851851852E-2</v>
      </c>
      <c r="O66" s="46">
        <f t="shared" si="4"/>
        <v>5.092592592592593E-3</v>
      </c>
      <c r="P66" s="92">
        <v>43007</v>
      </c>
      <c r="Q66" s="59" t="str">
        <f t="shared" ca="1" si="0"/>
        <v>https://www.youtube.com/embed/8RSu4ymCgp4?start=2780&amp;end=3220&amp;autoplay=1</v>
      </c>
      <c r="R66" s="50" t="s">
        <v>63</v>
      </c>
      <c r="S66" s="50" t="s">
        <v>63</v>
      </c>
      <c r="T66" s="50" t="s">
        <v>63</v>
      </c>
      <c r="U66" s="52"/>
      <c r="V66" s="53"/>
      <c r="W66" s="60"/>
      <c r="X66" s="56"/>
      <c r="Y66" s="38"/>
      <c r="Z66" s="38"/>
    </row>
    <row r="67" spans="1:37">
      <c r="A67" s="38">
        <v>103.11</v>
      </c>
      <c r="B67" s="38" t="s">
        <v>55</v>
      </c>
      <c r="C67" s="38"/>
      <c r="D67" s="38" t="s">
        <v>56</v>
      </c>
      <c r="E67" s="38"/>
      <c r="F67" s="43"/>
      <c r="G67" s="44" t="s">
        <v>421</v>
      </c>
      <c r="H67" s="45"/>
      <c r="I67" s="38"/>
      <c r="J67" s="38"/>
      <c r="K67" s="46"/>
      <c r="L67" s="47"/>
      <c r="M67" s="46">
        <v>3.7731481481481484E-2</v>
      </c>
      <c r="N67" s="46">
        <v>3.923611111111111E-2</v>
      </c>
      <c r="O67" s="46">
        <f t="shared" si="4"/>
        <v>1.5046296296296266E-3</v>
      </c>
      <c r="P67" s="92">
        <v>43007</v>
      </c>
      <c r="Q67" s="59" t="str">
        <f t="shared" ca="1" si="0"/>
        <v>https://www.youtube.com/embed/8RSu4ymCgp4?start=3260&amp;end=3390&amp;autoplay=1</v>
      </c>
      <c r="R67" s="50" t="s">
        <v>63</v>
      </c>
      <c r="S67" s="50" t="s">
        <v>63</v>
      </c>
      <c r="T67" s="50" t="s">
        <v>63</v>
      </c>
      <c r="U67" s="52"/>
      <c r="V67" s="53"/>
      <c r="W67" s="60"/>
      <c r="X67" s="56"/>
      <c r="Y67" s="38"/>
      <c r="Z67" s="38"/>
    </row>
    <row r="68" spans="1:37">
      <c r="A68" s="38">
        <v>103.12</v>
      </c>
      <c r="B68" s="38" t="s">
        <v>55</v>
      </c>
      <c r="C68" s="38"/>
      <c r="D68" s="38" t="s">
        <v>56</v>
      </c>
      <c r="E68" s="38"/>
      <c r="F68" s="43"/>
      <c r="G68" s="44" t="s">
        <v>425</v>
      </c>
      <c r="H68" s="45"/>
      <c r="I68" s="38"/>
      <c r="J68" s="38"/>
      <c r="K68" s="46"/>
      <c r="L68" s="47"/>
      <c r="M68" s="46">
        <v>3.9317129629629632E-2</v>
      </c>
      <c r="N68" s="46">
        <v>4.1319444444444443E-2</v>
      </c>
      <c r="O68" s="46">
        <f t="shared" si="4"/>
        <v>2.0023148148148109E-3</v>
      </c>
      <c r="P68" s="92">
        <v>43007</v>
      </c>
      <c r="Q68" s="59" t="str">
        <f t="shared" ca="1" si="0"/>
        <v>https://www.youtube.com/embed/8RSu4ymCgp4?start=3397&amp;end=3570&amp;autoplay=1</v>
      </c>
      <c r="R68" s="50" t="s">
        <v>63</v>
      </c>
      <c r="S68" s="50" t="s">
        <v>63</v>
      </c>
      <c r="T68" s="50" t="s">
        <v>63</v>
      </c>
      <c r="U68" s="52"/>
      <c r="V68" s="53"/>
      <c r="W68" s="60"/>
      <c r="X68" s="56"/>
      <c r="Y68" s="38"/>
      <c r="Z68" s="38"/>
    </row>
    <row r="69" spans="1:37">
      <c r="A69" s="38">
        <v>103.13</v>
      </c>
      <c r="B69" s="38" t="s">
        <v>55</v>
      </c>
      <c r="C69" s="38"/>
      <c r="D69" s="38" t="s">
        <v>56</v>
      </c>
      <c r="E69" s="38"/>
      <c r="F69" s="43"/>
      <c r="G69" s="44" t="s">
        <v>426</v>
      </c>
      <c r="H69" s="45"/>
      <c r="I69" s="38"/>
      <c r="J69" s="38"/>
      <c r="K69" s="46"/>
      <c r="L69" s="47"/>
      <c r="M69" s="46">
        <v>4.1412037037037039E-2</v>
      </c>
      <c r="N69" s="46">
        <v>4.1666666666666664E-2</v>
      </c>
      <c r="O69" s="46">
        <f t="shared" si="4"/>
        <v>2.5462962962962549E-4</v>
      </c>
      <c r="P69" s="92">
        <v>43007</v>
      </c>
      <c r="Q69" s="59" t="str">
        <f t="shared" ca="1" si="0"/>
        <v>https://www.youtube.com/embed/8RSu4ymCgp4?start=3578&amp;end=3600&amp;autoplay=1</v>
      </c>
      <c r="R69" s="50" t="s">
        <v>63</v>
      </c>
      <c r="S69" s="50" t="s">
        <v>63</v>
      </c>
      <c r="T69" s="50" t="s">
        <v>63</v>
      </c>
      <c r="U69" s="52"/>
      <c r="V69" s="53"/>
      <c r="W69" s="60"/>
      <c r="X69" s="56"/>
      <c r="Y69" s="38"/>
      <c r="Z69" s="38"/>
    </row>
    <row r="70" spans="1:37">
      <c r="A70" s="38">
        <v>103.14</v>
      </c>
      <c r="B70" s="38" t="s">
        <v>55</v>
      </c>
      <c r="C70" s="38"/>
      <c r="D70" s="38" t="s">
        <v>56</v>
      </c>
      <c r="E70" s="38"/>
      <c r="F70" s="43"/>
      <c r="G70" s="44" t="s">
        <v>427</v>
      </c>
      <c r="H70" s="45" t="s">
        <v>428</v>
      </c>
      <c r="I70" s="38"/>
      <c r="J70" s="38"/>
      <c r="K70" s="46"/>
      <c r="L70" s="47"/>
      <c r="M70" s="46">
        <v>4.3402777777777776E-2</v>
      </c>
      <c r="N70" s="46">
        <v>5.0231481481481481E-2</v>
      </c>
      <c r="O70" s="46">
        <f t="shared" si="4"/>
        <v>6.8287037037037049E-3</v>
      </c>
      <c r="P70" s="92">
        <v>43007</v>
      </c>
      <c r="Q70" s="59" t="str">
        <f t="shared" ca="1" si="0"/>
        <v>https://www.youtube.com/embed/8RSu4ymCgp4?start=3750&amp;end=4340&amp;autoplay=1</v>
      </c>
      <c r="R70" s="50" t="s">
        <v>63</v>
      </c>
      <c r="S70" s="50" t="s">
        <v>63</v>
      </c>
      <c r="T70" s="50" t="s">
        <v>63</v>
      </c>
      <c r="U70" s="52"/>
      <c r="V70" s="53"/>
      <c r="W70" s="60"/>
      <c r="X70" s="56"/>
      <c r="Y70" s="38"/>
      <c r="Z70" s="38"/>
    </row>
    <row r="71" spans="1:37">
      <c r="A71" s="38">
        <v>103.15</v>
      </c>
      <c r="B71" s="38" t="s">
        <v>55</v>
      </c>
      <c r="C71" s="38"/>
      <c r="D71" s="38" t="s">
        <v>56</v>
      </c>
      <c r="E71" s="38"/>
      <c r="F71" s="43"/>
      <c r="G71" s="44" t="s">
        <v>431</v>
      </c>
      <c r="H71" s="45"/>
      <c r="I71" s="38"/>
      <c r="J71" s="38"/>
      <c r="K71" s="46"/>
      <c r="L71" s="47"/>
      <c r="M71" s="46">
        <v>5.2986111111111109E-2</v>
      </c>
      <c r="N71" s="46">
        <v>5.4282407407407404E-2</v>
      </c>
      <c r="O71" s="46">
        <f t="shared" si="4"/>
        <v>1.2962962962962954E-3</v>
      </c>
      <c r="P71" s="92">
        <v>43007</v>
      </c>
      <c r="Q71" s="59" t="str">
        <f t="shared" ca="1" si="0"/>
        <v>https://www.youtube.com/embed/8RSu4ymCgp4?start=4578&amp;end=4690&amp;autoplay=1</v>
      </c>
      <c r="R71" s="50" t="s">
        <v>63</v>
      </c>
      <c r="S71" s="50" t="s">
        <v>63</v>
      </c>
      <c r="T71" s="50" t="s">
        <v>63</v>
      </c>
      <c r="U71" s="52"/>
      <c r="V71" s="53"/>
      <c r="W71" s="60"/>
      <c r="X71" s="56"/>
      <c r="Y71" s="38"/>
      <c r="Z71" s="38"/>
    </row>
    <row r="72" spans="1:37">
      <c r="A72" s="38">
        <v>103.16</v>
      </c>
      <c r="B72" s="38" t="s">
        <v>55</v>
      </c>
      <c r="C72" s="38"/>
      <c r="D72" s="38" t="s">
        <v>56</v>
      </c>
      <c r="E72" s="38"/>
      <c r="F72" s="43"/>
      <c r="G72" s="44" t="s">
        <v>434</v>
      </c>
      <c r="H72" s="45" t="s">
        <v>435</v>
      </c>
      <c r="I72" s="38"/>
      <c r="J72" s="38"/>
      <c r="K72" s="46"/>
      <c r="L72" s="47"/>
      <c r="M72" s="46">
        <v>5.4398148148148147E-2</v>
      </c>
      <c r="N72" s="46">
        <v>5.5439814814814817E-2</v>
      </c>
      <c r="O72" s="46">
        <f t="shared" si="4"/>
        <v>1.0416666666666699E-3</v>
      </c>
      <c r="P72" s="92">
        <v>43007</v>
      </c>
      <c r="Q72" s="59" t="str">
        <f t="shared" ca="1" si="0"/>
        <v>https://www.youtube.com/embed/8RSu4ymCgp4?start=4700&amp;end=4790&amp;autoplay=1</v>
      </c>
      <c r="R72" s="50" t="s">
        <v>63</v>
      </c>
      <c r="S72" s="50" t="s">
        <v>63</v>
      </c>
      <c r="T72" s="50" t="s">
        <v>63</v>
      </c>
      <c r="U72" s="52"/>
      <c r="V72" s="53"/>
      <c r="W72" s="60"/>
      <c r="X72" s="56"/>
      <c r="Y72" s="38"/>
      <c r="Z72" s="38"/>
    </row>
    <row r="73" spans="1:37">
      <c r="A73" s="38">
        <v>103.17</v>
      </c>
      <c r="B73" s="38" t="s">
        <v>55</v>
      </c>
      <c r="C73" s="38"/>
      <c r="D73" s="38" t="s">
        <v>56</v>
      </c>
      <c r="E73" s="38"/>
      <c r="F73" s="43"/>
      <c r="G73" s="44" t="s">
        <v>439</v>
      </c>
      <c r="H73" s="45"/>
      <c r="I73" s="38"/>
      <c r="J73" s="38"/>
      <c r="K73" s="46"/>
      <c r="L73" s="47"/>
      <c r="M73" s="46">
        <v>5.9444444444444446E-2</v>
      </c>
      <c r="N73" s="46">
        <v>6.5277777777777782E-2</v>
      </c>
      <c r="O73" s="46">
        <f t="shared" si="4"/>
        <v>5.8333333333333362E-3</v>
      </c>
      <c r="P73" s="92">
        <v>43007</v>
      </c>
      <c r="Q73" s="59" t="str">
        <f t="shared" ca="1" si="0"/>
        <v>https://www.youtube.com/embed/8RSu4ymCgp4?start=5136&amp;end=5640&amp;autoplay=1</v>
      </c>
      <c r="R73" s="50" t="s">
        <v>63</v>
      </c>
      <c r="S73" s="50" t="s">
        <v>63</v>
      </c>
      <c r="T73" s="50" t="s">
        <v>63</v>
      </c>
      <c r="U73" s="52"/>
      <c r="V73" s="53"/>
      <c r="W73" s="60"/>
      <c r="X73" s="56"/>
      <c r="Y73" s="38"/>
      <c r="Z73" s="38"/>
    </row>
    <row r="74" spans="1:37">
      <c r="A74" s="38">
        <v>103.18</v>
      </c>
      <c r="B74" s="38" t="s">
        <v>55</v>
      </c>
      <c r="C74" s="38"/>
      <c r="D74" s="38" t="s">
        <v>56</v>
      </c>
      <c r="E74" s="38"/>
      <c r="F74" s="43"/>
      <c r="G74" s="44" t="s">
        <v>441</v>
      </c>
      <c r="H74" s="45"/>
      <c r="I74" s="38"/>
      <c r="J74" s="38"/>
      <c r="K74" s="46"/>
      <c r="L74" s="47"/>
      <c r="M74" s="46">
        <v>7.0601851851851846E-2</v>
      </c>
      <c r="N74" s="46">
        <v>7.1574074074074068E-2</v>
      </c>
      <c r="O74" s="46">
        <f t="shared" si="4"/>
        <v>9.7222222222222154E-4</v>
      </c>
      <c r="P74" s="92">
        <v>43007</v>
      </c>
      <c r="Q74" s="59" t="str">
        <f t="shared" ca="1" si="0"/>
        <v>https://www.youtube.com/embed/8RSu4ymCgp4?start=6100&amp;end=6184&amp;autoplay=1</v>
      </c>
      <c r="R74" s="50" t="s">
        <v>63</v>
      </c>
      <c r="S74" s="50" t="s">
        <v>63</v>
      </c>
      <c r="T74" s="50" t="s">
        <v>63</v>
      </c>
      <c r="U74" s="52"/>
      <c r="V74" s="53"/>
      <c r="W74" s="60"/>
      <c r="X74" s="56"/>
      <c r="Y74" s="38"/>
      <c r="Z74" s="38"/>
    </row>
    <row r="75" spans="1:37">
      <c r="A75" s="38">
        <v>103.19</v>
      </c>
      <c r="B75" s="38" t="s">
        <v>55</v>
      </c>
      <c r="C75" s="42"/>
      <c r="D75" s="38" t="s">
        <v>56</v>
      </c>
      <c r="E75" s="38"/>
      <c r="F75" s="43"/>
      <c r="G75" s="44" t="s">
        <v>444</v>
      </c>
      <c r="H75" s="45"/>
      <c r="I75" s="38"/>
      <c r="J75" s="38"/>
      <c r="K75" s="46"/>
      <c r="L75" s="47"/>
      <c r="M75" s="46">
        <v>8.2233796296296291E-2</v>
      </c>
      <c r="N75" s="46">
        <v>8.6851851851851847E-2</v>
      </c>
      <c r="O75" s="46">
        <f t="shared" si="4"/>
        <v>4.6180555555555558E-3</v>
      </c>
      <c r="P75" s="92">
        <v>43007</v>
      </c>
      <c r="Q75" s="59" t="str">
        <f t="shared" ca="1" si="0"/>
        <v>https://www.youtube.com/embed/8RSu4ymCgp4?start=7105&amp;end=7504&amp;autoplay=1</v>
      </c>
      <c r="R75" s="50" t="s">
        <v>63</v>
      </c>
      <c r="S75" s="50" t="s">
        <v>63</v>
      </c>
      <c r="T75" s="50" t="s">
        <v>63</v>
      </c>
      <c r="U75" s="52"/>
      <c r="V75" s="53"/>
      <c r="W75" s="60"/>
      <c r="X75" s="56"/>
      <c r="Y75" s="38"/>
      <c r="Z75" s="38"/>
    </row>
    <row r="76" spans="1:37">
      <c r="A76" s="38">
        <v>107</v>
      </c>
      <c r="B76" s="38" t="s">
        <v>55</v>
      </c>
      <c r="C76" s="38"/>
      <c r="D76" s="38" t="s">
        <v>56</v>
      </c>
      <c r="E76" s="38" t="s">
        <v>446</v>
      </c>
      <c r="F76" s="43" t="s">
        <v>447</v>
      </c>
      <c r="G76" s="44"/>
      <c r="H76" s="45"/>
      <c r="I76" s="38"/>
      <c r="J76" s="38">
        <f>11*1000</f>
        <v>11000</v>
      </c>
      <c r="K76" s="46">
        <v>8.446759259259258E-2</v>
      </c>
      <c r="L76" s="47" t="s">
        <v>286</v>
      </c>
      <c r="M76" s="46"/>
      <c r="N76" s="46"/>
      <c r="O76" s="38"/>
      <c r="P76" s="92"/>
      <c r="Q76" s="14" t="str">
        <f t="shared" ca="1" si="0"/>
        <v/>
      </c>
      <c r="R76" s="50"/>
      <c r="S76" s="50"/>
      <c r="T76" s="50"/>
      <c r="U76" s="52"/>
      <c r="V76" s="53"/>
      <c r="W76" s="60"/>
      <c r="X76" s="56"/>
      <c r="Y76" s="38"/>
      <c r="Z76" s="38"/>
      <c r="AH76" s="6"/>
      <c r="AI76" s="6"/>
      <c r="AJ76" s="6"/>
      <c r="AK76" s="6"/>
    </row>
    <row r="77" spans="1:37">
      <c r="A77" s="38">
        <v>107.01</v>
      </c>
      <c r="B77" s="38" t="s">
        <v>55</v>
      </c>
      <c r="C77" s="38"/>
      <c r="D77" s="38" t="s">
        <v>56</v>
      </c>
      <c r="E77" s="38"/>
      <c r="F77" s="43"/>
      <c r="G77" s="44" t="s">
        <v>449</v>
      </c>
      <c r="H77" s="45"/>
      <c r="I77" s="38"/>
      <c r="J77" s="38"/>
      <c r="K77" s="46"/>
      <c r="L77" s="47"/>
      <c r="M77" s="46">
        <v>2.013888888888889E-2</v>
      </c>
      <c r="N77" s="46">
        <v>2.3148148148148147E-2</v>
      </c>
      <c r="O77" s="46">
        <f t="shared" ref="O77:O90" si="5">N77-M77</f>
        <v>3.0092592592592567E-3</v>
      </c>
      <c r="P77" s="92">
        <v>43008</v>
      </c>
      <c r="Q77" s="59" t="str">
        <f t="shared" ca="1" si="0"/>
        <v>https://www.youtube.com/embed/Vf5BOYF0S3Y?start=1740&amp;end=2000&amp;autoplay=1</v>
      </c>
      <c r="R77" s="50"/>
      <c r="S77" s="50"/>
      <c r="T77" s="50"/>
      <c r="U77" s="52"/>
      <c r="V77" s="53"/>
      <c r="W77" s="60"/>
      <c r="X77" s="56"/>
      <c r="Y77" s="38"/>
      <c r="Z77" s="38"/>
    </row>
    <row r="78" spans="1:37">
      <c r="A78" s="38">
        <v>107.02</v>
      </c>
      <c r="B78" s="38" t="s">
        <v>55</v>
      </c>
      <c r="C78" s="38"/>
      <c r="D78" s="38" t="s">
        <v>56</v>
      </c>
      <c r="E78" s="38"/>
      <c r="F78" s="43"/>
      <c r="G78" s="44" t="s">
        <v>454</v>
      </c>
      <c r="H78" s="45"/>
      <c r="I78" s="38"/>
      <c r="J78" s="38"/>
      <c r="K78" s="46"/>
      <c r="L78" s="47"/>
      <c r="M78" s="46">
        <v>2.0833333333333332E-2</v>
      </c>
      <c r="N78" s="46">
        <v>2.2280092592592591E-2</v>
      </c>
      <c r="O78" s="46">
        <f t="shared" si="5"/>
        <v>1.4467592592592587E-3</v>
      </c>
      <c r="P78" s="92">
        <v>43008</v>
      </c>
      <c r="Q78" s="59" t="str">
        <f t="shared" ca="1" si="0"/>
        <v>https://www.youtube.com/embed/Vf5BOYF0S3Y?start=1800&amp;end=1925&amp;autoplay=1</v>
      </c>
      <c r="R78" s="50"/>
      <c r="S78" s="50"/>
      <c r="T78" s="50"/>
      <c r="U78" s="52"/>
      <c r="V78" s="53"/>
      <c r="W78" s="60"/>
      <c r="X78" s="56"/>
      <c r="Y78" s="38"/>
      <c r="Z78" s="38"/>
    </row>
    <row r="79" spans="1:37">
      <c r="A79" s="38">
        <v>107.03</v>
      </c>
      <c r="B79" s="38" t="s">
        <v>55</v>
      </c>
      <c r="C79" s="38"/>
      <c r="D79" s="38" t="s">
        <v>56</v>
      </c>
      <c r="E79" s="38"/>
      <c r="F79" s="43"/>
      <c r="G79" s="44" t="s">
        <v>456</v>
      </c>
      <c r="H79" s="45"/>
      <c r="I79" s="38"/>
      <c r="J79" s="38"/>
      <c r="K79" s="46"/>
      <c r="L79" s="47"/>
      <c r="M79" s="46">
        <v>2.1469907407407406E-2</v>
      </c>
      <c r="N79" s="46">
        <v>2.2280092592592591E-2</v>
      </c>
      <c r="O79" s="46">
        <f t="shared" si="5"/>
        <v>8.1018518518518462E-4</v>
      </c>
      <c r="P79" s="92">
        <v>43008</v>
      </c>
      <c r="Q79" s="59" t="str">
        <f t="shared" ca="1" si="0"/>
        <v>https://www.youtube.com/embed/Vf5BOYF0S3Y?start=1855&amp;end=1925&amp;autoplay=1</v>
      </c>
      <c r="R79" s="50"/>
      <c r="S79" s="50"/>
      <c r="T79" s="50"/>
      <c r="U79" s="52"/>
      <c r="V79" s="53"/>
      <c r="W79" s="60"/>
      <c r="X79" s="56"/>
      <c r="Y79" s="38"/>
      <c r="Z79" s="38"/>
    </row>
    <row r="80" spans="1:37">
      <c r="A80" s="38">
        <v>107.04</v>
      </c>
      <c r="B80" s="38" t="s">
        <v>55</v>
      </c>
      <c r="C80" s="42"/>
      <c r="D80" s="38" t="s">
        <v>56</v>
      </c>
      <c r="E80" s="38"/>
      <c r="F80" s="43"/>
      <c r="G80" s="44" t="s">
        <v>461</v>
      </c>
      <c r="H80" s="45"/>
      <c r="I80" s="38"/>
      <c r="J80" s="38"/>
      <c r="K80" s="46"/>
      <c r="L80" s="47"/>
      <c r="M80" s="46">
        <v>2.0949074074074075E-2</v>
      </c>
      <c r="N80" s="46">
        <v>2.8125000000000001E-2</v>
      </c>
      <c r="O80" s="46">
        <f t="shared" si="5"/>
        <v>7.1759259259259259E-3</v>
      </c>
      <c r="P80" s="92">
        <v>43008</v>
      </c>
      <c r="Q80" s="59" t="str">
        <f t="shared" ca="1" si="0"/>
        <v>https://www.youtube.com/embed/Vf5BOYF0S3Y?start=1810&amp;end=2430&amp;autoplay=1</v>
      </c>
      <c r="R80" s="50"/>
      <c r="S80" s="50"/>
      <c r="T80" s="50"/>
      <c r="U80" s="52"/>
      <c r="V80" s="53"/>
      <c r="W80" s="60"/>
      <c r="X80" s="56"/>
      <c r="Y80" s="38"/>
      <c r="Z80" s="38"/>
    </row>
    <row r="81" spans="1:37">
      <c r="A81" s="38">
        <v>107.05</v>
      </c>
      <c r="B81" s="38" t="s">
        <v>55</v>
      </c>
      <c r="C81" s="38"/>
      <c r="D81" s="38" t="s">
        <v>56</v>
      </c>
      <c r="E81" s="38"/>
      <c r="F81" s="43"/>
      <c r="G81" s="44" t="s">
        <v>462</v>
      </c>
      <c r="H81" s="45"/>
      <c r="I81" s="38"/>
      <c r="J81" s="38"/>
      <c r="K81" s="46"/>
      <c r="L81" s="47"/>
      <c r="M81" s="46">
        <v>2.8182870370370372E-2</v>
      </c>
      <c r="N81" s="46">
        <v>2.9224537037037038E-2</v>
      </c>
      <c r="O81" s="46">
        <f t="shared" si="5"/>
        <v>1.0416666666666664E-3</v>
      </c>
      <c r="P81" s="92">
        <v>43008</v>
      </c>
      <c r="Q81" s="59" t="str">
        <f t="shared" ca="1" si="0"/>
        <v>https://www.youtube.com/embed/Vf5BOYF0S3Y?start=2435&amp;end=2525&amp;autoplay=1</v>
      </c>
      <c r="R81" s="50"/>
      <c r="S81" s="50"/>
      <c r="T81" s="50"/>
      <c r="U81" s="52"/>
      <c r="V81" s="53"/>
      <c r="W81" s="60"/>
      <c r="X81" s="56"/>
      <c r="Y81" s="38"/>
      <c r="Z81" s="38"/>
    </row>
    <row r="82" spans="1:37">
      <c r="A82" s="38">
        <v>107.06</v>
      </c>
      <c r="B82" s="38" t="s">
        <v>55</v>
      </c>
      <c r="C82" s="38"/>
      <c r="D82" s="38" t="s">
        <v>56</v>
      </c>
      <c r="E82" s="38"/>
      <c r="F82" s="43"/>
      <c r="G82" s="44" t="s">
        <v>468</v>
      </c>
      <c r="H82" s="45"/>
      <c r="I82" s="38"/>
      <c r="J82" s="38"/>
      <c r="K82" s="46"/>
      <c r="L82" s="47"/>
      <c r="M82" s="46">
        <v>2.9282407407407406E-2</v>
      </c>
      <c r="N82" s="46">
        <v>3.0902777777777779E-2</v>
      </c>
      <c r="O82" s="46">
        <f t="shared" si="5"/>
        <v>1.6203703703703727E-3</v>
      </c>
      <c r="P82" s="92">
        <v>43008</v>
      </c>
      <c r="Q82" s="59" t="str">
        <f t="shared" ca="1" si="0"/>
        <v>https://www.youtube.com/embed/Vf5BOYF0S3Y?start=2530&amp;end=2670&amp;autoplay=1</v>
      </c>
      <c r="R82" s="50"/>
      <c r="S82" s="50"/>
      <c r="T82" s="50"/>
      <c r="U82" s="52"/>
      <c r="V82" s="53"/>
      <c r="W82" s="60"/>
      <c r="X82" s="56"/>
      <c r="Y82" s="38"/>
      <c r="Z82" s="38"/>
    </row>
    <row r="83" spans="1:37">
      <c r="A83" s="38">
        <v>107.07</v>
      </c>
      <c r="B83" s="38" t="s">
        <v>55</v>
      </c>
      <c r="C83" s="38"/>
      <c r="D83" s="38" t="s">
        <v>56</v>
      </c>
      <c r="E83" s="38"/>
      <c r="F83" s="43"/>
      <c r="G83" s="44" t="s">
        <v>471</v>
      </c>
      <c r="H83" s="45"/>
      <c r="I83" s="38"/>
      <c r="J83" s="38"/>
      <c r="K83" s="46"/>
      <c r="L83" s="47"/>
      <c r="M83" s="46">
        <v>3.0960648148148147E-2</v>
      </c>
      <c r="N83" s="46">
        <v>3.321759259259259E-2</v>
      </c>
      <c r="O83" s="46">
        <f t="shared" si="5"/>
        <v>2.2569444444444434E-3</v>
      </c>
      <c r="P83" s="92">
        <v>43008</v>
      </c>
      <c r="Q83" s="59" t="str">
        <f t="shared" ca="1" si="0"/>
        <v>https://www.youtube.com/embed/Vf5BOYF0S3Y?start=2675&amp;end=2870&amp;autoplay=1</v>
      </c>
      <c r="R83" s="50"/>
      <c r="S83" s="50"/>
      <c r="T83" s="50"/>
      <c r="U83" s="52"/>
      <c r="V83" s="53"/>
      <c r="W83" s="60"/>
      <c r="X83" s="56"/>
      <c r="Y83" s="38"/>
      <c r="Z83" s="38"/>
    </row>
    <row r="84" spans="1:37">
      <c r="A84" s="38">
        <v>107.08</v>
      </c>
      <c r="B84" s="38" t="s">
        <v>55</v>
      </c>
      <c r="C84" s="38"/>
      <c r="D84" s="38" t="s">
        <v>56</v>
      </c>
      <c r="E84" s="38"/>
      <c r="F84" s="43"/>
      <c r="G84" s="44" t="s">
        <v>474</v>
      </c>
      <c r="H84" s="45"/>
      <c r="I84" s="38"/>
      <c r="J84" s="38"/>
      <c r="K84" s="46"/>
      <c r="L84" s="47"/>
      <c r="M84" s="46">
        <v>3.7152777777777778E-2</v>
      </c>
      <c r="N84" s="46">
        <v>3.9930555555555552E-2</v>
      </c>
      <c r="O84" s="46">
        <f t="shared" si="5"/>
        <v>2.7777777777777748E-3</v>
      </c>
      <c r="P84" s="92">
        <v>43008</v>
      </c>
      <c r="Q84" s="59" t="str">
        <f t="shared" ca="1" si="0"/>
        <v>https://www.youtube.com/embed/Vf5BOYF0S3Y?start=3210&amp;end=3450&amp;autoplay=1</v>
      </c>
      <c r="R84" s="50"/>
      <c r="S84" s="50"/>
      <c r="T84" s="50"/>
      <c r="U84" s="52"/>
      <c r="V84" s="53"/>
      <c r="W84" s="60"/>
      <c r="X84" s="56"/>
      <c r="Y84" s="38"/>
      <c r="Z84" s="38"/>
    </row>
    <row r="85" spans="1:37">
      <c r="A85" s="38">
        <v>107.09</v>
      </c>
      <c r="B85" s="38" t="s">
        <v>55</v>
      </c>
      <c r="C85" s="38"/>
      <c r="D85" s="38" t="s">
        <v>56</v>
      </c>
      <c r="E85" s="38"/>
      <c r="F85" s="43"/>
      <c r="G85" s="44" t="s">
        <v>477</v>
      </c>
      <c r="H85" s="45"/>
      <c r="I85" s="38"/>
      <c r="J85" s="38"/>
      <c r="K85" s="46"/>
      <c r="L85" s="47"/>
      <c r="M85" s="46">
        <v>4.1666666666666664E-2</v>
      </c>
      <c r="N85" s="46">
        <v>4.4097222222222225E-2</v>
      </c>
      <c r="O85" s="46">
        <f t="shared" si="5"/>
        <v>2.4305555555555608E-3</v>
      </c>
      <c r="P85" s="92">
        <v>43008</v>
      </c>
      <c r="Q85" s="59" t="str">
        <f t="shared" ca="1" si="0"/>
        <v>https://www.youtube.com/embed/Vf5BOYF0S3Y?start=3600&amp;end=3810&amp;autoplay=1</v>
      </c>
      <c r="R85" s="50"/>
      <c r="S85" s="50"/>
      <c r="T85" s="50"/>
      <c r="U85" s="52"/>
      <c r="V85" s="53"/>
      <c r="W85" s="60"/>
      <c r="X85" s="56"/>
      <c r="Y85" s="38"/>
      <c r="Z85" s="38"/>
    </row>
    <row r="86" spans="1:37">
      <c r="A86" s="38">
        <v>107.1</v>
      </c>
      <c r="B86" s="38" t="s">
        <v>55</v>
      </c>
      <c r="C86" s="38"/>
      <c r="D86" s="38" t="s">
        <v>56</v>
      </c>
      <c r="E86" s="38"/>
      <c r="F86" s="43"/>
      <c r="G86" s="44" t="s">
        <v>481</v>
      </c>
      <c r="H86" s="45"/>
      <c r="I86" s="38"/>
      <c r="J86" s="38"/>
      <c r="K86" s="46"/>
      <c r="L86" s="47"/>
      <c r="M86" s="46">
        <v>4.5497685185185183E-2</v>
      </c>
      <c r="N86" s="46">
        <v>4.7569444444444442E-2</v>
      </c>
      <c r="O86" s="46">
        <f t="shared" si="5"/>
        <v>2.0717592592592593E-3</v>
      </c>
      <c r="P86" s="92">
        <v>43008</v>
      </c>
      <c r="Q86" s="59" t="str">
        <f t="shared" ca="1" si="0"/>
        <v>https://www.youtube.com/embed/Vf5BOYF0S3Y?start=3931&amp;end=4110&amp;autoplay=1</v>
      </c>
      <c r="R86" s="50"/>
      <c r="S86" s="50"/>
      <c r="T86" s="50"/>
      <c r="U86" s="52"/>
      <c r="V86" s="53"/>
      <c r="W86" s="60"/>
      <c r="X86" s="56"/>
      <c r="Y86" s="38"/>
      <c r="Z86" s="38"/>
    </row>
    <row r="87" spans="1:37">
      <c r="A87" s="38">
        <v>107.11</v>
      </c>
      <c r="B87" s="38" t="s">
        <v>55</v>
      </c>
      <c r="C87" s="38"/>
      <c r="D87" s="38" t="s">
        <v>56</v>
      </c>
      <c r="E87" s="38"/>
      <c r="F87" s="43"/>
      <c r="G87" s="44" t="s">
        <v>486</v>
      </c>
      <c r="H87" s="45" t="s">
        <v>487</v>
      </c>
      <c r="I87" s="38"/>
      <c r="J87" s="38"/>
      <c r="K87" s="46"/>
      <c r="L87" s="47"/>
      <c r="M87" s="46">
        <v>5.4247685185185184E-2</v>
      </c>
      <c r="N87" s="46">
        <v>5.5150462962962964E-2</v>
      </c>
      <c r="O87" s="46">
        <f t="shared" si="5"/>
        <v>9.0277777777778012E-4</v>
      </c>
      <c r="P87" s="92">
        <v>43009</v>
      </c>
      <c r="Q87" s="59" t="str">
        <f t="shared" ca="1" si="0"/>
        <v>https://www.youtube.com/embed/Vf5BOYF0S3Y?start=4687&amp;end=4765&amp;autoplay=1</v>
      </c>
      <c r="R87" s="50"/>
      <c r="S87" s="50"/>
      <c r="T87" s="50"/>
      <c r="U87" s="52"/>
      <c r="V87" s="53"/>
      <c r="W87" s="60"/>
      <c r="X87" s="56"/>
      <c r="Y87" s="38"/>
      <c r="Z87" s="38"/>
    </row>
    <row r="88" spans="1:37">
      <c r="A88" s="38">
        <v>107.12</v>
      </c>
      <c r="B88" s="38" t="s">
        <v>55</v>
      </c>
      <c r="C88" s="38"/>
      <c r="D88" s="38" t="s">
        <v>56</v>
      </c>
      <c r="E88" s="38"/>
      <c r="F88" s="43"/>
      <c r="G88" s="44" t="s">
        <v>489</v>
      </c>
      <c r="H88" s="45"/>
      <c r="I88" s="38"/>
      <c r="J88" s="38"/>
      <c r="K88" s="46"/>
      <c r="L88" s="47"/>
      <c r="M88" s="46">
        <v>6.0381944444444446E-2</v>
      </c>
      <c r="N88" s="46">
        <v>6.1863425925925926E-2</v>
      </c>
      <c r="O88" s="46">
        <f t="shared" si="5"/>
        <v>1.4814814814814795E-3</v>
      </c>
      <c r="P88" s="92">
        <v>43009</v>
      </c>
      <c r="Q88" s="59" t="str">
        <f t="shared" ca="1" si="0"/>
        <v>https://www.youtube.com/embed/Vf5BOYF0S3Y?start=5217&amp;end=5345&amp;autoplay=1</v>
      </c>
      <c r="R88" s="50"/>
      <c r="S88" s="50"/>
      <c r="T88" s="50"/>
      <c r="U88" s="52"/>
      <c r="V88" s="53"/>
      <c r="W88" s="60"/>
      <c r="X88" s="56"/>
      <c r="Y88" s="38"/>
      <c r="Z88" s="38"/>
    </row>
    <row r="89" spans="1:37">
      <c r="A89" s="38">
        <v>107.13</v>
      </c>
      <c r="B89" s="38" t="s">
        <v>55</v>
      </c>
      <c r="C89" s="38"/>
      <c r="D89" s="38" t="s">
        <v>56</v>
      </c>
      <c r="E89" s="38"/>
      <c r="F89" s="43"/>
      <c r="G89" s="44" t="s">
        <v>492</v>
      </c>
      <c r="H89" s="45"/>
      <c r="I89" s="38"/>
      <c r="J89" s="38"/>
      <c r="K89" s="46"/>
      <c r="L89" s="47"/>
      <c r="M89" s="46">
        <v>6.2708333333333338E-2</v>
      </c>
      <c r="N89" s="46">
        <v>6.4814814814814811E-2</v>
      </c>
      <c r="O89" s="46">
        <f t="shared" si="5"/>
        <v>2.1064814814814731E-3</v>
      </c>
      <c r="P89" s="92">
        <v>43009</v>
      </c>
      <c r="Q89" s="59" t="str">
        <f t="shared" ca="1" si="0"/>
        <v>https://www.youtube.com/embed/Vf5BOYF0S3Y?start=5418&amp;end=5600&amp;autoplay=1</v>
      </c>
      <c r="R89" s="50"/>
      <c r="S89" s="50"/>
      <c r="T89" s="50"/>
      <c r="U89" s="52"/>
      <c r="V89" s="53"/>
      <c r="W89" s="60"/>
      <c r="X89" s="56"/>
      <c r="Y89" s="38"/>
      <c r="Z89" s="38"/>
    </row>
    <row r="90" spans="1:37">
      <c r="A90" s="38">
        <v>107.14</v>
      </c>
      <c r="B90" s="38" t="s">
        <v>55</v>
      </c>
      <c r="C90" s="38"/>
      <c r="D90" s="38" t="s">
        <v>56</v>
      </c>
      <c r="E90" s="38"/>
      <c r="F90" s="43"/>
      <c r="G90" s="44" t="s">
        <v>495</v>
      </c>
      <c r="H90" s="45"/>
      <c r="I90" s="38"/>
      <c r="J90" s="38"/>
      <c r="K90" s="46"/>
      <c r="L90" s="47"/>
      <c r="M90" s="46">
        <v>7.2337962962962965E-2</v>
      </c>
      <c r="N90" s="46">
        <v>7.3854166666666665E-2</v>
      </c>
      <c r="O90" s="46">
        <f t="shared" si="5"/>
        <v>1.5162037037037002E-3</v>
      </c>
      <c r="P90" s="92">
        <v>43009</v>
      </c>
      <c r="Q90" s="59" t="str">
        <f t="shared" ca="1" si="0"/>
        <v>https://www.youtube.com/embed/Vf5BOYF0S3Y?start=6250&amp;end=6381&amp;autoplay=1</v>
      </c>
      <c r="R90" s="50"/>
      <c r="S90" s="50"/>
      <c r="T90" s="50"/>
      <c r="U90" s="52"/>
      <c r="V90" s="53"/>
      <c r="W90" s="60"/>
      <c r="X90" s="56"/>
      <c r="Y90" s="38"/>
      <c r="Z90" s="38"/>
    </row>
    <row r="91" spans="1:37">
      <c r="A91" s="38">
        <v>79</v>
      </c>
      <c r="B91" s="38" t="s">
        <v>55</v>
      </c>
      <c r="C91" s="38"/>
      <c r="D91" s="38" t="s">
        <v>56</v>
      </c>
      <c r="E91" s="38" t="s">
        <v>475</v>
      </c>
      <c r="F91" s="43" t="s">
        <v>476</v>
      </c>
      <c r="G91" s="44"/>
      <c r="H91" s="45"/>
      <c r="I91" s="38"/>
      <c r="J91" s="38">
        <f>5.8*1000</f>
        <v>5800</v>
      </c>
      <c r="K91" s="46">
        <v>3.2534722222222222E-2</v>
      </c>
      <c r="L91" s="47" t="s">
        <v>286</v>
      </c>
      <c r="M91" s="46"/>
      <c r="N91" s="46"/>
      <c r="O91" s="38"/>
      <c r="P91" s="49"/>
      <c r="Q91" s="14" t="str">
        <f t="shared" ca="1" si="0"/>
        <v/>
      </c>
      <c r="R91" s="103"/>
      <c r="S91" s="50"/>
      <c r="T91" s="50"/>
      <c r="U91" s="52"/>
      <c r="V91" s="53"/>
      <c r="W91" s="60"/>
      <c r="X91" s="56"/>
      <c r="Y91" s="38"/>
      <c r="Z91" s="38"/>
      <c r="AH91" s="6"/>
      <c r="AI91" s="6"/>
      <c r="AJ91" s="6"/>
      <c r="AK91" s="6"/>
    </row>
    <row r="92" spans="1:37">
      <c r="A92" s="105">
        <v>79.010000000000005</v>
      </c>
      <c r="B92" s="38" t="s">
        <v>55</v>
      </c>
      <c r="C92" s="42"/>
      <c r="D92" s="38" t="s">
        <v>56</v>
      </c>
      <c r="E92" s="38"/>
      <c r="F92" s="38"/>
      <c r="G92" s="38" t="s">
        <v>502</v>
      </c>
      <c r="H92" s="58"/>
      <c r="I92" s="38"/>
      <c r="J92" s="38"/>
      <c r="K92" s="46"/>
      <c r="L92" s="47"/>
      <c r="M92" s="46">
        <v>1.3819444444444445E-2</v>
      </c>
      <c r="N92" s="46">
        <v>1.4953703703703703E-2</v>
      </c>
      <c r="O92" s="62">
        <f>N92-M92</f>
        <v>1.1342592592592585E-3</v>
      </c>
      <c r="P92" s="49">
        <v>43009</v>
      </c>
      <c r="Q92" s="59" t="str">
        <f t="shared" ca="1" si="0"/>
        <v>https://www.youtube.com/embed/uDANJcQm-So?start=1194&amp;end=1292&amp;autoplay=1</v>
      </c>
      <c r="R92" s="103"/>
      <c r="S92" s="50"/>
      <c r="T92" s="50"/>
      <c r="U92" s="52"/>
      <c r="V92" s="53"/>
      <c r="W92" s="60"/>
      <c r="X92" s="56"/>
      <c r="Y92" s="38"/>
      <c r="Z92" s="38"/>
    </row>
    <row r="93" spans="1:37">
      <c r="A93" s="42">
        <v>94</v>
      </c>
      <c r="B93" s="38" t="s">
        <v>55</v>
      </c>
      <c r="C93" s="38"/>
      <c r="D93" s="38" t="s">
        <v>56</v>
      </c>
      <c r="E93" s="38" t="s">
        <v>506</v>
      </c>
      <c r="F93" s="107" t="s">
        <v>507</v>
      </c>
      <c r="G93" s="38"/>
      <c r="H93" s="45"/>
      <c r="I93" s="38"/>
      <c r="J93" s="38">
        <f>2.5*1000</f>
        <v>2500</v>
      </c>
      <c r="K93" s="46">
        <v>6.6493055555555555E-2</v>
      </c>
      <c r="L93" s="47" t="s">
        <v>286</v>
      </c>
      <c r="M93" s="46"/>
      <c r="N93" s="46"/>
      <c r="O93" s="62"/>
      <c r="P93" s="49"/>
      <c r="Q93" s="14" t="str">
        <f t="shared" ca="1" si="0"/>
        <v/>
      </c>
      <c r="R93" s="103"/>
      <c r="S93" s="50"/>
      <c r="T93" s="50"/>
      <c r="U93" s="52"/>
      <c r="V93" s="53"/>
      <c r="W93" s="60"/>
      <c r="X93" s="56"/>
      <c r="Y93" s="38"/>
      <c r="Z93" s="38"/>
    </row>
    <row r="94" spans="1:37">
      <c r="A94" s="105">
        <v>94.01</v>
      </c>
      <c r="B94" s="38" t="s">
        <v>55</v>
      </c>
      <c r="C94" s="38"/>
      <c r="D94" s="38" t="s">
        <v>56</v>
      </c>
      <c r="E94" s="38"/>
      <c r="F94" s="38"/>
      <c r="G94" s="38" t="s">
        <v>511</v>
      </c>
      <c r="H94" s="14"/>
      <c r="I94" s="38"/>
      <c r="J94" s="38"/>
      <c r="K94" s="46"/>
      <c r="L94" s="47"/>
      <c r="M94" s="46">
        <v>1.0462962962962962E-2</v>
      </c>
      <c r="N94" s="46">
        <v>1.6423611111111111E-2</v>
      </c>
      <c r="O94" s="62">
        <f t="shared" ref="O94:O104" si="6">N94-M94</f>
        <v>5.9606481481481489E-3</v>
      </c>
      <c r="P94" s="49">
        <v>43010</v>
      </c>
      <c r="Q94" s="59" t="str">
        <f t="shared" ca="1" si="0"/>
        <v>https://www.youtube.com/embed/fjD9BVlmPoA?start=904&amp;end=1419&amp;autoplay=1</v>
      </c>
      <c r="R94" s="103"/>
      <c r="S94" s="50"/>
      <c r="T94" s="50"/>
      <c r="U94" s="52"/>
      <c r="V94" s="53"/>
      <c r="W94" s="60"/>
      <c r="X94" s="56"/>
      <c r="Y94" s="38"/>
      <c r="Z94" s="38"/>
    </row>
    <row r="95" spans="1:37">
      <c r="A95" s="105">
        <v>94.02</v>
      </c>
      <c r="B95" s="38" t="s">
        <v>55</v>
      </c>
      <c r="C95" s="42"/>
      <c r="D95" s="38" t="s">
        <v>56</v>
      </c>
      <c r="E95" s="38"/>
      <c r="F95" s="38"/>
      <c r="G95" s="38" t="s">
        <v>516</v>
      </c>
      <c r="H95" s="45" t="s">
        <v>517</v>
      </c>
      <c r="I95" s="38"/>
      <c r="J95" s="38"/>
      <c r="K95" s="46"/>
      <c r="L95" s="47"/>
      <c r="M95" s="46">
        <v>1.9780092592592592E-2</v>
      </c>
      <c r="N95" s="46">
        <v>2.1412037037037038E-2</v>
      </c>
      <c r="O95" s="62">
        <f t="shared" si="6"/>
        <v>1.6319444444444463E-3</v>
      </c>
      <c r="P95" s="49">
        <v>43010</v>
      </c>
      <c r="Q95" s="59" t="str">
        <f t="shared" ca="1" si="0"/>
        <v>https://www.youtube.com/embed/fjD9BVlmPoA?start=1709&amp;end=1850&amp;autoplay=1</v>
      </c>
      <c r="R95" s="103"/>
      <c r="S95" s="50"/>
      <c r="T95" s="50"/>
      <c r="U95" s="52"/>
      <c r="V95" s="53"/>
      <c r="W95" s="60"/>
      <c r="X95" s="56"/>
      <c r="Y95" s="38"/>
      <c r="Z95" s="38"/>
    </row>
    <row r="96" spans="1:37">
      <c r="A96" s="105">
        <v>94.03</v>
      </c>
      <c r="B96" s="38" t="s">
        <v>55</v>
      </c>
      <c r="C96" s="38"/>
      <c r="D96" s="38" t="s">
        <v>56</v>
      </c>
      <c r="E96" s="38"/>
      <c r="F96" s="38"/>
      <c r="G96" s="38" t="s">
        <v>520</v>
      </c>
      <c r="H96" s="14"/>
      <c r="I96" s="38"/>
      <c r="J96" s="38"/>
      <c r="K96" s="46"/>
      <c r="L96" s="47"/>
      <c r="M96" s="46">
        <v>2.7141203703703702E-2</v>
      </c>
      <c r="N96" s="46">
        <v>2.824074074074074E-2</v>
      </c>
      <c r="O96" s="62">
        <f t="shared" si="6"/>
        <v>1.0995370370370378E-3</v>
      </c>
      <c r="P96" s="49">
        <v>43010</v>
      </c>
      <c r="Q96" s="59" t="str">
        <f t="shared" ca="1" si="0"/>
        <v>https://www.youtube.com/embed/fjD9BVlmPoA?start=2345&amp;end=2440&amp;autoplay=1</v>
      </c>
      <c r="R96" s="103"/>
      <c r="S96" s="50"/>
      <c r="T96" s="50"/>
      <c r="U96" s="52"/>
      <c r="V96" s="53"/>
      <c r="W96" s="60"/>
      <c r="X96" s="56"/>
      <c r="Y96" s="38"/>
      <c r="Z96" s="38"/>
    </row>
    <row r="97" spans="1:28">
      <c r="A97" s="105">
        <v>94.04</v>
      </c>
      <c r="B97" s="38" t="s">
        <v>55</v>
      </c>
      <c r="C97" s="38"/>
      <c r="D97" s="38" t="s">
        <v>56</v>
      </c>
      <c r="E97" s="38"/>
      <c r="F97" s="38"/>
      <c r="G97" s="38" t="s">
        <v>525</v>
      </c>
      <c r="H97" s="14"/>
      <c r="I97" s="38"/>
      <c r="J97" s="38"/>
      <c r="K97" s="46"/>
      <c r="L97" s="47"/>
      <c r="M97" s="46">
        <v>2.8356481481481483E-2</v>
      </c>
      <c r="N97" s="46">
        <v>3.321759259259259E-2</v>
      </c>
      <c r="O97" s="62">
        <f t="shared" si="6"/>
        <v>4.8611111111111077E-3</v>
      </c>
      <c r="P97" s="49">
        <v>43010</v>
      </c>
      <c r="Q97" s="59" t="str">
        <f t="shared" ca="1" si="0"/>
        <v>https://www.youtube.com/embed/fjD9BVlmPoA?start=2450&amp;end=2870&amp;autoplay=1</v>
      </c>
      <c r="R97" s="103"/>
      <c r="S97" s="50"/>
      <c r="T97" s="50"/>
      <c r="U97" s="52"/>
      <c r="V97" s="53"/>
      <c r="W97" s="60"/>
      <c r="X97" s="56"/>
      <c r="Y97" s="38"/>
      <c r="Z97" s="38"/>
    </row>
    <row r="98" spans="1:28">
      <c r="A98" s="105">
        <v>94.05</v>
      </c>
      <c r="B98" s="38" t="s">
        <v>55</v>
      </c>
      <c r="C98" s="38"/>
      <c r="D98" s="38" t="s">
        <v>56</v>
      </c>
      <c r="E98" s="38"/>
      <c r="F98" s="38"/>
      <c r="G98" s="38" t="s">
        <v>526</v>
      </c>
      <c r="H98" s="45"/>
      <c r="I98" s="38"/>
      <c r="J98" s="38"/>
      <c r="K98" s="46"/>
      <c r="L98" s="47"/>
      <c r="M98" s="46">
        <v>4.0902777777777781E-2</v>
      </c>
      <c r="N98" s="46">
        <v>4.6053240740740742E-2</v>
      </c>
      <c r="O98" s="62">
        <f t="shared" si="6"/>
        <v>5.1504629629629609E-3</v>
      </c>
      <c r="P98" s="49">
        <v>43010</v>
      </c>
      <c r="Q98" s="59" t="str">
        <f t="shared" ca="1" si="0"/>
        <v>https://www.youtube.com/embed/fjD9BVlmPoA?start=3534&amp;end=3979&amp;autoplay=1</v>
      </c>
      <c r="R98" s="103"/>
      <c r="S98" s="50"/>
      <c r="T98" s="50"/>
      <c r="U98" s="52"/>
      <c r="V98" s="53"/>
      <c r="W98" s="60"/>
      <c r="X98" s="56"/>
      <c r="Y98" s="38"/>
      <c r="Z98" s="38"/>
    </row>
    <row r="99" spans="1:28">
      <c r="A99" s="105">
        <v>94.06</v>
      </c>
      <c r="B99" s="38" t="s">
        <v>55</v>
      </c>
      <c r="C99" s="38"/>
      <c r="D99" s="38" t="s">
        <v>56</v>
      </c>
      <c r="E99" s="38"/>
      <c r="F99" s="38"/>
      <c r="G99" s="38" t="s">
        <v>530</v>
      </c>
      <c r="H99" s="58" t="s">
        <v>531</v>
      </c>
      <c r="I99" s="38"/>
      <c r="J99" s="38"/>
      <c r="K99" s="46"/>
      <c r="L99" s="47"/>
      <c r="M99" s="46">
        <v>4.7222222222222221E-2</v>
      </c>
      <c r="N99" s="46">
        <v>4.9421296296296297E-2</v>
      </c>
      <c r="O99" s="62">
        <f t="shared" si="6"/>
        <v>2.1990740740740755E-3</v>
      </c>
      <c r="P99" s="49">
        <v>43010</v>
      </c>
      <c r="Q99" s="59" t="str">
        <f t="shared" ca="1" si="0"/>
        <v>https://www.youtube.com/embed/fjD9BVlmPoA?start=4080&amp;end=4270&amp;autoplay=1</v>
      </c>
      <c r="R99" s="103"/>
      <c r="S99" s="50"/>
      <c r="T99" s="50"/>
      <c r="U99" s="52"/>
      <c r="V99" s="53"/>
      <c r="W99" s="60"/>
      <c r="X99" s="56"/>
      <c r="Y99" s="38"/>
      <c r="Z99" s="38"/>
    </row>
    <row r="100" spans="1:28">
      <c r="A100" s="105">
        <v>94.07</v>
      </c>
      <c r="B100" s="38" t="s">
        <v>55</v>
      </c>
      <c r="C100" s="38"/>
      <c r="D100" s="38" t="s">
        <v>56</v>
      </c>
      <c r="E100" s="38"/>
      <c r="F100" s="38"/>
      <c r="G100" s="42" t="s">
        <v>535</v>
      </c>
      <c r="H100" s="45"/>
      <c r="I100" s="38"/>
      <c r="J100" s="38"/>
      <c r="K100" s="46"/>
      <c r="L100" s="47"/>
      <c r="M100" s="46">
        <v>5.2199074074074071E-2</v>
      </c>
      <c r="N100" s="46">
        <v>5.3703703703703705E-2</v>
      </c>
      <c r="O100" s="62">
        <f t="shared" si="6"/>
        <v>1.5046296296296335E-3</v>
      </c>
      <c r="P100" s="49">
        <v>43010</v>
      </c>
      <c r="Q100" s="59" t="str">
        <f t="shared" ca="1" si="0"/>
        <v>https://www.youtube.com/embed/fjD9BVlmPoA?start=4510&amp;end=4640&amp;autoplay=1</v>
      </c>
      <c r="R100" s="103"/>
      <c r="S100" s="50"/>
      <c r="T100" s="50"/>
      <c r="U100" s="52"/>
      <c r="V100" s="53"/>
      <c r="W100" s="60"/>
      <c r="X100" s="56"/>
      <c r="Y100" s="38"/>
      <c r="Z100" s="38"/>
    </row>
    <row r="101" spans="1:28">
      <c r="A101" s="105">
        <v>94.08</v>
      </c>
      <c r="B101" s="38" t="s">
        <v>55</v>
      </c>
      <c r="C101" s="38"/>
      <c r="D101" s="38" t="s">
        <v>56</v>
      </c>
      <c r="E101" s="38"/>
      <c r="F101" s="38"/>
      <c r="G101" s="38" t="s">
        <v>536</v>
      </c>
      <c r="H101" s="45" t="s">
        <v>537</v>
      </c>
      <c r="I101" s="38"/>
      <c r="J101" s="38"/>
      <c r="K101" s="46"/>
      <c r="L101" s="47"/>
      <c r="M101" s="46">
        <v>5.3761574074074073E-2</v>
      </c>
      <c r="N101" s="46">
        <v>5.6493055555555553E-2</v>
      </c>
      <c r="O101" s="62">
        <f t="shared" si="6"/>
        <v>2.7314814814814806E-3</v>
      </c>
      <c r="P101" s="49">
        <v>43010</v>
      </c>
      <c r="Q101" s="59" t="str">
        <f t="shared" ca="1" si="0"/>
        <v>https://www.youtube.com/embed/fjD9BVlmPoA?start=4645&amp;end=4881&amp;autoplay=1</v>
      </c>
      <c r="R101" s="103"/>
      <c r="S101" s="50"/>
      <c r="T101" s="50"/>
      <c r="U101" s="52"/>
      <c r="V101" s="53"/>
      <c r="W101" s="60"/>
      <c r="X101" s="56"/>
      <c r="Y101" s="38"/>
      <c r="Z101" s="38"/>
    </row>
    <row r="102" spans="1:28">
      <c r="A102" s="105">
        <v>94.09</v>
      </c>
      <c r="B102" s="38" t="s">
        <v>55</v>
      </c>
      <c r="C102" s="38"/>
      <c r="D102" s="38" t="s">
        <v>56</v>
      </c>
      <c r="E102" s="38"/>
      <c r="F102" s="38"/>
      <c r="G102" s="38" t="s">
        <v>541</v>
      </c>
      <c r="H102" s="45"/>
      <c r="I102" s="38"/>
      <c r="J102" s="38"/>
      <c r="K102" s="46"/>
      <c r="L102" s="47"/>
      <c r="M102" s="46">
        <v>5.6539351851851855E-2</v>
      </c>
      <c r="N102" s="46">
        <v>5.7060185185185186E-2</v>
      </c>
      <c r="O102" s="62">
        <f t="shared" si="6"/>
        <v>5.2083333333333148E-4</v>
      </c>
      <c r="P102" s="49">
        <v>43010</v>
      </c>
      <c r="Q102" s="59" t="str">
        <f t="shared" ca="1" si="0"/>
        <v>https://www.youtube.com/embed/fjD9BVlmPoA?start=4885&amp;end=4930&amp;autoplay=1</v>
      </c>
      <c r="R102" s="103"/>
      <c r="S102" s="50"/>
      <c r="T102" s="50"/>
      <c r="U102" s="52"/>
      <c r="V102" s="53"/>
      <c r="W102" s="60"/>
      <c r="X102" s="56"/>
      <c r="Y102" s="38"/>
      <c r="Z102" s="38"/>
    </row>
    <row r="103" spans="1:28">
      <c r="A103" s="105">
        <v>94.1</v>
      </c>
      <c r="B103" s="38" t="s">
        <v>55</v>
      </c>
      <c r="C103" s="38"/>
      <c r="D103" s="38" t="s">
        <v>56</v>
      </c>
      <c r="E103" s="38"/>
      <c r="F103" s="38"/>
      <c r="G103" s="38" t="s">
        <v>543</v>
      </c>
      <c r="H103" s="45"/>
      <c r="I103" s="38"/>
      <c r="J103" s="38"/>
      <c r="K103" s="46"/>
      <c r="L103" s="47"/>
      <c r="M103" s="46">
        <v>5.7175925925925929E-2</v>
      </c>
      <c r="N103" s="46">
        <v>6.128472222222222E-2</v>
      </c>
      <c r="O103" s="62">
        <f t="shared" si="6"/>
        <v>4.108796296296291E-3</v>
      </c>
      <c r="P103" s="49">
        <v>43010</v>
      </c>
      <c r="Q103" s="59" t="str">
        <f t="shared" ca="1" si="0"/>
        <v>https://www.youtube.com/embed/fjD9BVlmPoA?start=4940&amp;end=5295&amp;autoplay=1</v>
      </c>
      <c r="R103" s="103"/>
      <c r="S103" s="50"/>
      <c r="T103" s="50"/>
      <c r="U103" s="52"/>
      <c r="V103" s="53"/>
      <c r="W103" s="60"/>
      <c r="X103" s="56"/>
      <c r="Y103" s="38"/>
      <c r="Z103" s="38"/>
    </row>
    <row r="104" spans="1:28">
      <c r="A104" s="38">
        <v>178</v>
      </c>
      <c r="B104" s="39" t="s">
        <v>55</v>
      </c>
      <c r="C104" s="40"/>
      <c r="D104" s="42" t="s">
        <v>56</v>
      </c>
      <c r="E104" s="38" t="s">
        <v>547</v>
      </c>
      <c r="F104" s="43" t="s">
        <v>548</v>
      </c>
      <c r="G104" s="44"/>
      <c r="H104" s="45"/>
      <c r="I104" s="38"/>
      <c r="J104" s="38">
        <f>2.5*1000</f>
        <v>2500</v>
      </c>
      <c r="K104" s="46">
        <v>4.7199074074074067E-2</v>
      </c>
      <c r="L104" s="47" t="s">
        <v>550</v>
      </c>
      <c r="M104" s="38"/>
      <c r="N104" s="38"/>
      <c r="O104" s="62">
        <f t="shared" si="6"/>
        <v>0</v>
      </c>
      <c r="P104" s="38"/>
      <c r="Q104" s="14" t="str">
        <f t="shared" ca="1" si="0"/>
        <v/>
      </c>
      <c r="R104" s="51"/>
      <c r="S104" s="51"/>
      <c r="T104" s="51"/>
      <c r="U104" s="40"/>
      <c r="V104" s="54"/>
      <c r="W104" s="57" t="s">
        <v>64</v>
      </c>
      <c r="X104" s="56"/>
      <c r="Y104" s="88"/>
      <c r="Z104" s="88"/>
      <c r="AA104" s="88"/>
      <c r="AB104" s="88"/>
    </row>
    <row r="105" spans="1:28">
      <c r="A105" s="85">
        <v>178.01</v>
      </c>
      <c r="B105" s="39" t="s">
        <v>55</v>
      </c>
      <c r="C105" s="40"/>
      <c r="D105" s="42" t="s">
        <v>56</v>
      </c>
      <c r="E105" s="38"/>
      <c r="F105" s="43"/>
      <c r="G105" s="111" t="s">
        <v>553</v>
      </c>
      <c r="H105" s="58"/>
      <c r="I105" s="38"/>
      <c r="J105" s="38"/>
      <c r="K105" s="46"/>
      <c r="L105" s="47"/>
      <c r="M105" s="64"/>
      <c r="N105" s="64"/>
      <c r="O105" s="62"/>
      <c r="P105" s="65">
        <v>43017</v>
      </c>
      <c r="Q105" s="14"/>
      <c r="R105" s="39"/>
      <c r="S105" s="39"/>
      <c r="T105" s="39"/>
      <c r="U105" s="40"/>
      <c r="V105" s="54"/>
      <c r="W105" s="57"/>
      <c r="X105" s="56"/>
      <c r="Y105" s="42" t="s">
        <v>555</v>
      </c>
      <c r="Z105" s="42" t="s">
        <v>558</v>
      </c>
    </row>
    <row r="106" spans="1:28">
      <c r="A106" s="42">
        <v>178.02</v>
      </c>
      <c r="B106" s="39" t="s">
        <v>55</v>
      </c>
      <c r="C106" s="40"/>
      <c r="D106" s="42" t="s">
        <v>56</v>
      </c>
      <c r="E106" s="38"/>
      <c r="F106" s="43"/>
      <c r="G106" s="63" t="s">
        <v>559</v>
      </c>
      <c r="H106" s="58" t="s">
        <v>560</v>
      </c>
      <c r="I106" s="38"/>
      <c r="J106" s="38"/>
      <c r="K106" s="46"/>
      <c r="L106" s="47"/>
      <c r="M106" s="64">
        <v>7.1527777777777779E-3</v>
      </c>
      <c r="N106" s="64">
        <v>1.1956018518518519E-2</v>
      </c>
      <c r="O106" s="62">
        <f t="shared" ref="O106:O113" si="7">N106-M106</f>
        <v>4.8032407407407407E-3</v>
      </c>
      <c r="P106" s="65">
        <v>43017</v>
      </c>
      <c r="Q106" s="59" t="str">
        <f t="shared" ref="Q106:Q126" ca="1" si="8">HYPERLINK(IF(INT(A106)-A106=0,"",REPLACE(INDIRECT("MasterList!e"&amp;INT(A106)+1),25,8,"embed/")&amp;"?start="&amp;HOUR(M106)*3600+MINUTE(M106)*60+SECOND(M106)&amp;"&amp;end="&amp;HOUR(N106)*3600+MINUTE(N106)*60+SECOND(N106)&amp;"&amp;autoplay=1"))</f>
        <v>https://www.youtube.com/embed/cpZPvFvzNlc?start=618&amp;end=1033&amp;autoplay=1</v>
      </c>
      <c r="R106" s="67" t="s">
        <v>63</v>
      </c>
      <c r="S106" s="67" t="s">
        <v>63</v>
      </c>
      <c r="T106" s="67" t="s">
        <v>63</v>
      </c>
      <c r="U106" s="52"/>
      <c r="V106" s="53"/>
      <c r="W106" s="57" t="s">
        <v>64</v>
      </c>
      <c r="X106" s="56"/>
      <c r="Y106" s="38"/>
      <c r="Z106" s="38"/>
    </row>
    <row r="107" spans="1:28">
      <c r="A107" s="85">
        <v>178.03</v>
      </c>
      <c r="B107" s="39" t="s">
        <v>55</v>
      </c>
      <c r="C107" s="40"/>
      <c r="D107" s="42" t="s">
        <v>56</v>
      </c>
      <c r="E107" s="38"/>
      <c r="F107" s="43"/>
      <c r="G107" s="63" t="s">
        <v>569</v>
      </c>
      <c r="H107" s="58" t="s">
        <v>570</v>
      </c>
      <c r="I107" s="38"/>
      <c r="J107" s="38"/>
      <c r="K107" s="46"/>
      <c r="L107" s="47"/>
      <c r="M107" s="64">
        <v>1.2060185185185186E-2</v>
      </c>
      <c r="N107" s="64">
        <v>1.2615740740740742E-2</v>
      </c>
      <c r="O107" s="62">
        <f t="shared" si="7"/>
        <v>5.5555555555555566E-4</v>
      </c>
      <c r="P107" s="65">
        <v>43017</v>
      </c>
      <c r="Q107" s="59" t="str">
        <f t="shared" ca="1" si="8"/>
        <v>https://www.youtube.com/embed/cpZPvFvzNlc?start=1042&amp;end=1090&amp;autoplay=1</v>
      </c>
      <c r="R107" s="67" t="s">
        <v>63</v>
      </c>
      <c r="S107" s="67" t="s">
        <v>63</v>
      </c>
      <c r="T107" s="67" t="s">
        <v>63</v>
      </c>
      <c r="U107" s="52"/>
      <c r="V107" s="53"/>
      <c r="W107" s="57" t="s">
        <v>64</v>
      </c>
      <c r="X107" s="56"/>
      <c r="Y107" s="38"/>
      <c r="Z107" s="38"/>
    </row>
    <row r="108" spans="1:28">
      <c r="A108" s="42">
        <v>178.04</v>
      </c>
      <c r="B108" s="39" t="s">
        <v>55</v>
      </c>
      <c r="C108" s="40"/>
      <c r="D108" s="42" t="s">
        <v>56</v>
      </c>
      <c r="E108" s="38"/>
      <c r="F108" s="43"/>
      <c r="G108" s="63" t="s">
        <v>575</v>
      </c>
      <c r="H108" s="58"/>
      <c r="I108" s="38"/>
      <c r="J108" s="38"/>
      <c r="K108" s="46"/>
      <c r="L108" s="47"/>
      <c r="M108" s="64">
        <v>1.6805555555555556E-2</v>
      </c>
      <c r="N108" s="64">
        <v>1.7893518518518517E-2</v>
      </c>
      <c r="O108" s="62">
        <f t="shared" si="7"/>
        <v>1.0879629629629607E-3</v>
      </c>
      <c r="P108" s="65">
        <v>43017</v>
      </c>
      <c r="Q108" s="59" t="str">
        <f t="shared" ca="1" si="8"/>
        <v>https://www.youtube.com/embed/cpZPvFvzNlc?start=1452&amp;end=1546&amp;autoplay=1</v>
      </c>
      <c r="R108" s="67" t="s">
        <v>63</v>
      </c>
      <c r="S108" s="67" t="s">
        <v>63</v>
      </c>
      <c r="T108" s="67" t="s">
        <v>63</v>
      </c>
      <c r="U108" s="52"/>
      <c r="V108" s="53"/>
      <c r="W108" s="57" t="s">
        <v>64</v>
      </c>
      <c r="X108" s="56"/>
      <c r="Y108" s="38"/>
      <c r="Z108" s="38"/>
    </row>
    <row r="109" spans="1:28">
      <c r="A109" s="85">
        <v>178.05</v>
      </c>
      <c r="B109" s="39" t="s">
        <v>55</v>
      </c>
      <c r="C109" s="40"/>
      <c r="D109" s="42" t="s">
        <v>56</v>
      </c>
      <c r="E109" s="38"/>
      <c r="F109" s="43"/>
      <c r="G109" s="63" t="s">
        <v>578</v>
      </c>
      <c r="H109" s="45"/>
      <c r="I109" s="38"/>
      <c r="J109" s="38"/>
      <c r="K109" s="46"/>
      <c r="L109" s="47"/>
      <c r="M109" s="64">
        <v>1.9247685185185184E-2</v>
      </c>
      <c r="N109" s="64">
        <v>2.2638888888888889E-2</v>
      </c>
      <c r="O109" s="62">
        <f t="shared" si="7"/>
        <v>3.3912037037037053E-3</v>
      </c>
      <c r="P109" s="65">
        <v>43017</v>
      </c>
      <c r="Q109" s="59" t="str">
        <f t="shared" ca="1" si="8"/>
        <v>https://www.youtube.com/embed/cpZPvFvzNlc?start=1663&amp;end=1956&amp;autoplay=1</v>
      </c>
      <c r="R109" s="67" t="s">
        <v>63</v>
      </c>
      <c r="S109" s="67" t="s">
        <v>63</v>
      </c>
      <c r="T109" s="67" t="s">
        <v>63</v>
      </c>
      <c r="U109" s="52"/>
      <c r="V109" s="53"/>
      <c r="W109" s="57" t="s">
        <v>64</v>
      </c>
      <c r="X109" s="56"/>
      <c r="Y109" s="38"/>
      <c r="Z109" s="38"/>
    </row>
    <row r="110" spans="1:28">
      <c r="A110" s="42">
        <v>178.06</v>
      </c>
      <c r="B110" s="39" t="s">
        <v>55</v>
      </c>
      <c r="C110" s="40"/>
      <c r="D110" s="42" t="s">
        <v>56</v>
      </c>
      <c r="E110" s="38"/>
      <c r="F110" s="43"/>
      <c r="G110" s="63" t="s">
        <v>580</v>
      </c>
      <c r="H110" s="45"/>
      <c r="I110" s="38"/>
      <c r="J110" s="38"/>
      <c r="K110" s="46"/>
      <c r="L110" s="47"/>
      <c r="M110" s="64">
        <v>2.2870370370370371E-2</v>
      </c>
      <c r="N110" s="64">
        <v>2.3854166666666666E-2</v>
      </c>
      <c r="O110" s="62">
        <f t="shared" si="7"/>
        <v>9.8379629629629511E-4</v>
      </c>
      <c r="P110" s="65">
        <v>43017</v>
      </c>
      <c r="Q110" s="59" t="str">
        <f t="shared" ca="1" si="8"/>
        <v>https://www.youtube.com/embed/cpZPvFvzNlc?start=1976&amp;end=2061&amp;autoplay=1</v>
      </c>
      <c r="R110" s="67" t="s">
        <v>63</v>
      </c>
      <c r="S110" s="67" t="s">
        <v>63</v>
      </c>
      <c r="T110" s="67" t="s">
        <v>63</v>
      </c>
      <c r="U110" s="52"/>
      <c r="V110" s="53"/>
      <c r="W110" s="57" t="s">
        <v>64</v>
      </c>
      <c r="X110" s="56"/>
      <c r="Y110" s="38"/>
      <c r="Z110" s="38"/>
    </row>
    <row r="111" spans="1:28">
      <c r="A111" s="85">
        <v>178.07</v>
      </c>
      <c r="B111" s="39" t="s">
        <v>55</v>
      </c>
      <c r="C111" s="40"/>
      <c r="D111" s="42" t="s">
        <v>56</v>
      </c>
      <c r="E111" s="38"/>
      <c r="F111" s="43"/>
      <c r="G111" s="63" t="s">
        <v>582</v>
      </c>
      <c r="H111" s="45"/>
      <c r="I111" s="38"/>
      <c r="J111" s="38"/>
      <c r="K111" s="46"/>
      <c r="L111" s="47"/>
      <c r="M111" s="64">
        <v>2.4074074074074074E-2</v>
      </c>
      <c r="N111" s="64">
        <v>2.5717592592592594E-2</v>
      </c>
      <c r="O111" s="62">
        <f t="shared" si="7"/>
        <v>1.6435185185185198E-3</v>
      </c>
      <c r="P111" s="65">
        <v>43017</v>
      </c>
      <c r="Q111" s="59" t="str">
        <f t="shared" ca="1" si="8"/>
        <v>https://www.youtube.com/embed/cpZPvFvzNlc?start=2080&amp;end=2222&amp;autoplay=1</v>
      </c>
      <c r="R111" s="67" t="s">
        <v>63</v>
      </c>
      <c r="S111" s="67" t="s">
        <v>63</v>
      </c>
      <c r="T111" s="67" t="s">
        <v>63</v>
      </c>
      <c r="U111" s="52"/>
      <c r="V111" s="53"/>
      <c r="W111" s="57" t="s">
        <v>64</v>
      </c>
      <c r="X111" s="56"/>
      <c r="Y111" s="38"/>
      <c r="Z111" s="38"/>
    </row>
    <row r="112" spans="1:28">
      <c r="A112" s="42">
        <v>178.08</v>
      </c>
      <c r="B112" s="39" t="s">
        <v>55</v>
      </c>
      <c r="C112" s="40"/>
      <c r="D112" s="42" t="s">
        <v>56</v>
      </c>
      <c r="E112" s="38"/>
      <c r="F112" s="38"/>
      <c r="G112" s="42" t="s">
        <v>583</v>
      </c>
      <c r="H112" s="45"/>
      <c r="I112" s="38"/>
      <c r="J112" s="38"/>
      <c r="K112" s="46"/>
      <c r="L112" s="47"/>
      <c r="M112" s="64">
        <v>4.1689814814814811E-2</v>
      </c>
      <c r="N112" s="64">
        <v>4.2824074074074077E-2</v>
      </c>
      <c r="O112" s="62">
        <f t="shared" si="7"/>
        <v>1.1342592592592654E-3</v>
      </c>
      <c r="P112" s="65">
        <v>43017</v>
      </c>
      <c r="Q112" s="59" t="str">
        <f t="shared" ca="1" si="8"/>
        <v>https://www.youtube.com/embed/cpZPvFvzNlc?start=3602&amp;end=3700&amp;autoplay=1</v>
      </c>
      <c r="R112" s="67" t="s">
        <v>63</v>
      </c>
      <c r="S112" s="67" t="s">
        <v>63</v>
      </c>
      <c r="T112" s="67" t="s">
        <v>63</v>
      </c>
      <c r="U112" s="52"/>
      <c r="V112" s="53"/>
      <c r="W112" s="57" t="s">
        <v>64</v>
      </c>
      <c r="X112" s="56"/>
      <c r="Y112" s="38"/>
      <c r="Z112" s="38"/>
    </row>
    <row r="113" spans="1:28">
      <c r="A113" s="85">
        <v>178.09</v>
      </c>
      <c r="B113" s="39" t="s">
        <v>55</v>
      </c>
      <c r="C113" s="40"/>
      <c r="D113" s="42" t="s">
        <v>56</v>
      </c>
      <c r="E113" s="38"/>
      <c r="F113" s="43"/>
      <c r="G113" s="63" t="s">
        <v>585</v>
      </c>
      <c r="H113" s="45"/>
      <c r="I113" s="38"/>
      <c r="J113" s="38"/>
      <c r="K113" s="46"/>
      <c r="L113" s="47"/>
      <c r="M113" s="64">
        <v>4.2847222222222224E-2</v>
      </c>
      <c r="N113" s="64">
        <v>4.4861111111111109E-2</v>
      </c>
      <c r="O113" s="62">
        <f t="shared" si="7"/>
        <v>2.0138888888888845E-3</v>
      </c>
      <c r="P113" s="65">
        <v>43017</v>
      </c>
      <c r="Q113" s="59" t="str">
        <f t="shared" ca="1" si="8"/>
        <v>https://www.youtube.com/embed/cpZPvFvzNlc?start=3702&amp;end=3876&amp;autoplay=1</v>
      </c>
      <c r="R113" s="67" t="s">
        <v>63</v>
      </c>
      <c r="S113" s="67" t="s">
        <v>63</v>
      </c>
      <c r="T113" s="67" t="s">
        <v>63</v>
      </c>
      <c r="U113" s="52"/>
      <c r="V113" s="53"/>
      <c r="W113" s="57" t="s">
        <v>64</v>
      </c>
      <c r="X113" s="56"/>
      <c r="Y113" s="38"/>
      <c r="Z113" s="38"/>
    </row>
    <row r="114" spans="1:28">
      <c r="A114" s="38">
        <v>89</v>
      </c>
      <c r="B114" s="39" t="s">
        <v>55</v>
      </c>
      <c r="C114" s="40"/>
      <c r="D114" s="42" t="s">
        <v>139</v>
      </c>
      <c r="E114" s="38" t="s">
        <v>518</v>
      </c>
      <c r="F114" s="43" t="s">
        <v>519</v>
      </c>
      <c r="G114" s="44"/>
      <c r="H114" s="45"/>
      <c r="I114" s="38"/>
      <c r="J114" s="38">
        <f>15*1000</f>
        <v>15000</v>
      </c>
      <c r="K114" s="46">
        <v>4.02662037037037E-2</v>
      </c>
      <c r="L114" s="47" t="s">
        <v>286</v>
      </c>
      <c r="M114" s="48"/>
      <c r="N114" s="48"/>
      <c r="O114" s="38"/>
      <c r="P114" s="65">
        <v>43020</v>
      </c>
      <c r="Q114" s="14" t="str">
        <f t="shared" ca="1" si="8"/>
        <v/>
      </c>
      <c r="R114" s="51"/>
      <c r="S114" s="51"/>
      <c r="T114" s="51"/>
      <c r="U114" s="40"/>
      <c r="V114" s="54"/>
      <c r="W114" s="55"/>
      <c r="X114" s="56"/>
      <c r="Y114" s="38"/>
      <c r="Z114" s="38"/>
      <c r="AA114" s="38"/>
      <c r="AB114" s="38"/>
    </row>
    <row r="115" spans="1:28">
      <c r="A115" s="85">
        <v>89.01</v>
      </c>
      <c r="B115" s="39" t="s">
        <v>55</v>
      </c>
      <c r="C115" s="40"/>
      <c r="D115" s="42" t="s">
        <v>139</v>
      </c>
      <c r="E115" s="38"/>
      <c r="F115" s="43"/>
      <c r="G115" s="63" t="s">
        <v>591</v>
      </c>
      <c r="H115" s="58"/>
      <c r="I115" s="38"/>
      <c r="J115" s="38"/>
      <c r="K115" s="46"/>
      <c r="L115" s="47"/>
      <c r="M115" s="114">
        <v>1.5046296296296296E-3</v>
      </c>
      <c r="N115" s="115">
        <v>7.3611111111111108E-3</v>
      </c>
      <c r="O115" s="46">
        <f t="shared" ref="O115:O126" si="9">N115-M115</f>
        <v>5.8564814814814816E-3</v>
      </c>
      <c r="P115" s="65">
        <v>43020</v>
      </c>
      <c r="Q115" s="59" t="str">
        <f t="shared" ca="1" si="8"/>
        <v>https://www.youtube.com/embed/Wrs0XEoFHAM?start=130&amp;end=636&amp;autoplay=1</v>
      </c>
      <c r="R115" s="50"/>
      <c r="S115" s="50"/>
      <c r="T115" s="50"/>
      <c r="U115" s="52"/>
      <c r="V115" s="53"/>
      <c r="W115" s="60"/>
      <c r="X115" s="56"/>
      <c r="Y115" s="38"/>
      <c r="Z115" s="38"/>
    </row>
    <row r="116" spans="1:28">
      <c r="A116" s="42">
        <v>89.02</v>
      </c>
      <c r="B116" s="39" t="s">
        <v>55</v>
      </c>
      <c r="C116" s="40"/>
      <c r="D116" s="42" t="s">
        <v>139</v>
      </c>
      <c r="E116" s="38"/>
      <c r="F116" s="43"/>
      <c r="G116" s="63" t="s">
        <v>597</v>
      </c>
      <c r="H116" s="58"/>
      <c r="I116" s="38"/>
      <c r="J116" s="38"/>
      <c r="K116" s="46"/>
      <c r="L116" s="47"/>
      <c r="M116" s="114">
        <v>7.5231481481481477E-3</v>
      </c>
      <c r="N116" s="115">
        <v>8.7037037037037031E-3</v>
      </c>
      <c r="O116" s="46">
        <f t="shared" si="9"/>
        <v>1.1805555555555554E-3</v>
      </c>
      <c r="P116" s="65">
        <v>43020</v>
      </c>
      <c r="Q116" s="59" t="str">
        <f t="shared" ca="1" si="8"/>
        <v>https://www.youtube.com/embed/Wrs0XEoFHAM?start=650&amp;end=752&amp;autoplay=1</v>
      </c>
      <c r="R116" s="50"/>
      <c r="S116" s="50"/>
      <c r="T116" s="50"/>
      <c r="U116" s="52"/>
      <c r="V116" s="53"/>
      <c r="W116" s="60"/>
      <c r="X116" s="56"/>
      <c r="Y116" s="38"/>
      <c r="Z116" s="38"/>
    </row>
    <row r="117" spans="1:28">
      <c r="A117" s="85">
        <v>89.03</v>
      </c>
      <c r="B117" s="39" t="s">
        <v>55</v>
      </c>
      <c r="C117" s="40"/>
      <c r="D117" s="42" t="s">
        <v>139</v>
      </c>
      <c r="E117" s="38"/>
      <c r="F117" s="43"/>
      <c r="G117" s="63" t="s">
        <v>601</v>
      </c>
      <c r="H117" s="58"/>
      <c r="I117" s="38"/>
      <c r="J117" s="38"/>
      <c r="K117" s="46"/>
      <c r="L117" s="47"/>
      <c r="M117" s="114">
        <v>9.525462962962963E-3</v>
      </c>
      <c r="N117" s="115">
        <v>1.0081018518518519E-2</v>
      </c>
      <c r="O117" s="46">
        <f t="shared" si="9"/>
        <v>5.5555555555555566E-4</v>
      </c>
      <c r="P117" s="65">
        <v>43020</v>
      </c>
      <c r="Q117" s="59" t="str">
        <f t="shared" ca="1" si="8"/>
        <v>https://www.youtube.com/embed/Wrs0XEoFHAM?start=823&amp;end=871&amp;autoplay=1</v>
      </c>
      <c r="R117" s="50"/>
      <c r="S117" s="50"/>
      <c r="T117" s="50"/>
      <c r="U117" s="52"/>
      <c r="V117" s="53"/>
      <c r="W117" s="60"/>
      <c r="X117" s="56"/>
      <c r="Y117" s="38"/>
      <c r="Z117" s="38"/>
    </row>
    <row r="118" spans="1:28">
      <c r="A118" s="42">
        <v>89.04</v>
      </c>
      <c r="B118" s="39" t="s">
        <v>55</v>
      </c>
      <c r="C118" s="40"/>
      <c r="D118" s="42" t="s">
        <v>139</v>
      </c>
      <c r="E118" s="38"/>
      <c r="F118" s="43"/>
      <c r="G118" s="63" t="s">
        <v>603</v>
      </c>
      <c r="H118" s="58"/>
      <c r="I118" s="38"/>
      <c r="J118" s="38"/>
      <c r="K118" s="46"/>
      <c r="L118" s="47"/>
      <c r="M118" s="114">
        <v>1.173611111111111E-2</v>
      </c>
      <c r="N118" s="115">
        <v>1.2638888888888889E-2</v>
      </c>
      <c r="O118" s="46">
        <f t="shared" si="9"/>
        <v>9.0277777777777839E-4</v>
      </c>
      <c r="P118" s="65">
        <v>43020</v>
      </c>
      <c r="Q118" s="59" t="str">
        <f t="shared" ca="1" si="8"/>
        <v>https://www.youtube.com/embed/Wrs0XEoFHAM?start=1014&amp;end=1092&amp;autoplay=1</v>
      </c>
      <c r="R118" s="50"/>
      <c r="S118" s="50"/>
      <c r="T118" s="50"/>
      <c r="U118" s="52"/>
      <c r="V118" s="53"/>
      <c r="W118" s="60"/>
      <c r="X118" s="56"/>
      <c r="Y118" s="38"/>
      <c r="Z118" s="38"/>
    </row>
    <row r="119" spans="1:28">
      <c r="A119" s="85">
        <v>89.05</v>
      </c>
      <c r="B119" s="39" t="s">
        <v>55</v>
      </c>
      <c r="C119" s="40"/>
      <c r="D119" s="42" t="s">
        <v>139</v>
      </c>
      <c r="E119" s="38"/>
      <c r="F119" s="43"/>
      <c r="G119" s="63" t="s">
        <v>604</v>
      </c>
      <c r="H119" s="58"/>
      <c r="I119" s="38"/>
      <c r="J119" s="38"/>
      <c r="K119" s="46"/>
      <c r="L119" s="47"/>
      <c r="M119" s="114">
        <v>1.2847222222222222E-2</v>
      </c>
      <c r="N119" s="115">
        <v>1.3553240740740741E-2</v>
      </c>
      <c r="O119" s="46">
        <f t="shared" si="9"/>
        <v>7.0601851851851902E-4</v>
      </c>
      <c r="P119" s="65">
        <v>43020</v>
      </c>
      <c r="Q119" s="59" t="str">
        <f t="shared" ca="1" si="8"/>
        <v>https://www.youtube.com/embed/Wrs0XEoFHAM?start=1110&amp;end=1171&amp;autoplay=1</v>
      </c>
      <c r="R119" s="50"/>
      <c r="S119" s="50"/>
      <c r="T119" s="50"/>
      <c r="U119" s="52"/>
      <c r="V119" s="53"/>
      <c r="W119" s="60"/>
      <c r="X119" s="56"/>
      <c r="Y119" s="38"/>
      <c r="Z119" s="38"/>
    </row>
    <row r="120" spans="1:28">
      <c r="A120" s="42">
        <v>89.06</v>
      </c>
      <c r="B120" s="39" t="s">
        <v>55</v>
      </c>
      <c r="C120" s="40"/>
      <c r="D120" s="42" t="s">
        <v>139</v>
      </c>
      <c r="E120" s="38"/>
      <c r="F120" s="43"/>
      <c r="G120" s="63" t="s">
        <v>608</v>
      </c>
      <c r="H120" s="58"/>
      <c r="I120" s="38"/>
      <c r="J120" s="38"/>
      <c r="K120" s="46"/>
      <c r="L120" s="47"/>
      <c r="M120" s="114">
        <v>1.3680555555555555E-2</v>
      </c>
      <c r="N120" s="115">
        <v>1.7847222222222223E-2</v>
      </c>
      <c r="O120" s="46">
        <f t="shared" si="9"/>
        <v>4.1666666666666675E-3</v>
      </c>
      <c r="P120" s="65">
        <v>43020</v>
      </c>
      <c r="Q120" s="59" t="str">
        <f t="shared" ca="1" si="8"/>
        <v>https://www.youtube.com/embed/Wrs0XEoFHAM?start=1182&amp;end=1542&amp;autoplay=1</v>
      </c>
      <c r="R120" s="50"/>
      <c r="S120" s="50"/>
      <c r="T120" s="50"/>
      <c r="U120" s="52"/>
      <c r="V120" s="53"/>
      <c r="W120" s="60"/>
      <c r="X120" s="56"/>
      <c r="Y120" s="38"/>
      <c r="Z120" s="38"/>
    </row>
    <row r="121" spans="1:28">
      <c r="A121" s="85">
        <v>89.07</v>
      </c>
      <c r="B121" s="39" t="s">
        <v>55</v>
      </c>
      <c r="C121" s="40"/>
      <c r="D121" s="42" t="s">
        <v>139</v>
      </c>
      <c r="E121" s="38"/>
      <c r="F121" s="43"/>
      <c r="G121" s="63" t="s">
        <v>609</v>
      </c>
      <c r="H121" s="58"/>
      <c r="I121" s="38"/>
      <c r="J121" s="38"/>
      <c r="K121" s="46"/>
      <c r="L121" s="47"/>
      <c r="M121" s="114">
        <v>1.8402777777777778E-2</v>
      </c>
      <c r="N121" s="115">
        <v>1.9606481481481482E-2</v>
      </c>
      <c r="O121" s="46">
        <f t="shared" si="9"/>
        <v>1.2037037037037034E-3</v>
      </c>
      <c r="P121" s="65">
        <v>43020</v>
      </c>
      <c r="Q121" s="59" t="str">
        <f t="shared" ca="1" si="8"/>
        <v>https://www.youtube.com/embed/Wrs0XEoFHAM?start=1590&amp;end=1694&amp;autoplay=1</v>
      </c>
      <c r="R121" s="50"/>
      <c r="S121" s="50"/>
      <c r="T121" s="50"/>
      <c r="U121" s="52"/>
      <c r="V121" s="53"/>
      <c r="W121" s="60"/>
      <c r="X121" s="56"/>
      <c r="Y121" s="38"/>
      <c r="Z121" s="38"/>
    </row>
    <row r="122" spans="1:28">
      <c r="A122" s="42">
        <v>89.079999999999899</v>
      </c>
      <c r="B122" s="39" t="s">
        <v>55</v>
      </c>
      <c r="C122" s="40"/>
      <c r="D122" s="42" t="s">
        <v>139</v>
      </c>
      <c r="E122" s="38"/>
      <c r="F122" s="43"/>
      <c r="G122" s="63" t="s">
        <v>613</v>
      </c>
      <c r="H122" s="58"/>
      <c r="I122" s="38"/>
      <c r="J122" s="38"/>
      <c r="K122" s="46"/>
      <c r="L122" s="47"/>
      <c r="M122" s="114">
        <v>2.0462962962962964E-2</v>
      </c>
      <c r="N122" s="115">
        <v>2.1412037037037038E-2</v>
      </c>
      <c r="O122" s="46">
        <f t="shared" si="9"/>
        <v>9.490740740740744E-4</v>
      </c>
      <c r="P122" s="65">
        <v>43020</v>
      </c>
      <c r="Q122" s="59" t="str">
        <f t="shared" ca="1" si="8"/>
        <v>https://www.youtube.com/embed/Wrs0XEoFHAM?start=1768&amp;end=1850&amp;autoplay=1</v>
      </c>
      <c r="R122" s="50"/>
      <c r="S122" s="50"/>
      <c r="T122" s="50"/>
      <c r="U122" s="52"/>
      <c r="V122" s="53"/>
      <c r="W122" s="60"/>
      <c r="X122" s="56"/>
      <c r="Y122" s="38"/>
      <c r="Z122" s="38"/>
    </row>
    <row r="123" spans="1:28">
      <c r="A123" s="85">
        <v>89.089999999999904</v>
      </c>
      <c r="B123" s="39" t="s">
        <v>55</v>
      </c>
      <c r="C123" s="40"/>
      <c r="D123" s="42" t="s">
        <v>139</v>
      </c>
      <c r="E123" s="38"/>
      <c r="F123" s="43"/>
      <c r="G123" s="63" t="s">
        <v>614</v>
      </c>
      <c r="H123" s="58"/>
      <c r="I123" s="38"/>
      <c r="J123" s="38"/>
      <c r="K123" s="46"/>
      <c r="L123" s="47"/>
      <c r="M123" s="114">
        <v>2.34375E-2</v>
      </c>
      <c r="N123" s="115">
        <v>2.4305555555555556E-2</v>
      </c>
      <c r="O123" s="46">
        <f t="shared" si="9"/>
        <v>8.6805555555555594E-4</v>
      </c>
      <c r="P123" s="65">
        <v>43020</v>
      </c>
      <c r="Q123" s="59" t="str">
        <f t="shared" ca="1" si="8"/>
        <v>https://www.youtube.com/embed/Wrs0XEoFHAM?start=2025&amp;end=2100&amp;autoplay=1</v>
      </c>
      <c r="R123" s="50"/>
      <c r="S123" s="50"/>
      <c r="T123" s="50"/>
      <c r="U123" s="52"/>
      <c r="V123" s="53"/>
      <c r="W123" s="60"/>
      <c r="X123" s="56"/>
      <c r="Y123" s="38"/>
      <c r="Z123" s="38"/>
    </row>
    <row r="124" spans="1:28">
      <c r="A124" s="85">
        <v>89.099999999999895</v>
      </c>
      <c r="B124" s="39" t="s">
        <v>55</v>
      </c>
      <c r="C124" s="40"/>
      <c r="D124" s="42" t="s">
        <v>139</v>
      </c>
      <c r="E124" s="38"/>
      <c r="F124" s="43"/>
      <c r="G124" s="63" t="s">
        <v>616</v>
      </c>
      <c r="H124" s="58"/>
      <c r="I124" s="38"/>
      <c r="J124" s="38"/>
      <c r="K124" s="46"/>
      <c r="L124" s="47"/>
      <c r="M124" s="114">
        <v>2.5115740740740741E-2</v>
      </c>
      <c r="N124" s="115">
        <v>2.6215277777777778E-2</v>
      </c>
      <c r="O124" s="46">
        <f t="shared" si="9"/>
        <v>1.0995370370370378E-3</v>
      </c>
      <c r="P124" s="65">
        <v>43020</v>
      </c>
      <c r="Q124" s="59" t="str">
        <f t="shared" ca="1" si="8"/>
        <v>https://www.youtube.com/embed/Wrs0XEoFHAM?start=2170&amp;end=2265&amp;autoplay=1</v>
      </c>
      <c r="R124" s="50"/>
      <c r="S124" s="50"/>
      <c r="T124" s="50"/>
      <c r="U124" s="52"/>
      <c r="V124" s="53"/>
      <c r="W124" s="60"/>
      <c r="X124" s="56"/>
      <c r="Y124" s="38"/>
      <c r="Z124" s="38"/>
    </row>
    <row r="125" spans="1:28">
      <c r="A125" s="85">
        <v>89.1099999999999</v>
      </c>
      <c r="B125" s="39" t="s">
        <v>55</v>
      </c>
      <c r="C125" s="40"/>
      <c r="D125" s="42" t="s">
        <v>139</v>
      </c>
      <c r="E125" s="38"/>
      <c r="F125" s="43"/>
      <c r="G125" s="63" t="s">
        <v>619</v>
      </c>
      <c r="H125" s="58"/>
      <c r="I125" s="38"/>
      <c r="J125" s="38"/>
      <c r="K125" s="46"/>
      <c r="L125" s="47"/>
      <c r="M125" s="114">
        <v>2.8645833333333332E-2</v>
      </c>
      <c r="N125" s="115">
        <v>3.1064814814814816E-2</v>
      </c>
      <c r="O125" s="46">
        <f t="shared" si="9"/>
        <v>2.4189814814814838E-3</v>
      </c>
      <c r="P125" s="65">
        <v>43020</v>
      </c>
      <c r="Q125" s="59" t="str">
        <f t="shared" ca="1" si="8"/>
        <v>https://www.youtube.com/embed/Wrs0XEoFHAM?start=2475&amp;end=2684&amp;autoplay=1</v>
      </c>
      <c r="R125" s="50"/>
      <c r="S125" s="50"/>
      <c r="T125" s="50"/>
      <c r="U125" s="52"/>
      <c r="V125" s="53"/>
      <c r="W125" s="60"/>
      <c r="X125" s="56"/>
      <c r="Y125" s="38"/>
      <c r="Z125" s="38"/>
    </row>
    <row r="126" spans="1:28">
      <c r="A126" s="85">
        <v>89.119999999999905</v>
      </c>
      <c r="B126" s="39" t="s">
        <v>55</v>
      </c>
      <c r="C126" s="40"/>
      <c r="D126" s="42" t="s">
        <v>139</v>
      </c>
      <c r="E126" s="38"/>
      <c r="F126" s="43"/>
      <c r="G126" s="63" t="s">
        <v>623</v>
      </c>
      <c r="H126" s="58"/>
      <c r="I126" s="38"/>
      <c r="J126" s="38"/>
      <c r="K126" s="46"/>
      <c r="L126" s="47"/>
      <c r="M126" s="114">
        <v>3.5474537037037034E-2</v>
      </c>
      <c r="N126" s="115">
        <v>3.771990740740741E-2</v>
      </c>
      <c r="O126" s="46">
        <f t="shared" si="9"/>
        <v>2.2453703703703767E-3</v>
      </c>
      <c r="P126" s="65">
        <v>43020</v>
      </c>
      <c r="Q126" s="59" t="str">
        <f t="shared" ca="1" si="8"/>
        <v>https://www.youtube.com/embed/Wrs0XEoFHAM?start=3065&amp;end=3259&amp;autoplay=1</v>
      </c>
      <c r="R126" s="50"/>
      <c r="S126" s="50"/>
      <c r="T126" s="50"/>
      <c r="U126" s="52"/>
      <c r="V126" s="53"/>
      <c r="W126" s="60"/>
      <c r="X126" s="56"/>
      <c r="Y126" s="38"/>
      <c r="Z126" s="38"/>
    </row>
    <row r="127" spans="1:28">
      <c r="A127" s="105"/>
      <c r="B127" s="38"/>
      <c r="C127" s="38"/>
      <c r="D127" s="38"/>
      <c r="E127" s="38"/>
      <c r="F127" s="43"/>
      <c r="G127" s="63"/>
      <c r="H127" s="45"/>
      <c r="I127" s="38"/>
      <c r="J127" s="38"/>
      <c r="K127" s="46"/>
      <c r="L127" s="47"/>
      <c r="M127" s="46"/>
      <c r="N127" s="46"/>
      <c r="O127" s="62"/>
      <c r="P127" s="49"/>
      <c r="Q127" s="14"/>
      <c r="R127" s="50"/>
      <c r="S127" s="50"/>
      <c r="T127" s="50"/>
      <c r="U127" s="52"/>
      <c r="V127" s="53"/>
      <c r="W127" s="60"/>
      <c r="X127" s="56"/>
      <c r="Y127" s="38"/>
      <c r="Z127" s="38"/>
    </row>
    <row r="128" spans="1:28">
      <c r="A128" s="105"/>
      <c r="B128" s="38"/>
      <c r="C128" s="38"/>
      <c r="D128" s="38"/>
      <c r="E128" s="38"/>
      <c r="F128" s="43"/>
      <c r="G128" s="44"/>
      <c r="H128" s="45"/>
      <c r="I128" s="38"/>
      <c r="J128" s="38"/>
      <c r="K128" s="46"/>
      <c r="L128" s="47"/>
      <c r="M128" s="46"/>
      <c r="N128" s="46"/>
      <c r="O128" s="62"/>
      <c r="P128" s="49"/>
      <c r="Q128" s="14"/>
      <c r="R128" s="50"/>
      <c r="S128" s="50"/>
      <c r="T128" s="50"/>
      <c r="U128" s="52"/>
      <c r="V128" s="53"/>
      <c r="W128" s="60"/>
      <c r="X128" s="56"/>
      <c r="Y128" s="38"/>
      <c r="Z128" s="38"/>
    </row>
    <row r="129" spans="1:26">
      <c r="A129" s="105"/>
      <c r="B129" s="38"/>
      <c r="C129" s="38"/>
      <c r="D129" s="38"/>
      <c r="E129" s="38"/>
      <c r="F129" s="43"/>
      <c r="G129" s="44"/>
      <c r="H129" s="45"/>
      <c r="I129" s="38"/>
      <c r="J129" s="38"/>
      <c r="K129" s="46"/>
      <c r="L129" s="47"/>
      <c r="M129" s="46"/>
      <c r="N129" s="46"/>
      <c r="O129" s="62"/>
      <c r="P129" s="49"/>
      <c r="Q129" s="14"/>
      <c r="R129" s="50"/>
      <c r="S129" s="50"/>
      <c r="T129" s="50"/>
      <c r="U129" s="52"/>
      <c r="V129" s="53"/>
      <c r="W129" s="60"/>
      <c r="X129" s="56"/>
      <c r="Y129" s="38"/>
      <c r="Z129" s="38"/>
    </row>
    <row r="130" spans="1:26">
      <c r="A130" s="105"/>
      <c r="B130" s="38"/>
      <c r="C130" s="38"/>
      <c r="D130" s="38"/>
      <c r="E130" s="38"/>
      <c r="F130" s="43"/>
      <c r="G130" s="44"/>
      <c r="H130" s="45"/>
      <c r="I130" s="38"/>
      <c r="J130" s="38"/>
      <c r="K130" s="46"/>
      <c r="L130" s="47"/>
      <c r="M130" s="46"/>
      <c r="N130" s="46"/>
      <c r="O130" s="62"/>
      <c r="P130" s="49"/>
      <c r="Q130" s="14"/>
      <c r="R130" s="50"/>
      <c r="S130" s="50"/>
      <c r="T130" s="50"/>
      <c r="U130" s="52"/>
      <c r="V130" s="53"/>
      <c r="W130" s="60"/>
      <c r="X130" s="56"/>
      <c r="Y130" s="38"/>
      <c r="Z130" s="38"/>
    </row>
    <row r="131" spans="1:26">
      <c r="A131" s="105"/>
      <c r="B131" s="38"/>
      <c r="C131" s="38"/>
      <c r="D131" s="38"/>
      <c r="E131" s="38"/>
      <c r="F131" s="43"/>
      <c r="G131" s="44"/>
      <c r="H131" s="45"/>
      <c r="I131" s="38"/>
      <c r="J131" s="38"/>
      <c r="K131" s="46"/>
      <c r="L131" s="47"/>
      <c r="M131" s="46"/>
      <c r="N131" s="46"/>
      <c r="O131" s="62"/>
      <c r="P131" s="49"/>
      <c r="Q131" s="14"/>
      <c r="R131" s="50"/>
      <c r="S131" s="50"/>
      <c r="T131" s="50"/>
      <c r="U131" s="52"/>
      <c r="V131" s="53"/>
      <c r="W131" s="60"/>
      <c r="X131" s="56"/>
      <c r="Y131" s="38"/>
      <c r="Z131" s="38"/>
    </row>
    <row r="132" spans="1:26">
      <c r="A132" s="105"/>
      <c r="B132" s="38"/>
      <c r="C132" s="38"/>
      <c r="D132" s="38"/>
      <c r="E132" s="38"/>
      <c r="F132" s="43"/>
      <c r="G132" s="44"/>
      <c r="H132" s="45"/>
      <c r="I132" s="38"/>
      <c r="J132" s="38"/>
      <c r="K132" s="46"/>
      <c r="L132" s="47"/>
      <c r="M132" s="46"/>
      <c r="N132" s="46"/>
      <c r="O132" s="62"/>
      <c r="P132" s="49"/>
      <c r="Q132" s="14"/>
      <c r="R132" s="50"/>
      <c r="S132" s="50"/>
      <c r="T132" s="50"/>
      <c r="U132" s="52"/>
      <c r="V132" s="53"/>
      <c r="W132" s="60"/>
      <c r="X132" s="56"/>
      <c r="Y132" s="38"/>
      <c r="Z132" s="38"/>
    </row>
    <row r="133" spans="1:26">
      <c r="A133" s="105"/>
      <c r="B133" s="38"/>
      <c r="C133" s="38"/>
      <c r="D133" s="38"/>
      <c r="E133" s="38"/>
      <c r="F133" s="43"/>
      <c r="G133" s="44"/>
      <c r="H133" s="45"/>
      <c r="I133" s="38"/>
      <c r="J133" s="38"/>
      <c r="K133" s="46"/>
      <c r="L133" s="47"/>
      <c r="M133" s="46"/>
      <c r="N133" s="46"/>
      <c r="O133" s="62"/>
      <c r="P133" s="49"/>
      <c r="Q133" s="14"/>
      <c r="R133" s="50"/>
      <c r="S133" s="50"/>
      <c r="T133" s="50"/>
      <c r="U133" s="52"/>
      <c r="V133" s="53"/>
      <c r="W133" s="60"/>
      <c r="X133" s="56"/>
      <c r="Y133" s="38"/>
      <c r="Z133" s="38"/>
    </row>
    <row r="134" spans="1:26">
      <c r="A134" s="105"/>
      <c r="B134" s="38"/>
      <c r="C134" s="38"/>
      <c r="D134" s="38"/>
      <c r="E134" s="38"/>
      <c r="F134" s="43"/>
      <c r="G134" s="44"/>
      <c r="H134" s="45"/>
      <c r="I134" s="38"/>
      <c r="J134" s="38"/>
      <c r="K134" s="46"/>
      <c r="L134" s="47"/>
      <c r="M134" s="46"/>
      <c r="N134" s="46"/>
      <c r="O134" s="62"/>
      <c r="P134" s="49"/>
      <c r="Q134" s="14"/>
      <c r="R134" s="50"/>
      <c r="S134" s="50"/>
      <c r="T134" s="50"/>
      <c r="U134" s="52"/>
      <c r="V134" s="53"/>
      <c r="W134" s="60"/>
      <c r="X134" s="56"/>
      <c r="Y134" s="38"/>
      <c r="Z134" s="38"/>
    </row>
    <row r="135" spans="1:26">
      <c r="A135" s="105"/>
      <c r="B135" s="38"/>
      <c r="C135" s="38"/>
      <c r="D135" s="38"/>
      <c r="E135" s="38"/>
      <c r="F135" s="43"/>
      <c r="G135" s="44"/>
      <c r="H135" s="45"/>
      <c r="I135" s="38"/>
      <c r="J135" s="38"/>
      <c r="K135" s="46"/>
      <c r="L135" s="47"/>
      <c r="M135" s="46"/>
      <c r="N135" s="46"/>
      <c r="O135" s="62"/>
      <c r="P135" s="49"/>
      <c r="Q135" s="14"/>
      <c r="R135" s="50"/>
      <c r="S135" s="50"/>
      <c r="T135" s="50"/>
      <c r="U135" s="52"/>
      <c r="V135" s="53"/>
      <c r="W135" s="60"/>
      <c r="X135" s="56"/>
      <c r="Y135" s="38"/>
      <c r="Z135" s="38"/>
    </row>
    <row r="136" spans="1:26">
      <c r="A136" s="105"/>
      <c r="B136" s="38"/>
      <c r="C136" s="38"/>
      <c r="D136" s="38"/>
      <c r="E136" s="38"/>
      <c r="F136" s="43"/>
      <c r="G136" s="44"/>
      <c r="H136" s="45"/>
      <c r="I136" s="38"/>
      <c r="J136" s="38"/>
      <c r="K136" s="46"/>
      <c r="L136" s="47"/>
      <c r="M136" s="46"/>
      <c r="N136" s="46"/>
      <c r="O136" s="62"/>
      <c r="P136" s="49"/>
      <c r="Q136" s="14"/>
      <c r="R136" s="50"/>
      <c r="S136" s="50"/>
      <c r="T136" s="50"/>
      <c r="U136" s="52"/>
      <c r="V136" s="53"/>
      <c r="W136" s="60"/>
      <c r="X136" s="56"/>
      <c r="Y136" s="38"/>
      <c r="Z136" s="38"/>
    </row>
    <row r="137" spans="1:26">
      <c r="A137" s="105"/>
      <c r="B137" s="38"/>
      <c r="C137" s="38"/>
      <c r="D137" s="38"/>
      <c r="E137" s="38"/>
      <c r="F137" s="38"/>
      <c r="G137" s="38"/>
      <c r="H137" s="14"/>
      <c r="I137" s="38"/>
      <c r="J137" s="38"/>
      <c r="K137" s="46"/>
      <c r="L137" s="47"/>
      <c r="M137" s="46"/>
      <c r="N137" s="46"/>
      <c r="O137" s="62"/>
      <c r="P137" s="49"/>
      <c r="Q137" s="14"/>
      <c r="R137" s="50"/>
      <c r="S137" s="50"/>
      <c r="T137" s="50"/>
      <c r="U137" s="52"/>
      <c r="V137" s="53"/>
      <c r="W137" s="60"/>
      <c r="X137" s="56"/>
      <c r="Y137" s="38"/>
      <c r="Z137" s="38"/>
    </row>
    <row r="138" spans="1:26">
      <c r="A138" s="38"/>
      <c r="B138" s="38"/>
      <c r="C138" s="38"/>
      <c r="D138" s="38"/>
      <c r="E138" s="38"/>
      <c r="F138" s="43"/>
      <c r="G138" s="44"/>
      <c r="H138" s="45"/>
      <c r="I138" s="38"/>
      <c r="J138" s="38"/>
      <c r="K138" s="46"/>
      <c r="L138" s="47"/>
      <c r="M138" s="46"/>
      <c r="N138" s="46"/>
      <c r="O138" s="38"/>
      <c r="P138" s="38"/>
      <c r="Q138" s="14"/>
      <c r="R138" s="50"/>
      <c r="S138" s="50"/>
      <c r="T138" s="50"/>
      <c r="U138" s="52"/>
      <c r="V138" s="53"/>
      <c r="W138" s="60"/>
      <c r="X138" s="56"/>
      <c r="Y138" s="38"/>
      <c r="Z138" s="38"/>
    </row>
    <row r="139" spans="1:26">
      <c r="A139" s="38"/>
      <c r="B139" s="38"/>
      <c r="C139" s="38"/>
      <c r="D139" s="38"/>
      <c r="E139" s="38"/>
      <c r="F139" s="43"/>
      <c r="G139" s="44"/>
      <c r="H139" s="45"/>
      <c r="I139" s="38"/>
      <c r="J139" s="38"/>
      <c r="K139" s="46"/>
      <c r="L139" s="47"/>
      <c r="M139" s="46"/>
      <c r="N139" s="46"/>
      <c r="O139" s="38"/>
      <c r="P139" s="38"/>
      <c r="Q139" s="14"/>
      <c r="R139" s="50"/>
      <c r="S139" s="50"/>
      <c r="T139" s="50"/>
      <c r="U139" s="52"/>
      <c r="V139" s="53"/>
      <c r="W139" s="60"/>
      <c r="X139" s="56"/>
      <c r="Y139" s="38"/>
      <c r="Z139" s="38"/>
    </row>
    <row r="140" spans="1:26">
      <c r="A140" s="38"/>
      <c r="B140" s="38"/>
      <c r="C140" s="38"/>
      <c r="D140" s="38"/>
      <c r="E140" s="38"/>
      <c r="F140" s="43"/>
      <c r="G140" s="44"/>
      <c r="H140" s="45"/>
      <c r="I140" s="38"/>
      <c r="J140" s="38"/>
      <c r="K140" s="46"/>
      <c r="L140" s="47"/>
      <c r="M140" s="46"/>
      <c r="N140" s="46"/>
      <c r="O140" s="38"/>
      <c r="P140" s="38"/>
      <c r="Q140" s="14"/>
      <c r="R140" s="50"/>
      <c r="S140" s="50"/>
      <c r="T140" s="50"/>
      <c r="U140" s="52"/>
      <c r="V140" s="53"/>
      <c r="W140" s="60"/>
      <c r="X140" s="56"/>
      <c r="Y140" s="38"/>
      <c r="Z140" s="38"/>
    </row>
    <row r="141" spans="1:26">
      <c r="A141" s="38"/>
      <c r="B141" s="38"/>
      <c r="C141" s="38"/>
      <c r="D141" s="38"/>
      <c r="E141" s="38"/>
      <c r="F141" s="43"/>
      <c r="G141" s="44"/>
      <c r="H141" s="45"/>
      <c r="I141" s="38"/>
      <c r="J141" s="38"/>
      <c r="K141" s="46"/>
      <c r="L141" s="47"/>
      <c r="M141" s="46"/>
      <c r="N141" s="46"/>
      <c r="O141" s="38"/>
      <c r="P141" s="38"/>
      <c r="Q141" s="14"/>
      <c r="R141" s="50"/>
      <c r="S141" s="50"/>
      <c r="T141" s="50"/>
      <c r="U141" s="52"/>
      <c r="V141" s="53"/>
      <c r="W141" s="60"/>
      <c r="X141" s="56"/>
      <c r="Y141" s="38"/>
      <c r="Z141" s="38"/>
    </row>
    <row r="142" spans="1:26">
      <c r="A142" s="38"/>
      <c r="B142" s="42"/>
      <c r="C142" s="38"/>
      <c r="D142" s="42"/>
      <c r="E142" s="38"/>
      <c r="F142" s="43"/>
      <c r="G142" s="44"/>
      <c r="H142" s="45"/>
      <c r="I142" s="38"/>
      <c r="J142" s="38"/>
      <c r="K142" s="46"/>
      <c r="L142" s="47"/>
      <c r="M142" s="46"/>
      <c r="N142" s="46"/>
      <c r="O142" s="38"/>
      <c r="P142" s="38"/>
      <c r="Q142" s="14"/>
      <c r="R142" s="50"/>
      <c r="S142" s="50"/>
      <c r="T142" s="50"/>
      <c r="U142" s="52"/>
      <c r="V142" s="53"/>
      <c r="W142" s="60"/>
      <c r="X142" s="56"/>
      <c r="Y142" s="38"/>
      <c r="Z142" s="38"/>
    </row>
    <row r="143" spans="1:26">
      <c r="A143" s="116"/>
      <c r="B143" s="42"/>
      <c r="C143" s="38"/>
      <c r="D143" s="42"/>
      <c r="E143" s="117"/>
      <c r="F143" s="117"/>
      <c r="G143" s="116"/>
      <c r="H143" s="117"/>
      <c r="I143" s="117"/>
      <c r="J143" s="117"/>
      <c r="K143" s="46"/>
      <c r="L143" s="117"/>
      <c r="M143" s="46"/>
      <c r="N143" s="46"/>
      <c r="O143" s="62"/>
      <c r="P143" s="118"/>
      <c r="Q143" s="14"/>
      <c r="R143" s="119"/>
      <c r="S143" s="119"/>
      <c r="T143" s="119"/>
      <c r="U143" s="120"/>
      <c r="V143" s="121"/>
      <c r="W143" s="122"/>
      <c r="X143" s="123"/>
      <c r="Y143" s="117"/>
      <c r="Z143" s="117"/>
    </row>
    <row r="144" spans="1:26">
      <c r="A144" s="38"/>
      <c r="B144" s="38"/>
      <c r="C144" s="38"/>
      <c r="D144" s="38"/>
      <c r="E144" s="38"/>
      <c r="F144" s="43"/>
      <c r="G144" s="44"/>
      <c r="H144" s="45"/>
      <c r="I144" s="38"/>
      <c r="J144" s="38"/>
      <c r="K144" s="46"/>
      <c r="L144" s="47"/>
      <c r="M144" s="46"/>
      <c r="N144" s="46"/>
      <c r="O144" s="38"/>
      <c r="P144" s="38"/>
      <c r="Q144" s="14"/>
      <c r="R144" s="50"/>
      <c r="S144" s="50"/>
      <c r="T144" s="50"/>
      <c r="U144" s="52"/>
      <c r="V144" s="53"/>
      <c r="W144" s="60"/>
      <c r="X144" s="56"/>
      <c r="Y144" s="38"/>
      <c r="Z144" s="38"/>
    </row>
    <row r="145" spans="1:33">
      <c r="A145" s="38"/>
      <c r="B145" s="38"/>
      <c r="C145" s="38"/>
      <c r="D145" s="38"/>
      <c r="E145" s="38"/>
      <c r="F145" s="43"/>
      <c r="G145" s="44"/>
      <c r="H145" s="45"/>
      <c r="I145" s="38"/>
      <c r="J145" s="38"/>
      <c r="K145" s="46"/>
      <c r="L145" s="47"/>
      <c r="M145" s="46"/>
      <c r="N145" s="46"/>
      <c r="O145" s="38"/>
      <c r="P145" s="38"/>
      <c r="Q145" s="14"/>
      <c r="R145" s="50"/>
      <c r="S145" s="50"/>
      <c r="T145" s="50"/>
      <c r="U145" s="52"/>
      <c r="V145" s="53"/>
      <c r="W145" s="60"/>
      <c r="X145" s="56"/>
      <c r="Y145" s="38"/>
      <c r="Z145" s="38"/>
    </row>
    <row r="146" spans="1:33">
      <c r="A146" s="38"/>
      <c r="B146" s="38"/>
      <c r="C146" s="38"/>
      <c r="D146" s="38"/>
      <c r="E146" s="38"/>
      <c r="F146" s="43"/>
      <c r="G146" s="44"/>
      <c r="H146" s="45"/>
      <c r="I146" s="38"/>
      <c r="J146" s="38"/>
      <c r="K146" s="46"/>
      <c r="L146" s="47"/>
      <c r="M146" s="46"/>
      <c r="N146" s="46"/>
      <c r="O146" s="38"/>
      <c r="P146" s="38"/>
      <c r="Q146" s="14"/>
      <c r="R146" s="50"/>
      <c r="S146" s="50"/>
      <c r="T146" s="50"/>
      <c r="U146" s="52"/>
      <c r="V146" s="53"/>
      <c r="W146" s="60"/>
      <c r="X146" s="56"/>
      <c r="Y146" s="38"/>
      <c r="Z146" s="38"/>
    </row>
    <row r="147" spans="1:33">
      <c r="A147" s="38"/>
      <c r="B147" s="38"/>
      <c r="C147" s="38"/>
      <c r="D147" s="38"/>
      <c r="E147" s="38"/>
      <c r="F147" s="43"/>
      <c r="G147" s="44"/>
      <c r="H147" s="45"/>
      <c r="I147" s="38"/>
      <c r="J147" s="38"/>
      <c r="K147" s="46"/>
      <c r="L147" s="47"/>
      <c r="M147" s="46"/>
      <c r="N147" s="46"/>
      <c r="O147" s="38"/>
      <c r="P147" s="38"/>
      <c r="Q147" s="14"/>
      <c r="R147" s="50"/>
      <c r="S147" s="50"/>
      <c r="T147" s="50"/>
      <c r="U147" s="52"/>
      <c r="V147" s="53"/>
      <c r="W147" s="60"/>
      <c r="X147" s="56"/>
      <c r="Y147" s="38"/>
      <c r="Z147" s="38"/>
    </row>
    <row r="148" spans="1:33">
      <c r="A148" s="38"/>
      <c r="B148" s="38"/>
      <c r="C148" s="38"/>
      <c r="D148" s="38"/>
      <c r="E148" s="38"/>
      <c r="F148" s="43"/>
      <c r="G148" s="44"/>
      <c r="H148" s="45"/>
      <c r="I148" s="38"/>
      <c r="J148" s="38"/>
      <c r="K148" s="46"/>
      <c r="L148" s="47"/>
      <c r="M148" s="46"/>
      <c r="N148" s="46"/>
      <c r="O148" s="38"/>
      <c r="P148" s="38"/>
      <c r="Q148" s="14"/>
      <c r="R148" s="50"/>
      <c r="S148" s="50"/>
      <c r="T148" s="50"/>
      <c r="U148" s="52"/>
      <c r="V148" s="53"/>
      <c r="W148" s="60"/>
      <c r="X148" s="56"/>
      <c r="Y148" s="38"/>
      <c r="Z148" s="38"/>
    </row>
    <row r="149" spans="1:33">
      <c r="A149" s="38"/>
      <c r="B149" s="38"/>
      <c r="C149" s="38"/>
      <c r="D149" s="38"/>
      <c r="E149" s="38"/>
      <c r="F149" s="43"/>
      <c r="G149" s="44"/>
      <c r="H149" s="45"/>
      <c r="I149" s="38"/>
      <c r="J149" s="38"/>
      <c r="K149" s="46"/>
      <c r="L149" s="47"/>
      <c r="M149" s="46"/>
      <c r="N149" s="46"/>
      <c r="O149" s="38"/>
      <c r="P149" s="38"/>
      <c r="Q149" s="14"/>
      <c r="R149" s="50"/>
      <c r="S149" s="50"/>
      <c r="T149" s="50"/>
      <c r="U149" s="52"/>
      <c r="V149" s="53"/>
      <c r="W149" s="60"/>
      <c r="X149" s="56"/>
      <c r="Y149" s="38"/>
      <c r="Z149" s="38"/>
    </row>
    <row r="150" spans="1:33">
      <c r="A150" s="38"/>
      <c r="B150" s="38"/>
      <c r="C150" s="38"/>
      <c r="D150" s="38"/>
      <c r="E150" s="38"/>
      <c r="F150" s="43"/>
      <c r="G150" s="44"/>
      <c r="H150" s="45"/>
      <c r="I150" s="38"/>
      <c r="J150" s="38"/>
      <c r="K150" s="46"/>
      <c r="L150" s="47"/>
      <c r="M150" s="46"/>
      <c r="N150" s="46"/>
      <c r="O150" s="38"/>
      <c r="P150" s="38"/>
      <c r="Q150" s="14"/>
      <c r="R150" s="50"/>
      <c r="S150" s="50"/>
      <c r="T150" s="50"/>
      <c r="U150" s="52"/>
      <c r="V150" s="53"/>
      <c r="W150" s="60"/>
      <c r="X150" s="56"/>
      <c r="Y150" s="38"/>
      <c r="Z150" s="38"/>
    </row>
    <row r="151" spans="1:33">
      <c r="A151" s="38"/>
      <c r="B151" s="38"/>
      <c r="C151" s="38"/>
      <c r="D151" s="38"/>
      <c r="E151" s="38"/>
      <c r="F151" s="43"/>
      <c r="G151" s="44"/>
      <c r="H151" s="45"/>
      <c r="I151" s="38"/>
      <c r="J151" s="38"/>
      <c r="K151" s="46"/>
      <c r="L151" s="47"/>
      <c r="M151" s="46"/>
      <c r="N151" s="46"/>
      <c r="O151" s="38"/>
      <c r="P151" s="38"/>
      <c r="Q151" s="14"/>
      <c r="R151" s="50"/>
      <c r="S151" s="50"/>
      <c r="T151" s="50"/>
      <c r="U151" s="52"/>
      <c r="V151" s="53"/>
      <c r="W151" s="60"/>
      <c r="X151" s="56"/>
      <c r="Y151" s="38"/>
      <c r="Z151" s="38"/>
    </row>
    <row r="152" spans="1:33">
      <c r="A152" s="38"/>
      <c r="B152" s="38"/>
      <c r="C152" s="38"/>
      <c r="D152" s="38"/>
      <c r="E152" s="38"/>
      <c r="F152" s="43"/>
      <c r="G152" s="44"/>
      <c r="H152" s="45"/>
      <c r="I152" s="38"/>
      <c r="J152" s="38"/>
      <c r="K152" s="46"/>
      <c r="L152" s="47"/>
      <c r="M152" s="46"/>
      <c r="N152" s="46"/>
      <c r="O152" s="38"/>
      <c r="P152" s="38"/>
      <c r="Q152" s="14"/>
      <c r="R152" s="50"/>
      <c r="S152" s="50"/>
      <c r="T152" s="50"/>
      <c r="U152" s="52"/>
      <c r="V152" s="53"/>
      <c r="W152" s="60"/>
      <c r="X152" s="56"/>
      <c r="Y152" s="38"/>
      <c r="Z152" s="38"/>
    </row>
    <row r="153" spans="1:33">
      <c r="A153" s="38"/>
      <c r="B153" s="38"/>
      <c r="C153" s="38"/>
      <c r="D153" s="38"/>
      <c r="E153" s="38"/>
      <c r="F153" s="43"/>
      <c r="G153" s="44"/>
      <c r="H153" s="45"/>
      <c r="I153" s="38"/>
      <c r="J153" s="38"/>
      <c r="K153" s="46"/>
      <c r="L153" s="47"/>
      <c r="M153" s="46"/>
      <c r="N153" s="46"/>
      <c r="O153" s="38"/>
      <c r="P153" s="38"/>
      <c r="Q153" s="14"/>
      <c r="R153" s="50"/>
      <c r="S153" s="50"/>
      <c r="T153" s="50"/>
      <c r="U153" s="52"/>
      <c r="V153" s="53"/>
      <c r="W153" s="60"/>
      <c r="X153" s="56"/>
      <c r="Y153" s="38"/>
      <c r="Z153" s="38"/>
    </row>
    <row r="154" spans="1:33">
      <c r="A154" s="38"/>
      <c r="B154" s="38"/>
      <c r="C154" s="38"/>
      <c r="D154" s="38"/>
      <c r="E154" s="38"/>
      <c r="F154" s="43"/>
      <c r="G154" s="44"/>
      <c r="H154" s="45"/>
      <c r="I154" s="38"/>
      <c r="J154" s="38"/>
      <c r="K154" s="46"/>
      <c r="L154" s="47"/>
      <c r="M154" s="46"/>
      <c r="N154" s="46"/>
      <c r="O154" s="38"/>
      <c r="P154" s="38"/>
      <c r="Q154" s="14"/>
      <c r="R154" s="50"/>
      <c r="S154" s="50"/>
      <c r="T154" s="50"/>
      <c r="U154" s="52"/>
      <c r="V154" s="53"/>
      <c r="W154" s="60"/>
      <c r="X154" s="123"/>
      <c r="Y154" s="117"/>
      <c r="Z154" s="117"/>
    </row>
    <row r="155" spans="1:33">
      <c r="A155" s="42"/>
      <c r="B155" s="42"/>
      <c r="C155" s="38"/>
      <c r="D155" s="38"/>
      <c r="E155" s="38"/>
      <c r="F155" s="43"/>
      <c r="G155" s="44"/>
      <c r="H155" s="45"/>
      <c r="I155" s="38"/>
      <c r="J155" s="38"/>
      <c r="K155" s="46"/>
      <c r="L155" s="47"/>
      <c r="M155" s="46"/>
      <c r="N155" s="46"/>
      <c r="O155" s="38"/>
      <c r="P155" s="125"/>
      <c r="Q155" s="14"/>
      <c r="R155" s="38"/>
      <c r="S155" s="38"/>
      <c r="T155" s="38"/>
      <c r="U155" s="38"/>
      <c r="V155" s="38"/>
      <c r="W155" s="38"/>
      <c r="X155" s="56"/>
      <c r="Y155" s="38"/>
      <c r="Z155" s="38"/>
      <c r="AA155" s="38"/>
      <c r="AB155" s="38"/>
      <c r="AC155" s="87"/>
      <c r="AD155" s="87"/>
      <c r="AE155" s="87"/>
      <c r="AF155" s="87"/>
      <c r="AG155" s="87"/>
    </row>
    <row r="156" spans="1:33">
      <c r="A156" s="42"/>
      <c r="B156" s="42"/>
      <c r="C156" s="38"/>
      <c r="D156" s="38"/>
      <c r="E156" s="38"/>
      <c r="F156" s="44"/>
      <c r="G156" s="42"/>
      <c r="H156" s="79"/>
      <c r="I156" s="38"/>
      <c r="J156" s="38"/>
      <c r="K156" s="46"/>
      <c r="L156" s="47"/>
      <c r="M156" s="46"/>
      <c r="N156" s="46"/>
      <c r="O156" s="62"/>
      <c r="P156" s="74"/>
      <c r="Q156" s="14"/>
      <c r="R156" s="67"/>
      <c r="S156" s="67"/>
      <c r="T156" s="67"/>
      <c r="U156" s="52"/>
      <c r="V156" s="53"/>
      <c r="W156" s="60"/>
      <c r="X156" s="56"/>
      <c r="Y156" s="38"/>
      <c r="Z156" s="38"/>
      <c r="AA156" s="73"/>
      <c r="AB156" s="73"/>
      <c r="AC156" s="73"/>
      <c r="AD156" s="73"/>
      <c r="AE156" s="73"/>
      <c r="AF156" s="73"/>
      <c r="AG156" s="73"/>
    </row>
    <row r="157" spans="1:33">
      <c r="A157" s="42"/>
      <c r="B157" s="42"/>
      <c r="C157" s="38"/>
      <c r="D157" s="38"/>
      <c r="E157" s="38"/>
      <c r="F157" s="44"/>
      <c r="G157" s="42"/>
      <c r="H157" s="79"/>
      <c r="I157" s="38"/>
      <c r="J157" s="38"/>
      <c r="K157" s="46"/>
      <c r="L157" s="47"/>
      <c r="M157" s="46"/>
      <c r="N157" s="46"/>
      <c r="O157" s="62"/>
      <c r="P157" s="74"/>
      <c r="Q157" s="14"/>
      <c r="R157" s="67"/>
      <c r="S157" s="67"/>
      <c r="T157" s="67"/>
      <c r="U157" s="52"/>
      <c r="V157" s="53"/>
      <c r="W157" s="60"/>
      <c r="X157" s="56"/>
      <c r="Y157" s="38"/>
      <c r="Z157" s="38"/>
      <c r="AA157" s="73"/>
      <c r="AB157" s="73"/>
      <c r="AC157" s="73"/>
      <c r="AD157" s="73"/>
      <c r="AE157" s="73"/>
      <c r="AF157" s="73"/>
      <c r="AG157" s="73"/>
    </row>
    <row r="158" spans="1:33">
      <c r="A158" s="42"/>
      <c r="B158" s="42"/>
      <c r="C158" s="38"/>
      <c r="D158" s="38"/>
      <c r="E158" s="38"/>
      <c r="F158" s="44"/>
      <c r="G158" s="42"/>
      <c r="H158" s="79"/>
      <c r="I158" s="38"/>
      <c r="J158" s="38"/>
      <c r="K158" s="46"/>
      <c r="L158" s="47"/>
      <c r="M158" s="46"/>
      <c r="N158" s="46"/>
      <c r="O158" s="62"/>
      <c r="P158" s="74"/>
      <c r="Q158" s="14"/>
      <c r="R158" s="67"/>
      <c r="S158" s="67"/>
      <c r="T158" s="67"/>
      <c r="U158" s="52"/>
      <c r="V158" s="53"/>
      <c r="W158" s="60"/>
      <c r="X158" s="71"/>
      <c r="Y158" s="42"/>
      <c r="Z158" s="42"/>
      <c r="AA158" s="73"/>
      <c r="AB158" s="73"/>
      <c r="AC158" s="73"/>
      <c r="AD158" s="73"/>
      <c r="AE158" s="73"/>
      <c r="AF158" s="73"/>
      <c r="AG158" s="73"/>
    </row>
    <row r="159" spans="1:33">
      <c r="A159" s="42"/>
      <c r="B159" s="42"/>
      <c r="C159" s="38"/>
      <c r="D159" s="38"/>
      <c r="E159" s="38"/>
      <c r="F159" s="44"/>
      <c r="G159" s="42"/>
      <c r="H159" s="79"/>
      <c r="I159" s="38"/>
      <c r="J159" s="38"/>
      <c r="K159" s="46"/>
      <c r="L159" s="47"/>
      <c r="M159" s="46"/>
      <c r="N159" s="46"/>
      <c r="O159" s="62"/>
      <c r="P159" s="74"/>
      <c r="Q159" s="14"/>
      <c r="R159" s="67"/>
      <c r="S159" s="67"/>
      <c r="T159" s="67"/>
      <c r="U159" s="52"/>
      <c r="V159" s="53"/>
      <c r="W159" s="60"/>
      <c r="X159" s="56"/>
      <c r="Y159" s="38"/>
      <c r="Z159" s="38"/>
      <c r="AA159" s="73"/>
      <c r="AB159" s="73"/>
      <c r="AC159" s="73"/>
      <c r="AD159" s="73"/>
      <c r="AE159" s="73"/>
      <c r="AF159" s="73"/>
      <c r="AG159" s="73"/>
    </row>
    <row r="160" spans="1:33">
      <c r="A160" s="42"/>
      <c r="B160" s="42"/>
      <c r="C160" s="38"/>
      <c r="D160" s="38"/>
      <c r="E160" s="38"/>
      <c r="F160" s="44"/>
      <c r="G160" s="42"/>
      <c r="H160" s="79"/>
      <c r="I160" s="38"/>
      <c r="J160" s="38"/>
      <c r="K160" s="46"/>
      <c r="L160" s="47"/>
      <c r="M160" s="46"/>
      <c r="N160" s="46"/>
      <c r="O160" s="62"/>
      <c r="P160" s="74"/>
      <c r="Q160" s="14"/>
      <c r="R160" s="67"/>
      <c r="S160" s="67"/>
      <c r="T160" s="67"/>
      <c r="U160" s="52"/>
      <c r="V160" s="53"/>
      <c r="W160" s="60"/>
      <c r="X160" s="56"/>
      <c r="Y160" s="38"/>
      <c r="Z160" s="38"/>
      <c r="AA160" s="73"/>
      <c r="AB160" s="73"/>
      <c r="AC160" s="73"/>
      <c r="AD160" s="73"/>
      <c r="AE160" s="73"/>
      <c r="AF160" s="73"/>
      <c r="AG160" s="73"/>
    </row>
    <row r="161" spans="1:33">
      <c r="A161" s="42"/>
      <c r="B161" s="42"/>
      <c r="C161" s="38"/>
      <c r="D161" s="38"/>
      <c r="E161" s="38"/>
      <c r="F161" s="44"/>
      <c r="G161" s="42"/>
      <c r="H161" s="79"/>
      <c r="I161" s="38"/>
      <c r="J161" s="38"/>
      <c r="K161" s="46"/>
      <c r="L161" s="47"/>
      <c r="M161" s="46"/>
      <c r="N161" s="46"/>
      <c r="O161" s="62"/>
      <c r="P161" s="74"/>
      <c r="Q161" s="14"/>
      <c r="R161" s="67"/>
      <c r="S161" s="67"/>
      <c r="T161" s="67"/>
      <c r="U161" s="52"/>
      <c r="V161" s="53"/>
      <c r="W161" s="60"/>
      <c r="X161" s="56"/>
      <c r="Y161" s="38"/>
      <c r="Z161" s="38"/>
      <c r="AA161" s="73"/>
      <c r="AB161" s="73"/>
      <c r="AC161" s="73"/>
      <c r="AD161" s="73"/>
      <c r="AE161" s="73"/>
      <c r="AF161" s="73"/>
      <c r="AG161" s="73"/>
    </row>
    <row r="162" spans="1:33">
      <c r="A162" s="42"/>
      <c r="B162" s="42"/>
      <c r="C162" s="38"/>
      <c r="D162" s="38"/>
      <c r="E162" s="38"/>
      <c r="F162" s="44"/>
      <c r="G162" s="42"/>
      <c r="H162" s="79"/>
      <c r="I162" s="38"/>
      <c r="J162" s="38"/>
      <c r="K162" s="46"/>
      <c r="L162" s="47"/>
      <c r="M162" s="46"/>
      <c r="N162" s="46"/>
      <c r="O162" s="62"/>
      <c r="P162" s="74"/>
      <c r="Q162" s="14"/>
      <c r="R162" s="67"/>
      <c r="S162" s="67"/>
      <c r="T162" s="67"/>
      <c r="U162" s="52"/>
      <c r="V162" s="53"/>
      <c r="W162" s="60"/>
      <c r="X162" s="56"/>
      <c r="Y162" s="38"/>
      <c r="Z162" s="38"/>
      <c r="AA162" s="73"/>
      <c r="AB162" s="73"/>
      <c r="AC162" s="73"/>
      <c r="AD162" s="73"/>
      <c r="AE162" s="73"/>
      <c r="AF162" s="73"/>
      <c r="AG162" s="73"/>
    </row>
    <row r="163" spans="1:33">
      <c r="A163" s="38"/>
      <c r="B163" s="38"/>
      <c r="C163" s="38"/>
      <c r="D163" s="38"/>
      <c r="E163" s="38"/>
      <c r="F163" s="43"/>
      <c r="G163" s="44"/>
      <c r="H163" s="45"/>
      <c r="I163" s="38"/>
      <c r="J163" s="38"/>
      <c r="K163" s="46"/>
      <c r="L163" s="47"/>
      <c r="M163" s="46"/>
      <c r="N163" s="46"/>
      <c r="O163" s="38"/>
      <c r="P163" s="38"/>
      <c r="Q163" s="14"/>
      <c r="R163" s="50"/>
      <c r="S163" s="50"/>
      <c r="T163" s="50"/>
      <c r="U163" s="52"/>
      <c r="V163" s="53"/>
      <c r="W163" s="60"/>
      <c r="X163" s="123"/>
      <c r="Y163" s="117"/>
      <c r="Z163" s="117"/>
    </row>
    <row r="164" spans="1:33">
      <c r="A164" s="38"/>
      <c r="B164" s="38"/>
      <c r="C164" s="38"/>
      <c r="D164" s="38"/>
      <c r="E164" s="38"/>
      <c r="F164" s="43"/>
      <c r="G164" s="44"/>
      <c r="H164" s="45"/>
      <c r="I164" s="38"/>
      <c r="J164" s="38"/>
      <c r="K164" s="46"/>
      <c r="L164" s="47"/>
      <c r="M164" s="46"/>
      <c r="N164" s="46"/>
      <c r="O164" s="38"/>
      <c r="P164" s="38"/>
      <c r="Q164" s="14"/>
      <c r="R164" s="50"/>
      <c r="S164" s="50"/>
      <c r="T164" s="50"/>
      <c r="U164" s="52"/>
      <c r="V164" s="53"/>
      <c r="W164" s="60"/>
      <c r="X164" s="123"/>
      <c r="Y164" s="117"/>
      <c r="Z164" s="117"/>
    </row>
    <row r="165" spans="1:33">
      <c r="A165" s="38"/>
      <c r="B165" s="42"/>
      <c r="C165" s="38"/>
      <c r="D165" s="42"/>
      <c r="E165" s="38"/>
      <c r="F165" s="43"/>
      <c r="G165" s="44"/>
      <c r="H165" s="45"/>
      <c r="I165" s="38"/>
      <c r="J165" s="38"/>
      <c r="K165" s="46"/>
      <c r="L165" s="47"/>
      <c r="M165" s="46"/>
      <c r="N165" s="46"/>
      <c r="O165" s="38"/>
      <c r="P165" s="65"/>
      <c r="Q165" s="14"/>
      <c r="R165" s="50"/>
      <c r="S165" s="50"/>
      <c r="T165" s="50"/>
      <c r="U165" s="52"/>
      <c r="V165" s="53"/>
      <c r="W165" s="60"/>
      <c r="X165" s="123"/>
      <c r="Y165" s="117"/>
      <c r="Z165" s="117"/>
    </row>
    <row r="166" spans="1:33">
      <c r="A166" s="126"/>
      <c r="B166" s="42"/>
      <c r="C166" s="38"/>
      <c r="D166" s="42"/>
      <c r="E166" s="117"/>
      <c r="F166" s="117"/>
      <c r="G166" s="116"/>
      <c r="H166" s="117"/>
      <c r="I166" s="117"/>
      <c r="J166" s="117"/>
      <c r="K166" s="46"/>
      <c r="L166" s="117"/>
      <c r="M166" s="46"/>
      <c r="N166" s="46"/>
      <c r="O166" s="62"/>
      <c r="P166" s="118"/>
      <c r="Q166" s="14"/>
      <c r="R166" s="119"/>
      <c r="S166" s="119"/>
      <c r="T166" s="119"/>
      <c r="U166" s="120"/>
      <c r="V166" s="121"/>
      <c r="W166" s="122"/>
      <c r="X166" s="123"/>
      <c r="Y166" s="117"/>
      <c r="Z166" s="117"/>
    </row>
    <row r="167" spans="1:33">
      <c r="A167" s="126"/>
      <c r="B167" s="42"/>
      <c r="C167" s="38"/>
      <c r="D167" s="42"/>
      <c r="E167" s="117"/>
      <c r="F167" s="117"/>
      <c r="G167" s="116"/>
      <c r="H167" s="116"/>
      <c r="I167" s="117"/>
      <c r="J167" s="117"/>
      <c r="K167" s="46"/>
      <c r="L167" s="117"/>
      <c r="M167" s="46"/>
      <c r="N167" s="46"/>
      <c r="O167" s="62"/>
      <c r="P167" s="118"/>
      <c r="Q167" s="14"/>
      <c r="R167" s="119"/>
      <c r="S167" s="119"/>
      <c r="T167" s="119"/>
      <c r="U167" s="120"/>
      <c r="V167" s="121"/>
      <c r="W167" s="122"/>
      <c r="X167" s="123"/>
      <c r="Y167" s="117"/>
      <c r="Z167" s="117"/>
    </row>
    <row r="168" spans="1:33">
      <c r="A168" s="126"/>
      <c r="B168" s="42"/>
      <c r="C168" s="38"/>
      <c r="D168" s="42"/>
      <c r="E168" s="117"/>
      <c r="F168" s="117"/>
      <c r="G168" s="116"/>
      <c r="H168" s="117"/>
      <c r="I168" s="117"/>
      <c r="J168" s="117"/>
      <c r="K168" s="46"/>
      <c r="L168" s="117"/>
      <c r="M168" s="46"/>
      <c r="N168" s="46"/>
      <c r="O168" s="62"/>
      <c r="P168" s="118"/>
      <c r="Q168" s="14"/>
      <c r="R168" s="119"/>
      <c r="S168" s="119"/>
      <c r="T168" s="119"/>
      <c r="U168" s="120"/>
      <c r="V168" s="121"/>
      <c r="W168" s="122"/>
      <c r="X168" s="123"/>
      <c r="Y168" s="117"/>
      <c r="Z168" s="117"/>
    </row>
    <row r="169" spans="1:33">
      <c r="A169" s="126"/>
      <c r="B169" s="42"/>
      <c r="C169" s="38"/>
      <c r="D169" s="42"/>
      <c r="E169" s="117"/>
      <c r="F169" s="117"/>
      <c r="G169" s="116"/>
      <c r="H169" s="117"/>
      <c r="I169" s="117"/>
      <c r="J169" s="117"/>
      <c r="K169" s="46"/>
      <c r="L169" s="117"/>
      <c r="M169" s="46"/>
      <c r="N169" s="46"/>
      <c r="O169" s="62"/>
      <c r="P169" s="118"/>
      <c r="Q169" s="14"/>
      <c r="R169" s="119"/>
      <c r="S169" s="119"/>
      <c r="T169" s="119"/>
      <c r="U169" s="120"/>
      <c r="V169" s="121"/>
      <c r="W169" s="122"/>
      <c r="X169" s="123"/>
      <c r="Y169" s="117"/>
      <c r="Z169" s="117"/>
    </row>
    <row r="170" spans="1:33">
      <c r="A170" s="126"/>
      <c r="B170" s="127"/>
      <c r="C170" s="38"/>
      <c r="D170" s="127"/>
      <c r="E170" s="117"/>
      <c r="F170" s="117"/>
      <c r="G170" s="116"/>
      <c r="H170" s="117"/>
      <c r="I170" s="117"/>
      <c r="J170" s="117"/>
      <c r="K170" s="46"/>
      <c r="L170" s="117"/>
      <c r="M170" s="46"/>
      <c r="N170" s="46"/>
      <c r="O170" s="62"/>
      <c r="P170" s="118"/>
      <c r="Q170" s="14"/>
      <c r="R170" s="119"/>
      <c r="S170" s="119"/>
      <c r="T170" s="119"/>
      <c r="U170" s="120"/>
      <c r="V170" s="121"/>
      <c r="W170" s="122"/>
      <c r="X170" s="123"/>
      <c r="Y170" s="117"/>
      <c r="Z170" s="117"/>
    </row>
    <row r="171" spans="1:33">
      <c r="A171" s="126"/>
      <c r="B171" s="127"/>
      <c r="C171" s="38"/>
      <c r="D171" s="127"/>
      <c r="E171" s="117"/>
      <c r="F171" s="117"/>
      <c r="G171" s="116"/>
      <c r="H171" s="116"/>
      <c r="I171" s="117"/>
      <c r="J171" s="117"/>
      <c r="K171" s="46"/>
      <c r="L171" s="117"/>
      <c r="M171" s="46"/>
      <c r="N171" s="46"/>
      <c r="O171" s="62"/>
      <c r="P171" s="118"/>
      <c r="Q171" s="14"/>
      <c r="R171" s="119"/>
      <c r="S171" s="119"/>
      <c r="T171" s="119"/>
      <c r="U171" s="120"/>
      <c r="V171" s="121"/>
      <c r="W171" s="122"/>
      <c r="X171" s="123"/>
      <c r="Y171" s="117"/>
      <c r="Z171" s="117"/>
    </row>
    <row r="172" spans="1:33">
      <c r="A172" s="126"/>
      <c r="B172" s="127"/>
      <c r="C172" s="38"/>
      <c r="D172" s="127"/>
      <c r="E172" s="117"/>
      <c r="F172" s="117"/>
      <c r="G172" s="116"/>
      <c r="H172" s="117"/>
      <c r="I172" s="117"/>
      <c r="J172" s="117"/>
      <c r="K172" s="46"/>
      <c r="L172" s="117"/>
      <c r="M172" s="46"/>
      <c r="N172" s="46"/>
      <c r="O172" s="62"/>
      <c r="P172" s="118"/>
      <c r="Q172" s="14"/>
      <c r="R172" s="119"/>
      <c r="S172" s="119"/>
      <c r="T172" s="119"/>
      <c r="U172" s="120"/>
      <c r="V172" s="121"/>
      <c r="W172" s="122"/>
      <c r="X172" s="123"/>
      <c r="Y172" s="117"/>
      <c r="Z172" s="117"/>
    </row>
    <row r="173" spans="1:33">
      <c r="A173" s="126"/>
      <c r="B173" s="127"/>
      <c r="C173" s="38"/>
      <c r="D173" s="127"/>
      <c r="E173" s="117"/>
      <c r="F173" s="117"/>
      <c r="G173" s="116"/>
      <c r="H173" s="116"/>
      <c r="I173" s="117"/>
      <c r="J173" s="117"/>
      <c r="K173" s="46"/>
      <c r="L173" s="117"/>
      <c r="M173" s="46"/>
      <c r="N173" s="46"/>
      <c r="O173" s="62"/>
      <c r="P173" s="118"/>
      <c r="Q173" s="14"/>
      <c r="R173" s="119"/>
      <c r="S173" s="119"/>
      <c r="T173" s="119"/>
      <c r="U173" s="120"/>
      <c r="V173" s="121"/>
      <c r="W173" s="122"/>
      <c r="X173" s="123"/>
      <c r="Y173" s="117"/>
      <c r="Z173" s="117"/>
    </row>
    <row r="174" spans="1:33">
      <c r="A174" s="126"/>
      <c r="B174" s="127"/>
      <c r="C174" s="38"/>
      <c r="D174" s="127"/>
      <c r="E174" s="117"/>
      <c r="F174" s="117"/>
      <c r="G174" s="116"/>
      <c r="H174" s="117"/>
      <c r="I174" s="117"/>
      <c r="J174" s="117"/>
      <c r="K174" s="46"/>
      <c r="L174" s="117"/>
      <c r="M174" s="46"/>
      <c r="N174" s="46"/>
      <c r="O174" s="62"/>
      <c r="P174" s="118"/>
      <c r="Q174" s="14"/>
      <c r="R174" s="119"/>
      <c r="S174" s="119"/>
      <c r="T174" s="119"/>
      <c r="U174" s="120"/>
      <c r="V174" s="121"/>
      <c r="W174" s="122"/>
      <c r="X174" s="123"/>
      <c r="Y174" s="117"/>
      <c r="Z174" s="117"/>
    </row>
    <row r="175" spans="1:33">
      <c r="A175" s="126"/>
      <c r="B175" s="127"/>
      <c r="C175" s="38"/>
      <c r="D175" s="127"/>
      <c r="E175" s="117"/>
      <c r="F175" s="117"/>
      <c r="G175" s="116"/>
      <c r="H175" s="117"/>
      <c r="I175" s="117"/>
      <c r="J175" s="117"/>
      <c r="K175" s="46"/>
      <c r="L175" s="117"/>
      <c r="M175" s="46"/>
      <c r="N175" s="46"/>
      <c r="O175" s="62"/>
      <c r="P175" s="118"/>
      <c r="Q175" s="14"/>
      <c r="R175" s="119"/>
      <c r="S175" s="119"/>
      <c r="T175" s="119"/>
      <c r="U175" s="120"/>
      <c r="V175" s="121"/>
      <c r="W175" s="122"/>
      <c r="X175" s="123"/>
      <c r="Y175" s="117"/>
      <c r="Z175" s="117"/>
    </row>
    <row r="176" spans="1:33">
      <c r="A176" s="38"/>
      <c r="B176" s="38"/>
      <c r="C176" s="38"/>
      <c r="D176" s="38"/>
      <c r="E176" s="38"/>
      <c r="F176" s="43"/>
      <c r="G176" s="44"/>
      <c r="H176" s="45"/>
      <c r="I176" s="38"/>
      <c r="J176" s="38"/>
      <c r="K176" s="46"/>
      <c r="L176" s="47"/>
      <c r="M176" s="46"/>
      <c r="N176" s="46"/>
      <c r="O176" s="38"/>
      <c r="P176" s="38"/>
      <c r="Q176" s="14"/>
      <c r="R176" s="50"/>
      <c r="S176" s="50"/>
      <c r="T176" s="50"/>
      <c r="U176" s="52"/>
      <c r="V176" s="53"/>
      <c r="W176" s="60"/>
      <c r="X176" s="123"/>
      <c r="Y176" s="117"/>
      <c r="Z176" s="117"/>
    </row>
    <row r="177" spans="1:26">
      <c r="A177" s="38"/>
      <c r="B177" s="38"/>
      <c r="C177" s="38"/>
      <c r="D177" s="38"/>
      <c r="E177" s="38"/>
      <c r="F177" s="43"/>
      <c r="G177" s="44"/>
      <c r="H177" s="45"/>
      <c r="I177" s="38"/>
      <c r="J177" s="38"/>
      <c r="K177" s="46"/>
      <c r="L177" s="47"/>
      <c r="M177" s="46"/>
      <c r="N177" s="46"/>
      <c r="O177" s="38"/>
      <c r="P177" s="38"/>
      <c r="Q177" s="14"/>
      <c r="R177" s="50"/>
      <c r="S177" s="50"/>
      <c r="T177" s="50"/>
      <c r="U177" s="52"/>
      <c r="V177" s="53"/>
      <c r="W177" s="60"/>
      <c r="X177" s="123"/>
      <c r="Y177" s="117"/>
      <c r="Z177" s="117"/>
    </row>
    <row r="178" spans="1:26">
      <c r="A178" s="38"/>
      <c r="B178" s="38"/>
      <c r="C178" s="38"/>
      <c r="D178" s="38"/>
      <c r="E178" s="38"/>
      <c r="F178" s="43"/>
      <c r="G178" s="44"/>
      <c r="H178" s="45"/>
      <c r="I178" s="38"/>
      <c r="J178" s="38"/>
      <c r="K178" s="46"/>
      <c r="L178" s="47"/>
      <c r="M178" s="46"/>
      <c r="N178" s="46"/>
      <c r="O178" s="38"/>
      <c r="P178" s="38"/>
      <c r="Q178" s="14"/>
      <c r="R178" s="50"/>
      <c r="S178" s="50"/>
      <c r="T178" s="50"/>
      <c r="U178" s="52"/>
      <c r="V178" s="53"/>
      <c r="W178" s="60"/>
      <c r="X178" s="123"/>
      <c r="Y178" s="117"/>
      <c r="Z178" s="117"/>
    </row>
    <row r="179" spans="1:26">
      <c r="A179" s="38"/>
      <c r="B179" s="38"/>
      <c r="C179" s="38"/>
      <c r="D179" s="38"/>
      <c r="E179" s="38"/>
      <c r="F179" s="43"/>
      <c r="G179" s="44"/>
      <c r="H179" s="45"/>
      <c r="I179" s="38"/>
      <c r="J179" s="38"/>
      <c r="K179" s="46"/>
      <c r="L179" s="47"/>
      <c r="M179" s="46"/>
      <c r="N179" s="46"/>
      <c r="O179" s="38"/>
      <c r="P179" s="38"/>
      <c r="Q179" s="14"/>
      <c r="R179" s="50"/>
      <c r="S179" s="50"/>
      <c r="T179" s="50"/>
      <c r="U179" s="52"/>
      <c r="V179" s="53"/>
      <c r="W179" s="60"/>
      <c r="X179" s="123"/>
      <c r="Y179" s="117"/>
      <c r="Z179" s="117"/>
    </row>
    <row r="180" spans="1:26">
      <c r="A180" s="38"/>
      <c r="B180" s="38"/>
      <c r="C180" s="38"/>
      <c r="D180" s="38"/>
      <c r="E180" s="38"/>
      <c r="F180" s="43"/>
      <c r="G180" s="44"/>
      <c r="H180" s="45"/>
      <c r="I180" s="38"/>
      <c r="J180" s="38"/>
      <c r="K180" s="46"/>
      <c r="L180" s="47"/>
      <c r="M180" s="46"/>
      <c r="N180" s="46"/>
      <c r="O180" s="38"/>
      <c r="P180" s="38"/>
      <c r="Q180" s="14"/>
      <c r="R180" s="50"/>
      <c r="S180" s="50"/>
      <c r="T180" s="50"/>
      <c r="U180" s="52"/>
      <c r="V180" s="53"/>
      <c r="W180" s="60"/>
      <c r="X180" s="123"/>
      <c r="Y180" s="117"/>
      <c r="Z180" s="117"/>
    </row>
    <row r="181" spans="1:26">
      <c r="A181" s="38"/>
      <c r="B181" s="38"/>
      <c r="C181" s="38"/>
      <c r="D181" s="38"/>
      <c r="E181" s="38"/>
      <c r="F181" s="43"/>
      <c r="G181" s="44"/>
      <c r="H181" s="45"/>
      <c r="I181" s="38"/>
      <c r="J181" s="38"/>
      <c r="K181" s="46"/>
      <c r="L181" s="47"/>
      <c r="M181" s="46"/>
      <c r="N181" s="46"/>
      <c r="O181" s="38"/>
      <c r="P181" s="38"/>
      <c r="Q181" s="14"/>
      <c r="R181" s="50"/>
      <c r="S181" s="50"/>
      <c r="T181" s="50"/>
      <c r="U181" s="52"/>
      <c r="V181" s="53"/>
      <c r="W181" s="60"/>
      <c r="X181" s="123"/>
      <c r="Y181" s="117"/>
      <c r="Z181" s="117"/>
    </row>
    <row r="182" spans="1:26">
      <c r="A182" s="38"/>
      <c r="B182" s="38"/>
      <c r="C182" s="38"/>
      <c r="D182" s="38"/>
      <c r="E182" s="38"/>
      <c r="F182" s="43"/>
      <c r="G182" s="44"/>
      <c r="H182" s="45"/>
      <c r="I182" s="38"/>
      <c r="J182" s="38"/>
      <c r="K182" s="46"/>
      <c r="L182" s="47"/>
      <c r="M182" s="46"/>
      <c r="N182" s="46"/>
      <c r="O182" s="38"/>
      <c r="P182" s="38"/>
      <c r="Q182" s="14"/>
      <c r="R182" s="50"/>
      <c r="S182" s="50"/>
      <c r="T182" s="50"/>
      <c r="U182" s="52"/>
      <c r="V182" s="53"/>
      <c r="W182" s="60"/>
      <c r="X182" s="123"/>
      <c r="Y182" s="117"/>
      <c r="Z182" s="117"/>
    </row>
    <row r="183" spans="1:26" ht="20.25" customHeight="1">
      <c r="A183" s="38"/>
      <c r="B183" s="42"/>
      <c r="C183" s="38"/>
      <c r="D183" s="42"/>
      <c r="E183" s="38"/>
      <c r="F183" s="43"/>
      <c r="G183" s="63"/>
      <c r="H183" s="58"/>
      <c r="I183" s="38"/>
      <c r="J183" s="38"/>
      <c r="K183" s="46"/>
      <c r="L183" s="47"/>
      <c r="M183" s="46"/>
      <c r="N183" s="46"/>
      <c r="O183" s="38"/>
      <c r="P183" s="38"/>
      <c r="Q183" s="14"/>
      <c r="R183" s="50"/>
      <c r="S183" s="50"/>
      <c r="T183" s="50"/>
      <c r="U183" s="52"/>
      <c r="V183" s="53"/>
      <c r="W183" s="60"/>
      <c r="X183" s="129"/>
      <c r="Y183" s="116"/>
      <c r="Z183" s="116"/>
    </row>
    <row r="184" spans="1:26">
      <c r="A184" s="38"/>
      <c r="B184" s="42"/>
      <c r="C184" s="38"/>
      <c r="D184" s="42"/>
      <c r="E184" s="38"/>
      <c r="F184" s="43"/>
      <c r="G184" s="44"/>
      <c r="H184" s="45"/>
      <c r="I184" s="38"/>
      <c r="J184" s="38"/>
      <c r="K184" s="46"/>
      <c r="L184" s="47"/>
      <c r="M184" s="46"/>
      <c r="N184" s="46"/>
      <c r="O184" s="38"/>
      <c r="P184" s="38"/>
      <c r="Q184" s="14"/>
      <c r="R184" s="67"/>
      <c r="S184" s="67"/>
      <c r="T184" s="67"/>
      <c r="U184" s="52"/>
      <c r="V184" s="53"/>
      <c r="W184" s="57"/>
      <c r="X184" s="123"/>
      <c r="Y184" s="117"/>
      <c r="Z184" s="117"/>
    </row>
    <row r="185" spans="1:26">
      <c r="A185" s="42"/>
      <c r="B185" s="42"/>
      <c r="C185" s="38"/>
      <c r="D185" s="42"/>
      <c r="E185" s="38"/>
      <c r="F185" s="44"/>
      <c r="G185" s="42"/>
      <c r="H185" s="79"/>
      <c r="I185" s="38"/>
      <c r="J185" s="38"/>
      <c r="K185" s="46"/>
      <c r="L185" s="47"/>
      <c r="M185" s="46"/>
      <c r="N185" s="46"/>
      <c r="O185" s="62"/>
      <c r="P185" s="118"/>
      <c r="Q185" s="14"/>
      <c r="R185" s="67"/>
      <c r="S185" s="67"/>
      <c r="T185" s="67"/>
      <c r="U185" s="120"/>
      <c r="V185" s="121"/>
      <c r="W185" s="122"/>
      <c r="X185" s="123"/>
      <c r="Y185" s="117"/>
      <c r="Z185" s="117"/>
    </row>
    <row r="186" spans="1:26">
      <c r="A186" s="42"/>
      <c r="B186" s="42"/>
      <c r="C186" s="38"/>
      <c r="D186" s="42"/>
      <c r="E186" s="38"/>
      <c r="F186" s="44"/>
      <c r="G186" s="42"/>
      <c r="H186" s="79"/>
      <c r="I186" s="38"/>
      <c r="J186" s="38"/>
      <c r="K186" s="46"/>
      <c r="L186" s="47"/>
      <c r="M186" s="46"/>
      <c r="N186" s="46"/>
      <c r="O186" s="62"/>
      <c r="P186" s="118"/>
      <c r="Q186" s="14"/>
      <c r="R186" s="67"/>
      <c r="S186" s="67"/>
      <c r="T186" s="67"/>
      <c r="U186" s="120"/>
      <c r="V186" s="121"/>
      <c r="W186" s="122"/>
      <c r="X186" s="123"/>
      <c r="Y186" s="117"/>
      <c r="Z186" s="117"/>
    </row>
    <row r="187" spans="1:26">
      <c r="A187" s="42"/>
      <c r="B187" s="42"/>
      <c r="C187" s="38"/>
      <c r="D187" s="42"/>
      <c r="E187" s="38"/>
      <c r="F187" s="44"/>
      <c r="G187" s="42"/>
      <c r="H187" s="79"/>
      <c r="I187" s="38"/>
      <c r="J187" s="38"/>
      <c r="K187" s="46"/>
      <c r="L187" s="47"/>
      <c r="M187" s="46"/>
      <c r="N187" s="46"/>
      <c r="O187" s="62"/>
      <c r="P187" s="118"/>
      <c r="Q187" s="14"/>
      <c r="R187" s="67"/>
      <c r="S187" s="67"/>
      <c r="T187" s="67"/>
      <c r="U187" s="120"/>
      <c r="V187" s="121"/>
      <c r="W187" s="122"/>
      <c r="X187" s="123"/>
      <c r="Y187" s="117"/>
      <c r="Z187" s="117"/>
    </row>
    <row r="188" spans="1:26">
      <c r="A188" s="42"/>
      <c r="B188" s="42"/>
      <c r="C188" s="38"/>
      <c r="D188" s="42"/>
      <c r="E188" s="38"/>
      <c r="F188" s="44"/>
      <c r="G188" s="42"/>
      <c r="H188" s="79"/>
      <c r="I188" s="38"/>
      <c r="J188" s="38"/>
      <c r="K188" s="46"/>
      <c r="L188" s="47"/>
      <c r="M188" s="46"/>
      <c r="N188" s="46"/>
      <c r="O188" s="62"/>
      <c r="P188" s="118"/>
      <c r="Q188" s="14"/>
      <c r="R188" s="67"/>
      <c r="S188" s="67"/>
      <c r="T188" s="67"/>
      <c r="U188" s="120"/>
      <c r="V188" s="121"/>
      <c r="W188" s="122"/>
      <c r="X188" s="123"/>
      <c r="Y188" s="117"/>
      <c r="Z188" s="117"/>
    </row>
    <row r="189" spans="1:26">
      <c r="A189" s="42"/>
      <c r="B189" s="42"/>
      <c r="C189" s="38"/>
      <c r="D189" s="42"/>
      <c r="E189" s="38"/>
      <c r="F189" s="44"/>
      <c r="G189" s="42"/>
      <c r="H189" s="79"/>
      <c r="I189" s="38"/>
      <c r="J189" s="38"/>
      <c r="K189" s="46"/>
      <c r="L189" s="47"/>
      <c r="M189" s="46"/>
      <c r="N189" s="46"/>
      <c r="O189" s="62"/>
      <c r="P189" s="118"/>
      <c r="Q189" s="14"/>
      <c r="R189" s="67"/>
      <c r="S189" s="67"/>
      <c r="T189" s="67"/>
      <c r="U189" s="120"/>
      <c r="V189" s="121"/>
      <c r="W189" s="122"/>
      <c r="X189" s="123"/>
      <c r="Y189" s="117"/>
      <c r="Z189" s="117"/>
    </row>
    <row r="190" spans="1:26">
      <c r="A190" s="42"/>
      <c r="B190" s="42"/>
      <c r="C190" s="38"/>
      <c r="D190" s="42"/>
      <c r="E190" s="38"/>
      <c r="F190" s="44"/>
      <c r="G190" s="42"/>
      <c r="H190" s="79"/>
      <c r="I190" s="38"/>
      <c r="J190" s="38"/>
      <c r="K190" s="46"/>
      <c r="L190" s="47"/>
      <c r="M190" s="46"/>
      <c r="N190" s="46"/>
      <c r="O190" s="62"/>
      <c r="P190" s="118"/>
      <c r="Q190" s="14"/>
      <c r="R190" s="67"/>
      <c r="S190" s="67"/>
      <c r="T190" s="67"/>
      <c r="U190" s="120"/>
      <c r="V190" s="121"/>
      <c r="W190" s="122"/>
      <c r="X190" s="123"/>
      <c r="Y190" s="117"/>
      <c r="Z190" s="117"/>
    </row>
    <row r="191" spans="1:26">
      <c r="A191" s="42"/>
      <c r="B191" s="42"/>
      <c r="C191" s="38"/>
      <c r="D191" s="42"/>
      <c r="E191" s="38"/>
      <c r="F191" s="44"/>
      <c r="G191" s="42"/>
      <c r="H191" s="79"/>
      <c r="I191" s="38"/>
      <c r="J191" s="38"/>
      <c r="K191" s="46"/>
      <c r="L191" s="47"/>
      <c r="M191" s="46"/>
      <c r="N191" s="46"/>
      <c r="O191" s="62"/>
      <c r="P191" s="118"/>
      <c r="Q191" s="14"/>
      <c r="R191" s="67"/>
      <c r="S191" s="67"/>
      <c r="T191" s="67"/>
      <c r="U191" s="120"/>
      <c r="V191" s="121"/>
      <c r="W191" s="122"/>
      <c r="X191" s="123"/>
      <c r="Y191" s="117"/>
      <c r="Z191" s="117"/>
    </row>
    <row r="192" spans="1:26">
      <c r="A192" s="42"/>
      <c r="B192" s="42"/>
      <c r="C192" s="38"/>
      <c r="D192" s="42"/>
      <c r="E192" s="38"/>
      <c r="F192" s="44"/>
      <c r="G192" s="42"/>
      <c r="H192" s="79"/>
      <c r="I192" s="38"/>
      <c r="J192" s="38"/>
      <c r="K192" s="46"/>
      <c r="L192" s="47"/>
      <c r="M192" s="46"/>
      <c r="N192" s="46"/>
      <c r="O192" s="62"/>
      <c r="P192" s="118"/>
      <c r="Q192" s="14"/>
      <c r="R192" s="67"/>
      <c r="S192" s="67"/>
      <c r="T192" s="67"/>
      <c r="U192" s="120"/>
      <c r="V192" s="121"/>
      <c r="W192" s="122"/>
      <c r="X192" s="123"/>
      <c r="Y192" s="117"/>
      <c r="Z192" s="117"/>
    </row>
    <row r="193" spans="1:26">
      <c r="A193" s="42"/>
      <c r="B193" s="42"/>
      <c r="C193" s="38"/>
      <c r="D193" s="42"/>
      <c r="E193" s="38"/>
      <c r="F193" s="44"/>
      <c r="G193" s="42"/>
      <c r="H193" s="79"/>
      <c r="I193" s="38"/>
      <c r="J193" s="38"/>
      <c r="K193" s="46"/>
      <c r="L193" s="47"/>
      <c r="M193" s="46"/>
      <c r="N193" s="46"/>
      <c r="O193" s="62"/>
      <c r="P193" s="118"/>
      <c r="Q193" s="14"/>
      <c r="R193" s="67"/>
      <c r="S193" s="67"/>
      <c r="T193" s="67"/>
      <c r="U193" s="120"/>
      <c r="V193" s="121"/>
      <c r="W193" s="122"/>
      <c r="X193" s="123"/>
      <c r="Y193" s="117"/>
      <c r="Z193" s="117"/>
    </row>
    <row r="194" spans="1:26">
      <c r="A194" s="42"/>
      <c r="B194" s="42"/>
      <c r="C194" s="38"/>
      <c r="D194" s="42"/>
      <c r="E194" s="38"/>
      <c r="F194" s="44"/>
      <c r="G194" s="42"/>
      <c r="H194" s="79"/>
      <c r="I194" s="38"/>
      <c r="J194" s="38"/>
      <c r="K194" s="46"/>
      <c r="L194" s="47"/>
      <c r="M194" s="46"/>
      <c r="N194" s="46"/>
      <c r="O194" s="62"/>
      <c r="P194" s="118"/>
      <c r="Q194" s="14"/>
      <c r="R194" s="67"/>
      <c r="S194" s="67"/>
      <c r="T194" s="67"/>
      <c r="U194" s="120"/>
      <c r="V194" s="121"/>
      <c r="W194" s="122"/>
      <c r="X194" s="123"/>
      <c r="Y194" s="117"/>
      <c r="Z194" s="117"/>
    </row>
    <row r="195" spans="1:26">
      <c r="A195" s="42"/>
      <c r="B195" s="42"/>
      <c r="C195" s="38"/>
      <c r="D195" s="42"/>
      <c r="E195" s="38"/>
      <c r="F195" s="44"/>
      <c r="G195" s="42"/>
      <c r="H195" s="14"/>
      <c r="I195" s="38"/>
      <c r="J195" s="38"/>
      <c r="K195" s="46"/>
      <c r="L195" s="47"/>
      <c r="M195" s="46"/>
      <c r="N195" s="46"/>
      <c r="O195" s="62"/>
      <c r="P195" s="118"/>
      <c r="Q195" s="14"/>
      <c r="R195" s="67"/>
      <c r="S195" s="67"/>
      <c r="T195" s="67"/>
      <c r="U195" s="120"/>
      <c r="V195" s="121"/>
      <c r="W195" s="122"/>
      <c r="X195" s="123"/>
      <c r="Y195" s="117"/>
      <c r="Z195" s="117"/>
    </row>
    <row r="196" spans="1:26">
      <c r="A196" s="42"/>
      <c r="B196" s="42"/>
      <c r="C196" s="38"/>
      <c r="D196" s="42"/>
      <c r="E196" s="38"/>
      <c r="F196" s="44"/>
      <c r="G196" s="42"/>
      <c r="H196" s="14"/>
      <c r="I196" s="38"/>
      <c r="J196" s="38"/>
      <c r="K196" s="46"/>
      <c r="L196" s="47"/>
      <c r="M196" s="46"/>
      <c r="N196" s="46"/>
      <c r="O196" s="62"/>
      <c r="P196" s="118"/>
      <c r="Q196" s="14"/>
      <c r="R196" s="67"/>
      <c r="S196" s="67"/>
      <c r="T196" s="67"/>
      <c r="U196" s="120"/>
      <c r="V196" s="121"/>
      <c r="W196" s="122"/>
      <c r="X196" s="123"/>
      <c r="Y196" s="117"/>
      <c r="Z196" s="117"/>
    </row>
    <row r="197" spans="1:26">
      <c r="A197" s="42"/>
      <c r="B197" s="42"/>
      <c r="C197" s="38"/>
      <c r="D197" s="42"/>
      <c r="E197" s="38"/>
      <c r="F197" s="44"/>
      <c r="G197" s="42"/>
      <c r="H197" s="14"/>
      <c r="I197" s="38"/>
      <c r="J197" s="38"/>
      <c r="K197" s="46"/>
      <c r="L197" s="47"/>
      <c r="M197" s="46"/>
      <c r="N197" s="46"/>
      <c r="O197" s="62"/>
      <c r="P197" s="118"/>
      <c r="Q197" s="14"/>
      <c r="R197" s="67"/>
      <c r="S197" s="67"/>
      <c r="T197" s="67"/>
      <c r="U197" s="120"/>
      <c r="V197" s="121"/>
      <c r="W197" s="122"/>
      <c r="X197" s="123"/>
      <c r="Y197" s="117"/>
      <c r="Z197" s="117"/>
    </row>
    <row r="198" spans="1:26">
      <c r="A198" s="42"/>
      <c r="B198" s="42"/>
      <c r="C198" s="38"/>
      <c r="D198" s="42"/>
      <c r="E198" s="38"/>
      <c r="F198" s="44"/>
      <c r="G198" s="42"/>
      <c r="H198" s="79"/>
      <c r="I198" s="38"/>
      <c r="J198" s="38"/>
      <c r="K198" s="46"/>
      <c r="L198" s="47"/>
      <c r="M198" s="46"/>
      <c r="N198" s="46"/>
      <c r="O198" s="62"/>
      <c r="P198" s="118"/>
      <c r="Q198" s="14"/>
      <c r="R198" s="67"/>
      <c r="S198" s="67"/>
      <c r="T198" s="67"/>
      <c r="U198" s="120"/>
      <c r="V198" s="121"/>
      <c r="W198" s="122"/>
      <c r="X198" s="123"/>
      <c r="Y198" s="117"/>
      <c r="Z198" s="117"/>
    </row>
    <row r="199" spans="1:26">
      <c r="A199" s="42"/>
      <c r="B199" s="42"/>
      <c r="C199" s="38"/>
      <c r="D199" s="42"/>
      <c r="E199" s="38"/>
      <c r="F199" s="44"/>
      <c r="G199" s="42"/>
      <c r="H199" s="14"/>
      <c r="I199" s="38"/>
      <c r="J199" s="38"/>
      <c r="K199" s="46"/>
      <c r="L199" s="47"/>
      <c r="M199" s="46"/>
      <c r="N199" s="46"/>
      <c r="O199" s="62"/>
      <c r="P199" s="118"/>
      <c r="Q199" s="14"/>
      <c r="R199" s="67"/>
      <c r="S199" s="67"/>
      <c r="T199" s="67"/>
      <c r="U199" s="120"/>
      <c r="V199" s="121"/>
      <c r="W199" s="122"/>
      <c r="X199" s="123"/>
      <c r="Y199" s="117"/>
      <c r="Z199" s="117"/>
    </row>
  </sheetData>
  <dataValidations count="1">
    <dataValidation type="list" allowBlank="1" showErrorMessage="1" sqref="U2:U56 U93" xr:uid="{00000000-0002-0000-0300-000002000000}">
      <formula1>"Yes,No"</formula1>
    </dataValidation>
  </dataValidations>
  <hyperlinks>
    <hyperlink ref="F2" r:id="rId1" xr:uid="{00000000-0004-0000-0300-000000000000}"/>
    <hyperlink ref="F3" r:id="rId2" xr:uid="{00000000-0004-0000-0300-000001000000}"/>
    <hyperlink ref="F4" r:id="rId3" xr:uid="{00000000-0004-0000-0300-000002000000}"/>
    <hyperlink ref="F5" r:id="rId4" xr:uid="{00000000-0004-0000-0300-000003000000}"/>
    <hyperlink ref="F6" r:id="rId5" xr:uid="{00000000-0004-0000-0300-000004000000}"/>
    <hyperlink ref="F7" r:id="rId6" xr:uid="{00000000-0004-0000-0300-000005000000}"/>
    <hyperlink ref="F8" r:id="rId7" xr:uid="{00000000-0004-0000-0300-000006000000}"/>
    <hyperlink ref="F9" r:id="rId8" xr:uid="{00000000-0004-0000-0300-000007000000}"/>
    <hyperlink ref="F11" r:id="rId9" xr:uid="{00000000-0004-0000-0300-000008000000}"/>
    <hyperlink ref="F12" r:id="rId10" xr:uid="{00000000-0004-0000-0300-000009000000}"/>
    <hyperlink ref="F14" r:id="rId11" xr:uid="{00000000-0004-0000-0300-00000A000000}"/>
    <hyperlink ref="F15" r:id="rId12" xr:uid="{00000000-0004-0000-0300-00000B000000}"/>
    <hyperlink ref="F16" r:id="rId13" xr:uid="{00000000-0004-0000-0300-00000C000000}"/>
    <hyperlink ref="F17" r:id="rId14" xr:uid="{00000000-0004-0000-0300-00000D000000}"/>
    <hyperlink ref="F18" r:id="rId15" xr:uid="{00000000-0004-0000-0300-00000E000000}"/>
    <hyperlink ref="F19" r:id="rId16" xr:uid="{00000000-0004-0000-0300-00000F000000}"/>
    <hyperlink ref="F20" r:id="rId17" xr:uid="{00000000-0004-0000-0300-000010000000}"/>
    <hyperlink ref="F35" r:id="rId18" xr:uid="{00000000-0004-0000-0300-000011000000}"/>
    <hyperlink ref="F43" r:id="rId19" xr:uid="{00000000-0004-0000-0300-000012000000}"/>
    <hyperlink ref="F55" r:id="rId20" xr:uid="{00000000-0004-0000-0300-000013000000}"/>
    <hyperlink ref="F56" r:id="rId21" xr:uid="{00000000-0004-0000-0300-000014000000}"/>
    <hyperlink ref="F76" r:id="rId22" xr:uid="{00000000-0004-0000-0300-000015000000}"/>
    <hyperlink ref="F91" r:id="rId23" xr:uid="{00000000-0004-0000-0300-000016000000}"/>
    <hyperlink ref="F93" r:id="rId24" xr:uid="{00000000-0004-0000-0300-000017000000}"/>
    <hyperlink ref="F104" r:id="rId25" xr:uid="{00000000-0004-0000-0300-000018000000}"/>
    <hyperlink ref="F114" r:id="rId26" xr:uid="{00000000-0004-0000-0300-000019000000}"/>
  </hyperlinks>
  <pageMargins left="0.7" right="0.7" top="0.75" bottom="0.75" header="0.3" footer="0.3"/>
  <drawing r:id="rId27"/>
  <legacyDrawing r:id="rId28"/>
  <extLst>
    <ext xmlns:x14="http://schemas.microsoft.com/office/spreadsheetml/2009/9/main" uri="{CCE6A557-97BC-4b89-ADB6-D9C93CAAB3DF}">
      <x14:dataValidations xmlns:xm="http://schemas.microsoft.com/office/excel/2006/main" count="5">
        <x14:dataValidation type="list" allowBlank="1" xr:uid="{00000000-0002-0000-0300-000000000000}">
          <x14:formula1>
            <xm:f>Fields!$F$2:$F$4</xm:f>
          </x14:formula1>
          <xm:sqref>C2:C103 C127:C199</xm:sqref>
        </x14:dataValidation>
        <x14:dataValidation type="list" allowBlank="1" xr:uid="{00000000-0002-0000-0300-000001000000}">
          <x14:formula1>
            <xm:f>Fields!$D$2:$D$15</xm:f>
          </x14:formula1>
          <xm:sqref>B104:B126</xm:sqref>
        </x14:dataValidation>
        <x14:dataValidation type="list" allowBlank="1" xr:uid="{00000000-0002-0000-0300-000003000000}">
          <x14:formula1>
            <xm:f>Fields!$D$2:$D$4</xm:f>
          </x14:formula1>
          <xm:sqref>B55:B103</xm:sqref>
        </x14:dataValidation>
        <x14:dataValidation type="list" allowBlank="1" xr:uid="{00000000-0002-0000-0300-000004000000}">
          <x14:formula1>
            <xm:f>Fields!$F$2:$F$12</xm:f>
          </x14:formula1>
          <xm:sqref>C104:C126</xm:sqref>
        </x14:dataValidation>
        <x14:dataValidation type="list" allowBlank="1" xr:uid="{00000000-0002-0000-0300-000005000000}">
          <x14:formula1>
            <xm:f>Fields!$A$2:$A$8</xm:f>
          </x14:formula1>
          <xm:sqref>D55:D126</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109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 min="34" max="40" width="36.42578125" customWidth="1"/>
  </cols>
  <sheetData>
    <row r="1" spans="1:40" ht="45" customHeight="1">
      <c r="A1" s="130" t="s">
        <v>1</v>
      </c>
      <c r="B1" s="131" t="str">
        <f>HYPERLINK("#rangeid=2086300674","Content Owner")</f>
        <v>Content Owner</v>
      </c>
      <c r="C1" s="132" t="str">
        <f>HYPERLINK("#rangeid=632369931","Video Owner")</f>
        <v>Video Owner</v>
      </c>
      <c r="D1" s="133" t="s">
        <v>6</v>
      </c>
      <c r="E1" s="45" t="s">
        <v>12</v>
      </c>
      <c r="F1" s="134" t="s">
        <v>16</v>
      </c>
      <c r="G1" s="130" t="s">
        <v>18</v>
      </c>
      <c r="H1" s="132" t="str">
        <f>HYPERLINK("#rangeid=906849400","Description")</f>
        <v>Description</v>
      </c>
      <c r="I1" s="135" t="s">
        <v>22</v>
      </c>
      <c r="J1" s="130" t="s">
        <v>24</v>
      </c>
      <c r="K1" s="136" t="s">
        <v>25</v>
      </c>
      <c r="L1" s="130" t="s">
        <v>27</v>
      </c>
      <c r="M1" s="130" t="s">
        <v>28</v>
      </c>
      <c r="N1" s="130" t="s">
        <v>29</v>
      </c>
      <c r="O1" s="130" t="s">
        <v>30</v>
      </c>
      <c r="P1" s="130" t="s">
        <v>31</v>
      </c>
      <c r="Q1" s="130" t="s">
        <v>32</v>
      </c>
      <c r="R1" s="137" t="s">
        <v>33</v>
      </c>
      <c r="S1" s="137" t="s">
        <v>34</v>
      </c>
      <c r="T1" s="137" t="s">
        <v>35</v>
      </c>
      <c r="U1" s="138" t="s">
        <v>36</v>
      </c>
      <c r="V1" s="139" t="s">
        <v>37</v>
      </c>
      <c r="W1" s="140" t="str">
        <f>HYPERLINK("#rangeid=120001109","Replay")</f>
        <v>Replay</v>
      </c>
      <c r="X1" s="141" t="s">
        <v>49</v>
      </c>
      <c r="Y1" s="134" t="s">
        <v>52</v>
      </c>
      <c r="Z1" s="130" t="s">
        <v>53</v>
      </c>
      <c r="AA1" s="142"/>
      <c r="AB1" s="142"/>
      <c r="AC1" s="142"/>
      <c r="AD1" s="142"/>
      <c r="AE1" s="142"/>
      <c r="AF1" s="142"/>
      <c r="AG1" s="142"/>
      <c r="AH1" s="142"/>
      <c r="AI1" s="142"/>
      <c r="AJ1" s="142"/>
      <c r="AK1" s="142"/>
      <c r="AL1" s="142"/>
      <c r="AM1" s="142"/>
      <c r="AN1" s="142"/>
    </row>
    <row r="2" spans="1:40">
      <c r="A2" s="44">
        <v>20</v>
      </c>
      <c r="B2" s="44" t="s">
        <v>155</v>
      </c>
      <c r="C2" s="63"/>
      <c r="D2" s="44" t="s">
        <v>56</v>
      </c>
      <c r="E2" s="44" t="s">
        <v>157</v>
      </c>
      <c r="F2" s="43" t="s">
        <v>158</v>
      </c>
      <c r="G2" s="44"/>
      <c r="H2" s="45"/>
      <c r="I2" s="44"/>
      <c r="J2" s="44">
        <f>8.5*1000</f>
        <v>8500</v>
      </c>
      <c r="K2" s="143">
        <v>7.1874999999999994E-3</v>
      </c>
      <c r="L2" s="144" t="s">
        <v>61</v>
      </c>
      <c r="M2" s="143"/>
      <c r="N2" s="143"/>
      <c r="O2" s="44"/>
      <c r="P2" s="145">
        <v>42990</v>
      </c>
      <c r="Q2" s="45" t="str">
        <f t="shared" ref="Q2:Q169" ca="1" si="0">HYPERLINK(IF(INT(A2)-A2=0,"",REPLACE(INDIRECT("MasterList!e"&amp;INT(A2)+1),25,8,"embed/")&amp;"?start="&amp;HOUR(M2)*3600+MINUTE(M2)*60+SECOND(M2)&amp;"&amp;end="&amp;HOUR(N2)*3600+MINUTE(N2)*60+SECOND(N2)&amp;"&amp;autoplay=1"))</f>
        <v/>
      </c>
      <c r="R2" s="147"/>
      <c r="S2" s="147"/>
      <c r="T2" s="147"/>
      <c r="U2" s="148"/>
      <c r="V2" s="149"/>
      <c r="W2" s="150"/>
      <c r="X2" s="151"/>
      <c r="Y2" s="44"/>
      <c r="Z2" s="44"/>
      <c r="AA2" s="152"/>
      <c r="AB2" s="152"/>
      <c r="AC2" s="152"/>
      <c r="AD2" s="152"/>
      <c r="AE2" s="152"/>
      <c r="AF2" s="152"/>
      <c r="AG2" s="152"/>
      <c r="AH2" s="44"/>
      <c r="AI2" s="44"/>
      <c r="AJ2" s="44"/>
      <c r="AK2" s="44"/>
      <c r="AL2" s="44"/>
      <c r="AM2" s="44"/>
      <c r="AN2" s="44"/>
    </row>
    <row r="3" spans="1:40">
      <c r="A3" s="44">
        <v>20.010000000000002</v>
      </c>
      <c r="B3" s="44" t="s">
        <v>155</v>
      </c>
      <c r="C3" s="63"/>
      <c r="D3" s="44" t="s">
        <v>56</v>
      </c>
      <c r="E3" s="44"/>
      <c r="F3" s="43"/>
      <c r="G3" s="44" t="s">
        <v>723</v>
      </c>
      <c r="H3" s="58" t="s">
        <v>724</v>
      </c>
      <c r="I3" s="44"/>
      <c r="J3" s="44"/>
      <c r="K3" s="143"/>
      <c r="L3" s="144"/>
      <c r="M3" s="143">
        <v>5.7870370370370378E-4</v>
      </c>
      <c r="N3" s="143">
        <v>3.2407407407407406E-3</v>
      </c>
      <c r="O3" s="143">
        <f t="shared" ref="O3:O5" si="1">N3-M3</f>
        <v>2.662037037037037E-3</v>
      </c>
      <c r="P3" s="145">
        <v>42990</v>
      </c>
      <c r="Q3" s="153" t="str">
        <f t="shared" ca="1" si="0"/>
        <v>https://www.youtube.com/embed/_IcfDP-ezpo?start=50&amp;end=280&amp;autoplay=1</v>
      </c>
      <c r="R3" s="147" t="s">
        <v>63</v>
      </c>
      <c r="S3" s="147" t="s">
        <v>561</v>
      </c>
      <c r="T3" s="147" t="s">
        <v>63</v>
      </c>
      <c r="U3" s="148"/>
      <c r="V3" s="149"/>
      <c r="W3" s="150" t="s">
        <v>64</v>
      </c>
      <c r="X3" s="151"/>
      <c r="Y3" s="44"/>
      <c r="Z3" s="44"/>
      <c r="AA3" s="152"/>
      <c r="AB3" s="152"/>
      <c r="AC3" s="152"/>
      <c r="AD3" s="152"/>
      <c r="AE3" s="152"/>
      <c r="AF3" s="152"/>
      <c r="AG3" s="152"/>
      <c r="AH3" s="44"/>
      <c r="AI3" s="44"/>
      <c r="AJ3" s="44"/>
      <c r="AK3" s="44"/>
      <c r="AL3" s="44"/>
      <c r="AM3" s="44"/>
      <c r="AN3" s="44"/>
    </row>
    <row r="4" spans="1:40">
      <c r="A4" s="44">
        <v>20.02</v>
      </c>
      <c r="B4" s="44" t="s">
        <v>155</v>
      </c>
      <c r="C4" s="63"/>
      <c r="D4" s="44" t="s">
        <v>56</v>
      </c>
      <c r="E4" s="44"/>
      <c r="F4" s="43"/>
      <c r="G4" s="44" t="s">
        <v>731</v>
      </c>
      <c r="H4" s="45" t="s">
        <v>732</v>
      </c>
      <c r="I4" s="44"/>
      <c r="J4" s="44"/>
      <c r="K4" s="143"/>
      <c r="L4" s="144"/>
      <c r="M4" s="143">
        <v>3.2407407407407406E-3</v>
      </c>
      <c r="N4" s="143">
        <v>5.7754629629629623E-3</v>
      </c>
      <c r="O4" s="143">
        <f t="shared" si="1"/>
        <v>2.5347222222222216E-3</v>
      </c>
      <c r="P4" s="145">
        <v>42990</v>
      </c>
      <c r="Q4" s="153" t="str">
        <f t="shared" ca="1" si="0"/>
        <v>https://www.youtube.com/embed/_IcfDP-ezpo?start=280&amp;end=499&amp;autoplay=1</v>
      </c>
      <c r="R4" s="147" t="s">
        <v>63</v>
      </c>
      <c r="S4" s="147" t="s">
        <v>561</v>
      </c>
      <c r="T4" s="147" t="s">
        <v>63</v>
      </c>
      <c r="U4" s="148"/>
      <c r="V4" s="149"/>
      <c r="W4" s="150" t="s">
        <v>64</v>
      </c>
      <c r="X4" s="151"/>
      <c r="Y4" s="44"/>
      <c r="Z4" s="44"/>
      <c r="AA4" s="152"/>
      <c r="AB4" s="152"/>
      <c r="AC4" s="152"/>
      <c r="AD4" s="152"/>
      <c r="AE4" s="152"/>
      <c r="AF4" s="152"/>
      <c r="AG4" s="152"/>
      <c r="AH4" s="44"/>
      <c r="AI4" s="44"/>
      <c r="AJ4" s="44"/>
      <c r="AK4" s="44"/>
      <c r="AL4" s="44"/>
      <c r="AM4" s="44"/>
      <c r="AN4" s="44"/>
    </row>
    <row r="5" spans="1:40">
      <c r="A5" s="44">
        <v>20.03</v>
      </c>
      <c r="B5" s="44" t="s">
        <v>155</v>
      </c>
      <c r="C5" s="63"/>
      <c r="D5" s="44" t="s">
        <v>56</v>
      </c>
      <c r="E5" s="44"/>
      <c r="F5" s="43"/>
      <c r="G5" s="44" t="s">
        <v>734</v>
      </c>
      <c r="H5" s="45" t="s">
        <v>735</v>
      </c>
      <c r="I5" s="44"/>
      <c r="J5" s="44"/>
      <c r="K5" s="143"/>
      <c r="L5" s="144"/>
      <c r="M5" s="143">
        <v>5.7754629629629623E-3</v>
      </c>
      <c r="N5" s="143">
        <v>7.1759259259259259E-3</v>
      </c>
      <c r="O5" s="143">
        <f t="shared" si="1"/>
        <v>1.4004629629629636E-3</v>
      </c>
      <c r="P5" s="145">
        <v>42990</v>
      </c>
      <c r="Q5" s="153" t="str">
        <f t="shared" ca="1" si="0"/>
        <v>https://www.youtube.com/embed/_IcfDP-ezpo?start=499&amp;end=620&amp;autoplay=1</v>
      </c>
      <c r="R5" s="147" t="s">
        <v>63</v>
      </c>
      <c r="S5" s="147" t="s">
        <v>561</v>
      </c>
      <c r="T5" s="147" t="s">
        <v>63</v>
      </c>
      <c r="U5" s="148"/>
      <c r="V5" s="149"/>
      <c r="W5" s="150" t="s">
        <v>64</v>
      </c>
      <c r="X5" s="151"/>
      <c r="Y5" s="44"/>
      <c r="Z5" s="44"/>
      <c r="AA5" s="152"/>
      <c r="AB5" s="152"/>
      <c r="AC5" s="152"/>
      <c r="AD5" s="152"/>
      <c r="AE5" s="152"/>
      <c r="AF5" s="152"/>
      <c r="AG5" s="152"/>
      <c r="AH5" s="44"/>
      <c r="AI5" s="44"/>
      <c r="AJ5" s="44"/>
      <c r="AK5" s="44"/>
      <c r="AL5" s="44"/>
      <c r="AM5" s="44"/>
      <c r="AN5" s="44"/>
    </row>
    <row r="6" spans="1:40">
      <c r="A6" s="44">
        <v>22</v>
      </c>
      <c r="B6" s="44" t="s">
        <v>155</v>
      </c>
      <c r="C6" s="63"/>
      <c r="D6" s="44" t="s">
        <v>56</v>
      </c>
      <c r="E6" s="44" t="s">
        <v>170</v>
      </c>
      <c r="F6" s="43" t="s">
        <v>171</v>
      </c>
      <c r="G6" s="44"/>
      <c r="H6" s="45"/>
      <c r="I6" s="44"/>
      <c r="J6" s="44">
        <f>4.9*1000</f>
        <v>4900</v>
      </c>
      <c r="K6" s="143">
        <v>9.2939814814814812E-3</v>
      </c>
      <c r="L6" s="144" t="s">
        <v>61</v>
      </c>
      <c r="M6" s="143"/>
      <c r="N6" s="143"/>
      <c r="O6" s="44"/>
      <c r="P6" s="145">
        <v>42990</v>
      </c>
      <c r="Q6" s="45" t="str">
        <f t="shared" ca="1" si="0"/>
        <v/>
      </c>
      <c r="R6" s="147"/>
      <c r="S6" s="147"/>
      <c r="T6" s="147"/>
      <c r="U6" s="148"/>
      <c r="V6" s="149"/>
      <c r="W6" s="150"/>
      <c r="X6" s="151"/>
      <c r="Y6" s="44"/>
      <c r="Z6" s="44"/>
      <c r="AA6" s="152"/>
      <c r="AB6" s="152"/>
      <c r="AC6" s="152"/>
      <c r="AD6" s="152"/>
      <c r="AE6" s="152"/>
      <c r="AF6" s="152"/>
      <c r="AG6" s="152"/>
      <c r="AH6" s="44"/>
      <c r="AI6" s="44"/>
      <c r="AJ6" s="44"/>
      <c r="AK6" s="44"/>
      <c r="AL6" s="44"/>
      <c r="AM6" s="44"/>
      <c r="AN6" s="44"/>
    </row>
    <row r="7" spans="1:40">
      <c r="A7" s="44">
        <v>22.01</v>
      </c>
      <c r="B7" s="44" t="s">
        <v>155</v>
      </c>
      <c r="C7" s="63"/>
      <c r="D7" s="44" t="s">
        <v>56</v>
      </c>
      <c r="E7" s="44"/>
      <c r="F7" s="43"/>
      <c r="G7" s="61" t="s">
        <v>742</v>
      </c>
      <c r="H7" s="45" t="s">
        <v>743</v>
      </c>
      <c r="I7" s="44"/>
      <c r="J7" s="44"/>
      <c r="K7" s="143"/>
      <c r="L7" s="144"/>
      <c r="M7" s="143">
        <v>0</v>
      </c>
      <c r="N7" s="143">
        <v>1.1805555555555556E-3</v>
      </c>
      <c r="O7" s="143">
        <f t="shared" ref="O7:O12" si="2">N7-M7</f>
        <v>1.1805555555555556E-3</v>
      </c>
      <c r="P7" s="145">
        <v>42990</v>
      </c>
      <c r="Q7" s="153" t="str">
        <f t="shared" ca="1" si="0"/>
        <v>https://www.youtube.com/embed/Uq2PJjcHiqI?start=0&amp;end=102&amp;autoplay=1</v>
      </c>
      <c r="R7" s="147" t="s">
        <v>63</v>
      </c>
      <c r="S7" s="147" t="s">
        <v>561</v>
      </c>
      <c r="T7" s="147" t="s">
        <v>63</v>
      </c>
      <c r="U7" s="148"/>
      <c r="V7" s="149"/>
      <c r="W7" s="150" t="s">
        <v>64</v>
      </c>
      <c r="X7" s="151"/>
      <c r="Y7" s="44"/>
      <c r="Z7" s="44"/>
      <c r="AA7" s="152"/>
      <c r="AB7" s="152"/>
      <c r="AC7" s="152"/>
      <c r="AD7" s="152"/>
      <c r="AE7" s="152"/>
      <c r="AF7" s="152"/>
      <c r="AG7" s="152"/>
      <c r="AH7" s="44"/>
      <c r="AI7" s="44"/>
      <c r="AJ7" s="44"/>
      <c r="AK7" s="44"/>
      <c r="AL7" s="44"/>
      <c r="AM7" s="44"/>
      <c r="AN7" s="44"/>
    </row>
    <row r="8" spans="1:40">
      <c r="A8" s="44">
        <v>22.02</v>
      </c>
      <c r="B8" s="44" t="s">
        <v>155</v>
      </c>
      <c r="C8" s="63"/>
      <c r="D8" s="44" t="s">
        <v>56</v>
      </c>
      <c r="E8" s="44"/>
      <c r="F8" s="43"/>
      <c r="G8" s="44" t="s">
        <v>747</v>
      </c>
      <c r="H8" s="45" t="s">
        <v>748</v>
      </c>
      <c r="I8" s="44"/>
      <c r="J8" s="44"/>
      <c r="K8" s="143"/>
      <c r="L8" s="144"/>
      <c r="M8" s="143">
        <v>1.1805555555555556E-3</v>
      </c>
      <c r="N8" s="143">
        <v>3.1018518518518522E-3</v>
      </c>
      <c r="O8" s="143">
        <f t="shared" si="2"/>
        <v>1.9212962962962966E-3</v>
      </c>
      <c r="P8" s="145">
        <v>42990</v>
      </c>
      <c r="Q8" s="153" t="str">
        <f t="shared" ca="1" si="0"/>
        <v>https://www.youtube.com/embed/Uq2PJjcHiqI?start=102&amp;end=268&amp;autoplay=1</v>
      </c>
      <c r="R8" s="147" t="s">
        <v>63</v>
      </c>
      <c r="S8" s="147" t="s">
        <v>561</v>
      </c>
      <c r="T8" s="147" t="s">
        <v>63</v>
      </c>
      <c r="U8" s="148"/>
      <c r="V8" s="149"/>
      <c r="W8" s="150" t="s">
        <v>64</v>
      </c>
      <c r="X8" s="151"/>
      <c r="Y8" s="44"/>
      <c r="Z8" s="44"/>
      <c r="AA8" s="152"/>
      <c r="AB8" s="152"/>
      <c r="AC8" s="152"/>
      <c r="AD8" s="152"/>
      <c r="AE8" s="152"/>
      <c r="AF8" s="152"/>
      <c r="AG8" s="152"/>
      <c r="AH8" s="44"/>
      <c r="AI8" s="44"/>
      <c r="AJ8" s="44"/>
      <c r="AK8" s="44"/>
      <c r="AL8" s="44"/>
      <c r="AM8" s="44"/>
      <c r="AN8" s="44"/>
    </row>
    <row r="9" spans="1:40">
      <c r="A9" s="44">
        <v>22.03</v>
      </c>
      <c r="B9" s="44" t="s">
        <v>155</v>
      </c>
      <c r="C9" s="63"/>
      <c r="D9" s="44" t="s">
        <v>56</v>
      </c>
      <c r="E9" s="44"/>
      <c r="F9" s="43"/>
      <c r="G9" s="44" t="s">
        <v>752</v>
      </c>
      <c r="H9" s="58" t="s">
        <v>753</v>
      </c>
      <c r="I9" s="44"/>
      <c r="J9" s="44"/>
      <c r="K9" s="143"/>
      <c r="L9" s="144"/>
      <c r="M9" s="143">
        <v>3.1018518518518522E-3</v>
      </c>
      <c r="N9" s="143">
        <v>4.6412037037037038E-3</v>
      </c>
      <c r="O9" s="143">
        <f t="shared" si="2"/>
        <v>1.5393518518518516E-3</v>
      </c>
      <c r="P9" s="145">
        <v>42990</v>
      </c>
      <c r="Q9" s="153" t="str">
        <f t="shared" ca="1" si="0"/>
        <v>https://www.youtube.com/embed/Uq2PJjcHiqI?start=268&amp;end=401&amp;autoplay=1</v>
      </c>
      <c r="R9" s="147" t="s">
        <v>63</v>
      </c>
      <c r="S9" s="147" t="s">
        <v>561</v>
      </c>
      <c r="T9" s="147" t="s">
        <v>63</v>
      </c>
      <c r="U9" s="148"/>
      <c r="V9" s="149"/>
      <c r="W9" s="150" t="s">
        <v>64</v>
      </c>
      <c r="X9" s="151"/>
      <c r="Y9" s="44"/>
      <c r="Z9" s="44" t="s">
        <v>756</v>
      </c>
      <c r="AA9" s="152"/>
      <c r="AB9" s="152"/>
      <c r="AC9" s="152"/>
      <c r="AD9" s="152"/>
      <c r="AE9" s="152"/>
      <c r="AF9" s="152"/>
      <c r="AG9" s="152"/>
      <c r="AH9" s="44"/>
      <c r="AI9" s="44"/>
      <c r="AJ9" s="44"/>
      <c r="AK9" s="44"/>
      <c r="AL9" s="44"/>
      <c r="AM9" s="44"/>
      <c r="AN9" s="44"/>
    </row>
    <row r="10" spans="1:40">
      <c r="A10" s="63">
        <v>22.04</v>
      </c>
      <c r="B10" s="44" t="s">
        <v>155</v>
      </c>
      <c r="C10" s="63"/>
      <c r="D10" s="44" t="s">
        <v>56</v>
      </c>
      <c r="E10" s="44"/>
      <c r="F10" s="43"/>
      <c r="G10" s="44" t="s">
        <v>758</v>
      </c>
      <c r="H10" s="45" t="s">
        <v>759</v>
      </c>
      <c r="I10" s="44"/>
      <c r="J10" s="44"/>
      <c r="K10" s="143"/>
      <c r="L10" s="144"/>
      <c r="M10" s="143">
        <v>4.6412037037037038E-3</v>
      </c>
      <c r="N10" s="143">
        <v>7.2106481481481475E-3</v>
      </c>
      <c r="O10" s="155">
        <f t="shared" si="2"/>
        <v>2.5694444444444436E-3</v>
      </c>
      <c r="P10" s="145">
        <v>42990</v>
      </c>
      <c r="Q10" s="153" t="str">
        <f t="shared" ca="1" si="0"/>
        <v>https://www.youtube.com/embed/Uq2PJjcHiqI?start=401&amp;end=623&amp;autoplay=1</v>
      </c>
      <c r="R10" s="147" t="s">
        <v>63</v>
      </c>
      <c r="S10" s="147" t="s">
        <v>561</v>
      </c>
      <c r="T10" s="147" t="s">
        <v>63</v>
      </c>
      <c r="U10" s="148"/>
      <c r="V10" s="149"/>
      <c r="W10" s="150" t="s">
        <v>64</v>
      </c>
      <c r="X10" s="151"/>
      <c r="Y10" s="44"/>
      <c r="Z10" s="44"/>
      <c r="AA10" s="152"/>
      <c r="AB10" s="152"/>
      <c r="AC10" s="152"/>
      <c r="AD10" s="152"/>
      <c r="AE10" s="152"/>
      <c r="AF10" s="152"/>
      <c r="AG10" s="152"/>
      <c r="AH10" s="44"/>
      <c r="AI10" s="44"/>
      <c r="AJ10" s="44"/>
      <c r="AK10" s="44"/>
      <c r="AL10" s="44"/>
      <c r="AM10" s="44"/>
      <c r="AN10" s="44"/>
    </row>
    <row r="11" spans="1:40">
      <c r="A11" s="44">
        <v>22.05</v>
      </c>
      <c r="B11" s="44" t="s">
        <v>155</v>
      </c>
      <c r="C11" s="63"/>
      <c r="D11" s="44" t="s">
        <v>56</v>
      </c>
      <c r="E11" s="44"/>
      <c r="F11" s="43"/>
      <c r="G11" s="44" t="s">
        <v>760</v>
      </c>
      <c r="H11" s="45" t="s">
        <v>762</v>
      </c>
      <c r="I11" s="44"/>
      <c r="J11" s="44"/>
      <c r="K11" s="143"/>
      <c r="L11" s="144"/>
      <c r="M11" s="143">
        <v>7.2106481481481475E-3</v>
      </c>
      <c r="N11" s="143">
        <v>7.6736111111111111E-3</v>
      </c>
      <c r="O11" s="143">
        <f t="shared" si="2"/>
        <v>4.6296296296296363E-4</v>
      </c>
      <c r="P11" s="145">
        <v>42990</v>
      </c>
      <c r="Q11" s="153" t="str">
        <f t="shared" ca="1" si="0"/>
        <v>https://www.youtube.com/embed/Uq2PJjcHiqI?start=623&amp;end=663&amp;autoplay=1</v>
      </c>
      <c r="R11" s="147" t="s">
        <v>63</v>
      </c>
      <c r="S11" s="147" t="s">
        <v>561</v>
      </c>
      <c r="T11" s="147" t="s">
        <v>63</v>
      </c>
      <c r="U11" s="148"/>
      <c r="V11" s="149"/>
      <c r="W11" s="150" t="s">
        <v>64</v>
      </c>
      <c r="X11" s="151"/>
      <c r="Y11" s="44"/>
      <c r="Z11" s="44" t="s">
        <v>765</v>
      </c>
      <c r="AA11" s="152"/>
      <c r="AB11" s="152"/>
      <c r="AC11" s="152"/>
      <c r="AD11" s="152"/>
      <c r="AE11" s="152"/>
      <c r="AF11" s="152"/>
      <c r="AG11" s="152"/>
      <c r="AH11" s="44"/>
      <c r="AI11" s="44"/>
      <c r="AJ11" s="44"/>
      <c r="AK11" s="44"/>
      <c r="AL11" s="44"/>
      <c r="AM11" s="44"/>
      <c r="AN11" s="44"/>
    </row>
    <row r="12" spans="1:40">
      <c r="A12" s="44">
        <v>22.06</v>
      </c>
      <c r="B12" s="44" t="s">
        <v>155</v>
      </c>
      <c r="C12" s="63"/>
      <c r="D12" s="44" t="s">
        <v>56</v>
      </c>
      <c r="E12" s="44"/>
      <c r="F12" s="43"/>
      <c r="G12" s="44" t="s">
        <v>766</v>
      </c>
      <c r="H12" s="45" t="s">
        <v>767</v>
      </c>
      <c r="I12" s="44"/>
      <c r="J12" s="44"/>
      <c r="K12" s="143"/>
      <c r="L12" s="144"/>
      <c r="M12" s="143">
        <v>7.6851851851851855E-3</v>
      </c>
      <c r="N12" s="143">
        <v>9.2824074074074076E-3</v>
      </c>
      <c r="O12" s="143">
        <f t="shared" si="2"/>
        <v>1.5972222222222221E-3</v>
      </c>
      <c r="P12" s="145">
        <v>42990</v>
      </c>
      <c r="Q12" s="153" t="str">
        <f t="shared" ca="1" si="0"/>
        <v>https://www.youtube.com/embed/Uq2PJjcHiqI?start=664&amp;end=802&amp;autoplay=1</v>
      </c>
      <c r="R12" s="147" t="s">
        <v>63</v>
      </c>
      <c r="S12" s="147" t="s">
        <v>561</v>
      </c>
      <c r="T12" s="147" t="s">
        <v>63</v>
      </c>
      <c r="U12" s="148"/>
      <c r="V12" s="149"/>
      <c r="W12" s="150" t="s">
        <v>64</v>
      </c>
      <c r="X12" s="151"/>
      <c r="Y12" s="44"/>
      <c r="Z12" s="44"/>
      <c r="AA12" s="152"/>
      <c r="AB12" s="152"/>
      <c r="AC12" s="152"/>
      <c r="AD12" s="152"/>
      <c r="AE12" s="152"/>
      <c r="AF12" s="152"/>
      <c r="AG12" s="152"/>
      <c r="AH12" s="44"/>
      <c r="AI12" s="44"/>
      <c r="AJ12" s="44"/>
      <c r="AK12" s="44"/>
      <c r="AL12" s="44"/>
      <c r="AM12" s="44"/>
      <c r="AN12" s="44"/>
    </row>
    <row r="13" spans="1:40">
      <c r="A13" s="63">
        <v>23</v>
      </c>
      <c r="B13" s="44" t="s">
        <v>155</v>
      </c>
      <c r="C13" s="63"/>
      <c r="D13" s="44" t="s">
        <v>56</v>
      </c>
      <c r="E13" s="44" t="s">
        <v>177</v>
      </c>
      <c r="F13" s="43" t="s">
        <v>179</v>
      </c>
      <c r="G13" s="44"/>
      <c r="H13" s="45"/>
      <c r="I13" s="44"/>
      <c r="J13" s="44">
        <f>3.6*1000</f>
        <v>3600</v>
      </c>
      <c r="K13" s="143">
        <v>7.4768518518518526E-3</v>
      </c>
      <c r="L13" s="144" t="s">
        <v>61</v>
      </c>
      <c r="M13" s="143"/>
      <c r="N13" s="143"/>
      <c r="O13" s="155"/>
      <c r="P13" s="145">
        <v>42991</v>
      </c>
      <c r="Q13" s="45" t="str">
        <f t="shared" ca="1" si="0"/>
        <v/>
      </c>
      <c r="R13" s="147"/>
      <c r="S13" s="147"/>
      <c r="T13" s="147"/>
      <c r="U13" s="148"/>
      <c r="V13" s="149"/>
      <c r="W13" s="150"/>
      <c r="X13" s="151"/>
      <c r="Y13" s="44"/>
      <c r="Z13" s="44"/>
      <c r="AA13" s="152"/>
      <c r="AB13" s="152"/>
      <c r="AC13" s="152"/>
      <c r="AD13" s="152"/>
      <c r="AE13" s="152"/>
      <c r="AF13" s="152"/>
      <c r="AG13" s="152"/>
      <c r="AH13" s="44"/>
      <c r="AI13" s="44"/>
      <c r="AJ13" s="44"/>
      <c r="AK13" s="44"/>
      <c r="AL13" s="44"/>
      <c r="AM13" s="44"/>
      <c r="AN13" s="44"/>
    </row>
    <row r="14" spans="1:40">
      <c r="A14" s="44">
        <v>23.01</v>
      </c>
      <c r="B14" s="44" t="s">
        <v>155</v>
      </c>
      <c r="C14" s="63"/>
      <c r="D14" s="44" t="s">
        <v>56</v>
      </c>
      <c r="E14" s="44"/>
      <c r="F14" s="43"/>
      <c r="G14" s="63" t="s">
        <v>774</v>
      </c>
      <c r="H14" s="58" t="s">
        <v>775</v>
      </c>
      <c r="I14" s="44"/>
      <c r="J14" s="44"/>
      <c r="K14" s="143"/>
      <c r="L14" s="144"/>
      <c r="M14" s="143">
        <v>0</v>
      </c>
      <c r="N14" s="143">
        <v>1.5162037037037036E-3</v>
      </c>
      <c r="O14" s="143">
        <f t="shared" ref="O14:O16" si="3">N14-M14</f>
        <v>1.5162037037037036E-3</v>
      </c>
      <c r="P14" s="145">
        <v>42991</v>
      </c>
      <c r="Q14" s="153" t="str">
        <f t="shared" ca="1" si="0"/>
        <v>https://www.youtube.com/embed/5LJPOCxc3E8?start=0&amp;end=131&amp;autoplay=1</v>
      </c>
      <c r="R14" s="147" t="s">
        <v>63</v>
      </c>
      <c r="S14" s="147" t="s">
        <v>561</v>
      </c>
      <c r="T14" s="147" t="s">
        <v>63</v>
      </c>
      <c r="U14" s="148"/>
      <c r="V14" s="149"/>
      <c r="W14" s="150" t="s">
        <v>64</v>
      </c>
      <c r="X14" s="151"/>
      <c r="Y14" s="44"/>
      <c r="Z14" s="44"/>
      <c r="AA14" s="152"/>
      <c r="AB14" s="152"/>
      <c r="AC14" s="152"/>
      <c r="AD14" s="152"/>
      <c r="AE14" s="152"/>
      <c r="AF14" s="152"/>
      <c r="AG14" s="152"/>
      <c r="AH14" s="44"/>
      <c r="AI14" s="44"/>
      <c r="AJ14" s="44"/>
      <c r="AK14" s="44"/>
      <c r="AL14" s="44"/>
      <c r="AM14" s="44"/>
      <c r="AN14" s="44"/>
    </row>
    <row r="15" spans="1:40">
      <c r="A15" s="44">
        <v>23.02</v>
      </c>
      <c r="B15" s="44" t="s">
        <v>155</v>
      </c>
      <c r="C15" s="63"/>
      <c r="D15" s="44" t="s">
        <v>56</v>
      </c>
      <c r="E15" s="44"/>
      <c r="F15" s="43"/>
      <c r="G15" s="45" t="s">
        <v>776</v>
      </c>
      <c r="H15" s="44" t="s">
        <v>777</v>
      </c>
      <c r="I15" s="44"/>
      <c r="J15" s="44"/>
      <c r="K15" s="143"/>
      <c r="L15" s="144"/>
      <c r="M15" s="143">
        <v>1.5162037037037036E-3</v>
      </c>
      <c r="N15" s="143">
        <v>4.0856481481481481E-3</v>
      </c>
      <c r="O15" s="143">
        <f t="shared" si="3"/>
        <v>2.5694444444444445E-3</v>
      </c>
      <c r="P15" s="145">
        <v>42991</v>
      </c>
      <c r="Q15" s="153" t="str">
        <f t="shared" ca="1" si="0"/>
        <v>https://www.youtube.com/embed/5LJPOCxc3E8?start=131&amp;end=353&amp;autoplay=1</v>
      </c>
      <c r="R15" s="147" t="s">
        <v>63</v>
      </c>
      <c r="S15" s="147" t="s">
        <v>561</v>
      </c>
      <c r="T15" s="147" t="s">
        <v>63</v>
      </c>
      <c r="U15" s="148"/>
      <c r="V15" s="149"/>
      <c r="W15" s="150" t="s">
        <v>64</v>
      </c>
      <c r="X15" s="151"/>
      <c r="Y15" s="44"/>
      <c r="Z15" s="44"/>
      <c r="AA15" s="152"/>
      <c r="AB15" s="152"/>
      <c r="AC15" s="152"/>
      <c r="AD15" s="152"/>
      <c r="AE15" s="152"/>
      <c r="AF15" s="152"/>
      <c r="AG15" s="152"/>
      <c r="AH15" s="44"/>
      <c r="AI15" s="44"/>
      <c r="AJ15" s="44"/>
      <c r="AK15" s="44"/>
      <c r="AL15" s="44"/>
      <c r="AM15" s="44"/>
      <c r="AN15" s="44"/>
    </row>
    <row r="16" spans="1:40">
      <c r="A16" s="44">
        <v>23.03</v>
      </c>
      <c r="B16" s="44" t="s">
        <v>155</v>
      </c>
      <c r="C16" s="63"/>
      <c r="D16" s="44" t="s">
        <v>56</v>
      </c>
      <c r="E16" s="44"/>
      <c r="F16" s="43"/>
      <c r="G16" s="44" t="s">
        <v>781</v>
      </c>
      <c r="H16" s="45" t="s">
        <v>782</v>
      </c>
      <c r="I16" s="44"/>
      <c r="J16" s="44"/>
      <c r="K16" s="143"/>
      <c r="L16" s="144"/>
      <c r="M16" s="143">
        <v>4.1435185185185186E-3</v>
      </c>
      <c r="N16" s="143">
        <v>7.3958333333333341E-3</v>
      </c>
      <c r="O16" s="143">
        <f t="shared" si="3"/>
        <v>3.2523148148148155E-3</v>
      </c>
      <c r="P16" s="145">
        <v>42991</v>
      </c>
      <c r="Q16" s="153" t="str">
        <f t="shared" ca="1" si="0"/>
        <v>https://www.youtube.com/embed/5LJPOCxc3E8?start=358&amp;end=639&amp;autoplay=1</v>
      </c>
      <c r="R16" s="147" t="s">
        <v>63</v>
      </c>
      <c r="S16" s="147" t="s">
        <v>561</v>
      </c>
      <c r="T16" s="147" t="s">
        <v>63</v>
      </c>
      <c r="U16" s="148"/>
      <c r="V16" s="149"/>
      <c r="W16" s="150" t="s">
        <v>64</v>
      </c>
      <c r="X16" s="151"/>
      <c r="Y16" s="44"/>
      <c r="Z16" s="44"/>
      <c r="AA16" s="152"/>
      <c r="AB16" s="152"/>
      <c r="AC16" s="152"/>
      <c r="AD16" s="152"/>
      <c r="AE16" s="152"/>
      <c r="AF16" s="152"/>
      <c r="AG16" s="152"/>
      <c r="AH16" s="44"/>
      <c r="AI16" s="44"/>
      <c r="AJ16" s="44"/>
      <c r="AK16" s="44"/>
      <c r="AL16" s="44"/>
      <c r="AM16" s="44"/>
      <c r="AN16" s="44"/>
    </row>
    <row r="17" spans="1:40">
      <c r="A17" s="44">
        <v>26</v>
      </c>
      <c r="B17" s="44" t="s">
        <v>155</v>
      </c>
      <c r="C17" s="63"/>
      <c r="D17" s="44" t="s">
        <v>56</v>
      </c>
      <c r="E17" s="44" t="s">
        <v>198</v>
      </c>
      <c r="F17" s="43" t="s">
        <v>199</v>
      </c>
      <c r="G17" s="44"/>
      <c r="H17" s="45"/>
      <c r="I17" s="44"/>
      <c r="J17" s="44">
        <f>14*1000</f>
        <v>14000</v>
      </c>
      <c r="K17" s="143">
        <v>7.4884259259259262E-3</v>
      </c>
      <c r="L17" s="144" t="s">
        <v>61</v>
      </c>
      <c r="M17" s="143"/>
      <c r="N17" s="143"/>
      <c r="O17" s="44"/>
      <c r="P17" s="145">
        <v>42991</v>
      </c>
      <c r="Q17" s="45" t="str">
        <f t="shared" ca="1" si="0"/>
        <v/>
      </c>
      <c r="R17" s="147"/>
      <c r="S17" s="147"/>
      <c r="T17" s="147"/>
      <c r="U17" s="148"/>
      <c r="V17" s="149"/>
      <c r="W17" s="150"/>
      <c r="X17" s="151"/>
      <c r="Y17" s="44"/>
      <c r="Z17" s="44"/>
      <c r="AA17" s="152"/>
      <c r="AB17" s="152"/>
      <c r="AC17" s="152"/>
      <c r="AD17" s="152"/>
      <c r="AE17" s="152"/>
      <c r="AF17" s="152"/>
      <c r="AG17" s="152"/>
      <c r="AH17" s="44"/>
      <c r="AI17" s="44"/>
      <c r="AJ17" s="44"/>
      <c r="AK17" s="44"/>
      <c r="AL17" s="44"/>
      <c r="AM17" s="44"/>
      <c r="AN17" s="44"/>
    </row>
    <row r="18" spans="1:40">
      <c r="A18" s="44">
        <v>26.01</v>
      </c>
      <c r="B18" s="44" t="s">
        <v>155</v>
      </c>
      <c r="C18" s="63"/>
      <c r="D18" s="44" t="s">
        <v>56</v>
      </c>
      <c r="E18" s="44"/>
      <c r="F18" s="43"/>
      <c r="G18" s="44" t="s">
        <v>747</v>
      </c>
      <c r="H18" s="45" t="s">
        <v>786</v>
      </c>
      <c r="I18" s="44"/>
      <c r="J18" s="44"/>
      <c r="K18" s="143"/>
      <c r="L18" s="144"/>
      <c r="M18" s="143">
        <v>9.2592592592592585E-4</v>
      </c>
      <c r="N18" s="143">
        <v>2.9861111111111113E-3</v>
      </c>
      <c r="O18" s="143">
        <f t="shared" ref="O18:O20" si="4">N18-M18</f>
        <v>2.0601851851851853E-3</v>
      </c>
      <c r="P18" s="145">
        <v>42991</v>
      </c>
      <c r="Q18" s="153" t="str">
        <f t="shared" ca="1" si="0"/>
        <v>https://www.youtube.com/embed/RdBz1kIwrqo?start=80&amp;end=258&amp;autoplay=1</v>
      </c>
      <c r="R18" s="147" t="s">
        <v>63</v>
      </c>
      <c r="S18" s="147" t="s">
        <v>561</v>
      </c>
      <c r="T18" s="147" t="s">
        <v>63</v>
      </c>
      <c r="U18" s="148"/>
      <c r="V18" s="149"/>
      <c r="W18" s="150" t="s">
        <v>151</v>
      </c>
      <c r="X18" s="151"/>
      <c r="Y18" s="44"/>
      <c r="Z18" s="44" t="s">
        <v>790</v>
      </c>
      <c r="AA18" s="152"/>
      <c r="AB18" s="152"/>
      <c r="AC18" s="152"/>
      <c r="AD18" s="152"/>
      <c r="AE18" s="152"/>
      <c r="AF18" s="152"/>
      <c r="AG18" s="152"/>
      <c r="AH18" s="44"/>
      <c r="AI18" s="44"/>
      <c r="AJ18" s="44"/>
      <c r="AK18" s="44"/>
      <c r="AL18" s="44"/>
      <c r="AM18" s="44"/>
      <c r="AN18" s="44"/>
    </row>
    <row r="19" spans="1:40">
      <c r="A19" s="44">
        <v>26.02</v>
      </c>
      <c r="B19" s="44" t="s">
        <v>155</v>
      </c>
      <c r="C19" s="63"/>
      <c r="D19" s="44" t="s">
        <v>56</v>
      </c>
      <c r="E19" s="44"/>
      <c r="F19" s="43"/>
      <c r="G19" s="44" t="s">
        <v>792</v>
      </c>
      <c r="H19" s="45" t="s">
        <v>793</v>
      </c>
      <c r="I19" s="44"/>
      <c r="J19" s="44"/>
      <c r="K19" s="143"/>
      <c r="L19" s="144"/>
      <c r="M19" s="143">
        <v>3.0787037037037037E-3</v>
      </c>
      <c r="N19" s="143">
        <v>4.6412037037037038E-3</v>
      </c>
      <c r="O19" s="143">
        <f t="shared" si="4"/>
        <v>1.5625000000000001E-3</v>
      </c>
      <c r="P19" s="145">
        <v>42991</v>
      </c>
      <c r="Q19" s="153" t="str">
        <f t="shared" ca="1" si="0"/>
        <v>https://www.youtube.com/embed/RdBz1kIwrqo?start=266&amp;end=401&amp;autoplay=1</v>
      </c>
      <c r="R19" s="147" t="s">
        <v>63</v>
      </c>
      <c r="S19" s="147" t="s">
        <v>561</v>
      </c>
      <c r="T19" s="147" t="s">
        <v>63</v>
      </c>
      <c r="U19" s="148"/>
      <c r="V19" s="149"/>
      <c r="W19" s="150" t="s">
        <v>151</v>
      </c>
      <c r="X19" s="151"/>
      <c r="Y19" s="44"/>
      <c r="Z19" s="44"/>
      <c r="AA19" s="152"/>
      <c r="AB19" s="152"/>
      <c r="AC19" s="152"/>
      <c r="AD19" s="152"/>
      <c r="AE19" s="152"/>
      <c r="AF19" s="152"/>
      <c r="AG19" s="152"/>
      <c r="AH19" s="44"/>
      <c r="AI19" s="44"/>
      <c r="AJ19" s="44"/>
      <c r="AK19" s="44"/>
      <c r="AL19" s="44"/>
      <c r="AM19" s="44"/>
      <c r="AN19" s="44"/>
    </row>
    <row r="20" spans="1:40">
      <c r="A20" s="44">
        <v>26.03</v>
      </c>
      <c r="B20" s="44" t="s">
        <v>155</v>
      </c>
      <c r="C20" s="63"/>
      <c r="D20" s="44" t="s">
        <v>56</v>
      </c>
      <c r="E20" s="44"/>
      <c r="F20" s="43"/>
      <c r="G20" s="44" t="s">
        <v>798</v>
      </c>
      <c r="H20" s="45" t="s">
        <v>799</v>
      </c>
      <c r="I20" s="44"/>
      <c r="J20" s="44"/>
      <c r="K20" s="143"/>
      <c r="L20" s="144"/>
      <c r="M20" s="143">
        <v>6.5162037037037037E-3</v>
      </c>
      <c r="N20" s="143">
        <v>7.4768518518518526E-3</v>
      </c>
      <c r="O20" s="143">
        <f t="shared" si="4"/>
        <v>9.6064814814814884E-4</v>
      </c>
      <c r="P20" s="157">
        <v>42991</v>
      </c>
      <c r="Q20" s="153" t="str">
        <f t="shared" ca="1" si="0"/>
        <v>https://www.youtube.com/embed/RdBz1kIwrqo?start=563&amp;end=646&amp;autoplay=1</v>
      </c>
      <c r="R20" s="147" t="s">
        <v>63</v>
      </c>
      <c r="S20" s="147" t="s">
        <v>561</v>
      </c>
      <c r="T20" s="147" t="s">
        <v>63</v>
      </c>
      <c r="U20" s="148"/>
      <c r="V20" s="149"/>
      <c r="W20" s="150" t="s">
        <v>151</v>
      </c>
      <c r="X20" s="151"/>
      <c r="Y20" s="44"/>
      <c r="Z20" s="44"/>
      <c r="AA20" s="152"/>
      <c r="AB20" s="152"/>
      <c r="AC20" s="152"/>
      <c r="AD20" s="152"/>
      <c r="AE20" s="152"/>
      <c r="AF20" s="152"/>
      <c r="AG20" s="152"/>
      <c r="AH20" s="63"/>
      <c r="AI20" s="63"/>
      <c r="AJ20" s="63"/>
      <c r="AK20" s="63"/>
      <c r="AL20" s="63"/>
      <c r="AM20" s="63"/>
      <c r="AN20" s="63"/>
    </row>
    <row r="21" spans="1:40">
      <c r="A21" s="44">
        <v>27</v>
      </c>
      <c r="B21" s="44" t="s">
        <v>155</v>
      </c>
      <c r="C21" s="63"/>
      <c r="D21" s="44" t="s">
        <v>56</v>
      </c>
      <c r="E21" s="44" t="s">
        <v>205</v>
      </c>
      <c r="F21" s="43" t="s">
        <v>206</v>
      </c>
      <c r="G21" s="44"/>
      <c r="H21" s="45"/>
      <c r="I21" s="44"/>
      <c r="J21" s="44">
        <f>15*1000</f>
        <v>15000</v>
      </c>
      <c r="K21" s="143">
        <v>3.2407407407407406E-3</v>
      </c>
      <c r="L21" s="144" t="s">
        <v>61</v>
      </c>
      <c r="M21" s="143"/>
      <c r="N21" s="143"/>
      <c r="O21" s="44"/>
      <c r="P21" s="44"/>
      <c r="Q21" s="45" t="str">
        <f t="shared" ca="1" si="0"/>
        <v/>
      </c>
      <c r="R21" s="147"/>
      <c r="S21" s="147"/>
      <c r="T21" s="147"/>
      <c r="U21" s="148"/>
      <c r="V21" s="149"/>
      <c r="W21" s="150"/>
      <c r="X21" s="151"/>
      <c r="Y21" s="44"/>
      <c r="Z21" s="44" t="s">
        <v>802</v>
      </c>
      <c r="AA21" s="152"/>
      <c r="AB21" s="152"/>
      <c r="AC21" s="152"/>
      <c r="AD21" s="152"/>
      <c r="AE21" s="152"/>
      <c r="AF21" s="152"/>
      <c r="AG21" s="152"/>
      <c r="AH21" s="44"/>
      <c r="AI21" s="44"/>
      <c r="AJ21" s="44"/>
      <c r="AK21" s="44"/>
      <c r="AL21" s="44"/>
      <c r="AM21" s="44"/>
      <c r="AN21" s="44"/>
    </row>
    <row r="22" spans="1:40">
      <c r="A22" s="44">
        <v>28</v>
      </c>
      <c r="B22" s="44" t="s">
        <v>155</v>
      </c>
      <c r="C22" s="44"/>
      <c r="D22" s="44" t="s">
        <v>56</v>
      </c>
      <c r="E22" s="44" t="s">
        <v>210</v>
      </c>
      <c r="F22" s="43" t="s">
        <v>212</v>
      </c>
      <c r="G22" s="44"/>
      <c r="H22" s="45"/>
      <c r="I22" s="44"/>
      <c r="J22" s="44">
        <f>9.3*1000</f>
        <v>9300</v>
      </c>
      <c r="K22" s="143">
        <v>8.0671296296296307E-3</v>
      </c>
      <c r="L22" s="144" t="s">
        <v>61</v>
      </c>
      <c r="M22" s="143"/>
      <c r="N22" s="143"/>
      <c r="O22" s="44"/>
      <c r="P22" s="44"/>
      <c r="Q22" s="45" t="str">
        <f t="shared" ca="1" si="0"/>
        <v/>
      </c>
      <c r="R22" s="147"/>
      <c r="S22" s="147"/>
      <c r="T22" s="147"/>
      <c r="U22" s="148"/>
      <c r="V22" s="149"/>
      <c r="W22" s="150"/>
      <c r="X22" s="151"/>
      <c r="Y22" s="44"/>
      <c r="Z22" s="44"/>
      <c r="AA22" s="152"/>
      <c r="AB22" s="152"/>
      <c r="AC22" s="152"/>
      <c r="AD22" s="152"/>
      <c r="AE22" s="152"/>
      <c r="AF22" s="152"/>
      <c r="AG22" s="152"/>
      <c r="AH22" s="44"/>
      <c r="AI22" s="44"/>
      <c r="AJ22" s="44"/>
      <c r="AK22" s="44"/>
      <c r="AL22" s="44"/>
      <c r="AM22" s="44"/>
      <c r="AN22" s="44"/>
    </row>
    <row r="23" spans="1:40">
      <c r="A23" s="44">
        <v>28.01</v>
      </c>
      <c r="B23" s="44" t="s">
        <v>155</v>
      </c>
      <c r="C23" s="63"/>
      <c r="D23" s="44" t="s">
        <v>56</v>
      </c>
      <c r="E23" s="44"/>
      <c r="F23" s="43"/>
      <c r="G23" s="44" t="s">
        <v>804</v>
      </c>
      <c r="H23" s="45" t="s">
        <v>805</v>
      </c>
      <c r="I23" s="44"/>
      <c r="J23" s="44"/>
      <c r="K23" s="143"/>
      <c r="L23" s="144"/>
      <c r="M23" s="143">
        <v>0</v>
      </c>
      <c r="N23" s="143">
        <v>8.7962962962962962E-4</v>
      </c>
      <c r="O23" s="143">
        <f t="shared" ref="O23:O26" si="5">N23-M23</f>
        <v>8.7962962962962962E-4</v>
      </c>
      <c r="P23" s="158">
        <v>42991</v>
      </c>
      <c r="Q23" s="153" t="str">
        <f t="shared" ca="1" si="0"/>
        <v>https://www.youtube.com/embed/N0PD3TuLvoo?start=0&amp;end=76&amp;autoplay=1</v>
      </c>
      <c r="R23" s="147" t="s">
        <v>63</v>
      </c>
      <c r="S23" s="147" t="s">
        <v>561</v>
      </c>
      <c r="T23" s="147" t="s">
        <v>63</v>
      </c>
      <c r="U23" s="148"/>
      <c r="V23" s="149"/>
      <c r="W23" s="150" t="s">
        <v>151</v>
      </c>
      <c r="X23" s="151"/>
      <c r="Y23" s="44"/>
      <c r="Z23" s="44"/>
      <c r="AA23" s="152"/>
      <c r="AB23" s="152"/>
      <c r="AC23" s="152"/>
      <c r="AD23" s="152"/>
      <c r="AE23" s="152"/>
      <c r="AF23" s="152"/>
      <c r="AG23" s="152"/>
      <c r="AH23" s="44"/>
      <c r="AI23" s="44"/>
      <c r="AJ23" s="44"/>
      <c r="AK23" s="44"/>
      <c r="AL23" s="44"/>
      <c r="AM23" s="44"/>
      <c r="AN23" s="44"/>
    </row>
    <row r="24" spans="1:40">
      <c r="A24" s="63">
        <v>28.02</v>
      </c>
      <c r="B24" s="44" t="s">
        <v>155</v>
      </c>
      <c r="C24" s="63"/>
      <c r="D24" s="44" t="s">
        <v>56</v>
      </c>
      <c r="E24" s="44"/>
      <c r="F24" s="43"/>
      <c r="G24" s="44" t="s">
        <v>807</v>
      </c>
      <c r="H24" s="58" t="s">
        <v>808</v>
      </c>
      <c r="I24" s="44"/>
      <c r="J24" s="44"/>
      <c r="K24" s="143"/>
      <c r="L24" s="144"/>
      <c r="M24" s="143">
        <v>8.9120370370370362E-4</v>
      </c>
      <c r="N24" s="143">
        <v>2.1296296296296298E-3</v>
      </c>
      <c r="O24" s="155">
        <f t="shared" si="5"/>
        <v>1.2384259259259262E-3</v>
      </c>
      <c r="P24" s="158">
        <v>42991</v>
      </c>
      <c r="Q24" s="153" t="str">
        <f t="shared" ca="1" si="0"/>
        <v>https://www.youtube.com/embed/N0PD3TuLvoo?start=77&amp;end=184&amp;autoplay=1</v>
      </c>
      <c r="R24" s="159" t="s">
        <v>63</v>
      </c>
      <c r="S24" s="159" t="s">
        <v>561</v>
      </c>
      <c r="T24" s="159" t="s">
        <v>63</v>
      </c>
      <c r="U24" s="148"/>
      <c r="V24" s="149"/>
      <c r="W24" s="150" t="s">
        <v>151</v>
      </c>
      <c r="X24" s="151"/>
      <c r="Y24" s="44"/>
      <c r="Z24" s="44" t="s">
        <v>812</v>
      </c>
      <c r="AA24" s="152"/>
      <c r="AB24" s="152"/>
      <c r="AC24" s="152"/>
      <c r="AD24" s="152"/>
      <c r="AE24" s="152"/>
      <c r="AF24" s="152"/>
      <c r="AG24" s="152"/>
      <c r="AH24" s="44"/>
      <c r="AI24" s="44"/>
      <c r="AJ24" s="44"/>
      <c r="AK24" s="44"/>
      <c r="AL24" s="44"/>
      <c r="AM24" s="44"/>
      <c r="AN24" s="44"/>
    </row>
    <row r="25" spans="1:40">
      <c r="A25" s="63">
        <v>28.03</v>
      </c>
      <c r="B25" s="44" t="s">
        <v>155</v>
      </c>
      <c r="C25" s="63"/>
      <c r="D25" s="44" t="s">
        <v>56</v>
      </c>
      <c r="E25" s="44"/>
      <c r="F25" s="43"/>
      <c r="G25" s="63" t="s">
        <v>813</v>
      </c>
      <c r="H25" s="44" t="s">
        <v>814</v>
      </c>
      <c r="I25" s="44"/>
      <c r="J25" s="44"/>
      <c r="K25" s="143"/>
      <c r="L25" s="144"/>
      <c r="M25" s="143">
        <v>2.2800925925925927E-3</v>
      </c>
      <c r="N25" s="143">
        <v>3.5185185185185185E-3</v>
      </c>
      <c r="O25" s="155">
        <f t="shared" si="5"/>
        <v>1.2384259259259258E-3</v>
      </c>
      <c r="P25" s="158">
        <v>42991</v>
      </c>
      <c r="Q25" s="153" t="str">
        <f t="shared" ca="1" si="0"/>
        <v>https://www.youtube.com/embed/N0PD3TuLvoo?start=197&amp;end=304&amp;autoplay=1</v>
      </c>
      <c r="R25" s="159" t="s">
        <v>63</v>
      </c>
      <c r="S25" s="159" t="s">
        <v>561</v>
      </c>
      <c r="T25" s="159" t="s">
        <v>63</v>
      </c>
      <c r="U25" s="148"/>
      <c r="V25" s="149"/>
      <c r="W25" s="150" t="s">
        <v>151</v>
      </c>
      <c r="X25" s="151"/>
      <c r="Y25" s="44"/>
      <c r="Z25" s="44" t="s">
        <v>812</v>
      </c>
      <c r="AA25" s="152"/>
      <c r="AB25" s="152"/>
      <c r="AC25" s="152"/>
      <c r="AD25" s="152"/>
      <c r="AE25" s="152"/>
      <c r="AF25" s="152"/>
      <c r="AG25" s="152"/>
      <c r="AH25" s="44"/>
      <c r="AI25" s="44"/>
      <c r="AJ25" s="44"/>
      <c r="AK25" s="44"/>
      <c r="AL25" s="44"/>
      <c r="AM25" s="44"/>
      <c r="AN25" s="44"/>
    </row>
    <row r="26" spans="1:40">
      <c r="A26" s="63">
        <v>28.04</v>
      </c>
      <c r="B26" s="44" t="s">
        <v>155</v>
      </c>
      <c r="C26" s="63"/>
      <c r="D26" s="44" t="s">
        <v>56</v>
      </c>
      <c r="E26" s="44"/>
      <c r="F26" s="43"/>
      <c r="G26" s="44" t="s">
        <v>815</v>
      </c>
      <c r="H26" s="58" t="s">
        <v>816</v>
      </c>
      <c r="I26" s="44"/>
      <c r="J26" s="44"/>
      <c r="K26" s="143"/>
      <c r="L26" s="144"/>
      <c r="M26" s="143">
        <v>3.5185185185185185E-3</v>
      </c>
      <c r="N26" s="143">
        <v>6.0995370370370361E-3</v>
      </c>
      <c r="O26" s="155">
        <f t="shared" si="5"/>
        <v>2.5810185185185176E-3</v>
      </c>
      <c r="P26" s="158">
        <v>42991</v>
      </c>
      <c r="Q26" s="153" t="str">
        <f t="shared" ca="1" si="0"/>
        <v>https://www.youtube.com/embed/N0PD3TuLvoo?start=304&amp;end=527&amp;autoplay=1</v>
      </c>
      <c r="R26" s="159" t="s">
        <v>63</v>
      </c>
      <c r="S26" s="159" t="s">
        <v>561</v>
      </c>
      <c r="T26" s="159" t="s">
        <v>63</v>
      </c>
      <c r="U26" s="148"/>
      <c r="V26" s="149"/>
      <c r="W26" s="150" t="s">
        <v>151</v>
      </c>
      <c r="X26" s="151"/>
      <c r="Y26" s="44"/>
      <c r="Z26" s="44" t="s">
        <v>817</v>
      </c>
      <c r="AA26" s="152"/>
      <c r="AB26" s="152"/>
      <c r="AC26" s="152"/>
      <c r="AD26" s="152"/>
      <c r="AE26" s="152"/>
      <c r="AF26" s="152"/>
      <c r="AG26" s="152"/>
      <c r="AH26" s="44"/>
      <c r="AI26" s="44"/>
      <c r="AJ26" s="44"/>
      <c r="AK26" s="44"/>
      <c r="AL26" s="44"/>
      <c r="AM26" s="44"/>
      <c r="AN26" s="44"/>
    </row>
    <row r="27" spans="1:40">
      <c r="A27" s="44">
        <v>29</v>
      </c>
      <c r="B27" s="44" t="s">
        <v>155</v>
      </c>
      <c r="C27" s="63"/>
      <c r="D27" s="44" t="s">
        <v>56</v>
      </c>
      <c r="E27" s="44" t="s">
        <v>215</v>
      </c>
      <c r="F27" s="43" t="s">
        <v>216</v>
      </c>
      <c r="G27" s="44"/>
      <c r="H27" s="45"/>
      <c r="I27" s="44"/>
      <c r="J27" s="44">
        <f>35*1000</f>
        <v>35000</v>
      </c>
      <c r="K27" s="143">
        <v>7.6851851851851847E-3</v>
      </c>
      <c r="L27" s="144" t="s">
        <v>61</v>
      </c>
      <c r="M27" s="143"/>
      <c r="N27" s="143"/>
      <c r="O27" s="44"/>
      <c r="P27" s="157">
        <v>42992</v>
      </c>
      <c r="Q27" s="45" t="str">
        <f t="shared" ca="1" si="0"/>
        <v/>
      </c>
      <c r="R27" s="147"/>
      <c r="S27" s="147"/>
      <c r="T27" s="147"/>
      <c r="U27" s="148"/>
      <c r="V27" s="149"/>
      <c r="W27" s="150"/>
      <c r="X27" s="151"/>
      <c r="Y27" s="44"/>
      <c r="Z27" s="44"/>
      <c r="AA27" s="152"/>
      <c r="AB27" s="152"/>
      <c r="AC27" s="152"/>
      <c r="AD27" s="152"/>
      <c r="AE27" s="152"/>
      <c r="AF27" s="152"/>
      <c r="AG27" s="152"/>
      <c r="AH27" s="61"/>
      <c r="AI27" s="61"/>
      <c r="AJ27" s="61"/>
      <c r="AK27" s="61"/>
      <c r="AL27" s="61"/>
      <c r="AM27" s="61"/>
      <c r="AN27" s="61"/>
    </row>
    <row r="28" spans="1:40">
      <c r="A28" s="44">
        <v>29.01</v>
      </c>
      <c r="B28" s="44" t="s">
        <v>155</v>
      </c>
      <c r="C28" s="63"/>
      <c r="D28" s="44" t="s">
        <v>56</v>
      </c>
      <c r="E28" s="44"/>
      <c r="F28" s="43"/>
      <c r="G28" s="44" t="s">
        <v>723</v>
      </c>
      <c r="H28" s="45" t="s">
        <v>820</v>
      </c>
      <c r="I28" s="44"/>
      <c r="J28" s="44"/>
      <c r="K28" s="143"/>
      <c r="L28" s="144"/>
      <c r="M28" s="143">
        <v>0</v>
      </c>
      <c r="N28" s="143">
        <v>2.4421296296296296E-3</v>
      </c>
      <c r="O28" s="143">
        <f t="shared" ref="O28:O32" si="6">N28-M28</f>
        <v>2.4421296296296296E-3</v>
      </c>
      <c r="P28" s="158">
        <v>42992</v>
      </c>
      <c r="Q28" s="153" t="str">
        <f t="shared" ca="1" si="0"/>
        <v>https://www.youtube.com/embed/C3_6Ub1GnfA?start=0&amp;end=211&amp;autoplay=1</v>
      </c>
      <c r="R28" s="147" t="s">
        <v>63</v>
      </c>
      <c r="S28" s="147" t="s">
        <v>561</v>
      </c>
      <c r="T28" s="147" t="s">
        <v>63</v>
      </c>
      <c r="U28" s="148"/>
      <c r="V28" s="149"/>
      <c r="W28" s="150" t="s">
        <v>64</v>
      </c>
      <c r="X28" s="151"/>
      <c r="Y28" s="44"/>
      <c r="Z28" s="44"/>
      <c r="AA28" s="152"/>
      <c r="AB28" s="152"/>
      <c r="AC28" s="152"/>
      <c r="AD28" s="152"/>
      <c r="AE28" s="152"/>
      <c r="AF28" s="152"/>
      <c r="AG28" s="152"/>
      <c r="AH28" s="44"/>
      <c r="AI28" s="44"/>
      <c r="AJ28" s="44"/>
      <c r="AK28" s="44"/>
      <c r="AL28" s="44"/>
      <c r="AM28" s="44"/>
      <c r="AN28" s="44"/>
    </row>
    <row r="29" spans="1:40">
      <c r="A29" s="63">
        <v>29.02</v>
      </c>
      <c r="B29" s="44" t="s">
        <v>155</v>
      </c>
      <c r="C29" s="63"/>
      <c r="D29" s="44" t="s">
        <v>56</v>
      </c>
      <c r="E29" s="44"/>
      <c r="F29" s="43"/>
      <c r="G29" s="44" t="s">
        <v>792</v>
      </c>
      <c r="H29" s="58" t="s">
        <v>821</v>
      </c>
      <c r="I29" s="44"/>
      <c r="J29" s="44"/>
      <c r="K29" s="143"/>
      <c r="L29" s="144"/>
      <c r="M29" s="143">
        <v>2.4421296296296296E-3</v>
      </c>
      <c r="N29" s="143">
        <v>4.9768518518518521E-3</v>
      </c>
      <c r="O29" s="155">
        <f t="shared" si="6"/>
        <v>2.5347222222222225E-3</v>
      </c>
      <c r="P29" s="158">
        <v>42992</v>
      </c>
      <c r="Q29" s="153" t="str">
        <f t="shared" ca="1" si="0"/>
        <v>https://www.youtube.com/embed/C3_6Ub1GnfA?start=211&amp;end=430&amp;autoplay=1</v>
      </c>
      <c r="R29" s="159" t="s">
        <v>63</v>
      </c>
      <c r="S29" s="159" t="s">
        <v>561</v>
      </c>
      <c r="T29" s="159" t="s">
        <v>63</v>
      </c>
      <c r="U29" s="148"/>
      <c r="V29" s="149"/>
      <c r="W29" s="150" t="s">
        <v>64</v>
      </c>
      <c r="X29" s="151"/>
      <c r="Y29" s="44"/>
      <c r="Z29" s="44"/>
      <c r="AA29" s="152"/>
      <c r="AB29" s="152"/>
      <c r="AC29" s="152"/>
      <c r="AD29" s="152"/>
      <c r="AE29" s="152"/>
      <c r="AF29" s="152"/>
      <c r="AG29" s="152"/>
      <c r="AH29" s="44"/>
      <c r="AI29" s="44"/>
      <c r="AJ29" s="44"/>
      <c r="AK29" s="44"/>
      <c r="AL29" s="44"/>
      <c r="AM29" s="44"/>
      <c r="AN29" s="44"/>
    </row>
    <row r="30" spans="1:40">
      <c r="A30" s="63">
        <v>29.03</v>
      </c>
      <c r="B30" s="44" t="s">
        <v>155</v>
      </c>
      <c r="C30" s="63"/>
      <c r="D30" s="44" t="s">
        <v>56</v>
      </c>
      <c r="E30" s="44"/>
      <c r="F30" s="43"/>
      <c r="G30" s="44" t="s">
        <v>823</v>
      </c>
      <c r="H30" s="58" t="s">
        <v>824</v>
      </c>
      <c r="I30" s="44"/>
      <c r="J30" s="44"/>
      <c r="K30" s="143"/>
      <c r="L30" s="144"/>
      <c r="M30" s="143">
        <v>4.9884259259259265E-3</v>
      </c>
      <c r="N30" s="143">
        <v>6.0185185185185177E-3</v>
      </c>
      <c r="O30" s="155">
        <f t="shared" si="6"/>
        <v>1.0300925925925911E-3</v>
      </c>
      <c r="P30" s="158">
        <v>42992</v>
      </c>
      <c r="Q30" s="153" t="str">
        <f t="shared" ca="1" si="0"/>
        <v>https://www.youtube.com/embed/C3_6Ub1GnfA?start=431&amp;end=520&amp;autoplay=1</v>
      </c>
      <c r="R30" s="159" t="s">
        <v>63</v>
      </c>
      <c r="S30" s="159" t="s">
        <v>561</v>
      </c>
      <c r="T30" s="159" t="s">
        <v>63</v>
      </c>
      <c r="U30" s="148"/>
      <c r="V30" s="149"/>
      <c r="W30" s="150" t="s">
        <v>64</v>
      </c>
      <c r="X30" s="151"/>
      <c r="Y30" s="44"/>
      <c r="Z30" s="44"/>
      <c r="AA30" s="152"/>
      <c r="AB30" s="152"/>
      <c r="AC30" s="152"/>
      <c r="AD30" s="152"/>
      <c r="AE30" s="152"/>
      <c r="AF30" s="152"/>
      <c r="AG30" s="152"/>
      <c r="AH30" s="44"/>
      <c r="AI30" s="44"/>
      <c r="AJ30" s="44"/>
      <c r="AK30" s="44"/>
      <c r="AL30" s="44"/>
      <c r="AM30" s="44"/>
      <c r="AN30" s="44"/>
    </row>
    <row r="31" spans="1:40">
      <c r="A31" s="63">
        <v>29.04</v>
      </c>
      <c r="B31" s="44" t="s">
        <v>155</v>
      </c>
      <c r="C31" s="44"/>
      <c r="D31" s="44" t="s">
        <v>56</v>
      </c>
      <c r="E31" s="44"/>
      <c r="F31" s="43"/>
      <c r="G31" s="44" t="s">
        <v>825</v>
      </c>
      <c r="H31" s="58" t="s">
        <v>826</v>
      </c>
      <c r="I31" s="44"/>
      <c r="J31" s="44"/>
      <c r="K31" s="143"/>
      <c r="L31" s="144"/>
      <c r="M31" s="143">
        <v>6.2268518518518515E-3</v>
      </c>
      <c r="N31" s="143">
        <v>6.8171296296296287E-3</v>
      </c>
      <c r="O31" s="155">
        <f t="shared" si="6"/>
        <v>5.9027777777777724E-4</v>
      </c>
      <c r="P31" s="158">
        <v>42992</v>
      </c>
      <c r="Q31" s="153" t="str">
        <f t="shared" ca="1" si="0"/>
        <v>https://www.youtube.com/embed/C3_6Ub1GnfA?start=538&amp;end=589&amp;autoplay=1</v>
      </c>
      <c r="R31" s="159" t="s">
        <v>63</v>
      </c>
      <c r="S31" s="159" t="s">
        <v>561</v>
      </c>
      <c r="T31" s="159" t="s">
        <v>63</v>
      </c>
      <c r="U31" s="148"/>
      <c r="V31" s="149"/>
      <c r="W31" s="150" t="s">
        <v>64</v>
      </c>
      <c r="X31" s="78"/>
      <c r="Y31" s="61"/>
      <c r="Z31" s="61"/>
      <c r="AA31" s="152"/>
      <c r="AB31" s="152"/>
      <c r="AC31" s="152"/>
      <c r="AD31" s="152"/>
      <c r="AE31" s="152"/>
      <c r="AF31" s="152"/>
      <c r="AG31" s="152"/>
      <c r="AH31" s="44"/>
      <c r="AI31" s="44"/>
      <c r="AJ31" s="44"/>
      <c r="AK31" s="44"/>
      <c r="AL31" s="44"/>
      <c r="AM31" s="44"/>
      <c r="AN31" s="44"/>
    </row>
    <row r="32" spans="1:40">
      <c r="A32" s="63">
        <v>29.05</v>
      </c>
      <c r="B32" s="44" t="s">
        <v>155</v>
      </c>
      <c r="C32" s="44"/>
      <c r="D32" s="44" t="s">
        <v>56</v>
      </c>
      <c r="E32" s="44"/>
      <c r="F32" s="43"/>
      <c r="G32" s="44" t="s">
        <v>747</v>
      </c>
      <c r="H32" s="58" t="s">
        <v>827</v>
      </c>
      <c r="I32" s="44"/>
      <c r="J32" s="44"/>
      <c r="K32" s="143"/>
      <c r="L32" s="144"/>
      <c r="M32" s="143">
        <v>6.8171296296296287E-3</v>
      </c>
      <c r="N32" s="143">
        <v>7.6736111111111111E-3</v>
      </c>
      <c r="O32" s="155">
        <f t="shared" si="6"/>
        <v>8.5648148148148237E-4</v>
      </c>
      <c r="P32" s="158">
        <v>42992</v>
      </c>
      <c r="Q32" s="153" t="str">
        <f t="shared" ca="1" si="0"/>
        <v>https://www.youtube.com/embed/C3_6Ub1GnfA?start=589&amp;end=663&amp;autoplay=1</v>
      </c>
      <c r="R32" s="159" t="s">
        <v>63</v>
      </c>
      <c r="S32" s="159" t="s">
        <v>561</v>
      </c>
      <c r="T32" s="159" t="s">
        <v>63</v>
      </c>
      <c r="U32" s="148"/>
      <c r="V32" s="149"/>
      <c r="W32" s="150" t="s">
        <v>64</v>
      </c>
      <c r="X32" s="78"/>
      <c r="Y32" s="61"/>
      <c r="Z32" s="61"/>
      <c r="AA32" s="152"/>
      <c r="AB32" s="152"/>
      <c r="AC32" s="152"/>
      <c r="AD32" s="152"/>
      <c r="AE32" s="152"/>
      <c r="AF32" s="152"/>
      <c r="AG32" s="152"/>
      <c r="AH32" s="44"/>
      <c r="AI32" s="44"/>
      <c r="AJ32" s="44"/>
      <c r="AK32" s="44"/>
      <c r="AL32" s="44"/>
      <c r="AM32" s="44"/>
      <c r="AN32" s="44"/>
    </row>
    <row r="33" spans="1:40">
      <c r="A33" s="63">
        <v>91</v>
      </c>
      <c r="B33" s="44" t="s">
        <v>155</v>
      </c>
      <c r="C33" s="44"/>
      <c r="D33" s="44" t="s">
        <v>56</v>
      </c>
      <c r="E33" s="44" t="s">
        <v>527</v>
      </c>
      <c r="F33" s="43" t="s">
        <v>528</v>
      </c>
      <c r="G33" s="63"/>
      <c r="H33" s="58"/>
      <c r="I33" s="44"/>
      <c r="J33" s="44">
        <f>44*1000</f>
        <v>44000</v>
      </c>
      <c r="K33" s="143">
        <v>2.4074074074074071E-2</v>
      </c>
      <c r="L33" s="144" t="s">
        <v>286</v>
      </c>
      <c r="M33" s="143"/>
      <c r="N33" s="143"/>
      <c r="O33" s="155"/>
      <c r="P33" s="158">
        <v>43008</v>
      </c>
      <c r="Q33" s="45" t="str">
        <f t="shared" ca="1" si="0"/>
        <v/>
      </c>
      <c r="R33" s="159"/>
      <c r="S33" s="159"/>
      <c r="T33" s="159"/>
      <c r="U33" s="148"/>
      <c r="V33" s="149"/>
      <c r="W33" s="150"/>
      <c r="X33" s="78"/>
      <c r="Y33" s="61"/>
      <c r="Z33" s="61"/>
      <c r="AA33" s="152"/>
      <c r="AB33" s="152"/>
      <c r="AC33" s="152"/>
      <c r="AD33" s="152"/>
      <c r="AE33" s="152"/>
      <c r="AF33" s="152"/>
      <c r="AG33" s="152"/>
      <c r="AH33" s="44"/>
      <c r="AI33" s="44"/>
      <c r="AJ33" s="44"/>
      <c r="AK33" s="44"/>
      <c r="AL33" s="44"/>
      <c r="AM33" s="44"/>
      <c r="AN33" s="44"/>
    </row>
    <row r="34" spans="1:40">
      <c r="A34" s="63">
        <v>91.01</v>
      </c>
      <c r="B34" s="44" t="s">
        <v>155</v>
      </c>
      <c r="C34" s="63"/>
      <c r="D34" s="44" t="s">
        <v>56</v>
      </c>
      <c r="E34" s="44"/>
      <c r="F34" s="43"/>
      <c r="G34" s="44" t="s">
        <v>828</v>
      </c>
      <c r="H34" s="58" t="s">
        <v>829</v>
      </c>
      <c r="I34" s="44"/>
      <c r="J34" s="44"/>
      <c r="K34" s="143"/>
      <c r="L34" s="144"/>
      <c r="M34" s="143">
        <v>1.0532407407407407E-3</v>
      </c>
      <c r="N34" s="143">
        <v>2.7777777777777779E-3</v>
      </c>
      <c r="O34" s="155">
        <f t="shared" ref="O34:O40" si="7">N34-M34</f>
        <v>1.7245370370370372E-3</v>
      </c>
      <c r="P34" s="158">
        <v>43008</v>
      </c>
      <c r="Q34" s="153" t="str">
        <f t="shared" ca="1" si="0"/>
        <v>https://www.youtube.com/embed/G3NpQQMh8jQ?start=91&amp;end=240&amp;autoplay=1</v>
      </c>
      <c r="R34" s="159" t="s">
        <v>63</v>
      </c>
      <c r="S34" s="159" t="s">
        <v>63</v>
      </c>
      <c r="T34" s="159" t="s">
        <v>63</v>
      </c>
      <c r="U34" s="148"/>
      <c r="V34" s="149"/>
      <c r="W34" s="150" t="s">
        <v>64</v>
      </c>
      <c r="X34" s="78"/>
      <c r="Y34" s="61"/>
      <c r="Z34" s="61"/>
      <c r="AA34" s="152"/>
      <c r="AB34" s="152"/>
      <c r="AC34" s="152"/>
      <c r="AD34" s="152"/>
      <c r="AE34" s="152"/>
      <c r="AF34" s="152"/>
      <c r="AG34" s="152"/>
      <c r="AH34" s="44"/>
      <c r="AI34" s="44"/>
      <c r="AJ34" s="44"/>
      <c r="AK34" s="44"/>
      <c r="AL34" s="44"/>
      <c r="AM34" s="44"/>
      <c r="AN34" s="44"/>
    </row>
    <row r="35" spans="1:40">
      <c r="A35" s="44">
        <v>91.02</v>
      </c>
      <c r="B35" s="44" t="s">
        <v>155</v>
      </c>
      <c r="C35" s="44"/>
      <c r="D35" s="44" t="s">
        <v>56</v>
      </c>
      <c r="E35" s="44"/>
      <c r="F35" s="43"/>
      <c r="G35" s="44" t="s">
        <v>834</v>
      </c>
      <c r="H35" s="45" t="s">
        <v>835</v>
      </c>
      <c r="I35" s="44"/>
      <c r="J35" s="44"/>
      <c r="K35" s="143"/>
      <c r="L35" s="144"/>
      <c r="M35" s="143">
        <v>2.7893518518518519E-3</v>
      </c>
      <c r="N35" s="143">
        <v>3.9699074074074072E-3</v>
      </c>
      <c r="O35" s="143">
        <f t="shared" si="7"/>
        <v>1.1805555555555554E-3</v>
      </c>
      <c r="P35" s="158">
        <v>43008</v>
      </c>
      <c r="Q35" s="153" t="str">
        <f t="shared" ca="1" si="0"/>
        <v>https://www.youtube.com/embed/G3NpQQMh8jQ?start=241&amp;end=343&amp;autoplay=1</v>
      </c>
      <c r="R35" s="147" t="s">
        <v>63</v>
      </c>
      <c r="S35" s="147" t="s">
        <v>63</v>
      </c>
      <c r="T35" s="147" t="s">
        <v>63</v>
      </c>
      <c r="U35" s="148"/>
      <c r="V35" s="149"/>
      <c r="W35" s="150" t="s">
        <v>64</v>
      </c>
      <c r="X35" s="151"/>
      <c r="Y35" s="44"/>
      <c r="Z35" s="44"/>
      <c r="AA35" s="152"/>
      <c r="AB35" s="152"/>
      <c r="AC35" s="152"/>
      <c r="AD35" s="152"/>
      <c r="AE35" s="152"/>
      <c r="AF35" s="152"/>
      <c r="AG35" s="152"/>
      <c r="AH35" s="44"/>
      <c r="AI35" s="44"/>
      <c r="AJ35" s="44"/>
      <c r="AK35" s="44"/>
      <c r="AL35" s="44"/>
      <c r="AM35" s="44"/>
      <c r="AN35" s="44"/>
    </row>
    <row r="36" spans="1:40">
      <c r="A36" s="63">
        <v>91.03</v>
      </c>
      <c r="B36" s="44" t="s">
        <v>155</v>
      </c>
      <c r="C36" s="44"/>
      <c r="D36" s="44" t="s">
        <v>56</v>
      </c>
      <c r="E36" s="44"/>
      <c r="F36" s="43"/>
      <c r="G36" s="44" t="s">
        <v>836</v>
      </c>
      <c r="H36" s="58" t="s">
        <v>837</v>
      </c>
      <c r="I36" s="44"/>
      <c r="J36" s="44"/>
      <c r="K36" s="143"/>
      <c r="L36" s="144"/>
      <c r="M36" s="143">
        <v>3.9699074074074072E-3</v>
      </c>
      <c r="N36" s="143">
        <v>1.0451388888888889E-2</v>
      </c>
      <c r="O36" s="155">
        <f t="shared" si="7"/>
        <v>6.4814814814814813E-3</v>
      </c>
      <c r="P36" s="158">
        <v>43008</v>
      </c>
      <c r="Q36" s="153" t="str">
        <f t="shared" ca="1" si="0"/>
        <v>https://www.youtube.com/embed/G3NpQQMh8jQ?start=343&amp;end=903&amp;autoplay=1</v>
      </c>
      <c r="R36" s="147" t="s">
        <v>63</v>
      </c>
      <c r="S36" s="147" t="s">
        <v>63</v>
      </c>
      <c r="T36" s="147" t="s">
        <v>63</v>
      </c>
      <c r="U36" s="148"/>
      <c r="V36" s="149"/>
      <c r="W36" s="150" t="s">
        <v>64</v>
      </c>
      <c r="X36" s="151"/>
      <c r="Y36" s="44"/>
      <c r="Z36" s="44" t="s">
        <v>840</v>
      </c>
      <c r="AA36" s="152"/>
      <c r="AB36" s="152"/>
      <c r="AC36" s="152"/>
      <c r="AD36" s="152"/>
      <c r="AE36" s="152"/>
      <c r="AF36" s="152"/>
      <c r="AG36" s="152"/>
      <c r="AH36" s="44"/>
      <c r="AI36" s="44"/>
      <c r="AJ36" s="44"/>
      <c r="AK36" s="44"/>
      <c r="AL36" s="44"/>
      <c r="AM36" s="44"/>
      <c r="AN36" s="44"/>
    </row>
    <row r="37" spans="1:40">
      <c r="A37" s="63">
        <v>91.04</v>
      </c>
      <c r="B37" s="44" t="s">
        <v>155</v>
      </c>
      <c r="C37" s="44"/>
      <c r="D37" s="44" t="s">
        <v>56</v>
      </c>
      <c r="E37" s="44"/>
      <c r="F37" s="43"/>
      <c r="G37" s="44" t="s">
        <v>841</v>
      </c>
      <c r="H37" s="58" t="s">
        <v>842</v>
      </c>
      <c r="I37" s="44"/>
      <c r="J37" s="44"/>
      <c r="K37" s="143"/>
      <c r="L37" s="144"/>
      <c r="M37" s="143">
        <v>1.0451388888888889E-2</v>
      </c>
      <c r="N37" s="143">
        <v>1.3020833333333334E-2</v>
      </c>
      <c r="O37" s="155">
        <f t="shared" si="7"/>
        <v>2.5694444444444454E-3</v>
      </c>
      <c r="P37" s="158">
        <v>43008</v>
      </c>
      <c r="Q37" s="153" t="str">
        <f t="shared" ca="1" si="0"/>
        <v>https://www.youtube.com/embed/G3NpQQMh8jQ?start=903&amp;end=1125&amp;autoplay=1</v>
      </c>
      <c r="R37" s="147" t="s">
        <v>63</v>
      </c>
      <c r="S37" s="147" t="s">
        <v>63</v>
      </c>
      <c r="T37" s="147" t="s">
        <v>63</v>
      </c>
      <c r="U37" s="148"/>
      <c r="V37" s="149"/>
      <c r="W37" s="150" t="s">
        <v>64</v>
      </c>
      <c r="X37" s="151"/>
      <c r="Y37" s="44"/>
      <c r="Z37" s="44"/>
      <c r="AA37" s="152"/>
      <c r="AB37" s="152"/>
      <c r="AC37" s="152"/>
      <c r="AD37" s="152"/>
      <c r="AE37" s="152"/>
      <c r="AF37" s="152"/>
      <c r="AG37" s="152"/>
      <c r="AH37" s="44"/>
      <c r="AI37" s="44"/>
      <c r="AJ37" s="44"/>
      <c r="AK37" s="44"/>
      <c r="AL37" s="44"/>
      <c r="AM37" s="44"/>
      <c r="AN37" s="44"/>
    </row>
    <row r="38" spans="1:40">
      <c r="A38" s="63">
        <v>91.05</v>
      </c>
      <c r="B38" s="44" t="s">
        <v>155</v>
      </c>
      <c r="C38" s="44"/>
      <c r="D38" s="44" t="s">
        <v>56</v>
      </c>
      <c r="E38" s="44"/>
      <c r="F38" s="43"/>
      <c r="G38" s="44" t="s">
        <v>845</v>
      </c>
      <c r="H38" s="58" t="s">
        <v>846</v>
      </c>
      <c r="I38" s="44"/>
      <c r="J38" s="44"/>
      <c r="K38" s="143"/>
      <c r="L38" s="144"/>
      <c r="M38" s="143">
        <v>1.3553240740740741E-2</v>
      </c>
      <c r="N38" s="143">
        <v>1.5891203703703703E-2</v>
      </c>
      <c r="O38" s="155">
        <f t="shared" si="7"/>
        <v>2.3379629629629618E-3</v>
      </c>
      <c r="P38" s="158">
        <v>43008</v>
      </c>
      <c r="Q38" s="153" t="str">
        <f t="shared" ca="1" si="0"/>
        <v>https://www.youtube.com/embed/G3NpQQMh8jQ?start=1171&amp;end=1373&amp;autoplay=1</v>
      </c>
      <c r="R38" s="147" t="s">
        <v>63</v>
      </c>
      <c r="S38" s="147" t="s">
        <v>63</v>
      </c>
      <c r="T38" s="147" t="s">
        <v>63</v>
      </c>
      <c r="U38" s="148"/>
      <c r="V38" s="149"/>
      <c r="W38" s="150" t="s">
        <v>64</v>
      </c>
      <c r="X38" s="151"/>
      <c r="Y38" s="44"/>
      <c r="Z38" s="44"/>
      <c r="AA38" s="152"/>
      <c r="AB38" s="152"/>
      <c r="AC38" s="152"/>
      <c r="AD38" s="152"/>
      <c r="AE38" s="152"/>
      <c r="AF38" s="152"/>
      <c r="AG38" s="152"/>
      <c r="AH38" s="44"/>
      <c r="AI38" s="44"/>
      <c r="AJ38" s="44"/>
      <c r="AK38" s="44"/>
      <c r="AL38" s="44"/>
      <c r="AM38" s="44"/>
      <c r="AN38" s="44"/>
    </row>
    <row r="39" spans="1:40">
      <c r="A39" s="160">
        <v>91.06</v>
      </c>
      <c r="B39" s="63" t="s">
        <v>155</v>
      </c>
      <c r="C39" s="44"/>
      <c r="D39" s="152" t="s">
        <v>56</v>
      </c>
      <c r="E39" s="152"/>
      <c r="F39" s="161"/>
      <c r="G39" s="162" t="s">
        <v>849</v>
      </c>
      <c r="H39" s="152" t="s">
        <v>850</v>
      </c>
      <c r="I39" s="160"/>
      <c r="J39" s="160"/>
      <c r="K39" s="143"/>
      <c r="L39" s="160"/>
      <c r="M39" s="143">
        <v>1.5891203703703703E-2</v>
      </c>
      <c r="N39" s="143">
        <v>1.6828703703703703E-2</v>
      </c>
      <c r="O39" s="143">
        <f t="shared" si="7"/>
        <v>9.3750000000000083E-4</v>
      </c>
      <c r="P39" s="158">
        <v>43008</v>
      </c>
      <c r="Q39" s="153" t="str">
        <f t="shared" ca="1" si="0"/>
        <v>https://www.youtube.com/embed/G3NpQQMh8jQ?start=1373&amp;end=1454&amp;autoplay=1</v>
      </c>
      <c r="R39" s="147" t="s">
        <v>63</v>
      </c>
      <c r="S39" s="147" t="s">
        <v>63</v>
      </c>
      <c r="T39" s="147" t="s">
        <v>63</v>
      </c>
      <c r="U39" s="148"/>
      <c r="V39" s="149"/>
      <c r="W39" s="150" t="s">
        <v>64</v>
      </c>
      <c r="X39" s="163"/>
      <c r="Y39" s="63"/>
      <c r="Z39" s="63"/>
      <c r="AA39" s="152"/>
      <c r="AB39" s="152"/>
      <c r="AC39" s="152"/>
      <c r="AD39" s="152"/>
      <c r="AE39" s="152"/>
      <c r="AF39" s="152"/>
      <c r="AG39" s="152"/>
      <c r="AH39" s="44"/>
      <c r="AI39" s="44"/>
      <c r="AJ39" s="44"/>
      <c r="AK39" s="44"/>
      <c r="AL39" s="44"/>
      <c r="AM39" s="44"/>
      <c r="AN39" s="44"/>
    </row>
    <row r="40" spans="1:40">
      <c r="A40" s="63">
        <v>91.07</v>
      </c>
      <c r="B40" s="63" t="s">
        <v>155</v>
      </c>
      <c r="C40" s="63"/>
      <c r="D40" s="44" t="s">
        <v>56</v>
      </c>
      <c r="E40" s="44"/>
      <c r="F40" s="44"/>
      <c r="G40" s="63" t="s">
        <v>855</v>
      </c>
      <c r="H40" s="58" t="s">
        <v>856</v>
      </c>
      <c r="I40" s="44"/>
      <c r="J40" s="44"/>
      <c r="K40" s="143"/>
      <c r="L40" s="144"/>
      <c r="M40" s="143">
        <v>1.6909722222222222E-2</v>
      </c>
      <c r="N40" s="143">
        <v>2.2268518518518517E-2</v>
      </c>
      <c r="O40" s="155">
        <f t="shared" si="7"/>
        <v>5.3587962962962955E-3</v>
      </c>
      <c r="P40" s="158">
        <v>43008</v>
      </c>
      <c r="Q40" s="153" t="str">
        <f t="shared" ca="1" si="0"/>
        <v>https://www.youtube.com/embed/G3NpQQMh8jQ?start=1461&amp;end=1924&amp;autoplay=1</v>
      </c>
      <c r="R40" s="159" t="s">
        <v>63</v>
      </c>
      <c r="S40" s="159" t="s">
        <v>63</v>
      </c>
      <c r="T40" s="159" t="s">
        <v>63</v>
      </c>
      <c r="U40" s="148"/>
      <c r="V40" s="149"/>
      <c r="W40" s="150" t="s">
        <v>64</v>
      </c>
      <c r="X40" s="164"/>
      <c r="Y40" s="152"/>
      <c r="Z40" s="152"/>
      <c r="AA40" s="152"/>
      <c r="AB40" s="152"/>
      <c r="AC40" s="152"/>
      <c r="AD40" s="152"/>
      <c r="AE40" s="152"/>
      <c r="AF40" s="152"/>
      <c r="AG40" s="152"/>
      <c r="AH40" s="44"/>
      <c r="AI40" s="44"/>
      <c r="AJ40" s="44"/>
      <c r="AK40" s="44"/>
      <c r="AL40" s="44"/>
      <c r="AM40" s="44"/>
      <c r="AN40" s="44"/>
    </row>
    <row r="41" spans="1:40">
      <c r="A41" s="63">
        <v>24</v>
      </c>
      <c r="B41" s="63" t="s">
        <v>155</v>
      </c>
      <c r="C41" s="44"/>
      <c r="D41" s="44"/>
      <c r="E41" s="44" t="s">
        <v>184</v>
      </c>
      <c r="F41" s="86" t="s">
        <v>186</v>
      </c>
      <c r="G41" s="63" t="s">
        <v>859</v>
      </c>
      <c r="H41" s="58"/>
      <c r="I41" s="44"/>
      <c r="J41" s="44">
        <f>2.4*1000</f>
        <v>2400</v>
      </c>
      <c r="K41" s="143">
        <v>8.2523148148148148E-3</v>
      </c>
      <c r="L41" s="144" t="s">
        <v>61</v>
      </c>
      <c r="M41" s="143"/>
      <c r="N41" s="143"/>
      <c r="O41" s="155"/>
      <c r="P41" s="158">
        <v>43008</v>
      </c>
      <c r="Q41" s="45" t="str">
        <f t="shared" ca="1" si="0"/>
        <v/>
      </c>
      <c r="R41" s="147"/>
      <c r="S41" s="147"/>
      <c r="T41" s="147"/>
      <c r="U41" s="148"/>
      <c r="V41" s="149"/>
      <c r="W41" s="150" t="s">
        <v>64</v>
      </c>
      <c r="X41" s="151"/>
      <c r="Y41" s="44"/>
      <c r="Z41" s="44" t="s">
        <v>862</v>
      </c>
      <c r="AA41" s="152"/>
      <c r="AB41" s="152"/>
      <c r="AC41" s="152"/>
      <c r="AD41" s="152"/>
      <c r="AE41" s="152"/>
      <c r="AF41" s="152"/>
      <c r="AG41" s="152"/>
      <c r="AH41" s="44"/>
      <c r="AI41" s="44"/>
      <c r="AJ41" s="44"/>
      <c r="AK41" s="44"/>
      <c r="AL41" s="44"/>
      <c r="AM41" s="44"/>
      <c r="AN41" s="44"/>
    </row>
    <row r="42" spans="1:40">
      <c r="A42" s="63">
        <v>24.01</v>
      </c>
      <c r="B42" s="63" t="s">
        <v>155</v>
      </c>
      <c r="C42" s="44"/>
      <c r="D42" s="44" t="s">
        <v>56</v>
      </c>
      <c r="E42" s="44"/>
      <c r="F42" s="44"/>
      <c r="G42" s="63" t="s">
        <v>863</v>
      </c>
      <c r="H42" s="58" t="s">
        <v>864</v>
      </c>
      <c r="I42" s="44"/>
      <c r="J42" s="44"/>
      <c r="K42" s="143"/>
      <c r="L42" s="144"/>
      <c r="M42" s="143">
        <v>1.4236111111111112E-3</v>
      </c>
      <c r="N42" s="143">
        <v>1.9560185185185184E-3</v>
      </c>
      <c r="O42" s="155">
        <f t="shared" ref="O42:O45" si="8">N42-M42</f>
        <v>5.3240740740740722E-4</v>
      </c>
      <c r="P42" s="158">
        <v>43008</v>
      </c>
      <c r="Q42" s="153" t="str">
        <f t="shared" ca="1" si="0"/>
        <v>https://www.youtube.com/embed/LdrmgXtd_rs?start=123&amp;end=169&amp;autoplay=1</v>
      </c>
      <c r="R42" s="147" t="s">
        <v>63</v>
      </c>
      <c r="S42" s="147" t="s">
        <v>561</v>
      </c>
      <c r="T42" s="147" t="s">
        <v>561</v>
      </c>
      <c r="U42" s="148"/>
      <c r="V42" s="149"/>
      <c r="W42" s="150" t="s">
        <v>151</v>
      </c>
      <c r="X42" s="151"/>
      <c r="Y42" s="44"/>
      <c r="Z42" s="44"/>
      <c r="AA42" s="152"/>
      <c r="AB42" s="152"/>
      <c r="AC42" s="152"/>
      <c r="AD42" s="152"/>
      <c r="AE42" s="152"/>
      <c r="AF42" s="152"/>
      <c r="AG42" s="152"/>
      <c r="AH42" s="44"/>
      <c r="AI42" s="44"/>
      <c r="AJ42" s="44"/>
      <c r="AK42" s="44"/>
      <c r="AL42" s="44"/>
      <c r="AM42" s="44"/>
      <c r="AN42" s="44"/>
    </row>
    <row r="43" spans="1:40">
      <c r="A43" s="63">
        <v>24.02</v>
      </c>
      <c r="B43" s="63" t="s">
        <v>155</v>
      </c>
      <c r="C43" s="44"/>
      <c r="D43" s="44" t="s">
        <v>56</v>
      </c>
      <c r="E43" s="44"/>
      <c r="F43" s="44"/>
      <c r="G43" s="63" t="s">
        <v>867</v>
      </c>
      <c r="H43" s="58" t="s">
        <v>868</v>
      </c>
      <c r="I43" s="44"/>
      <c r="J43" s="44"/>
      <c r="K43" s="143"/>
      <c r="L43" s="144"/>
      <c r="M43" s="143">
        <v>2.5810185185185185E-3</v>
      </c>
      <c r="N43" s="143">
        <v>5.4629629629629629E-3</v>
      </c>
      <c r="O43" s="155">
        <f t="shared" si="8"/>
        <v>2.8819444444444444E-3</v>
      </c>
      <c r="P43" s="158">
        <v>43008</v>
      </c>
      <c r="Q43" s="153" t="str">
        <f t="shared" ca="1" si="0"/>
        <v>https://www.youtube.com/embed/LdrmgXtd_rs?start=223&amp;end=472&amp;autoplay=1</v>
      </c>
      <c r="R43" s="147" t="s">
        <v>63</v>
      </c>
      <c r="S43" s="147" t="s">
        <v>561</v>
      </c>
      <c r="T43" s="147" t="s">
        <v>561</v>
      </c>
      <c r="U43" s="148"/>
      <c r="V43" s="149"/>
      <c r="W43" s="150" t="s">
        <v>151</v>
      </c>
      <c r="X43" s="151"/>
      <c r="Y43" s="44"/>
      <c r="Z43" s="44"/>
      <c r="AA43" s="152"/>
      <c r="AB43" s="152"/>
      <c r="AC43" s="152"/>
      <c r="AD43" s="152"/>
      <c r="AE43" s="152"/>
      <c r="AF43" s="152"/>
      <c r="AG43" s="152"/>
      <c r="AH43" s="44"/>
      <c r="AI43" s="44"/>
      <c r="AJ43" s="44"/>
      <c r="AK43" s="44"/>
      <c r="AL43" s="44"/>
      <c r="AM43" s="44"/>
      <c r="AN43" s="44"/>
    </row>
    <row r="44" spans="1:40">
      <c r="A44" s="44">
        <v>24.03</v>
      </c>
      <c r="B44" s="63" t="s">
        <v>155</v>
      </c>
      <c r="C44" s="44"/>
      <c r="D44" s="63" t="s">
        <v>56</v>
      </c>
      <c r="E44" s="44"/>
      <c r="F44" s="43"/>
      <c r="G44" s="44" t="s">
        <v>871</v>
      </c>
      <c r="H44" s="45" t="s">
        <v>872</v>
      </c>
      <c r="I44" s="44"/>
      <c r="J44" s="44"/>
      <c r="K44" s="143"/>
      <c r="L44" s="144"/>
      <c r="M44" s="143">
        <v>5.4629629629629629E-3</v>
      </c>
      <c r="N44" s="143">
        <v>6.6203703703703702E-3</v>
      </c>
      <c r="O44" s="143">
        <f t="shared" si="8"/>
        <v>1.1574074074074073E-3</v>
      </c>
      <c r="P44" s="158">
        <v>43008</v>
      </c>
      <c r="Q44" s="153" t="str">
        <f t="shared" ca="1" si="0"/>
        <v>https://www.youtube.com/embed/LdrmgXtd_rs?start=472&amp;end=572&amp;autoplay=1</v>
      </c>
      <c r="R44" s="44" t="s">
        <v>63</v>
      </c>
      <c r="S44" s="44" t="s">
        <v>561</v>
      </c>
      <c r="T44" s="44" t="s">
        <v>561</v>
      </c>
      <c r="U44" s="44"/>
      <c r="V44" s="44"/>
      <c r="W44" s="44" t="s">
        <v>151</v>
      </c>
      <c r="X44" s="163"/>
      <c r="Y44" s="63"/>
      <c r="Z44" s="63"/>
      <c r="AA44" s="44"/>
      <c r="AB44" s="44"/>
      <c r="AC44" s="165"/>
      <c r="AD44" s="165"/>
      <c r="AE44" s="165"/>
      <c r="AF44" s="165"/>
      <c r="AG44" s="165"/>
      <c r="AH44" s="44"/>
      <c r="AI44" s="44"/>
      <c r="AJ44" s="44"/>
      <c r="AK44" s="44"/>
      <c r="AL44" s="44"/>
      <c r="AM44" s="44"/>
      <c r="AN44" s="44"/>
    </row>
    <row r="45" spans="1:40">
      <c r="A45" s="63">
        <v>24.04</v>
      </c>
      <c r="B45" s="63" t="s">
        <v>155</v>
      </c>
      <c r="C45" s="44"/>
      <c r="D45" s="63" t="s">
        <v>56</v>
      </c>
      <c r="E45" s="44"/>
      <c r="F45" s="44"/>
      <c r="G45" s="63" t="s">
        <v>875</v>
      </c>
      <c r="H45" s="58" t="s">
        <v>876</v>
      </c>
      <c r="I45" s="44"/>
      <c r="J45" s="44"/>
      <c r="K45" s="143"/>
      <c r="L45" s="144"/>
      <c r="M45" s="143">
        <v>6.6203703703703702E-3</v>
      </c>
      <c r="N45" s="143">
        <v>8.2407407407407412E-3</v>
      </c>
      <c r="O45" s="155">
        <f t="shared" si="8"/>
        <v>1.620370370370371E-3</v>
      </c>
      <c r="P45" s="158">
        <v>43008</v>
      </c>
      <c r="Q45" s="153" t="str">
        <f t="shared" ca="1" si="0"/>
        <v>https://www.youtube.com/embed/LdrmgXtd_rs?start=572&amp;end=712&amp;autoplay=1</v>
      </c>
      <c r="R45" s="159" t="s">
        <v>63</v>
      </c>
      <c r="S45" s="159" t="s">
        <v>561</v>
      </c>
      <c r="T45" s="159" t="s">
        <v>561</v>
      </c>
      <c r="U45" s="148"/>
      <c r="V45" s="149"/>
      <c r="W45" s="150" t="s">
        <v>151</v>
      </c>
      <c r="X45" s="151"/>
      <c r="Y45" s="44"/>
      <c r="Z45" s="44"/>
      <c r="AA45" s="152"/>
      <c r="AB45" s="152"/>
      <c r="AC45" s="152"/>
      <c r="AD45" s="152"/>
      <c r="AE45" s="152"/>
      <c r="AF45" s="152"/>
      <c r="AG45" s="152"/>
      <c r="AH45" s="44"/>
      <c r="AI45" s="44"/>
      <c r="AJ45" s="44"/>
      <c r="AK45" s="44"/>
      <c r="AL45" s="44"/>
      <c r="AM45" s="44"/>
      <c r="AN45" s="44"/>
    </row>
    <row r="46" spans="1:40">
      <c r="A46" s="44">
        <v>25</v>
      </c>
      <c r="B46" s="44" t="s">
        <v>155</v>
      </c>
      <c r="C46" s="44"/>
      <c r="D46" s="44" t="s">
        <v>56</v>
      </c>
      <c r="E46" s="44" t="s">
        <v>193</v>
      </c>
      <c r="F46" s="43" t="s">
        <v>194</v>
      </c>
      <c r="G46" s="44"/>
      <c r="H46" s="45"/>
      <c r="I46" s="44"/>
      <c r="J46" s="44">
        <f>2.1*1000</f>
        <v>2100</v>
      </c>
      <c r="K46" s="143">
        <v>9.618055555555555E-3</v>
      </c>
      <c r="L46" s="144" t="s">
        <v>61</v>
      </c>
      <c r="M46" s="143"/>
      <c r="N46" s="143"/>
      <c r="O46" s="44"/>
      <c r="P46" s="158">
        <v>43008</v>
      </c>
      <c r="Q46" s="45" t="str">
        <f t="shared" ca="1" si="0"/>
        <v/>
      </c>
      <c r="R46" s="147"/>
      <c r="S46" s="147"/>
      <c r="T46" s="147"/>
      <c r="U46" s="148"/>
      <c r="V46" s="149"/>
      <c r="W46" s="150"/>
      <c r="X46" s="151"/>
      <c r="Y46" s="44"/>
      <c r="Z46" s="44" t="s">
        <v>879</v>
      </c>
      <c r="AA46" s="152"/>
      <c r="AB46" s="152"/>
      <c r="AC46" s="152"/>
      <c r="AD46" s="152"/>
      <c r="AE46" s="152"/>
      <c r="AF46" s="152"/>
      <c r="AG46" s="152"/>
      <c r="AH46" s="44"/>
      <c r="AI46" s="44"/>
      <c r="AJ46" s="44"/>
      <c r="AK46" s="44"/>
      <c r="AL46" s="44"/>
      <c r="AM46" s="44"/>
      <c r="AN46" s="44"/>
    </row>
    <row r="47" spans="1:40">
      <c r="A47" s="63">
        <v>25.01</v>
      </c>
      <c r="B47" s="44" t="s">
        <v>155</v>
      </c>
      <c r="C47" s="44"/>
      <c r="D47" s="44" t="s">
        <v>56</v>
      </c>
      <c r="E47" s="44"/>
      <c r="F47" s="43"/>
      <c r="G47" s="44" t="s">
        <v>875</v>
      </c>
      <c r="H47" s="58" t="s">
        <v>880</v>
      </c>
      <c r="I47" s="44"/>
      <c r="J47" s="44"/>
      <c r="K47" s="143"/>
      <c r="L47" s="144"/>
      <c r="M47" s="143">
        <v>2.3148148148148147E-5</v>
      </c>
      <c r="N47" s="143">
        <v>6.0648148148148145E-3</v>
      </c>
      <c r="O47" s="155">
        <f>N47-M47</f>
        <v>6.0416666666666665E-3</v>
      </c>
      <c r="P47" s="158">
        <v>43008</v>
      </c>
      <c r="Q47" s="153" t="str">
        <f t="shared" ca="1" si="0"/>
        <v>https://www.youtube.com/embed/gbWoqwJKhbM?start=2&amp;end=524&amp;autoplay=1</v>
      </c>
      <c r="R47" s="147" t="s">
        <v>63</v>
      </c>
      <c r="S47" s="147" t="s">
        <v>561</v>
      </c>
      <c r="T47" s="147" t="s">
        <v>561</v>
      </c>
      <c r="U47" s="148"/>
      <c r="V47" s="149"/>
      <c r="W47" s="150" t="s">
        <v>151</v>
      </c>
      <c r="X47" s="78"/>
      <c r="Y47" s="61"/>
      <c r="Z47" s="61"/>
      <c r="AA47" s="152"/>
      <c r="AB47" s="152"/>
      <c r="AC47" s="152"/>
      <c r="AD47" s="152"/>
      <c r="AE47" s="152"/>
      <c r="AF47" s="152"/>
      <c r="AG47" s="152"/>
      <c r="AH47" s="44"/>
      <c r="AI47" s="44"/>
      <c r="AJ47" s="44"/>
      <c r="AK47" s="44"/>
      <c r="AL47" s="44"/>
      <c r="AM47" s="44"/>
      <c r="AN47" s="44"/>
    </row>
    <row r="48" spans="1:40">
      <c r="A48" s="63">
        <v>33</v>
      </c>
      <c r="B48" s="44" t="s">
        <v>155</v>
      </c>
      <c r="C48" s="44"/>
      <c r="D48" s="63" t="s">
        <v>56</v>
      </c>
      <c r="E48" s="44" t="s">
        <v>238</v>
      </c>
      <c r="F48" s="43" t="s">
        <v>239</v>
      </c>
      <c r="G48" s="44"/>
      <c r="H48" s="58"/>
      <c r="I48" s="44"/>
      <c r="J48" s="44">
        <f>732</f>
        <v>732</v>
      </c>
      <c r="K48" s="143">
        <v>7.3379629629629628E-3</v>
      </c>
      <c r="L48" s="144" t="s">
        <v>61</v>
      </c>
      <c r="M48" s="143"/>
      <c r="N48" s="143"/>
      <c r="O48" s="155"/>
      <c r="P48" s="158"/>
      <c r="Q48" s="45" t="str">
        <f t="shared" ca="1" si="0"/>
        <v/>
      </c>
      <c r="R48" s="147"/>
      <c r="S48" s="147"/>
      <c r="T48" s="147"/>
      <c r="U48" s="148"/>
      <c r="V48" s="149"/>
      <c r="W48" s="150"/>
      <c r="X48" s="78"/>
      <c r="Y48" s="61"/>
      <c r="Z48" s="61"/>
      <c r="AA48" s="152"/>
      <c r="AB48" s="152"/>
      <c r="AC48" s="152"/>
      <c r="AD48" s="152"/>
      <c r="AE48" s="152"/>
      <c r="AF48" s="152"/>
      <c r="AG48" s="152"/>
      <c r="AH48" s="44"/>
      <c r="AI48" s="44"/>
      <c r="AJ48" s="44"/>
      <c r="AK48" s="44"/>
      <c r="AL48" s="44"/>
      <c r="AM48" s="44"/>
      <c r="AN48" s="44"/>
    </row>
    <row r="49" spans="1:40">
      <c r="A49" s="63">
        <v>33.01</v>
      </c>
      <c r="B49" s="63" t="s">
        <v>155</v>
      </c>
      <c r="C49" s="44"/>
      <c r="D49" s="63" t="s">
        <v>56</v>
      </c>
      <c r="E49" s="44"/>
      <c r="F49" s="43"/>
      <c r="G49" s="63" t="s">
        <v>885</v>
      </c>
      <c r="H49" s="58" t="s">
        <v>886</v>
      </c>
      <c r="I49" s="44"/>
      <c r="J49" s="44"/>
      <c r="K49" s="143"/>
      <c r="L49" s="144"/>
      <c r="M49" s="166">
        <v>7.7546296296296293E-4</v>
      </c>
      <c r="N49" s="166">
        <v>4.1087962962962962E-3</v>
      </c>
      <c r="O49" s="155">
        <f t="shared" ref="O49:O50" si="9">N49-M49</f>
        <v>3.3333333333333331E-3</v>
      </c>
      <c r="P49" s="158">
        <v>43012</v>
      </c>
      <c r="Q49" s="153" t="str">
        <f t="shared" ca="1" si="0"/>
        <v>https://www.youtube.com/embed/BEz8X5SUwjY?start=67&amp;end=355&amp;autoplay=1</v>
      </c>
      <c r="R49" s="159" t="s">
        <v>63</v>
      </c>
      <c r="S49" s="159" t="s">
        <v>63</v>
      </c>
      <c r="T49" s="159" t="s">
        <v>63</v>
      </c>
      <c r="U49" s="148"/>
      <c r="V49" s="149"/>
      <c r="W49" s="167" t="s">
        <v>64</v>
      </c>
      <c r="X49" s="78"/>
      <c r="Y49" s="61"/>
      <c r="Z49" s="168" t="s">
        <v>891</v>
      </c>
      <c r="AA49" s="152"/>
      <c r="AB49" s="152"/>
      <c r="AC49" s="152"/>
      <c r="AD49" s="152"/>
      <c r="AE49" s="152"/>
      <c r="AF49" s="152"/>
      <c r="AG49" s="152"/>
      <c r="AH49" s="44"/>
      <c r="AI49" s="44"/>
      <c r="AJ49" s="44"/>
      <c r="AK49" s="44"/>
      <c r="AL49" s="44"/>
      <c r="AM49" s="44"/>
      <c r="AN49" s="44"/>
    </row>
    <row r="50" spans="1:40">
      <c r="A50" s="63">
        <v>33.020000000000003</v>
      </c>
      <c r="B50" s="63" t="s">
        <v>155</v>
      </c>
      <c r="C50" s="44"/>
      <c r="D50" s="63" t="s">
        <v>56</v>
      </c>
      <c r="E50" s="44"/>
      <c r="F50" s="43"/>
      <c r="G50" s="63" t="s">
        <v>894</v>
      </c>
      <c r="H50" s="58" t="s">
        <v>895</v>
      </c>
      <c r="I50" s="44"/>
      <c r="J50" s="44"/>
      <c r="K50" s="143"/>
      <c r="L50" s="144"/>
      <c r="M50" s="166">
        <v>4.1087962962962962E-3</v>
      </c>
      <c r="N50" s="166">
        <v>7.3263888888888892E-3</v>
      </c>
      <c r="O50" s="155">
        <f t="shared" si="9"/>
        <v>3.2175925925925931E-3</v>
      </c>
      <c r="P50" s="158">
        <v>43012</v>
      </c>
      <c r="Q50" s="153" t="str">
        <f t="shared" ca="1" si="0"/>
        <v>https://www.youtube.com/embed/BEz8X5SUwjY?start=355&amp;end=633&amp;autoplay=1</v>
      </c>
      <c r="R50" s="159" t="s">
        <v>63</v>
      </c>
      <c r="S50" s="159" t="s">
        <v>63</v>
      </c>
      <c r="T50" s="159" t="s">
        <v>63</v>
      </c>
      <c r="U50" s="148"/>
      <c r="V50" s="149"/>
      <c r="W50" s="167" t="s">
        <v>64</v>
      </c>
      <c r="X50" s="78"/>
      <c r="Y50" s="61"/>
      <c r="Z50" s="61"/>
      <c r="AA50" s="152"/>
      <c r="AB50" s="152"/>
      <c r="AC50" s="152"/>
      <c r="AD50" s="152"/>
      <c r="AE50" s="152"/>
      <c r="AF50" s="152"/>
      <c r="AG50" s="152"/>
      <c r="AH50" s="44"/>
      <c r="AI50" s="44"/>
      <c r="AJ50" s="44"/>
      <c r="AK50" s="44"/>
      <c r="AL50" s="44"/>
      <c r="AM50" s="44"/>
      <c r="AN50" s="44"/>
    </row>
    <row r="51" spans="1:40">
      <c r="A51" s="44">
        <v>34</v>
      </c>
      <c r="B51" s="63" t="s">
        <v>155</v>
      </c>
      <c r="C51" s="44"/>
      <c r="D51" s="63" t="s">
        <v>56</v>
      </c>
      <c r="E51" s="44" t="s">
        <v>245</v>
      </c>
      <c r="F51" s="43" t="s">
        <v>246</v>
      </c>
      <c r="G51" s="44"/>
      <c r="H51" s="45"/>
      <c r="I51" s="44"/>
      <c r="J51" s="44">
        <f>459</f>
        <v>459</v>
      </c>
      <c r="K51" s="143">
        <v>7.6388888888888886E-3</v>
      </c>
      <c r="L51" s="144" t="s">
        <v>61</v>
      </c>
      <c r="M51" s="155"/>
      <c r="N51" s="155"/>
      <c r="O51" s="44"/>
      <c r="P51" s="44"/>
      <c r="Q51" s="45" t="str">
        <f t="shared" ca="1" si="0"/>
        <v/>
      </c>
      <c r="R51" s="169"/>
      <c r="S51" s="169"/>
      <c r="T51" s="169"/>
      <c r="U51" s="170"/>
      <c r="V51" s="171"/>
      <c r="W51" s="172"/>
      <c r="X51" s="151"/>
      <c r="Y51" s="44"/>
      <c r="Z51" s="44"/>
      <c r="AA51" s="44"/>
      <c r="AB51" s="44"/>
      <c r="AC51" s="152"/>
      <c r="AD51" s="152"/>
      <c r="AE51" s="152"/>
      <c r="AF51" s="152"/>
      <c r="AG51" s="152"/>
      <c r="AH51" s="44"/>
      <c r="AI51" s="44"/>
      <c r="AJ51" s="44"/>
      <c r="AK51" s="44"/>
      <c r="AL51" s="44"/>
      <c r="AM51" s="44"/>
      <c r="AN51" s="44"/>
    </row>
    <row r="52" spans="1:40">
      <c r="A52" s="63">
        <v>34.01</v>
      </c>
      <c r="B52" s="63" t="s">
        <v>155</v>
      </c>
      <c r="C52" s="44"/>
      <c r="D52" s="63" t="s">
        <v>56</v>
      </c>
      <c r="E52" s="44"/>
      <c r="F52" s="43"/>
      <c r="G52" s="63" t="s">
        <v>902</v>
      </c>
      <c r="H52" s="58" t="s">
        <v>903</v>
      </c>
      <c r="I52" s="44"/>
      <c r="J52" s="44"/>
      <c r="K52" s="143"/>
      <c r="L52" s="144"/>
      <c r="M52" s="166">
        <v>0</v>
      </c>
      <c r="N52" s="166">
        <v>4.2592592592592595E-3</v>
      </c>
      <c r="O52" s="155">
        <f t="shared" ref="O52:O54" si="10">N52-M52</f>
        <v>4.2592592592592595E-3</v>
      </c>
      <c r="P52" s="158">
        <v>43012</v>
      </c>
      <c r="Q52" s="153" t="str">
        <f t="shared" ca="1" si="0"/>
        <v>https://www.youtube.com/embed/lzMEDrUFlpw?start=0&amp;end=368&amp;autoplay=1</v>
      </c>
      <c r="R52" s="147"/>
      <c r="S52" s="147"/>
      <c r="T52" s="147"/>
      <c r="U52" s="148"/>
      <c r="V52" s="149"/>
      <c r="W52" s="167" t="s">
        <v>64</v>
      </c>
      <c r="X52" s="78"/>
      <c r="Y52" s="61"/>
      <c r="Z52" s="61"/>
      <c r="AA52" s="152"/>
      <c r="AB52" s="152"/>
      <c r="AC52" s="152"/>
      <c r="AD52" s="152"/>
      <c r="AE52" s="152"/>
      <c r="AF52" s="152"/>
      <c r="AG52" s="152"/>
      <c r="AH52" s="44"/>
      <c r="AI52" s="44"/>
      <c r="AJ52" s="44"/>
      <c r="AK52" s="44"/>
      <c r="AL52" s="44"/>
      <c r="AM52" s="44"/>
      <c r="AN52" s="44"/>
    </row>
    <row r="53" spans="1:40">
      <c r="A53" s="63">
        <v>34.020000000000003</v>
      </c>
      <c r="B53" s="63" t="s">
        <v>155</v>
      </c>
      <c r="C53" s="44"/>
      <c r="D53" s="63" t="s">
        <v>56</v>
      </c>
      <c r="E53" s="44"/>
      <c r="F53" s="43"/>
      <c r="G53" s="63" t="s">
        <v>906</v>
      </c>
      <c r="H53" s="58" t="s">
        <v>907</v>
      </c>
      <c r="I53" s="44"/>
      <c r="J53" s="44"/>
      <c r="K53" s="143"/>
      <c r="L53" s="144"/>
      <c r="M53" s="166">
        <v>4.2592592592592595E-3</v>
      </c>
      <c r="N53" s="166">
        <v>6.2731481481481484E-3</v>
      </c>
      <c r="O53" s="155">
        <f t="shared" si="10"/>
        <v>2.0138888888888888E-3</v>
      </c>
      <c r="P53" s="158">
        <v>43012</v>
      </c>
      <c r="Q53" s="153" t="str">
        <f t="shared" ca="1" si="0"/>
        <v>https://www.youtube.com/embed/lzMEDrUFlpw?start=368&amp;end=542&amp;autoplay=1</v>
      </c>
      <c r="R53" s="147"/>
      <c r="S53" s="147"/>
      <c r="T53" s="147"/>
      <c r="U53" s="148"/>
      <c r="V53" s="149"/>
      <c r="W53" s="167" t="s">
        <v>64</v>
      </c>
      <c r="X53" s="78"/>
      <c r="Y53" s="61"/>
      <c r="Z53" s="61"/>
      <c r="AA53" s="152"/>
      <c r="AB53" s="152"/>
      <c r="AC53" s="152"/>
      <c r="AD53" s="152"/>
      <c r="AE53" s="152"/>
      <c r="AF53" s="152"/>
      <c r="AG53" s="152"/>
      <c r="AH53" s="44"/>
      <c r="AI53" s="44"/>
      <c r="AJ53" s="44"/>
      <c r="AK53" s="44"/>
      <c r="AL53" s="44"/>
      <c r="AM53" s="44"/>
      <c r="AN53" s="44"/>
    </row>
    <row r="54" spans="1:40">
      <c r="A54" s="63">
        <v>34.03</v>
      </c>
      <c r="B54" s="63" t="s">
        <v>155</v>
      </c>
      <c r="C54" s="44"/>
      <c r="D54" s="63" t="s">
        <v>56</v>
      </c>
      <c r="E54" s="44"/>
      <c r="F54" s="43"/>
      <c r="G54" s="63" t="s">
        <v>910</v>
      </c>
      <c r="H54" s="58" t="s">
        <v>911</v>
      </c>
      <c r="I54" s="44"/>
      <c r="J54" s="44"/>
      <c r="K54" s="143"/>
      <c r="L54" s="144"/>
      <c r="M54" s="166">
        <v>6.2731481481481484E-3</v>
      </c>
      <c r="N54" s="166">
        <v>7.6273148148148151E-3</v>
      </c>
      <c r="O54" s="155">
        <f t="shared" si="10"/>
        <v>1.3541666666666667E-3</v>
      </c>
      <c r="P54" s="158">
        <v>43012</v>
      </c>
      <c r="Q54" s="153" t="str">
        <f t="shared" ca="1" si="0"/>
        <v>https://www.youtube.com/embed/lzMEDrUFlpw?start=542&amp;end=659&amp;autoplay=1</v>
      </c>
      <c r="R54" s="147"/>
      <c r="S54" s="147"/>
      <c r="T54" s="147"/>
      <c r="U54" s="148"/>
      <c r="V54" s="149"/>
      <c r="W54" s="167" t="s">
        <v>64</v>
      </c>
      <c r="X54" s="78"/>
      <c r="Y54" s="61"/>
      <c r="Z54" s="61"/>
      <c r="AA54" s="152"/>
      <c r="AB54" s="152"/>
      <c r="AC54" s="152"/>
      <c r="AD54" s="152"/>
      <c r="AE54" s="152"/>
      <c r="AF54" s="152"/>
      <c r="AG54" s="152"/>
      <c r="AH54" s="44"/>
      <c r="AI54" s="44"/>
      <c r="AJ54" s="44"/>
      <c r="AK54" s="44"/>
      <c r="AL54" s="44"/>
      <c r="AM54" s="44"/>
      <c r="AN54" s="44"/>
    </row>
    <row r="55" spans="1:40">
      <c r="A55" s="44">
        <v>35</v>
      </c>
      <c r="B55" s="63" t="s">
        <v>155</v>
      </c>
      <c r="C55" s="44"/>
      <c r="D55" s="63" t="s">
        <v>56</v>
      </c>
      <c r="E55" s="44" t="s">
        <v>252</v>
      </c>
      <c r="F55" s="43" t="s">
        <v>253</v>
      </c>
      <c r="G55" s="44"/>
      <c r="H55" s="45"/>
      <c r="I55" s="44"/>
      <c r="J55" s="44">
        <f>419</f>
        <v>419</v>
      </c>
      <c r="K55" s="143">
        <v>5.9490740740740745E-3</v>
      </c>
      <c r="L55" s="144" t="s">
        <v>61</v>
      </c>
      <c r="M55" s="155"/>
      <c r="N55" s="155"/>
      <c r="O55" s="44"/>
      <c r="P55" s="158">
        <v>43012</v>
      </c>
      <c r="Q55" s="45" t="str">
        <f t="shared" ca="1" si="0"/>
        <v/>
      </c>
      <c r="R55" s="169"/>
      <c r="S55" s="169"/>
      <c r="T55" s="169"/>
      <c r="U55" s="170"/>
      <c r="V55" s="171"/>
      <c r="W55" s="172"/>
      <c r="X55" s="151"/>
      <c r="Y55" s="44"/>
      <c r="Z55" s="44"/>
      <c r="AA55" s="44"/>
      <c r="AB55" s="44"/>
      <c r="AC55" s="152"/>
      <c r="AD55" s="152"/>
      <c r="AE55" s="152"/>
      <c r="AF55" s="152"/>
      <c r="AG55" s="152"/>
      <c r="AH55" s="44"/>
      <c r="AI55" s="44"/>
      <c r="AJ55" s="44"/>
      <c r="AK55" s="44"/>
      <c r="AL55" s="44"/>
      <c r="AM55" s="44"/>
      <c r="AN55" s="44"/>
    </row>
    <row r="56" spans="1:40">
      <c r="A56" s="63">
        <v>35.01</v>
      </c>
      <c r="B56" s="63" t="s">
        <v>155</v>
      </c>
      <c r="C56" s="44"/>
      <c r="D56" s="63" t="s">
        <v>56</v>
      </c>
      <c r="E56" s="44"/>
      <c r="F56" s="43"/>
      <c r="G56" s="63" t="s">
        <v>916</v>
      </c>
      <c r="H56" s="58" t="s">
        <v>917</v>
      </c>
      <c r="I56" s="44"/>
      <c r="J56" s="44"/>
      <c r="K56" s="143"/>
      <c r="L56" s="144"/>
      <c r="M56" s="166">
        <v>0</v>
      </c>
      <c r="N56" s="166">
        <v>4.0162037037037041E-3</v>
      </c>
      <c r="O56" s="155">
        <f t="shared" ref="O56:O57" si="11">N56-M56</f>
        <v>4.0162037037037041E-3</v>
      </c>
      <c r="P56" s="158">
        <v>43012</v>
      </c>
      <c r="Q56" s="153" t="str">
        <f t="shared" ca="1" si="0"/>
        <v>https://www.youtube.com/embed/qCG2vqnaUx4?start=0&amp;end=347&amp;autoplay=1</v>
      </c>
      <c r="R56" s="147"/>
      <c r="S56" s="147"/>
      <c r="T56" s="147"/>
      <c r="U56" s="148"/>
      <c r="V56" s="149"/>
      <c r="W56" s="167" t="s">
        <v>64</v>
      </c>
      <c r="X56" s="151"/>
      <c r="Y56" s="44"/>
      <c r="Z56" s="44"/>
      <c r="AA56" s="152"/>
      <c r="AB56" s="152"/>
      <c r="AC56" s="152"/>
      <c r="AD56" s="152"/>
      <c r="AE56" s="152"/>
      <c r="AF56" s="152"/>
      <c r="AG56" s="152"/>
      <c r="AH56" s="44"/>
      <c r="AI56" s="44"/>
      <c r="AJ56" s="44"/>
      <c r="AK56" s="44"/>
      <c r="AL56" s="44"/>
      <c r="AM56" s="44"/>
      <c r="AN56" s="44"/>
    </row>
    <row r="57" spans="1:40">
      <c r="A57" s="63">
        <v>35.020000000000003</v>
      </c>
      <c r="B57" s="63" t="s">
        <v>155</v>
      </c>
      <c r="C57" s="44"/>
      <c r="D57" s="63" t="s">
        <v>56</v>
      </c>
      <c r="E57" s="44"/>
      <c r="F57" s="43"/>
      <c r="G57" s="63" t="s">
        <v>920</v>
      </c>
      <c r="H57" s="58" t="s">
        <v>921</v>
      </c>
      <c r="I57" s="44"/>
      <c r="J57" s="44"/>
      <c r="K57" s="143"/>
      <c r="L57" s="144"/>
      <c r="M57" s="166">
        <v>4.0162037037037041E-3</v>
      </c>
      <c r="N57" s="166">
        <v>5.9490740740740745E-3</v>
      </c>
      <c r="O57" s="155">
        <f t="shared" si="11"/>
        <v>1.9328703703703704E-3</v>
      </c>
      <c r="P57" s="158">
        <v>43012</v>
      </c>
      <c r="Q57" s="153" t="str">
        <f t="shared" ca="1" si="0"/>
        <v>https://www.youtube.com/embed/qCG2vqnaUx4?start=347&amp;end=514&amp;autoplay=1</v>
      </c>
      <c r="R57" s="147"/>
      <c r="S57" s="147"/>
      <c r="T57" s="147"/>
      <c r="U57" s="148"/>
      <c r="V57" s="149"/>
      <c r="W57" s="167" t="s">
        <v>64</v>
      </c>
      <c r="X57" s="151"/>
      <c r="Y57" s="44"/>
      <c r="Z57" s="44"/>
      <c r="AA57" s="152"/>
      <c r="AB57" s="152"/>
      <c r="AC57" s="152"/>
      <c r="AD57" s="152"/>
      <c r="AE57" s="152"/>
      <c r="AF57" s="152"/>
      <c r="AG57" s="152"/>
      <c r="AH57" s="44"/>
      <c r="AI57" s="44"/>
      <c r="AJ57" s="44"/>
      <c r="AK57" s="44"/>
      <c r="AL57" s="44"/>
      <c r="AM57" s="44"/>
      <c r="AN57" s="44"/>
    </row>
    <row r="58" spans="1:40">
      <c r="A58" s="44">
        <v>36</v>
      </c>
      <c r="B58" s="63" t="s">
        <v>155</v>
      </c>
      <c r="C58" s="44"/>
      <c r="D58" s="63" t="s">
        <v>56</v>
      </c>
      <c r="E58" s="44" t="s">
        <v>257</v>
      </c>
      <c r="F58" s="43" t="s">
        <v>258</v>
      </c>
      <c r="G58" s="44"/>
      <c r="H58" s="45"/>
      <c r="I58" s="44"/>
      <c r="J58" s="44">
        <f>755</f>
        <v>755</v>
      </c>
      <c r="K58" s="143">
        <v>8.3449074074074085E-3</v>
      </c>
      <c r="L58" s="144" t="s">
        <v>61</v>
      </c>
      <c r="M58" s="155"/>
      <c r="N58" s="155"/>
      <c r="O58" s="44"/>
      <c r="P58" s="44"/>
      <c r="Q58" s="45" t="str">
        <f t="shared" ca="1" si="0"/>
        <v/>
      </c>
      <c r="R58" s="169"/>
      <c r="S58" s="169"/>
      <c r="T58" s="169"/>
      <c r="U58" s="170"/>
      <c r="V58" s="171"/>
      <c r="W58" s="172"/>
      <c r="X58" s="151"/>
      <c r="Y58" s="44"/>
      <c r="Z58" s="44"/>
      <c r="AA58" s="44"/>
      <c r="AB58" s="44"/>
      <c r="AC58" s="152"/>
      <c r="AD58" s="152"/>
      <c r="AE58" s="152"/>
      <c r="AF58" s="152"/>
      <c r="AG58" s="152"/>
      <c r="AH58" s="44"/>
      <c r="AI58" s="44"/>
      <c r="AJ58" s="44"/>
      <c r="AK58" s="44"/>
      <c r="AL58" s="44"/>
      <c r="AM58" s="44"/>
      <c r="AN58" s="44"/>
    </row>
    <row r="59" spans="1:40">
      <c r="A59" s="63">
        <v>36.01</v>
      </c>
      <c r="B59" s="63" t="s">
        <v>155</v>
      </c>
      <c r="C59" s="44"/>
      <c r="D59" s="63" t="s">
        <v>56</v>
      </c>
      <c r="E59" s="44"/>
      <c r="F59" s="43"/>
      <c r="G59" s="63" t="s">
        <v>926</v>
      </c>
      <c r="H59" s="58" t="s">
        <v>927</v>
      </c>
      <c r="I59" s="44"/>
      <c r="J59" s="44"/>
      <c r="K59" s="143"/>
      <c r="L59" s="144"/>
      <c r="M59" s="166">
        <v>3.5879629629629629E-4</v>
      </c>
      <c r="N59" s="166">
        <v>3.5416666666666665E-3</v>
      </c>
      <c r="O59" s="155">
        <f t="shared" ref="O59:O62" si="12">N59-M59</f>
        <v>3.1828703703703702E-3</v>
      </c>
      <c r="P59" s="173">
        <v>43013</v>
      </c>
      <c r="Q59" s="153" t="str">
        <f t="shared" ca="1" si="0"/>
        <v>https://www.youtube.com/embed/ycnvyB8pDEM?start=31&amp;end=306&amp;autoplay=1</v>
      </c>
      <c r="R59" s="159" t="s">
        <v>561</v>
      </c>
      <c r="S59" s="159" t="s">
        <v>63</v>
      </c>
      <c r="T59" s="159" t="s">
        <v>63</v>
      </c>
      <c r="U59" s="148"/>
      <c r="V59" s="149"/>
      <c r="W59" s="167" t="s">
        <v>64</v>
      </c>
      <c r="X59" s="151"/>
      <c r="Y59" s="44"/>
      <c r="Z59" s="168" t="s">
        <v>930</v>
      </c>
      <c r="AA59" s="152"/>
      <c r="AB59" s="152"/>
      <c r="AC59" s="152"/>
      <c r="AD59" s="152"/>
      <c r="AE59" s="152"/>
      <c r="AF59" s="152"/>
      <c r="AG59" s="152"/>
      <c r="AH59" s="44"/>
      <c r="AI59" s="44"/>
      <c r="AJ59" s="44"/>
      <c r="AK59" s="44"/>
      <c r="AL59" s="44"/>
      <c r="AM59" s="44"/>
      <c r="AN59" s="44"/>
    </row>
    <row r="60" spans="1:40">
      <c r="A60" s="63">
        <v>36.020000000000003</v>
      </c>
      <c r="B60" s="63" t="s">
        <v>155</v>
      </c>
      <c r="C60" s="63"/>
      <c r="D60" s="63" t="s">
        <v>56</v>
      </c>
      <c r="E60" s="44"/>
      <c r="F60" s="43"/>
      <c r="G60" s="63" t="s">
        <v>933</v>
      </c>
      <c r="H60" s="58" t="s">
        <v>934</v>
      </c>
      <c r="I60" s="44"/>
      <c r="J60" s="44"/>
      <c r="K60" s="143"/>
      <c r="L60" s="144"/>
      <c r="M60" s="166">
        <v>3.5532407407407409E-3</v>
      </c>
      <c r="N60" s="166">
        <v>4.5717592592592589E-3</v>
      </c>
      <c r="O60" s="155">
        <f t="shared" si="12"/>
        <v>1.018518518518518E-3</v>
      </c>
      <c r="P60" s="173">
        <v>43013</v>
      </c>
      <c r="Q60" s="153" t="str">
        <f t="shared" ca="1" si="0"/>
        <v>https://www.youtube.com/embed/ycnvyB8pDEM?start=307&amp;end=395&amp;autoplay=1</v>
      </c>
      <c r="R60" s="159" t="s">
        <v>63</v>
      </c>
      <c r="S60" s="159" t="s">
        <v>63</v>
      </c>
      <c r="T60" s="159" t="s">
        <v>63</v>
      </c>
      <c r="U60" s="148"/>
      <c r="V60" s="149"/>
      <c r="W60" s="167" t="s">
        <v>64</v>
      </c>
      <c r="X60" s="151"/>
      <c r="Y60" s="44"/>
      <c r="Z60" s="44"/>
      <c r="AA60" s="152"/>
      <c r="AB60" s="152"/>
      <c r="AC60" s="152"/>
      <c r="AD60" s="152"/>
      <c r="AE60" s="152"/>
      <c r="AF60" s="152"/>
      <c r="AG60" s="152"/>
      <c r="AH60" s="44"/>
      <c r="AI60" s="44"/>
      <c r="AJ60" s="44"/>
      <c r="AK60" s="44"/>
      <c r="AL60" s="44"/>
      <c r="AM60" s="44"/>
      <c r="AN60" s="44"/>
    </row>
    <row r="61" spans="1:40">
      <c r="A61" s="63">
        <v>36.03</v>
      </c>
      <c r="B61" s="63" t="s">
        <v>155</v>
      </c>
      <c r="C61" s="44"/>
      <c r="D61" s="63" t="s">
        <v>56</v>
      </c>
      <c r="E61" s="44"/>
      <c r="F61" s="43"/>
      <c r="G61" s="63" t="s">
        <v>937</v>
      </c>
      <c r="H61" s="58" t="s">
        <v>938</v>
      </c>
      <c r="I61" s="44"/>
      <c r="J61" s="44"/>
      <c r="K61" s="143"/>
      <c r="L61" s="144"/>
      <c r="M61" s="166">
        <v>4.5717592592592589E-3</v>
      </c>
      <c r="N61" s="166">
        <v>6.1111111111111114E-3</v>
      </c>
      <c r="O61" s="155">
        <f t="shared" si="12"/>
        <v>1.5393518518518525E-3</v>
      </c>
      <c r="P61" s="173">
        <v>43013</v>
      </c>
      <c r="Q61" s="153" t="str">
        <f t="shared" ca="1" si="0"/>
        <v>https://www.youtube.com/embed/ycnvyB8pDEM?start=395&amp;end=528&amp;autoplay=1</v>
      </c>
      <c r="R61" s="159" t="s">
        <v>63</v>
      </c>
      <c r="S61" s="159" t="s">
        <v>63</v>
      </c>
      <c r="T61" s="159" t="s">
        <v>63</v>
      </c>
      <c r="U61" s="148"/>
      <c r="V61" s="149"/>
      <c r="W61" s="167" t="s">
        <v>64</v>
      </c>
      <c r="X61" s="151"/>
      <c r="Y61" s="44"/>
      <c r="Z61" s="63" t="s">
        <v>940</v>
      </c>
      <c r="AA61" s="152"/>
      <c r="AB61" s="152"/>
      <c r="AC61" s="152"/>
      <c r="AD61" s="152"/>
      <c r="AE61" s="152"/>
      <c r="AF61" s="152"/>
      <c r="AG61" s="152"/>
      <c r="AH61" s="44"/>
      <c r="AI61" s="44"/>
      <c r="AJ61" s="44"/>
      <c r="AK61" s="44"/>
      <c r="AL61" s="44"/>
      <c r="AM61" s="44"/>
      <c r="AN61" s="44"/>
    </row>
    <row r="62" spans="1:40">
      <c r="A62" s="63">
        <v>36.04</v>
      </c>
      <c r="B62" s="63" t="s">
        <v>155</v>
      </c>
      <c r="C62" s="44"/>
      <c r="D62" s="63" t="s">
        <v>56</v>
      </c>
      <c r="E62" s="44"/>
      <c r="F62" s="43"/>
      <c r="G62" s="63" t="s">
        <v>942</v>
      </c>
      <c r="H62" s="58" t="s">
        <v>943</v>
      </c>
      <c r="I62" s="44"/>
      <c r="J62" s="44"/>
      <c r="K62" s="143"/>
      <c r="L62" s="144"/>
      <c r="M62" s="166">
        <v>6.1111111111111114E-3</v>
      </c>
      <c r="N62" s="166">
        <v>7.8125E-3</v>
      </c>
      <c r="O62" s="155">
        <f t="shared" si="12"/>
        <v>1.7013888888888886E-3</v>
      </c>
      <c r="P62" s="173">
        <v>43013</v>
      </c>
      <c r="Q62" s="153" t="str">
        <f t="shared" ca="1" si="0"/>
        <v>https://www.youtube.com/embed/ycnvyB8pDEM?start=528&amp;end=675&amp;autoplay=1</v>
      </c>
      <c r="R62" s="159" t="s">
        <v>63</v>
      </c>
      <c r="S62" s="159" t="s">
        <v>63</v>
      </c>
      <c r="T62" s="159" t="s">
        <v>63</v>
      </c>
      <c r="U62" s="148"/>
      <c r="V62" s="149"/>
      <c r="W62" s="167" t="s">
        <v>64</v>
      </c>
      <c r="X62" s="151"/>
      <c r="Y62" s="44"/>
      <c r="Z62" s="63" t="s">
        <v>940</v>
      </c>
      <c r="AA62" s="152"/>
      <c r="AB62" s="152"/>
      <c r="AC62" s="152"/>
      <c r="AD62" s="152"/>
      <c r="AE62" s="152"/>
      <c r="AF62" s="152"/>
      <c r="AG62" s="152"/>
      <c r="AH62" s="44"/>
      <c r="AI62" s="44"/>
      <c r="AJ62" s="44"/>
      <c r="AK62" s="44"/>
      <c r="AL62" s="44"/>
      <c r="AM62" s="44"/>
      <c r="AN62" s="44"/>
    </row>
    <row r="63" spans="1:40">
      <c r="A63" s="44">
        <v>37</v>
      </c>
      <c r="B63" s="63" t="s">
        <v>155</v>
      </c>
      <c r="C63" s="44"/>
      <c r="D63" s="63" t="s">
        <v>56</v>
      </c>
      <c r="E63" s="44" t="s">
        <v>264</v>
      </c>
      <c r="F63" s="43" t="s">
        <v>265</v>
      </c>
      <c r="G63" s="44"/>
      <c r="H63" s="45"/>
      <c r="I63" s="44"/>
      <c r="J63" s="44">
        <f>773</f>
        <v>773</v>
      </c>
      <c r="K63" s="143">
        <v>9.5486111111111101E-3</v>
      </c>
      <c r="L63" s="144" t="s">
        <v>61</v>
      </c>
      <c r="M63" s="155"/>
      <c r="N63" s="155"/>
      <c r="O63" s="44"/>
      <c r="P63" s="44"/>
      <c r="Q63" s="45" t="str">
        <f t="shared" ca="1" si="0"/>
        <v/>
      </c>
      <c r="R63" s="169"/>
      <c r="S63" s="169"/>
      <c r="T63" s="169"/>
      <c r="U63" s="170"/>
      <c r="V63" s="171"/>
      <c r="W63" s="172"/>
      <c r="X63" s="151"/>
      <c r="Y63" s="44"/>
      <c r="Z63" s="44"/>
      <c r="AA63" s="44"/>
      <c r="AB63" s="44"/>
      <c r="AC63" s="152"/>
      <c r="AD63" s="152"/>
      <c r="AE63" s="152"/>
      <c r="AF63" s="152"/>
      <c r="AG63" s="152"/>
      <c r="AH63" s="44"/>
      <c r="AI63" s="44"/>
      <c r="AJ63" s="44"/>
      <c r="AK63" s="44"/>
      <c r="AL63" s="44"/>
      <c r="AM63" s="44"/>
      <c r="AN63" s="44"/>
    </row>
    <row r="64" spans="1:40">
      <c r="A64" s="63">
        <v>37.01</v>
      </c>
      <c r="B64" s="63" t="s">
        <v>155</v>
      </c>
      <c r="C64" s="44"/>
      <c r="D64" s="63" t="s">
        <v>56</v>
      </c>
      <c r="E64" s="44"/>
      <c r="F64" s="43"/>
      <c r="G64" s="63" t="s">
        <v>948</v>
      </c>
      <c r="H64" s="58" t="s">
        <v>949</v>
      </c>
      <c r="I64" s="44"/>
      <c r="J64" s="44"/>
      <c r="K64" s="143"/>
      <c r="L64" s="144"/>
      <c r="M64" s="174">
        <v>0</v>
      </c>
      <c r="N64" s="174">
        <v>3.6805555555555554E-3</v>
      </c>
      <c r="O64" s="155">
        <f t="shared" ref="O64:O66" si="13">N64-M64</f>
        <v>3.6805555555555554E-3</v>
      </c>
      <c r="P64" s="173">
        <v>43013</v>
      </c>
      <c r="Q64" s="153" t="str">
        <f t="shared" ca="1" si="0"/>
        <v>https://www.youtube.com/embed/xANxZaCCD70?start=0&amp;end=318&amp;autoplay=1</v>
      </c>
      <c r="R64" s="159" t="s">
        <v>63</v>
      </c>
      <c r="S64" s="159" t="s">
        <v>63</v>
      </c>
      <c r="T64" s="159" t="s">
        <v>63</v>
      </c>
      <c r="U64" s="170"/>
      <c r="V64" s="171"/>
      <c r="W64" s="175" t="s">
        <v>64</v>
      </c>
      <c r="X64" s="151"/>
      <c r="Y64" s="44"/>
      <c r="Z64" s="44"/>
      <c r="AA64" s="44"/>
      <c r="AB64" s="44"/>
      <c r="AC64" s="152"/>
      <c r="AD64" s="152"/>
      <c r="AE64" s="152"/>
      <c r="AF64" s="152"/>
      <c r="AG64" s="152"/>
      <c r="AH64" s="44"/>
      <c r="AI64" s="44"/>
      <c r="AJ64" s="44"/>
      <c r="AK64" s="44"/>
      <c r="AL64" s="44"/>
      <c r="AM64" s="44"/>
      <c r="AN64" s="44"/>
    </row>
    <row r="65" spans="1:40">
      <c r="A65" s="63">
        <v>37.020000000000003</v>
      </c>
      <c r="B65" s="63" t="s">
        <v>155</v>
      </c>
      <c r="C65" s="44"/>
      <c r="D65" s="63" t="s">
        <v>56</v>
      </c>
      <c r="E65" s="44"/>
      <c r="F65" s="43"/>
      <c r="G65" s="63" t="s">
        <v>954</v>
      </c>
      <c r="H65" s="58" t="s">
        <v>955</v>
      </c>
      <c r="I65" s="44"/>
      <c r="J65" s="44"/>
      <c r="K65" s="143"/>
      <c r="L65" s="144"/>
      <c r="M65" s="174">
        <v>3.6805555555555554E-3</v>
      </c>
      <c r="N65" s="174">
        <v>5.0694444444444441E-3</v>
      </c>
      <c r="O65" s="155">
        <f t="shared" si="13"/>
        <v>1.3888888888888887E-3</v>
      </c>
      <c r="P65" s="173">
        <v>43013</v>
      </c>
      <c r="Q65" s="153" t="str">
        <f t="shared" ca="1" si="0"/>
        <v>https://www.youtube.com/embed/xANxZaCCD70?start=318&amp;end=438&amp;autoplay=1</v>
      </c>
      <c r="R65" s="176" t="s">
        <v>561</v>
      </c>
      <c r="S65" s="176" t="s">
        <v>63</v>
      </c>
      <c r="T65" s="176" t="s">
        <v>63</v>
      </c>
      <c r="U65" s="170"/>
      <c r="V65" s="171"/>
      <c r="W65" s="175" t="s">
        <v>64</v>
      </c>
      <c r="X65" s="151"/>
      <c r="Y65" s="44"/>
      <c r="Z65" s="63" t="s">
        <v>957</v>
      </c>
      <c r="AA65" s="44"/>
      <c r="AB65" s="44"/>
      <c r="AC65" s="152"/>
      <c r="AD65" s="152"/>
      <c r="AE65" s="152"/>
      <c r="AF65" s="152"/>
      <c r="AG65" s="152"/>
      <c r="AH65" s="44"/>
      <c r="AI65" s="44"/>
      <c r="AJ65" s="44"/>
      <c r="AK65" s="44"/>
      <c r="AL65" s="44"/>
      <c r="AM65" s="44"/>
      <c r="AN65" s="44"/>
    </row>
    <row r="66" spans="1:40">
      <c r="A66" s="63">
        <v>37.03</v>
      </c>
      <c r="B66" s="63" t="s">
        <v>155</v>
      </c>
      <c r="C66" s="44"/>
      <c r="D66" s="63" t="s">
        <v>56</v>
      </c>
      <c r="E66" s="44"/>
      <c r="F66" s="43"/>
      <c r="G66" s="63" t="s">
        <v>960</v>
      </c>
      <c r="H66" s="58" t="s">
        <v>961</v>
      </c>
      <c r="I66" s="44"/>
      <c r="J66" s="44"/>
      <c r="K66" s="143"/>
      <c r="L66" s="144"/>
      <c r="M66" s="174">
        <v>5.092592592592593E-3</v>
      </c>
      <c r="N66" s="174">
        <v>9.5370370370370366E-3</v>
      </c>
      <c r="O66" s="155">
        <f t="shared" si="13"/>
        <v>4.4444444444444436E-3</v>
      </c>
      <c r="P66" s="173">
        <v>43013</v>
      </c>
      <c r="Q66" s="153" t="str">
        <f t="shared" ca="1" si="0"/>
        <v>https://www.youtube.com/embed/xANxZaCCD70?start=440&amp;end=824&amp;autoplay=1</v>
      </c>
      <c r="R66" s="169"/>
      <c r="S66" s="169"/>
      <c r="T66" s="169"/>
      <c r="U66" s="170"/>
      <c r="V66" s="171"/>
      <c r="W66" s="175" t="s">
        <v>64</v>
      </c>
      <c r="X66" s="151"/>
      <c r="Y66" s="44"/>
      <c r="Z66" s="63" t="s">
        <v>962</v>
      </c>
      <c r="AA66" s="44"/>
      <c r="AB66" s="44"/>
      <c r="AC66" s="152"/>
      <c r="AD66" s="152"/>
      <c r="AE66" s="152"/>
      <c r="AF66" s="152"/>
      <c r="AG66" s="152"/>
      <c r="AH66" s="44"/>
      <c r="AI66" s="44"/>
      <c r="AJ66" s="44"/>
      <c r="AK66" s="44"/>
      <c r="AL66" s="44"/>
      <c r="AM66" s="44"/>
      <c r="AN66" s="44"/>
    </row>
    <row r="67" spans="1:40">
      <c r="A67" s="44">
        <v>38</v>
      </c>
      <c r="B67" s="63" t="s">
        <v>155</v>
      </c>
      <c r="C67" s="44"/>
      <c r="D67" s="63" t="s">
        <v>142</v>
      </c>
      <c r="E67" s="44" t="s">
        <v>270</v>
      </c>
      <c r="F67" s="43" t="s">
        <v>271</v>
      </c>
      <c r="G67" s="44"/>
      <c r="H67" s="45"/>
      <c r="I67" s="44"/>
      <c r="J67" s="44">
        <f>427</f>
        <v>427</v>
      </c>
      <c r="K67" s="143">
        <v>3.3564814814814811E-3</v>
      </c>
      <c r="L67" s="144" t="s">
        <v>61</v>
      </c>
      <c r="M67" s="155"/>
      <c r="N67" s="155"/>
      <c r="O67" s="44"/>
      <c r="P67" s="44"/>
      <c r="Q67" s="45" t="str">
        <f t="shared" ca="1" si="0"/>
        <v/>
      </c>
      <c r="R67" s="169"/>
      <c r="S67" s="169"/>
      <c r="T67" s="169"/>
      <c r="U67" s="170"/>
      <c r="V67" s="171"/>
      <c r="W67" s="172"/>
      <c r="X67" s="151"/>
      <c r="Y67" s="44"/>
      <c r="Z67" s="63" t="s">
        <v>965</v>
      </c>
      <c r="AA67" s="44"/>
      <c r="AB67" s="44"/>
      <c r="AC67" s="152"/>
      <c r="AD67" s="152"/>
      <c r="AE67" s="152"/>
      <c r="AF67" s="152"/>
      <c r="AG67" s="152"/>
      <c r="AH67" s="44"/>
      <c r="AI67" s="44"/>
      <c r="AJ67" s="44"/>
      <c r="AK67" s="44"/>
      <c r="AL67" s="44"/>
      <c r="AM67" s="44"/>
      <c r="AN67" s="44"/>
    </row>
    <row r="68" spans="1:40">
      <c r="A68" s="44">
        <v>50</v>
      </c>
      <c r="B68" s="63" t="s">
        <v>155</v>
      </c>
      <c r="C68" s="44"/>
      <c r="D68" s="63" t="s">
        <v>56</v>
      </c>
      <c r="E68" s="44" t="s">
        <v>316</v>
      </c>
      <c r="F68" s="43" t="s">
        <v>317</v>
      </c>
      <c r="G68" s="44"/>
      <c r="H68" s="45"/>
      <c r="I68" s="44"/>
      <c r="J68" s="44">
        <f>1.7*1000</f>
        <v>1700</v>
      </c>
      <c r="K68" s="143">
        <v>1.0266203703703703E-2</v>
      </c>
      <c r="L68" s="144" t="s">
        <v>61</v>
      </c>
      <c r="M68" s="155"/>
      <c r="N68" s="155"/>
      <c r="O68" s="44"/>
      <c r="P68" s="44"/>
      <c r="Q68" s="45" t="str">
        <f t="shared" ca="1" si="0"/>
        <v/>
      </c>
      <c r="R68" s="169"/>
      <c r="S68" s="169"/>
      <c r="T68" s="169"/>
      <c r="U68" s="170"/>
      <c r="V68" s="171"/>
      <c r="W68" s="172"/>
      <c r="X68" s="151"/>
      <c r="Y68" s="44"/>
      <c r="Z68" s="44"/>
      <c r="AA68" s="44"/>
      <c r="AB68" s="44"/>
      <c r="AC68" s="152"/>
      <c r="AD68" s="152"/>
      <c r="AE68" s="152"/>
      <c r="AF68" s="152"/>
      <c r="AG68" s="152"/>
      <c r="AH68" s="44"/>
      <c r="AI68" s="44"/>
      <c r="AJ68" s="44"/>
      <c r="AK68" s="44"/>
      <c r="AL68" s="44"/>
      <c r="AM68" s="44"/>
      <c r="AN68" s="44"/>
    </row>
    <row r="69" spans="1:40">
      <c r="A69" s="63">
        <v>50.01</v>
      </c>
      <c r="B69" s="63" t="s">
        <v>155</v>
      </c>
      <c r="C69" s="44"/>
      <c r="D69" s="63" t="s">
        <v>56</v>
      </c>
      <c r="E69" s="44"/>
      <c r="F69" s="43"/>
      <c r="G69" s="63" t="s">
        <v>968</v>
      </c>
      <c r="H69" s="58" t="s">
        <v>970</v>
      </c>
      <c r="I69" s="44"/>
      <c r="J69" s="44"/>
      <c r="K69" s="143"/>
      <c r="L69" s="144"/>
      <c r="M69" s="166">
        <v>0</v>
      </c>
      <c r="N69" s="166">
        <v>3.9814814814814817E-3</v>
      </c>
      <c r="O69" s="155">
        <f t="shared" ref="O69:O72" si="14">N69-M69</f>
        <v>3.9814814814814817E-3</v>
      </c>
      <c r="P69" s="173">
        <v>43014</v>
      </c>
      <c r="Q69" s="153" t="str">
        <f t="shared" ca="1" si="0"/>
        <v>https://www.youtube.com/embed/8qjQH_-WzyE?start=0&amp;end=344&amp;autoplay=1</v>
      </c>
      <c r="R69" s="159" t="s">
        <v>63</v>
      </c>
      <c r="S69" s="159" t="s">
        <v>131</v>
      </c>
      <c r="T69" s="159" t="s">
        <v>63</v>
      </c>
      <c r="U69" s="148"/>
      <c r="V69" s="149"/>
      <c r="W69" s="175" t="s">
        <v>64</v>
      </c>
      <c r="X69" s="151"/>
      <c r="Y69" s="44"/>
      <c r="Z69" s="44"/>
      <c r="AA69" s="152"/>
      <c r="AB69" s="152"/>
      <c r="AC69" s="152"/>
      <c r="AD69" s="152"/>
      <c r="AE69" s="152"/>
      <c r="AF69" s="152"/>
      <c r="AG69" s="152"/>
      <c r="AH69" s="44"/>
      <c r="AI69" s="44"/>
      <c r="AJ69" s="44"/>
      <c r="AK69" s="44"/>
      <c r="AL69" s="44"/>
      <c r="AM69" s="44"/>
      <c r="AN69" s="44"/>
    </row>
    <row r="70" spans="1:40">
      <c r="A70" s="63">
        <v>50.02</v>
      </c>
      <c r="B70" s="63" t="s">
        <v>155</v>
      </c>
      <c r="C70" s="44"/>
      <c r="D70" s="63" t="s">
        <v>142</v>
      </c>
      <c r="E70" s="44"/>
      <c r="F70" s="43"/>
      <c r="G70" s="63" t="s">
        <v>974</v>
      </c>
      <c r="H70" s="58" t="s">
        <v>975</v>
      </c>
      <c r="I70" s="44"/>
      <c r="J70" s="44"/>
      <c r="K70" s="143"/>
      <c r="L70" s="144"/>
      <c r="M70" s="166">
        <v>3.9930555555555552E-3</v>
      </c>
      <c r="N70" s="166">
        <v>4.7453703703703703E-3</v>
      </c>
      <c r="O70" s="155">
        <f t="shared" si="14"/>
        <v>7.5231481481481503E-4</v>
      </c>
      <c r="P70" s="173">
        <v>43014</v>
      </c>
      <c r="Q70" s="153" t="str">
        <f t="shared" ca="1" si="0"/>
        <v>https://www.youtube.com/embed/8qjQH_-WzyE?start=345&amp;end=410&amp;autoplay=1</v>
      </c>
      <c r="R70" s="159" t="s">
        <v>63</v>
      </c>
      <c r="S70" s="159" t="s">
        <v>63</v>
      </c>
      <c r="T70" s="159" t="s">
        <v>63</v>
      </c>
      <c r="U70" s="148"/>
      <c r="V70" s="149"/>
      <c r="W70" s="175" t="s">
        <v>151</v>
      </c>
      <c r="X70" s="151"/>
      <c r="Y70" s="44"/>
      <c r="Z70" s="63" t="s">
        <v>976</v>
      </c>
      <c r="AA70" s="152"/>
      <c r="AB70" s="152"/>
      <c r="AC70" s="152"/>
      <c r="AD70" s="152"/>
      <c r="AE70" s="152"/>
      <c r="AF70" s="152"/>
      <c r="AG70" s="152"/>
      <c r="AH70" s="44"/>
      <c r="AI70" s="44"/>
      <c r="AJ70" s="44"/>
      <c r="AK70" s="44"/>
      <c r="AL70" s="44"/>
      <c r="AM70" s="44"/>
      <c r="AN70" s="44"/>
    </row>
    <row r="71" spans="1:40">
      <c r="A71" s="63">
        <v>50.03</v>
      </c>
      <c r="B71" s="63" t="s">
        <v>155</v>
      </c>
      <c r="C71" s="44"/>
      <c r="D71" s="63" t="s">
        <v>56</v>
      </c>
      <c r="E71" s="44"/>
      <c r="F71" s="43"/>
      <c r="G71" s="63" t="s">
        <v>977</v>
      </c>
      <c r="H71" s="58" t="s">
        <v>978</v>
      </c>
      <c r="I71" s="44"/>
      <c r="J71" s="44"/>
      <c r="K71" s="143"/>
      <c r="L71" s="144"/>
      <c r="M71" s="166">
        <v>4.7569444444444447E-3</v>
      </c>
      <c r="N71" s="166">
        <v>7.1759259259259259E-3</v>
      </c>
      <c r="O71" s="155">
        <f t="shared" si="14"/>
        <v>2.4189814814814812E-3</v>
      </c>
      <c r="P71" s="173">
        <v>43014</v>
      </c>
      <c r="Q71" s="153" t="str">
        <f t="shared" ca="1" si="0"/>
        <v>https://www.youtube.com/embed/8qjQH_-WzyE?start=411&amp;end=620&amp;autoplay=1</v>
      </c>
      <c r="R71" s="159" t="s">
        <v>63</v>
      </c>
      <c r="S71" s="159" t="s">
        <v>63</v>
      </c>
      <c r="T71" s="159" t="s">
        <v>63</v>
      </c>
      <c r="U71" s="148"/>
      <c r="V71" s="149"/>
      <c r="W71" s="175" t="s">
        <v>64</v>
      </c>
      <c r="X71" s="151"/>
      <c r="Y71" s="44"/>
      <c r="Z71" s="44"/>
      <c r="AA71" s="152"/>
      <c r="AB71" s="152"/>
      <c r="AC71" s="152"/>
      <c r="AD71" s="152"/>
      <c r="AE71" s="152"/>
      <c r="AF71" s="152"/>
      <c r="AG71" s="152"/>
      <c r="AH71" s="44"/>
      <c r="AI71" s="44"/>
      <c r="AJ71" s="44"/>
      <c r="AK71" s="44"/>
      <c r="AL71" s="44"/>
      <c r="AM71" s="44"/>
      <c r="AN71" s="44"/>
    </row>
    <row r="72" spans="1:40">
      <c r="A72" s="63">
        <v>50.04</v>
      </c>
      <c r="B72" s="63" t="s">
        <v>155</v>
      </c>
      <c r="C72" s="44"/>
      <c r="D72" s="63" t="s">
        <v>56</v>
      </c>
      <c r="E72" s="44"/>
      <c r="F72" s="43"/>
      <c r="G72" s="63" t="s">
        <v>981</v>
      </c>
      <c r="H72" s="58" t="s">
        <v>982</v>
      </c>
      <c r="I72" s="44"/>
      <c r="J72" s="44"/>
      <c r="K72" s="143"/>
      <c r="L72" s="144"/>
      <c r="M72" s="166">
        <v>7.1875000000000003E-3</v>
      </c>
      <c r="N72" s="166">
        <v>9.4212962962962957E-3</v>
      </c>
      <c r="O72" s="155">
        <f t="shared" si="14"/>
        <v>2.2337962962962954E-3</v>
      </c>
      <c r="P72" s="173">
        <v>43014</v>
      </c>
      <c r="Q72" s="153" t="str">
        <f t="shared" ca="1" si="0"/>
        <v>https://www.youtube.com/embed/8qjQH_-WzyE?start=621&amp;end=814&amp;autoplay=1</v>
      </c>
      <c r="R72" s="159" t="s">
        <v>63</v>
      </c>
      <c r="S72" s="159" t="s">
        <v>63</v>
      </c>
      <c r="T72" s="159" t="s">
        <v>63</v>
      </c>
      <c r="U72" s="148"/>
      <c r="V72" s="149"/>
      <c r="W72" s="175" t="s">
        <v>64</v>
      </c>
      <c r="X72" s="151"/>
      <c r="Y72" s="44"/>
      <c r="Z72" s="44"/>
      <c r="AA72" s="152"/>
      <c r="AB72" s="152"/>
      <c r="AC72" s="152"/>
      <c r="AD72" s="152"/>
      <c r="AE72" s="152"/>
      <c r="AF72" s="152"/>
      <c r="AG72" s="152"/>
      <c r="AH72" s="44"/>
      <c r="AI72" s="44"/>
      <c r="AJ72" s="44"/>
      <c r="AK72" s="44"/>
      <c r="AL72" s="44"/>
      <c r="AM72" s="44"/>
      <c r="AN72" s="44"/>
    </row>
    <row r="73" spans="1:40">
      <c r="A73" s="44">
        <v>51</v>
      </c>
      <c r="B73" s="63" t="s">
        <v>155</v>
      </c>
      <c r="C73" s="44"/>
      <c r="D73" s="63" t="s">
        <v>56</v>
      </c>
      <c r="E73" s="44" t="s">
        <v>321</v>
      </c>
      <c r="F73" s="43" t="s">
        <v>322</v>
      </c>
      <c r="G73" s="44"/>
      <c r="H73" s="45"/>
      <c r="I73" s="44"/>
      <c r="J73" s="44">
        <f>679</f>
        <v>679</v>
      </c>
      <c r="K73" s="143">
        <v>6.0879629629629643E-3</v>
      </c>
      <c r="L73" s="144" t="s">
        <v>61</v>
      </c>
      <c r="M73" s="155"/>
      <c r="N73" s="155"/>
      <c r="O73" s="44"/>
      <c r="P73" s="177">
        <v>43015</v>
      </c>
      <c r="Q73" s="45" t="str">
        <f t="shared" ca="1" si="0"/>
        <v/>
      </c>
      <c r="R73" s="169"/>
      <c r="S73" s="169"/>
      <c r="T73" s="169"/>
      <c r="U73" s="170"/>
      <c r="V73" s="171"/>
      <c r="W73" s="172"/>
      <c r="X73" s="151"/>
      <c r="Y73" s="44"/>
      <c r="Z73" s="44"/>
      <c r="AA73" s="44"/>
      <c r="AB73" s="44"/>
      <c r="AC73" s="152"/>
      <c r="AD73" s="152"/>
      <c r="AE73" s="152"/>
      <c r="AF73" s="152"/>
      <c r="AG73" s="152"/>
      <c r="AH73" s="44"/>
      <c r="AI73" s="44"/>
      <c r="AJ73" s="44"/>
      <c r="AK73" s="44"/>
      <c r="AL73" s="44"/>
      <c r="AM73" s="44"/>
      <c r="AN73" s="44"/>
    </row>
    <row r="74" spans="1:40">
      <c r="A74" s="63">
        <v>51.01</v>
      </c>
      <c r="B74" s="63" t="s">
        <v>155</v>
      </c>
      <c r="C74" s="44"/>
      <c r="D74" s="63" t="s">
        <v>56</v>
      </c>
      <c r="E74" s="44"/>
      <c r="F74" s="43"/>
      <c r="G74" s="63" t="s">
        <v>987</v>
      </c>
      <c r="H74" s="58" t="s">
        <v>988</v>
      </c>
      <c r="I74" s="44"/>
      <c r="J74" s="44"/>
      <c r="K74" s="143"/>
      <c r="L74" s="144"/>
      <c r="M74" s="166">
        <v>0</v>
      </c>
      <c r="N74" s="166">
        <v>4.6874999999999998E-3</v>
      </c>
      <c r="O74" s="155">
        <f>N74-M74</f>
        <v>4.6874999999999998E-3</v>
      </c>
      <c r="P74" s="177">
        <v>43016</v>
      </c>
      <c r="Q74" s="153" t="str">
        <f t="shared" ca="1" si="0"/>
        <v>https://www.youtube.com/embed/vHWsmGyjOk0?start=0&amp;end=405&amp;autoplay=1</v>
      </c>
      <c r="R74" s="159" t="s">
        <v>63</v>
      </c>
      <c r="S74" s="159" t="s">
        <v>63</v>
      </c>
      <c r="T74" s="159" t="s">
        <v>63</v>
      </c>
      <c r="U74" s="148"/>
      <c r="V74" s="149"/>
      <c r="W74" s="175" t="s">
        <v>64</v>
      </c>
      <c r="X74" s="151"/>
      <c r="Y74" s="44"/>
      <c r="Z74" s="63" t="s">
        <v>991</v>
      </c>
      <c r="AA74" s="152"/>
      <c r="AB74" s="152"/>
      <c r="AC74" s="152"/>
      <c r="AD74" s="152"/>
      <c r="AE74" s="152"/>
      <c r="AF74" s="152"/>
      <c r="AG74" s="152"/>
      <c r="AH74" s="44"/>
      <c r="AI74" s="44"/>
      <c r="AJ74" s="44"/>
      <c r="AK74" s="44"/>
      <c r="AL74" s="44"/>
      <c r="AM74" s="44"/>
      <c r="AN74" s="44"/>
    </row>
    <row r="75" spans="1:40">
      <c r="A75" s="178">
        <v>52</v>
      </c>
      <c r="B75" s="179" t="s">
        <v>155</v>
      </c>
      <c r="C75" s="178"/>
      <c r="D75" s="179" t="s">
        <v>56</v>
      </c>
      <c r="E75" s="178" t="s">
        <v>327</v>
      </c>
      <c r="F75" s="180" t="s">
        <v>328</v>
      </c>
      <c r="G75" s="178"/>
      <c r="H75" s="181"/>
      <c r="I75" s="178"/>
      <c r="J75" s="178">
        <f>928</f>
        <v>928</v>
      </c>
      <c r="K75" s="182">
        <v>0.01</v>
      </c>
      <c r="L75" s="183" t="s">
        <v>61</v>
      </c>
      <c r="M75" s="184"/>
      <c r="N75" s="184"/>
      <c r="O75" s="178"/>
      <c r="P75" s="185"/>
      <c r="Q75" s="181" t="str">
        <f t="shared" ca="1" si="0"/>
        <v/>
      </c>
      <c r="R75" s="178"/>
      <c r="S75" s="178"/>
      <c r="T75" s="178"/>
      <c r="U75" s="178"/>
      <c r="V75" s="178"/>
      <c r="W75" s="178"/>
      <c r="X75" s="178"/>
      <c r="Y75" s="178"/>
      <c r="Z75" s="178"/>
      <c r="AA75" s="178"/>
      <c r="AB75" s="178"/>
      <c r="AC75" s="186"/>
      <c r="AD75" s="186"/>
      <c r="AE75" s="186"/>
      <c r="AF75" s="186"/>
      <c r="AG75" s="186"/>
      <c r="AH75" s="178"/>
      <c r="AI75" s="178"/>
      <c r="AJ75" s="178"/>
      <c r="AK75" s="178"/>
      <c r="AL75" s="178"/>
      <c r="AM75" s="178"/>
      <c r="AN75" s="178"/>
    </row>
    <row r="76" spans="1:40">
      <c r="A76" s="63">
        <v>52.01</v>
      </c>
      <c r="B76" s="63" t="s">
        <v>155</v>
      </c>
      <c r="C76" s="44"/>
      <c r="D76" s="179" t="s">
        <v>56</v>
      </c>
      <c r="E76" s="44"/>
      <c r="F76" s="43"/>
      <c r="G76" s="63" t="s">
        <v>998</v>
      </c>
      <c r="H76" s="58" t="s">
        <v>999</v>
      </c>
      <c r="I76" s="44"/>
      <c r="J76" s="44"/>
      <c r="K76" s="143"/>
      <c r="L76" s="144"/>
      <c r="M76" s="166">
        <v>0</v>
      </c>
      <c r="N76" s="166">
        <v>3.1712962962962962E-3</v>
      </c>
      <c r="O76" s="155">
        <f t="shared" ref="O76:O77" si="15">N76-M76</f>
        <v>3.1712962962962962E-3</v>
      </c>
      <c r="P76" s="177">
        <v>43016</v>
      </c>
      <c r="Q76" s="153" t="str">
        <f t="shared" ca="1" si="0"/>
        <v>https://www.youtube.com/embed/-udb2VYB5uo?start=0&amp;end=274&amp;autoplay=1</v>
      </c>
      <c r="R76" s="159" t="s">
        <v>63</v>
      </c>
      <c r="S76" s="159" t="s">
        <v>63</v>
      </c>
      <c r="T76" s="159" t="s">
        <v>63</v>
      </c>
      <c r="U76" s="148"/>
      <c r="V76" s="149"/>
      <c r="W76" s="175" t="s">
        <v>64</v>
      </c>
      <c r="X76" s="151"/>
      <c r="Y76" s="44"/>
      <c r="Z76" s="44"/>
      <c r="AA76" s="152"/>
      <c r="AB76" s="152"/>
      <c r="AC76" s="152"/>
      <c r="AD76" s="152"/>
      <c r="AE76" s="152"/>
      <c r="AF76" s="152"/>
      <c r="AG76" s="152"/>
      <c r="AH76" s="44"/>
      <c r="AI76" s="44"/>
      <c r="AJ76" s="44"/>
      <c r="AK76" s="44"/>
      <c r="AL76" s="44"/>
      <c r="AM76" s="44"/>
      <c r="AN76" s="44"/>
    </row>
    <row r="77" spans="1:40">
      <c r="A77" s="63">
        <v>52.02</v>
      </c>
      <c r="B77" s="63" t="s">
        <v>155</v>
      </c>
      <c r="C77" s="44"/>
      <c r="D77" s="179" t="s">
        <v>56</v>
      </c>
      <c r="E77" s="44"/>
      <c r="F77" s="43"/>
      <c r="G77" s="63" t="s">
        <v>1002</v>
      </c>
      <c r="H77" s="58" t="s">
        <v>1003</v>
      </c>
      <c r="I77" s="44"/>
      <c r="J77" s="44"/>
      <c r="K77" s="143"/>
      <c r="L77" s="144"/>
      <c r="M77" s="166">
        <v>3.1828703703703702E-3</v>
      </c>
      <c r="N77" s="166">
        <v>9.9884259259259266E-3</v>
      </c>
      <c r="O77" s="155">
        <f t="shared" si="15"/>
        <v>6.805555555555556E-3</v>
      </c>
      <c r="P77" s="177">
        <v>43016</v>
      </c>
      <c r="Q77" s="153" t="str">
        <f t="shared" ca="1" si="0"/>
        <v>https://www.youtube.com/embed/-udb2VYB5uo?start=275&amp;end=863&amp;autoplay=1</v>
      </c>
      <c r="R77" s="159" t="s">
        <v>63</v>
      </c>
      <c r="S77" s="159" t="s">
        <v>63</v>
      </c>
      <c r="T77" s="159" t="s">
        <v>63</v>
      </c>
      <c r="U77" s="148"/>
      <c r="V77" s="149"/>
      <c r="W77" s="175" t="s">
        <v>64</v>
      </c>
      <c r="X77" s="151"/>
      <c r="Y77" s="44"/>
      <c r="Z77" s="44"/>
      <c r="AA77" s="152"/>
      <c r="AB77" s="152"/>
      <c r="AC77" s="152"/>
      <c r="AD77" s="152"/>
      <c r="AE77" s="152"/>
      <c r="AF77" s="152"/>
      <c r="AG77" s="152"/>
      <c r="AH77" s="44"/>
      <c r="AI77" s="44"/>
      <c r="AJ77" s="44"/>
      <c r="AK77" s="44"/>
      <c r="AL77" s="44"/>
      <c r="AM77" s="44"/>
      <c r="AN77" s="44"/>
    </row>
    <row r="78" spans="1:40">
      <c r="A78" s="44">
        <v>53</v>
      </c>
      <c r="B78" s="176" t="s">
        <v>155</v>
      </c>
      <c r="C78" s="170"/>
      <c r="D78" s="63" t="s">
        <v>56</v>
      </c>
      <c r="E78" s="44" t="s">
        <v>332</v>
      </c>
      <c r="F78" s="43" t="s">
        <v>333</v>
      </c>
      <c r="G78" s="44"/>
      <c r="H78" s="45"/>
      <c r="I78" s="44"/>
      <c r="J78" s="44">
        <f>961</f>
        <v>961</v>
      </c>
      <c r="K78" s="143">
        <v>8.9814814814814809E-3</v>
      </c>
      <c r="L78" s="144" t="s">
        <v>61</v>
      </c>
      <c r="M78" s="155"/>
      <c r="N78" s="155"/>
      <c r="O78" s="44"/>
      <c r="P78" s="44"/>
      <c r="Q78" s="45" t="str">
        <f t="shared" ca="1" si="0"/>
        <v/>
      </c>
      <c r="R78" s="169"/>
      <c r="S78" s="169"/>
      <c r="T78" s="169"/>
      <c r="U78" s="170"/>
      <c r="V78" s="171"/>
      <c r="W78" s="172"/>
      <c r="X78" s="151"/>
      <c r="Y78" s="44"/>
      <c r="Z78" s="44"/>
      <c r="AA78" s="44"/>
      <c r="AB78" s="44"/>
      <c r="AC78" s="152"/>
      <c r="AD78" s="152"/>
      <c r="AE78" s="152"/>
      <c r="AF78" s="152"/>
      <c r="AG78" s="152"/>
      <c r="AH78" s="44"/>
      <c r="AI78" s="44"/>
      <c r="AJ78" s="44"/>
      <c r="AK78" s="44"/>
      <c r="AL78" s="44"/>
      <c r="AM78" s="44"/>
      <c r="AN78" s="44"/>
    </row>
    <row r="79" spans="1:40">
      <c r="A79" s="63">
        <v>53.01</v>
      </c>
      <c r="B79" s="63" t="s">
        <v>155</v>
      </c>
      <c r="C79" s="63"/>
      <c r="D79" s="63" t="s">
        <v>56</v>
      </c>
      <c r="E79" s="44"/>
      <c r="F79" s="43"/>
      <c r="G79" s="63" t="s">
        <v>894</v>
      </c>
      <c r="H79" s="58" t="s">
        <v>1006</v>
      </c>
      <c r="I79" s="44"/>
      <c r="J79" s="44"/>
      <c r="K79" s="143"/>
      <c r="L79" s="144"/>
      <c r="M79" s="187">
        <v>0</v>
      </c>
      <c r="N79" s="166">
        <v>2.1990740740740742E-3</v>
      </c>
      <c r="O79" s="155">
        <f t="shared" ref="O79:O82" si="16">N79-M79</f>
        <v>2.1990740740740742E-3</v>
      </c>
      <c r="P79" s="177">
        <v>43017</v>
      </c>
      <c r="Q79" s="153" t="str">
        <f t="shared" ca="1" si="0"/>
        <v>https://www.youtube.com/embed/f-MLHIb4dFU?start=0&amp;end=190&amp;autoplay=1</v>
      </c>
      <c r="R79" s="159" t="s">
        <v>63</v>
      </c>
      <c r="S79" s="159" t="s">
        <v>63</v>
      </c>
      <c r="T79" s="159" t="s">
        <v>63</v>
      </c>
      <c r="U79" s="148"/>
      <c r="V79" s="149"/>
      <c r="W79" s="167" t="s">
        <v>64</v>
      </c>
      <c r="X79" s="151"/>
      <c r="Y79" s="44"/>
      <c r="Z79" s="63" t="s">
        <v>1009</v>
      </c>
      <c r="AA79" s="152"/>
      <c r="AB79" s="152"/>
      <c r="AC79" s="152"/>
      <c r="AD79" s="152"/>
      <c r="AE79" s="152"/>
      <c r="AF79" s="152"/>
      <c r="AG79" s="152"/>
      <c r="AH79" s="44"/>
      <c r="AI79" s="44"/>
      <c r="AJ79" s="44"/>
      <c r="AK79" s="44"/>
      <c r="AL79" s="44"/>
      <c r="AM79" s="44"/>
      <c r="AN79" s="44"/>
    </row>
    <row r="80" spans="1:40">
      <c r="A80" s="63">
        <v>53.02</v>
      </c>
      <c r="B80" s="63" t="s">
        <v>155</v>
      </c>
      <c r="C80" s="44"/>
      <c r="D80" s="63" t="s">
        <v>56</v>
      </c>
      <c r="E80" s="44"/>
      <c r="F80" s="43"/>
      <c r="G80" s="63" t="s">
        <v>1010</v>
      </c>
      <c r="H80" s="45" t="s">
        <v>767</v>
      </c>
      <c r="I80" s="44"/>
      <c r="J80" s="44"/>
      <c r="K80" s="143"/>
      <c r="L80" s="144"/>
      <c r="M80" s="166">
        <v>3.1712962962962962E-3</v>
      </c>
      <c r="N80" s="166">
        <v>4.8148148148148152E-3</v>
      </c>
      <c r="O80" s="155">
        <f t="shared" si="16"/>
        <v>1.643518518518519E-3</v>
      </c>
      <c r="P80" s="177">
        <v>43017</v>
      </c>
      <c r="Q80" s="153" t="str">
        <f t="shared" ca="1" si="0"/>
        <v>https://www.youtube.com/embed/f-MLHIb4dFU?start=274&amp;end=416&amp;autoplay=1</v>
      </c>
      <c r="R80" s="159" t="s">
        <v>63</v>
      </c>
      <c r="S80" s="159" t="s">
        <v>63</v>
      </c>
      <c r="T80" s="159" t="s">
        <v>63</v>
      </c>
      <c r="U80" s="148"/>
      <c r="V80" s="149"/>
      <c r="W80" s="167" t="s">
        <v>64</v>
      </c>
      <c r="X80" s="151"/>
      <c r="Y80" s="44"/>
      <c r="Z80" s="63" t="s">
        <v>1013</v>
      </c>
      <c r="AA80" s="152"/>
      <c r="AB80" s="152"/>
      <c r="AC80" s="152"/>
      <c r="AD80" s="152"/>
      <c r="AE80" s="152"/>
      <c r="AF80" s="152"/>
      <c r="AG80" s="152"/>
      <c r="AH80" s="44"/>
      <c r="AI80" s="44"/>
      <c r="AJ80" s="44"/>
      <c r="AK80" s="44"/>
      <c r="AL80" s="44"/>
      <c r="AM80" s="44"/>
      <c r="AN80" s="44"/>
    </row>
    <row r="81" spans="1:40">
      <c r="A81" s="63">
        <v>53.03</v>
      </c>
      <c r="B81" s="63" t="s">
        <v>155</v>
      </c>
      <c r="C81" s="44"/>
      <c r="D81" s="63" t="s">
        <v>56</v>
      </c>
      <c r="E81" s="44"/>
      <c r="F81" s="43"/>
      <c r="G81" s="63" t="s">
        <v>1014</v>
      </c>
      <c r="H81" s="58" t="s">
        <v>1015</v>
      </c>
      <c r="I81" s="44"/>
      <c r="J81" s="44"/>
      <c r="K81" s="143"/>
      <c r="L81" s="144"/>
      <c r="M81" s="166">
        <v>6.5277777777777782E-3</v>
      </c>
      <c r="N81" s="166">
        <v>7.060185185185185E-3</v>
      </c>
      <c r="O81" s="155">
        <f t="shared" si="16"/>
        <v>5.3240740740740679E-4</v>
      </c>
      <c r="P81" s="177">
        <v>43017</v>
      </c>
      <c r="Q81" s="153" t="str">
        <f t="shared" ca="1" si="0"/>
        <v>https://www.youtube.com/embed/f-MLHIb4dFU?start=564&amp;end=610&amp;autoplay=1</v>
      </c>
      <c r="R81" s="159" t="s">
        <v>63</v>
      </c>
      <c r="S81" s="159" t="s">
        <v>63</v>
      </c>
      <c r="T81" s="159" t="s">
        <v>63</v>
      </c>
      <c r="U81" s="148"/>
      <c r="V81" s="149"/>
      <c r="W81" s="167" t="s">
        <v>64</v>
      </c>
      <c r="X81" s="151"/>
      <c r="Y81" s="44"/>
      <c r="Z81" s="44"/>
      <c r="AA81" s="152"/>
      <c r="AB81" s="152"/>
      <c r="AC81" s="152"/>
      <c r="AD81" s="152"/>
      <c r="AE81" s="152"/>
      <c r="AF81" s="152"/>
      <c r="AG81" s="152"/>
      <c r="AH81" s="44"/>
      <c r="AI81" s="44"/>
      <c r="AJ81" s="44"/>
      <c r="AK81" s="44"/>
      <c r="AL81" s="44"/>
      <c r="AM81" s="44"/>
      <c r="AN81" s="44"/>
    </row>
    <row r="82" spans="1:40">
      <c r="A82" s="63">
        <v>53.04</v>
      </c>
      <c r="B82" s="63" t="s">
        <v>155</v>
      </c>
      <c r="C82" s="44"/>
      <c r="D82" s="63" t="s">
        <v>56</v>
      </c>
      <c r="E82" s="44"/>
      <c r="F82" s="43"/>
      <c r="G82" s="44" t="s">
        <v>823</v>
      </c>
      <c r="H82" s="58" t="s">
        <v>824</v>
      </c>
      <c r="I82" s="44"/>
      <c r="J82" s="44"/>
      <c r="K82" s="143"/>
      <c r="L82" s="144"/>
      <c r="M82" s="166">
        <v>7.2337962962962963E-3</v>
      </c>
      <c r="N82" s="166">
        <v>8.2754629629629636E-3</v>
      </c>
      <c r="O82" s="155">
        <f t="shared" si="16"/>
        <v>1.0416666666666673E-3</v>
      </c>
      <c r="P82" s="177">
        <v>43017</v>
      </c>
      <c r="Q82" s="153" t="str">
        <f t="shared" ca="1" si="0"/>
        <v>https://www.youtube.com/embed/f-MLHIb4dFU?start=625&amp;end=715&amp;autoplay=1</v>
      </c>
      <c r="R82" s="159" t="s">
        <v>63</v>
      </c>
      <c r="S82" s="159" t="s">
        <v>63</v>
      </c>
      <c r="T82" s="159" t="s">
        <v>63</v>
      </c>
      <c r="U82" s="148"/>
      <c r="V82" s="149"/>
      <c r="W82" s="167" t="s">
        <v>64</v>
      </c>
      <c r="X82" s="151"/>
      <c r="Y82" s="44"/>
      <c r="Z82" s="63" t="s">
        <v>1018</v>
      </c>
      <c r="AA82" s="152"/>
      <c r="AB82" s="152"/>
      <c r="AC82" s="152"/>
      <c r="AD82" s="152"/>
      <c r="AE82" s="152"/>
      <c r="AF82" s="152"/>
      <c r="AG82" s="152"/>
      <c r="AH82" s="44"/>
      <c r="AI82" s="44"/>
      <c r="AJ82" s="44"/>
      <c r="AK82" s="44"/>
      <c r="AL82" s="44"/>
      <c r="AM82" s="44"/>
      <c r="AN82" s="44"/>
    </row>
    <row r="83" spans="1:40">
      <c r="A83" s="44">
        <v>92</v>
      </c>
      <c r="B83" s="176" t="s">
        <v>155</v>
      </c>
      <c r="C83" s="170"/>
      <c r="D83" s="63" t="s">
        <v>56</v>
      </c>
      <c r="E83" s="44" t="s">
        <v>533</v>
      </c>
      <c r="F83" s="43" t="s">
        <v>534</v>
      </c>
      <c r="G83" s="44"/>
      <c r="H83" s="45"/>
      <c r="I83" s="44"/>
      <c r="J83" s="44">
        <f>6.3*1000</f>
        <v>6300</v>
      </c>
      <c r="K83" s="143">
        <v>2.6006944444444447E-2</v>
      </c>
      <c r="L83" s="144" t="s">
        <v>286</v>
      </c>
      <c r="M83" s="44"/>
      <c r="N83" s="44"/>
      <c r="O83" s="44"/>
      <c r="P83" s="44"/>
      <c r="Q83" s="45" t="str">
        <f t="shared" ca="1" si="0"/>
        <v/>
      </c>
      <c r="R83" s="169"/>
      <c r="S83" s="169"/>
      <c r="T83" s="169"/>
      <c r="U83" s="170"/>
      <c r="V83" s="171"/>
      <c r="W83" s="172"/>
      <c r="X83" s="151"/>
      <c r="Y83" s="44"/>
      <c r="Z83" s="44"/>
      <c r="AA83" s="44"/>
      <c r="AB83" s="44"/>
      <c r="AC83" s="152"/>
      <c r="AD83" s="152"/>
      <c r="AE83" s="152"/>
      <c r="AF83" s="152"/>
      <c r="AG83" s="152"/>
      <c r="AH83" s="44"/>
      <c r="AI83" s="44"/>
      <c r="AJ83" s="44"/>
      <c r="AK83" s="44"/>
      <c r="AL83" s="44"/>
      <c r="AM83" s="44"/>
      <c r="AN83" s="44"/>
    </row>
    <row r="84" spans="1:40">
      <c r="A84" s="63">
        <v>92.01</v>
      </c>
      <c r="B84" s="63" t="s">
        <v>155</v>
      </c>
      <c r="C84" s="63"/>
      <c r="D84" s="63" t="s">
        <v>56</v>
      </c>
      <c r="E84" s="44"/>
      <c r="F84" s="43"/>
      <c r="G84" s="63" t="s">
        <v>1021</v>
      </c>
      <c r="H84" s="58" t="s">
        <v>1022</v>
      </c>
      <c r="I84" s="44"/>
      <c r="J84" s="44"/>
      <c r="K84" s="143"/>
      <c r="L84" s="144"/>
      <c r="M84" s="166">
        <v>7.8703703703703705E-4</v>
      </c>
      <c r="N84" s="166">
        <v>2.476851851851852E-3</v>
      </c>
      <c r="O84" s="155">
        <f t="shared" ref="O84:O92" si="17">N84-M84</f>
        <v>1.689814814814815E-3</v>
      </c>
      <c r="P84" s="177">
        <v>43019</v>
      </c>
      <c r="Q84" s="153" t="str">
        <f t="shared" ca="1" si="0"/>
        <v>https://www.youtube.com/embed/VP5gPVW3XDM?start=68&amp;end=214&amp;autoplay=1</v>
      </c>
      <c r="R84" s="159" t="s">
        <v>63</v>
      </c>
      <c r="S84" s="159" t="s">
        <v>63</v>
      </c>
      <c r="T84" s="159" t="s">
        <v>63</v>
      </c>
      <c r="U84" s="148"/>
      <c r="V84" s="149"/>
      <c r="W84" s="167" t="s">
        <v>64</v>
      </c>
      <c r="X84" s="151"/>
      <c r="Y84" s="44"/>
      <c r="Z84" s="44"/>
      <c r="AA84" s="152"/>
      <c r="AB84" s="152"/>
      <c r="AC84" s="152"/>
      <c r="AD84" s="152"/>
      <c r="AE84" s="152"/>
      <c r="AF84" s="152"/>
      <c r="AG84" s="152"/>
      <c r="AH84" s="44"/>
      <c r="AI84" s="44"/>
      <c r="AJ84" s="44"/>
      <c r="AK84" s="44"/>
      <c r="AL84" s="44"/>
      <c r="AM84" s="44"/>
      <c r="AN84" s="44"/>
    </row>
    <row r="85" spans="1:40">
      <c r="A85" s="63">
        <v>92.02</v>
      </c>
      <c r="B85" s="63" t="s">
        <v>155</v>
      </c>
      <c r="C85" s="44"/>
      <c r="D85" s="63" t="s">
        <v>56</v>
      </c>
      <c r="E85" s="44"/>
      <c r="F85" s="43"/>
      <c r="G85" s="63" t="s">
        <v>1027</v>
      </c>
      <c r="H85" s="58" t="s">
        <v>1028</v>
      </c>
      <c r="I85" s="44"/>
      <c r="J85" s="44"/>
      <c r="K85" s="143"/>
      <c r="L85" s="144"/>
      <c r="M85" s="166">
        <v>2.476851851851852E-3</v>
      </c>
      <c r="N85" s="166">
        <v>6.0879629629629626E-3</v>
      </c>
      <c r="O85" s="155">
        <f t="shared" si="17"/>
        <v>3.6111111111111105E-3</v>
      </c>
      <c r="P85" s="177">
        <v>43019</v>
      </c>
      <c r="Q85" s="153" t="str">
        <f t="shared" ca="1" si="0"/>
        <v>https://www.youtube.com/embed/VP5gPVW3XDM?start=214&amp;end=526&amp;autoplay=1</v>
      </c>
      <c r="R85" s="159" t="s">
        <v>63</v>
      </c>
      <c r="S85" s="159" t="s">
        <v>63</v>
      </c>
      <c r="T85" s="159" t="s">
        <v>63</v>
      </c>
      <c r="U85" s="148"/>
      <c r="V85" s="149"/>
      <c r="W85" s="167" t="s">
        <v>64</v>
      </c>
      <c r="X85" s="151"/>
      <c r="Y85" s="44"/>
      <c r="Z85" s="44"/>
      <c r="AA85" s="152"/>
      <c r="AB85" s="152"/>
      <c r="AC85" s="152"/>
      <c r="AD85" s="152"/>
      <c r="AE85" s="152"/>
      <c r="AF85" s="152"/>
      <c r="AG85" s="152"/>
      <c r="AH85" s="44"/>
      <c r="AI85" s="44"/>
      <c r="AJ85" s="44"/>
      <c r="AK85" s="44"/>
      <c r="AL85" s="44"/>
      <c r="AM85" s="44"/>
      <c r="AN85" s="44"/>
    </row>
    <row r="86" spans="1:40">
      <c r="A86" s="63">
        <v>92.03</v>
      </c>
      <c r="B86" s="63" t="s">
        <v>155</v>
      </c>
      <c r="C86" s="44"/>
      <c r="D86" s="63" t="s">
        <v>56</v>
      </c>
      <c r="E86" s="44"/>
      <c r="F86" s="43"/>
      <c r="G86" s="63" t="s">
        <v>1029</v>
      </c>
      <c r="H86" s="58" t="s">
        <v>1031</v>
      </c>
      <c r="I86" s="44"/>
      <c r="J86" s="44"/>
      <c r="K86" s="143"/>
      <c r="L86" s="144"/>
      <c r="M86" s="166">
        <v>6.1805555555555555E-3</v>
      </c>
      <c r="N86" s="166">
        <v>9.3749999999999997E-3</v>
      </c>
      <c r="O86" s="155">
        <f t="shared" si="17"/>
        <v>3.1944444444444442E-3</v>
      </c>
      <c r="P86" s="177">
        <v>43019</v>
      </c>
      <c r="Q86" s="153" t="str">
        <f t="shared" ca="1" si="0"/>
        <v>https://www.youtube.com/embed/VP5gPVW3XDM?start=534&amp;end=810&amp;autoplay=1</v>
      </c>
      <c r="R86" s="159" t="s">
        <v>63</v>
      </c>
      <c r="S86" s="159" t="s">
        <v>63</v>
      </c>
      <c r="T86" s="159" t="s">
        <v>63</v>
      </c>
      <c r="U86" s="148"/>
      <c r="V86" s="149"/>
      <c r="W86" s="167" t="s">
        <v>64</v>
      </c>
      <c r="X86" s="151"/>
      <c r="Y86" s="44"/>
      <c r="Z86" s="44"/>
      <c r="AA86" s="152"/>
      <c r="AB86" s="152"/>
      <c r="AC86" s="152"/>
      <c r="AD86" s="152"/>
      <c r="AE86" s="152"/>
      <c r="AF86" s="152"/>
      <c r="AG86" s="152"/>
      <c r="AH86" s="44"/>
      <c r="AI86" s="44"/>
      <c r="AJ86" s="44"/>
      <c r="AK86" s="44"/>
      <c r="AL86" s="44"/>
      <c r="AM86" s="44"/>
      <c r="AN86" s="44"/>
    </row>
    <row r="87" spans="1:40">
      <c r="A87" s="63">
        <v>92.04</v>
      </c>
      <c r="B87" s="63" t="s">
        <v>155</v>
      </c>
      <c r="C87" s="170"/>
      <c r="D87" s="63" t="s">
        <v>56</v>
      </c>
      <c r="E87" s="44"/>
      <c r="F87" s="43"/>
      <c r="G87" s="63" t="s">
        <v>1033</v>
      </c>
      <c r="H87" s="58" t="s">
        <v>1034</v>
      </c>
      <c r="I87" s="44"/>
      <c r="J87" s="44"/>
      <c r="K87" s="143"/>
      <c r="L87" s="144"/>
      <c r="M87" s="187">
        <v>9.6412037037037039E-3</v>
      </c>
      <c r="N87" s="187">
        <v>1.1574074074074073E-2</v>
      </c>
      <c r="O87" s="155">
        <f t="shared" si="17"/>
        <v>1.9328703703703695E-3</v>
      </c>
      <c r="P87" s="177">
        <v>43020</v>
      </c>
      <c r="Q87" s="153" t="str">
        <f t="shared" ca="1" si="0"/>
        <v>https://www.youtube.com/embed/VP5gPVW3XDM?start=833&amp;end=1000&amp;autoplay=1</v>
      </c>
      <c r="R87" s="159" t="s">
        <v>63</v>
      </c>
      <c r="S87" s="159" t="s">
        <v>63</v>
      </c>
      <c r="T87" s="159" t="s">
        <v>63</v>
      </c>
      <c r="U87" s="170"/>
      <c r="V87" s="171"/>
      <c r="W87" s="175" t="s">
        <v>64</v>
      </c>
      <c r="X87" s="151"/>
      <c r="Y87" s="44"/>
      <c r="Z87" s="44"/>
      <c r="AA87" s="44"/>
      <c r="AB87" s="44"/>
      <c r="AC87" s="152"/>
      <c r="AD87" s="152"/>
      <c r="AE87" s="152"/>
      <c r="AF87" s="152"/>
      <c r="AG87" s="152"/>
      <c r="AH87" s="44"/>
      <c r="AI87" s="44"/>
      <c r="AJ87" s="44"/>
      <c r="AK87" s="44"/>
      <c r="AL87" s="44"/>
      <c r="AM87" s="44"/>
      <c r="AN87" s="44"/>
    </row>
    <row r="88" spans="1:40">
      <c r="A88" s="63">
        <v>92.05</v>
      </c>
      <c r="B88" s="63" t="s">
        <v>155</v>
      </c>
      <c r="C88" s="170"/>
      <c r="D88" s="63" t="s">
        <v>56</v>
      </c>
      <c r="E88" s="44"/>
      <c r="F88" s="43"/>
      <c r="G88" s="63" t="s">
        <v>1037</v>
      </c>
      <c r="H88" s="58" t="s">
        <v>1038</v>
      </c>
      <c r="I88" s="44"/>
      <c r="J88" s="44"/>
      <c r="K88" s="143"/>
      <c r="L88" s="144"/>
      <c r="M88" s="187">
        <v>1.1574074074074073E-2</v>
      </c>
      <c r="N88" s="187">
        <v>1.361111111111111E-2</v>
      </c>
      <c r="O88" s="155">
        <f t="shared" si="17"/>
        <v>2.0370370370370369E-3</v>
      </c>
      <c r="P88" s="177">
        <v>43020</v>
      </c>
      <c r="Q88" s="153" t="str">
        <f t="shared" ca="1" si="0"/>
        <v>https://www.youtube.com/embed/VP5gPVW3XDM?start=1000&amp;end=1176&amp;autoplay=1</v>
      </c>
      <c r="R88" s="159" t="s">
        <v>63</v>
      </c>
      <c r="S88" s="159" t="s">
        <v>63</v>
      </c>
      <c r="T88" s="159" t="s">
        <v>63</v>
      </c>
      <c r="U88" s="170"/>
      <c r="V88" s="171"/>
      <c r="W88" s="175" t="s">
        <v>64</v>
      </c>
      <c r="X88" s="151"/>
      <c r="Y88" s="44"/>
      <c r="Z88" s="44"/>
      <c r="AA88" s="44"/>
      <c r="AB88" s="44"/>
      <c r="AC88" s="152"/>
      <c r="AD88" s="152"/>
      <c r="AE88" s="152"/>
      <c r="AF88" s="152"/>
      <c r="AG88" s="152"/>
      <c r="AH88" s="44"/>
      <c r="AI88" s="44"/>
      <c r="AJ88" s="44"/>
      <c r="AK88" s="44"/>
      <c r="AL88" s="44"/>
      <c r="AM88" s="44"/>
      <c r="AN88" s="44"/>
    </row>
    <row r="89" spans="1:40">
      <c r="A89" s="63">
        <v>92.06</v>
      </c>
      <c r="B89" s="63" t="s">
        <v>155</v>
      </c>
      <c r="C89" s="170"/>
      <c r="D89" s="63" t="s">
        <v>56</v>
      </c>
      <c r="E89" s="44"/>
      <c r="F89" s="43"/>
      <c r="G89" s="63" t="s">
        <v>1041</v>
      </c>
      <c r="H89" s="58" t="s">
        <v>1043</v>
      </c>
      <c r="I89" s="44"/>
      <c r="J89" s="44"/>
      <c r="K89" s="143"/>
      <c r="L89" s="144"/>
      <c r="M89" s="187">
        <v>1.5162037037037036E-2</v>
      </c>
      <c r="N89" s="187">
        <v>1.636574074074074E-2</v>
      </c>
      <c r="O89" s="155">
        <f t="shared" si="17"/>
        <v>1.2037037037037034E-3</v>
      </c>
      <c r="P89" s="177">
        <v>43020</v>
      </c>
      <c r="Q89" s="153" t="str">
        <f t="shared" ca="1" si="0"/>
        <v>https://www.youtube.com/embed/VP5gPVW3XDM?start=1310&amp;end=1414&amp;autoplay=1</v>
      </c>
      <c r="R89" s="159" t="s">
        <v>63</v>
      </c>
      <c r="S89" s="159" t="s">
        <v>63</v>
      </c>
      <c r="T89" s="159" t="s">
        <v>63</v>
      </c>
      <c r="U89" s="170"/>
      <c r="V89" s="171"/>
      <c r="W89" s="175" t="s">
        <v>64</v>
      </c>
      <c r="X89" s="151"/>
      <c r="Y89" s="44"/>
      <c r="Z89" s="44"/>
      <c r="AA89" s="44"/>
      <c r="AB89" s="44"/>
      <c r="AC89" s="152"/>
      <c r="AD89" s="152"/>
      <c r="AE89" s="152"/>
      <c r="AF89" s="152"/>
      <c r="AG89" s="152"/>
      <c r="AH89" s="44"/>
      <c r="AI89" s="44"/>
      <c r="AJ89" s="44"/>
      <c r="AK89" s="44"/>
      <c r="AL89" s="44"/>
      <c r="AM89" s="44"/>
      <c r="AN89" s="44"/>
    </row>
    <row r="90" spans="1:40">
      <c r="A90" s="63">
        <v>92.07</v>
      </c>
      <c r="B90" s="63" t="s">
        <v>155</v>
      </c>
      <c r="C90" s="170"/>
      <c r="D90" s="63" t="s">
        <v>56</v>
      </c>
      <c r="E90" s="44"/>
      <c r="F90" s="43"/>
      <c r="G90" s="63" t="s">
        <v>1045</v>
      </c>
      <c r="H90" s="58" t="s">
        <v>1046</v>
      </c>
      <c r="I90" s="44"/>
      <c r="J90" s="44"/>
      <c r="K90" s="143"/>
      <c r="L90" s="144"/>
      <c r="M90" s="187">
        <v>1.6585648148148148E-2</v>
      </c>
      <c r="N90" s="187">
        <v>1.7928240740740741E-2</v>
      </c>
      <c r="O90" s="155">
        <f t="shared" si="17"/>
        <v>1.3425925925925931E-3</v>
      </c>
      <c r="P90" s="177">
        <v>43020</v>
      </c>
      <c r="Q90" s="153" t="str">
        <f t="shared" ca="1" si="0"/>
        <v>https://www.youtube.com/embed/VP5gPVW3XDM?start=1433&amp;end=1549&amp;autoplay=1</v>
      </c>
      <c r="R90" s="159" t="s">
        <v>63</v>
      </c>
      <c r="S90" s="159" t="s">
        <v>63</v>
      </c>
      <c r="T90" s="159" t="s">
        <v>63</v>
      </c>
      <c r="U90" s="170"/>
      <c r="V90" s="171"/>
      <c r="W90" s="175" t="s">
        <v>64</v>
      </c>
      <c r="X90" s="151"/>
      <c r="Y90" s="44"/>
      <c r="Z90" s="44"/>
      <c r="AA90" s="44"/>
      <c r="AB90" s="44"/>
      <c r="AC90" s="152"/>
      <c r="AD90" s="152"/>
      <c r="AE90" s="152"/>
      <c r="AF90" s="152"/>
      <c r="AG90" s="152"/>
      <c r="AH90" s="44"/>
      <c r="AI90" s="44"/>
      <c r="AJ90" s="44"/>
      <c r="AK90" s="44"/>
      <c r="AL90" s="44"/>
      <c r="AM90" s="44"/>
      <c r="AN90" s="44"/>
    </row>
    <row r="91" spans="1:40">
      <c r="A91" s="63">
        <v>92.08</v>
      </c>
      <c r="B91" s="63" t="s">
        <v>155</v>
      </c>
      <c r="C91" s="170"/>
      <c r="D91" s="63" t="s">
        <v>56</v>
      </c>
      <c r="E91" s="44"/>
      <c r="F91" s="43"/>
      <c r="G91" s="63" t="s">
        <v>1049</v>
      </c>
      <c r="H91" s="45"/>
      <c r="I91" s="44"/>
      <c r="J91" s="44"/>
      <c r="K91" s="143"/>
      <c r="L91" s="144"/>
      <c r="M91" s="187">
        <v>1.7928240740740741E-2</v>
      </c>
      <c r="N91" s="187">
        <v>2.060185185185185E-2</v>
      </c>
      <c r="O91" s="155">
        <f t="shared" si="17"/>
        <v>2.6736111111111092E-3</v>
      </c>
      <c r="P91" s="177">
        <v>43020</v>
      </c>
      <c r="Q91" s="153" t="str">
        <f t="shared" ca="1" si="0"/>
        <v>https://www.youtube.com/embed/VP5gPVW3XDM?start=1549&amp;end=1780&amp;autoplay=1</v>
      </c>
      <c r="R91" s="159" t="s">
        <v>63</v>
      </c>
      <c r="S91" s="159" t="s">
        <v>63</v>
      </c>
      <c r="T91" s="159" t="s">
        <v>63</v>
      </c>
      <c r="U91" s="170"/>
      <c r="V91" s="171"/>
      <c r="W91" s="175" t="s">
        <v>64</v>
      </c>
      <c r="X91" s="151"/>
      <c r="Y91" s="44"/>
      <c r="Z91" s="44"/>
      <c r="AA91" s="44"/>
      <c r="AB91" s="44"/>
      <c r="AC91" s="152"/>
      <c r="AD91" s="152"/>
      <c r="AE91" s="152"/>
      <c r="AF91" s="152"/>
      <c r="AG91" s="152"/>
      <c r="AH91" s="44"/>
      <c r="AI91" s="44"/>
      <c r="AJ91" s="44"/>
      <c r="AK91" s="44"/>
      <c r="AL91" s="44"/>
      <c r="AM91" s="44"/>
      <c r="AN91" s="44"/>
    </row>
    <row r="92" spans="1:40">
      <c r="A92" s="63">
        <v>92.09</v>
      </c>
      <c r="B92" s="63" t="s">
        <v>155</v>
      </c>
      <c r="C92" s="170"/>
      <c r="D92" s="63" t="s">
        <v>56</v>
      </c>
      <c r="E92" s="44"/>
      <c r="F92" s="43"/>
      <c r="G92" s="63" t="s">
        <v>1052</v>
      </c>
      <c r="H92" s="58" t="s">
        <v>1053</v>
      </c>
      <c r="I92" s="44"/>
      <c r="J92" s="44"/>
      <c r="K92" s="143"/>
      <c r="L92" s="144"/>
      <c r="M92" s="187">
        <v>2.0752314814814814E-2</v>
      </c>
      <c r="N92" s="187">
        <v>2.5011574074074075E-2</v>
      </c>
      <c r="O92" s="155">
        <f t="shared" si="17"/>
        <v>4.2592592592592612E-3</v>
      </c>
      <c r="P92" s="177">
        <v>43020</v>
      </c>
      <c r="Q92" s="153" t="str">
        <f t="shared" ca="1" si="0"/>
        <v>https://www.youtube.com/embed/VP5gPVW3XDM?start=1793&amp;end=2161&amp;autoplay=1</v>
      </c>
      <c r="R92" s="159" t="s">
        <v>63</v>
      </c>
      <c r="S92" s="159" t="s">
        <v>63</v>
      </c>
      <c r="T92" s="159" t="s">
        <v>63</v>
      </c>
      <c r="U92" s="170"/>
      <c r="V92" s="171"/>
      <c r="W92" s="175" t="s">
        <v>64</v>
      </c>
      <c r="X92" s="151"/>
      <c r="Y92" s="44"/>
      <c r="Z92" s="44"/>
      <c r="AA92" s="44"/>
      <c r="AB92" s="44"/>
      <c r="AC92" s="152"/>
      <c r="AD92" s="152"/>
      <c r="AE92" s="152"/>
      <c r="AF92" s="152"/>
      <c r="AG92" s="152"/>
      <c r="AH92" s="44"/>
      <c r="AI92" s="44"/>
      <c r="AJ92" s="44"/>
      <c r="AK92" s="44"/>
      <c r="AL92" s="44"/>
      <c r="AM92" s="44"/>
      <c r="AN92" s="44"/>
    </row>
    <row r="93" spans="1:40">
      <c r="A93" s="44">
        <v>93</v>
      </c>
      <c r="B93" s="63" t="s">
        <v>155</v>
      </c>
      <c r="C93" s="170"/>
      <c r="D93" s="63" t="s">
        <v>56</v>
      </c>
      <c r="E93" s="44" t="s">
        <v>538</v>
      </c>
      <c r="F93" s="43" t="s">
        <v>540</v>
      </c>
      <c r="G93" s="44"/>
      <c r="H93" s="45"/>
      <c r="I93" s="44"/>
      <c r="J93" s="44">
        <f>986</f>
        <v>986</v>
      </c>
      <c r="K93" s="143">
        <v>3.5682870370370372E-2</v>
      </c>
      <c r="L93" s="144" t="s">
        <v>286</v>
      </c>
      <c r="M93" s="63"/>
      <c r="N93" s="44"/>
      <c r="O93" s="44"/>
      <c r="P93" s="44"/>
      <c r="Q93" s="45" t="str">
        <f t="shared" ca="1" si="0"/>
        <v/>
      </c>
      <c r="R93" s="169"/>
      <c r="S93" s="169"/>
      <c r="T93" s="169"/>
      <c r="U93" s="170"/>
      <c r="V93" s="171"/>
      <c r="W93" s="172"/>
      <c r="X93" s="151"/>
      <c r="Y93" s="44"/>
      <c r="Z93" s="44"/>
      <c r="AA93" s="44"/>
      <c r="AB93" s="44"/>
      <c r="AC93" s="152"/>
      <c r="AD93" s="152"/>
      <c r="AE93" s="152"/>
      <c r="AF93" s="152"/>
      <c r="AG93" s="152"/>
      <c r="AH93" s="44"/>
      <c r="AI93" s="44"/>
      <c r="AJ93" s="44"/>
      <c r="AK93" s="44"/>
      <c r="AL93" s="44"/>
      <c r="AM93" s="44"/>
      <c r="AN93" s="44"/>
    </row>
    <row r="94" spans="1:40">
      <c r="A94" s="63">
        <v>93.01</v>
      </c>
      <c r="B94" s="63" t="s">
        <v>155</v>
      </c>
      <c r="C94" s="44"/>
      <c r="D94" s="63" t="s">
        <v>56</v>
      </c>
      <c r="E94" s="44"/>
      <c r="F94" s="43"/>
      <c r="G94" s="63" t="s">
        <v>1021</v>
      </c>
      <c r="H94" s="58" t="s">
        <v>1058</v>
      </c>
      <c r="I94" s="44"/>
      <c r="J94" s="44"/>
      <c r="K94" s="143"/>
      <c r="L94" s="144"/>
      <c r="M94" s="166">
        <v>6.134259259259259E-4</v>
      </c>
      <c r="N94" s="166">
        <v>3.6689814814814814E-3</v>
      </c>
      <c r="O94" s="155">
        <f t="shared" ref="O94:O98" si="18">N94-M94</f>
        <v>3.0555555555555553E-3</v>
      </c>
      <c r="P94" s="177">
        <v>43027</v>
      </c>
      <c r="Q94" s="153" t="str">
        <f t="shared" ca="1" si="0"/>
        <v>https://www.youtube.com/embed/0uPW7Jf9y7o?start=53&amp;end=317&amp;autoplay=1</v>
      </c>
      <c r="R94" s="159" t="s">
        <v>63</v>
      </c>
      <c r="S94" s="159" t="s">
        <v>63</v>
      </c>
      <c r="T94" s="159" t="s">
        <v>63</v>
      </c>
      <c r="U94" s="148"/>
      <c r="V94" s="149"/>
      <c r="W94" s="167" t="s">
        <v>64</v>
      </c>
      <c r="X94" s="151"/>
      <c r="Y94" s="44"/>
      <c r="Z94" s="63" t="s">
        <v>1061</v>
      </c>
      <c r="AA94" s="152"/>
      <c r="AB94" s="152"/>
      <c r="AC94" s="152"/>
      <c r="AD94" s="152"/>
      <c r="AE94" s="152"/>
      <c r="AF94" s="152"/>
      <c r="AG94" s="152"/>
      <c r="AH94" s="44"/>
      <c r="AI94" s="44"/>
      <c r="AJ94" s="44"/>
      <c r="AK94" s="44"/>
      <c r="AL94" s="44"/>
      <c r="AM94" s="44"/>
      <c r="AN94" s="44"/>
    </row>
    <row r="95" spans="1:40">
      <c r="A95" s="63">
        <v>93.02</v>
      </c>
      <c r="B95" s="63" t="s">
        <v>155</v>
      </c>
      <c r="C95" s="44"/>
      <c r="D95" s="63" t="s">
        <v>56</v>
      </c>
      <c r="E95" s="44"/>
      <c r="F95" s="43"/>
      <c r="G95" s="63" t="s">
        <v>1027</v>
      </c>
      <c r="H95" s="58" t="s">
        <v>1064</v>
      </c>
      <c r="I95" s="44"/>
      <c r="J95" s="44"/>
      <c r="K95" s="143"/>
      <c r="L95" s="144"/>
      <c r="M95" s="166">
        <v>3.6689814814814814E-3</v>
      </c>
      <c r="N95" s="166">
        <v>6.4814814814814813E-3</v>
      </c>
      <c r="O95" s="155">
        <f t="shared" si="18"/>
        <v>2.8124999999999999E-3</v>
      </c>
      <c r="P95" s="177">
        <v>43027</v>
      </c>
      <c r="Q95" s="153" t="str">
        <f t="shared" ca="1" si="0"/>
        <v>https://www.youtube.com/embed/0uPW7Jf9y7o?start=317&amp;end=560&amp;autoplay=1</v>
      </c>
      <c r="R95" s="159" t="s">
        <v>63</v>
      </c>
      <c r="S95" s="159" t="s">
        <v>63</v>
      </c>
      <c r="T95" s="159" t="s">
        <v>63</v>
      </c>
      <c r="U95" s="148"/>
      <c r="V95" s="149"/>
      <c r="W95" s="167" t="s">
        <v>64</v>
      </c>
      <c r="X95" s="151"/>
      <c r="Y95" s="44"/>
      <c r="Z95" s="63" t="s">
        <v>1067</v>
      </c>
      <c r="AA95" s="152"/>
      <c r="AB95" s="152"/>
      <c r="AC95" s="152"/>
      <c r="AD95" s="152"/>
      <c r="AE95" s="152"/>
      <c r="AF95" s="152"/>
      <c r="AG95" s="152"/>
      <c r="AH95" s="44"/>
      <c r="AI95" s="44"/>
      <c r="AJ95" s="44"/>
      <c r="AK95" s="44"/>
      <c r="AL95" s="44"/>
      <c r="AM95" s="44"/>
      <c r="AN95" s="44"/>
    </row>
    <row r="96" spans="1:40">
      <c r="A96" s="63">
        <v>93.03</v>
      </c>
      <c r="B96" s="63" t="s">
        <v>155</v>
      </c>
      <c r="C96" s="44"/>
      <c r="D96" s="63" t="s">
        <v>56</v>
      </c>
      <c r="E96" s="44"/>
      <c r="F96" s="188"/>
      <c r="G96" s="63" t="s">
        <v>1068</v>
      </c>
      <c r="H96" s="58" t="s">
        <v>1069</v>
      </c>
      <c r="I96" s="44"/>
      <c r="J96" s="44"/>
      <c r="K96" s="143"/>
      <c r="L96" s="144"/>
      <c r="M96" s="166">
        <v>6.4930555555555557E-3</v>
      </c>
      <c r="N96" s="166">
        <v>2.3842592592592592E-2</v>
      </c>
      <c r="O96" s="155">
        <f t="shared" si="18"/>
        <v>1.7349537037037038E-2</v>
      </c>
      <c r="P96" s="177">
        <v>43027</v>
      </c>
      <c r="Q96" s="153" t="str">
        <f t="shared" ca="1" si="0"/>
        <v>https://www.youtube.com/embed/0uPW7Jf9y7o?start=561&amp;end=2060&amp;autoplay=1</v>
      </c>
      <c r="R96" s="159" t="s">
        <v>63</v>
      </c>
      <c r="S96" s="159" t="s">
        <v>63</v>
      </c>
      <c r="T96" s="159" t="s">
        <v>63</v>
      </c>
      <c r="U96" s="148"/>
      <c r="V96" s="149"/>
      <c r="W96" s="167" t="s">
        <v>64</v>
      </c>
      <c r="X96" s="151"/>
      <c r="Y96" s="44"/>
      <c r="Z96" s="63" t="s">
        <v>1072</v>
      </c>
      <c r="AA96" s="152"/>
      <c r="AB96" s="152"/>
      <c r="AC96" s="152"/>
      <c r="AD96" s="152"/>
      <c r="AE96" s="152"/>
      <c r="AF96" s="152"/>
      <c r="AG96" s="152"/>
      <c r="AH96" s="44"/>
      <c r="AI96" s="44"/>
      <c r="AJ96" s="44"/>
      <c r="AK96" s="44"/>
      <c r="AL96" s="44"/>
      <c r="AM96" s="44"/>
      <c r="AN96" s="44"/>
    </row>
    <row r="97" spans="1:40">
      <c r="A97" s="63">
        <v>93.04</v>
      </c>
      <c r="B97" s="63" t="s">
        <v>155</v>
      </c>
      <c r="C97" s="44"/>
      <c r="D97" s="63" t="s">
        <v>56</v>
      </c>
      <c r="E97" s="44"/>
      <c r="F97" s="188"/>
      <c r="G97" s="63" t="s">
        <v>1073</v>
      </c>
      <c r="H97" s="58" t="s">
        <v>1074</v>
      </c>
      <c r="I97" s="44"/>
      <c r="J97" s="44"/>
      <c r="K97" s="143"/>
      <c r="L97" s="144"/>
      <c r="M97" s="166">
        <v>2.4189814814814813E-2</v>
      </c>
      <c r="N97" s="166">
        <v>2.9618055555555557E-2</v>
      </c>
      <c r="O97" s="155">
        <f t="shared" si="18"/>
        <v>5.4282407407407439E-3</v>
      </c>
      <c r="P97" s="177">
        <v>43027</v>
      </c>
      <c r="Q97" s="153" t="str">
        <f t="shared" ca="1" si="0"/>
        <v>https://www.youtube.com/embed/0uPW7Jf9y7o?start=2090&amp;end=2559&amp;autoplay=1</v>
      </c>
      <c r="R97" s="159" t="s">
        <v>63</v>
      </c>
      <c r="S97" s="159" t="s">
        <v>131</v>
      </c>
      <c r="T97" s="159" t="s">
        <v>63</v>
      </c>
      <c r="U97" s="148"/>
      <c r="V97" s="149"/>
      <c r="W97" s="150"/>
      <c r="X97" s="151"/>
      <c r="Y97" s="44"/>
      <c r="Z97" s="44"/>
      <c r="AA97" s="152"/>
      <c r="AB97" s="152"/>
      <c r="AC97" s="152"/>
      <c r="AD97" s="152"/>
      <c r="AE97" s="152"/>
      <c r="AF97" s="152"/>
      <c r="AG97" s="152"/>
      <c r="AH97" s="44"/>
      <c r="AI97" s="44"/>
      <c r="AJ97" s="44"/>
      <c r="AK97" s="44"/>
      <c r="AL97" s="44"/>
      <c r="AM97" s="44"/>
      <c r="AN97" s="44"/>
    </row>
    <row r="98" spans="1:40">
      <c r="A98" s="63">
        <v>93.05</v>
      </c>
      <c r="B98" s="63" t="s">
        <v>155</v>
      </c>
      <c r="C98" s="44"/>
      <c r="D98" s="63" t="s">
        <v>56</v>
      </c>
      <c r="E98" s="44"/>
      <c r="F98" s="188"/>
      <c r="G98" s="63" t="s">
        <v>1077</v>
      </c>
      <c r="H98" s="58" t="s">
        <v>1078</v>
      </c>
      <c r="I98" s="44"/>
      <c r="J98" s="44"/>
      <c r="K98" s="143"/>
      <c r="L98" s="144"/>
      <c r="M98" s="166">
        <v>2.9618055555555557E-2</v>
      </c>
      <c r="N98" s="166">
        <v>3.3773148148148149E-2</v>
      </c>
      <c r="O98" s="155">
        <f t="shared" si="18"/>
        <v>4.1550925925925922E-3</v>
      </c>
      <c r="P98" s="177">
        <v>43027</v>
      </c>
      <c r="Q98" s="153" t="str">
        <f t="shared" ca="1" si="0"/>
        <v>https://www.youtube.com/embed/0uPW7Jf9y7o?start=2559&amp;end=2918&amp;autoplay=1</v>
      </c>
      <c r="R98" s="159" t="s">
        <v>63</v>
      </c>
      <c r="S98" s="159" t="s">
        <v>63</v>
      </c>
      <c r="T98" s="159" t="s">
        <v>63</v>
      </c>
      <c r="U98" s="148"/>
      <c r="V98" s="149"/>
      <c r="W98" s="167" t="s">
        <v>64</v>
      </c>
      <c r="X98" s="151"/>
      <c r="Y98" s="44"/>
      <c r="Z98" s="44"/>
      <c r="AA98" s="152"/>
      <c r="AB98" s="152"/>
      <c r="AC98" s="152"/>
      <c r="AD98" s="152"/>
      <c r="AE98" s="152"/>
      <c r="AF98" s="152"/>
      <c r="AG98" s="152"/>
      <c r="AH98" s="44"/>
      <c r="AI98" s="44"/>
      <c r="AJ98" s="44"/>
      <c r="AK98" s="44"/>
      <c r="AL98" s="44"/>
      <c r="AM98" s="44"/>
      <c r="AN98" s="44"/>
    </row>
    <row r="99" spans="1:40">
      <c r="A99" s="44">
        <v>104</v>
      </c>
      <c r="B99" s="176" t="s">
        <v>155</v>
      </c>
      <c r="C99" s="170"/>
      <c r="D99" s="63" t="s">
        <v>56</v>
      </c>
      <c r="E99" s="44" t="s">
        <v>589</v>
      </c>
      <c r="F99" s="43" t="s">
        <v>590</v>
      </c>
      <c r="G99" s="44"/>
      <c r="H99" s="45"/>
      <c r="I99" s="44"/>
      <c r="J99" s="44">
        <f>4*1000</f>
        <v>4000</v>
      </c>
      <c r="K99" s="143">
        <v>2.3530092592592592E-2</v>
      </c>
      <c r="L99" s="144" t="s">
        <v>286</v>
      </c>
      <c r="M99" s="189"/>
      <c r="N99" s="189"/>
      <c r="O99" s="143"/>
      <c r="P99" s="177">
        <v>43028</v>
      </c>
      <c r="Q99" s="45" t="str">
        <f t="shared" ca="1" si="0"/>
        <v/>
      </c>
      <c r="R99" s="169"/>
      <c r="S99" s="169"/>
      <c r="T99" s="169"/>
      <c r="U99" s="170"/>
      <c r="V99" s="171"/>
      <c r="W99" s="172"/>
      <c r="X99" s="151"/>
      <c r="Y99" s="44"/>
      <c r="Z99" s="44"/>
      <c r="AA99" s="44"/>
      <c r="AB99" s="44"/>
      <c r="AC99" s="152"/>
      <c r="AD99" s="152"/>
      <c r="AE99" s="152"/>
      <c r="AF99" s="152"/>
      <c r="AG99" s="152"/>
      <c r="AH99" s="44"/>
      <c r="AI99" s="44"/>
      <c r="AJ99" s="44"/>
      <c r="AK99" s="44"/>
      <c r="AL99" s="44"/>
      <c r="AM99" s="44"/>
      <c r="AN99" s="44"/>
    </row>
    <row r="100" spans="1:40">
      <c r="A100" s="63">
        <v>104.01</v>
      </c>
      <c r="B100" s="176" t="s">
        <v>155</v>
      </c>
      <c r="C100" s="44"/>
      <c r="D100" s="63" t="s">
        <v>56</v>
      </c>
      <c r="E100" s="44"/>
      <c r="F100" s="188"/>
      <c r="G100" s="63" t="s">
        <v>1085</v>
      </c>
      <c r="H100" s="58" t="s">
        <v>1086</v>
      </c>
      <c r="I100" s="44"/>
      <c r="J100" s="44"/>
      <c r="K100" s="143"/>
      <c r="L100" s="144"/>
      <c r="M100" s="166">
        <v>1.2152777777777778E-3</v>
      </c>
      <c r="N100" s="166">
        <v>1.0671296296296297E-2</v>
      </c>
      <c r="O100" s="155">
        <f t="shared" ref="O100:O103" si="19">N100-M100</f>
        <v>9.4560185185185198E-3</v>
      </c>
      <c r="P100" s="177">
        <v>43028</v>
      </c>
      <c r="Q100" s="153" t="str">
        <f t="shared" ca="1" si="0"/>
        <v>https://www.youtube.com/embed/MOkWSa69NKA?start=105&amp;end=922&amp;autoplay=1</v>
      </c>
      <c r="R100" s="159" t="s">
        <v>63</v>
      </c>
      <c r="S100" s="159" t="s">
        <v>131</v>
      </c>
      <c r="T100" s="159" t="s">
        <v>63</v>
      </c>
      <c r="U100" s="148"/>
      <c r="V100" s="149"/>
      <c r="W100" s="167" t="s">
        <v>64</v>
      </c>
      <c r="X100" s="151"/>
      <c r="Y100" s="44"/>
      <c r="Z100" s="63" t="s">
        <v>1089</v>
      </c>
      <c r="AA100" s="152"/>
      <c r="AB100" s="152"/>
      <c r="AC100" s="152"/>
      <c r="AD100" s="152"/>
      <c r="AE100" s="152"/>
      <c r="AF100" s="152"/>
      <c r="AG100" s="152"/>
      <c r="AH100" s="44"/>
      <c r="AI100" s="44"/>
      <c r="AJ100" s="44"/>
      <c r="AK100" s="44"/>
      <c r="AL100" s="44"/>
      <c r="AM100" s="44"/>
      <c r="AN100" s="44"/>
    </row>
    <row r="101" spans="1:40">
      <c r="A101" s="63">
        <v>104.02</v>
      </c>
      <c r="B101" s="176" t="s">
        <v>155</v>
      </c>
      <c r="C101" s="44"/>
      <c r="D101" s="63" t="s">
        <v>56</v>
      </c>
      <c r="E101" s="44"/>
      <c r="F101" s="188"/>
      <c r="G101" s="63" t="s">
        <v>1090</v>
      </c>
      <c r="H101" s="58" t="s">
        <v>1091</v>
      </c>
      <c r="I101" s="44"/>
      <c r="J101" s="44"/>
      <c r="K101" s="143"/>
      <c r="L101" s="144"/>
      <c r="M101" s="166">
        <v>1.068287037037037E-2</v>
      </c>
      <c r="N101" s="166">
        <v>1.1597222222222222E-2</v>
      </c>
      <c r="O101" s="155">
        <f t="shared" si="19"/>
        <v>9.1435185185185196E-4</v>
      </c>
      <c r="P101" s="177">
        <v>43028</v>
      </c>
      <c r="Q101" s="153" t="str">
        <f t="shared" ca="1" si="0"/>
        <v>https://www.youtube.com/embed/MOkWSa69NKA?start=923&amp;end=1002&amp;autoplay=1</v>
      </c>
      <c r="R101" s="159" t="s">
        <v>63</v>
      </c>
      <c r="S101" s="159" t="s">
        <v>131</v>
      </c>
      <c r="T101" s="159" t="s">
        <v>63</v>
      </c>
      <c r="U101" s="148"/>
      <c r="V101" s="149"/>
      <c r="W101" s="167" t="s">
        <v>64</v>
      </c>
      <c r="X101" s="151"/>
      <c r="Y101" s="44"/>
      <c r="Z101" s="63" t="s">
        <v>1094</v>
      </c>
      <c r="AA101" s="152"/>
      <c r="AB101" s="152"/>
      <c r="AC101" s="152"/>
      <c r="AD101" s="152"/>
      <c r="AE101" s="152"/>
      <c r="AF101" s="152"/>
      <c r="AG101" s="152"/>
      <c r="AH101" s="44"/>
      <c r="AI101" s="44"/>
      <c r="AJ101" s="44"/>
      <c r="AK101" s="44"/>
      <c r="AL101" s="44"/>
      <c r="AM101" s="44"/>
      <c r="AN101" s="44"/>
    </row>
    <row r="102" spans="1:40">
      <c r="A102" s="63">
        <v>104.03</v>
      </c>
      <c r="B102" s="176" t="s">
        <v>155</v>
      </c>
      <c r="C102" s="44"/>
      <c r="D102" s="63" t="s">
        <v>56</v>
      </c>
      <c r="E102" s="44"/>
      <c r="F102" s="188"/>
      <c r="G102" s="58" t="s">
        <v>1095</v>
      </c>
      <c r="H102" s="58" t="s">
        <v>1096</v>
      </c>
      <c r="I102" s="44"/>
      <c r="J102" s="44"/>
      <c r="K102" s="143"/>
      <c r="L102" s="144"/>
      <c r="M102" s="166">
        <v>1.1608796296296296E-2</v>
      </c>
      <c r="N102" s="166">
        <v>1.4768518518518519E-2</v>
      </c>
      <c r="O102" s="155">
        <f t="shared" si="19"/>
        <v>3.1597222222222235E-3</v>
      </c>
      <c r="P102" s="177">
        <v>43028</v>
      </c>
      <c r="Q102" s="153" t="str">
        <f t="shared" ca="1" si="0"/>
        <v>https://www.youtube.com/embed/MOkWSa69NKA?start=1003&amp;end=1276&amp;autoplay=1</v>
      </c>
      <c r="R102" s="159" t="s">
        <v>63</v>
      </c>
      <c r="S102" s="159" t="s">
        <v>131</v>
      </c>
      <c r="T102" s="159" t="s">
        <v>63</v>
      </c>
      <c r="U102" s="148"/>
      <c r="V102" s="149"/>
      <c r="W102" s="167" t="s">
        <v>64</v>
      </c>
      <c r="X102" s="151"/>
      <c r="Y102" s="44"/>
      <c r="Z102" s="63" t="s">
        <v>1094</v>
      </c>
      <c r="AA102" s="152"/>
      <c r="AB102" s="152"/>
      <c r="AC102" s="152"/>
      <c r="AD102" s="152"/>
      <c r="AE102" s="152"/>
      <c r="AF102" s="152"/>
      <c r="AG102" s="152"/>
      <c r="AH102" s="44"/>
      <c r="AI102" s="44"/>
      <c r="AJ102" s="44"/>
      <c r="AK102" s="44"/>
      <c r="AL102" s="44"/>
      <c r="AM102" s="44"/>
      <c r="AN102" s="44"/>
    </row>
    <row r="103" spans="1:40">
      <c r="A103" s="63">
        <v>104.04</v>
      </c>
      <c r="B103" s="176" t="s">
        <v>155</v>
      </c>
      <c r="C103" s="44"/>
      <c r="D103" s="63" t="s">
        <v>56</v>
      </c>
      <c r="E103" s="44"/>
      <c r="F103" s="43"/>
      <c r="G103" s="63" t="s">
        <v>1099</v>
      </c>
      <c r="H103" s="58" t="s">
        <v>1100</v>
      </c>
      <c r="I103" s="44"/>
      <c r="J103" s="44"/>
      <c r="K103" s="143"/>
      <c r="L103" s="144"/>
      <c r="M103" s="166">
        <v>1.4780092592592593E-2</v>
      </c>
      <c r="N103" s="166">
        <v>1.9710648148148147E-2</v>
      </c>
      <c r="O103" s="143">
        <f t="shared" si="19"/>
        <v>4.9305555555555543E-3</v>
      </c>
      <c r="P103" s="177">
        <v>43028</v>
      </c>
      <c r="Q103" s="153" t="str">
        <f t="shared" ca="1" si="0"/>
        <v>https://www.youtube.com/embed/MOkWSa69NKA?start=1277&amp;end=1703&amp;autoplay=1</v>
      </c>
      <c r="R103" s="159" t="s">
        <v>63</v>
      </c>
      <c r="S103" s="159" t="s">
        <v>131</v>
      </c>
      <c r="T103" s="159" t="s">
        <v>63</v>
      </c>
      <c r="U103" s="148"/>
      <c r="V103" s="149"/>
      <c r="W103" s="167" t="s">
        <v>64</v>
      </c>
      <c r="X103" s="151"/>
      <c r="Y103" s="44"/>
      <c r="Z103" s="63" t="s">
        <v>1103</v>
      </c>
      <c r="AA103" s="152"/>
      <c r="AB103" s="152"/>
      <c r="AC103" s="152"/>
      <c r="AD103" s="152"/>
      <c r="AE103" s="152"/>
      <c r="AF103" s="152"/>
      <c r="AG103" s="152"/>
      <c r="AH103" s="44"/>
      <c r="AI103" s="44"/>
      <c r="AJ103" s="44"/>
      <c r="AK103" s="44"/>
      <c r="AL103" s="44"/>
      <c r="AM103" s="44"/>
      <c r="AN103" s="44"/>
    </row>
    <row r="104" spans="1:40">
      <c r="A104" s="44">
        <v>105</v>
      </c>
      <c r="B104" s="176" t="s">
        <v>155</v>
      </c>
      <c r="C104" s="170"/>
      <c r="D104" s="63" t="s">
        <v>56</v>
      </c>
      <c r="E104" s="44" t="s">
        <v>593</v>
      </c>
      <c r="F104" s="43" t="s">
        <v>594</v>
      </c>
      <c r="G104" s="44"/>
      <c r="H104" s="45"/>
      <c r="I104" s="44"/>
      <c r="J104" s="44">
        <f>3.6*1000</f>
        <v>3600</v>
      </c>
      <c r="K104" s="143">
        <v>8.9583333333333334E-2</v>
      </c>
      <c r="L104" s="144" t="s">
        <v>286</v>
      </c>
      <c r="M104" s="189"/>
      <c r="N104" s="189"/>
      <c r="O104" s="44"/>
      <c r="P104" s="177">
        <v>43035</v>
      </c>
      <c r="Q104" s="45" t="str">
        <f t="shared" ca="1" si="0"/>
        <v/>
      </c>
      <c r="R104" s="169"/>
      <c r="S104" s="169"/>
      <c r="T104" s="169"/>
      <c r="U104" s="170"/>
      <c r="V104" s="171"/>
      <c r="W104" s="172"/>
      <c r="X104" s="151"/>
      <c r="Y104" s="44"/>
      <c r="Z104" s="44"/>
      <c r="AA104" s="44"/>
      <c r="AB104" s="44"/>
      <c r="AC104" s="152"/>
      <c r="AD104" s="152"/>
      <c r="AE104" s="152"/>
      <c r="AF104" s="152"/>
      <c r="AG104" s="152"/>
      <c r="AH104" s="44"/>
      <c r="AI104" s="44"/>
      <c r="AJ104" s="44"/>
      <c r="AK104" s="44"/>
      <c r="AL104" s="44"/>
      <c r="AM104" s="44"/>
      <c r="AN104" s="44"/>
    </row>
    <row r="105" spans="1:40">
      <c r="A105" s="63">
        <v>105.01</v>
      </c>
      <c r="B105" s="176" t="s">
        <v>155</v>
      </c>
      <c r="C105" s="44"/>
      <c r="D105" s="63" t="s">
        <v>56</v>
      </c>
      <c r="E105" s="44"/>
      <c r="F105" s="43"/>
      <c r="G105" s="63" t="s">
        <v>1106</v>
      </c>
      <c r="H105" s="58" t="s">
        <v>1107</v>
      </c>
      <c r="I105" s="44"/>
      <c r="J105" s="44"/>
      <c r="K105" s="143"/>
      <c r="L105" s="144"/>
      <c r="M105" s="166">
        <v>5.1504629629629626E-3</v>
      </c>
      <c r="N105" s="166">
        <v>1.5949074074074074E-2</v>
      </c>
      <c r="O105" s="143">
        <f t="shared" ref="O105:O169" si="20">N105-M105</f>
        <v>1.0798611111111111E-2</v>
      </c>
      <c r="P105" s="177">
        <v>43035</v>
      </c>
      <c r="Q105" s="153" t="str">
        <f t="shared" ca="1" si="0"/>
        <v>https://www.youtube.com/embed/k_PhmmAyLFg?start=445&amp;end=1378&amp;autoplay=1</v>
      </c>
      <c r="R105" s="159" t="s">
        <v>63</v>
      </c>
      <c r="S105" s="159" t="s">
        <v>131</v>
      </c>
      <c r="T105" s="159" t="s">
        <v>63</v>
      </c>
      <c r="U105" s="148"/>
      <c r="V105" s="149"/>
      <c r="W105" s="167" t="s">
        <v>64</v>
      </c>
      <c r="X105" s="151"/>
      <c r="Y105" s="44"/>
      <c r="Z105" s="63" t="s">
        <v>1110</v>
      </c>
      <c r="AA105" s="152"/>
      <c r="AB105" s="152"/>
      <c r="AC105" s="152"/>
      <c r="AD105" s="152"/>
      <c r="AE105" s="152"/>
      <c r="AF105" s="152"/>
      <c r="AG105" s="152"/>
      <c r="AH105" s="44"/>
      <c r="AI105" s="44"/>
      <c r="AJ105" s="44"/>
      <c r="AK105" s="44"/>
      <c r="AL105" s="44"/>
      <c r="AM105" s="44"/>
      <c r="AN105" s="44"/>
    </row>
    <row r="106" spans="1:40">
      <c r="A106" s="63">
        <v>105.02</v>
      </c>
      <c r="B106" s="176" t="s">
        <v>155</v>
      </c>
      <c r="C106" s="44"/>
      <c r="D106" s="63" t="s">
        <v>56</v>
      </c>
      <c r="E106" s="44"/>
      <c r="F106" s="43"/>
      <c r="G106" s="63" t="s">
        <v>1112</v>
      </c>
      <c r="H106" s="58" t="s">
        <v>1114</v>
      </c>
      <c r="I106" s="44"/>
      <c r="J106" s="44"/>
      <c r="K106" s="143"/>
      <c r="L106" s="144"/>
      <c r="M106" s="166">
        <v>1.6030092592592592E-2</v>
      </c>
      <c r="N106" s="166">
        <v>2.6655092592592591E-2</v>
      </c>
      <c r="O106" s="143">
        <f t="shared" si="20"/>
        <v>1.0624999999999999E-2</v>
      </c>
      <c r="P106" s="177">
        <v>43035</v>
      </c>
      <c r="Q106" s="153" t="str">
        <f t="shared" ca="1" si="0"/>
        <v>https://www.youtube.com/embed/k_PhmmAyLFg?start=1385&amp;end=2303&amp;autoplay=1</v>
      </c>
      <c r="R106" s="159" t="s">
        <v>63</v>
      </c>
      <c r="S106" s="159" t="s">
        <v>131</v>
      </c>
      <c r="T106" s="159" t="s">
        <v>63</v>
      </c>
      <c r="U106" s="148"/>
      <c r="V106" s="149"/>
      <c r="W106" s="167" t="s">
        <v>64</v>
      </c>
      <c r="X106" s="151"/>
      <c r="Y106" s="44"/>
      <c r="Z106" s="44"/>
      <c r="AA106" s="152"/>
      <c r="AB106" s="152"/>
      <c r="AC106" s="152"/>
      <c r="AD106" s="152"/>
      <c r="AE106" s="152"/>
      <c r="AF106" s="152"/>
      <c r="AG106" s="152"/>
      <c r="AH106" s="44"/>
      <c r="AI106" s="44"/>
      <c r="AJ106" s="44"/>
      <c r="AK106" s="44"/>
      <c r="AL106" s="44"/>
      <c r="AM106" s="44"/>
      <c r="AN106" s="44"/>
    </row>
    <row r="107" spans="1:40">
      <c r="A107" s="63">
        <v>105.03</v>
      </c>
      <c r="B107" s="176" t="s">
        <v>155</v>
      </c>
      <c r="C107" s="44"/>
      <c r="D107" s="63" t="s">
        <v>56</v>
      </c>
      <c r="E107" s="44"/>
      <c r="F107" s="43"/>
      <c r="G107" s="63" t="s">
        <v>1115</v>
      </c>
      <c r="H107" s="58" t="s">
        <v>1116</v>
      </c>
      <c r="I107" s="44"/>
      <c r="J107" s="44"/>
      <c r="K107" s="143"/>
      <c r="L107" s="144"/>
      <c r="M107" s="166">
        <v>2.6655092592592591E-2</v>
      </c>
      <c r="N107" s="166">
        <v>3.3310185185185186E-2</v>
      </c>
      <c r="O107" s="143">
        <f t="shared" si="20"/>
        <v>6.6550925925925944E-3</v>
      </c>
      <c r="P107" s="177">
        <v>43036</v>
      </c>
      <c r="Q107" s="153" t="str">
        <f t="shared" ca="1" si="0"/>
        <v>https://www.youtube.com/embed/k_PhmmAyLFg?start=2303&amp;end=2878&amp;autoplay=1</v>
      </c>
      <c r="R107" s="159" t="s">
        <v>63</v>
      </c>
      <c r="S107" s="159" t="s">
        <v>131</v>
      </c>
      <c r="T107" s="159" t="s">
        <v>63</v>
      </c>
      <c r="U107" s="148"/>
      <c r="V107" s="149"/>
      <c r="W107" s="167" t="s">
        <v>64</v>
      </c>
      <c r="X107" s="151"/>
      <c r="Y107" s="44"/>
      <c r="Z107" s="44"/>
      <c r="AA107" s="152"/>
      <c r="AB107" s="152"/>
      <c r="AC107" s="152"/>
      <c r="AD107" s="152"/>
      <c r="AE107" s="152"/>
      <c r="AF107" s="152"/>
      <c r="AG107" s="152"/>
      <c r="AH107" s="44"/>
      <c r="AI107" s="44"/>
      <c r="AJ107" s="44"/>
      <c r="AK107" s="44"/>
      <c r="AL107" s="44"/>
      <c r="AM107" s="44"/>
      <c r="AN107" s="44"/>
    </row>
    <row r="108" spans="1:40">
      <c r="A108" s="63">
        <v>105.04</v>
      </c>
      <c r="B108" s="176" t="s">
        <v>155</v>
      </c>
      <c r="C108" s="44"/>
      <c r="D108" s="63" t="s">
        <v>56</v>
      </c>
      <c r="E108" s="44"/>
      <c r="F108" s="43"/>
      <c r="G108" s="44" t="s">
        <v>766</v>
      </c>
      <c r="H108" s="45" t="s">
        <v>767</v>
      </c>
      <c r="I108" s="44"/>
      <c r="J108" s="44"/>
      <c r="K108" s="143"/>
      <c r="L108" s="144"/>
      <c r="M108" s="166">
        <v>3.3333333333333333E-2</v>
      </c>
      <c r="N108" s="166">
        <v>3.5081018518518518E-2</v>
      </c>
      <c r="O108" s="143">
        <f t="shared" si="20"/>
        <v>1.7476851851851855E-3</v>
      </c>
      <c r="P108" s="177">
        <v>43036</v>
      </c>
      <c r="Q108" s="153" t="str">
        <f t="shared" ca="1" si="0"/>
        <v>https://www.youtube.com/embed/k_PhmmAyLFg?start=2880&amp;end=3031&amp;autoplay=1</v>
      </c>
      <c r="R108" s="159" t="s">
        <v>63</v>
      </c>
      <c r="S108" s="159" t="s">
        <v>131</v>
      </c>
      <c r="T108" s="159" t="s">
        <v>63</v>
      </c>
      <c r="U108" s="148"/>
      <c r="V108" s="149"/>
      <c r="W108" s="167" t="s">
        <v>64</v>
      </c>
      <c r="X108" s="151"/>
      <c r="Y108" s="44"/>
      <c r="Z108" s="63" t="s">
        <v>1121</v>
      </c>
      <c r="AA108" s="152"/>
      <c r="AB108" s="152"/>
      <c r="AC108" s="152"/>
      <c r="AD108" s="152"/>
      <c r="AE108" s="152"/>
      <c r="AF108" s="152"/>
      <c r="AG108" s="152"/>
      <c r="AH108" s="44"/>
      <c r="AI108" s="44"/>
      <c r="AJ108" s="44"/>
      <c r="AK108" s="44"/>
      <c r="AL108" s="44"/>
      <c r="AM108" s="44"/>
      <c r="AN108" s="44"/>
    </row>
    <row r="109" spans="1:40">
      <c r="A109" s="63">
        <v>105.05</v>
      </c>
      <c r="B109" s="176" t="s">
        <v>155</v>
      </c>
      <c r="C109" s="63"/>
      <c r="D109" s="63" t="s">
        <v>56</v>
      </c>
      <c r="E109" s="44"/>
      <c r="F109" s="44"/>
      <c r="G109" s="63" t="s">
        <v>1123</v>
      </c>
      <c r="H109" s="58" t="s">
        <v>1125</v>
      </c>
      <c r="I109" s="44"/>
      <c r="J109" s="44"/>
      <c r="K109" s="143"/>
      <c r="L109" s="144"/>
      <c r="M109" s="166">
        <v>3.5173611111111114E-2</v>
      </c>
      <c r="N109" s="166">
        <v>4.1354166666666664E-2</v>
      </c>
      <c r="O109" s="143">
        <f t="shared" si="20"/>
        <v>6.1805555555555503E-3</v>
      </c>
      <c r="P109" s="177">
        <v>43036</v>
      </c>
      <c r="Q109" s="153" t="str">
        <f t="shared" ca="1" si="0"/>
        <v>https://www.youtube.com/embed/k_PhmmAyLFg?start=3039&amp;end=3573&amp;autoplay=1</v>
      </c>
      <c r="R109" s="159" t="s">
        <v>63</v>
      </c>
      <c r="S109" s="159" t="s">
        <v>131</v>
      </c>
      <c r="T109" s="159" t="s">
        <v>63</v>
      </c>
      <c r="U109" s="148"/>
      <c r="V109" s="149"/>
      <c r="W109" s="167" t="s">
        <v>64</v>
      </c>
      <c r="X109" s="151"/>
      <c r="Y109" s="44"/>
      <c r="Z109" s="44"/>
      <c r="AA109" s="152"/>
      <c r="AB109" s="152"/>
      <c r="AC109" s="152"/>
      <c r="AD109" s="152"/>
      <c r="AE109" s="152"/>
      <c r="AF109" s="152"/>
      <c r="AG109" s="152"/>
      <c r="AH109" s="44"/>
      <c r="AI109" s="44"/>
      <c r="AJ109" s="44"/>
      <c r="AK109" s="44"/>
      <c r="AL109" s="44"/>
      <c r="AM109" s="44"/>
      <c r="AN109" s="44"/>
    </row>
    <row r="110" spans="1:40">
      <c r="A110" s="63">
        <v>105.06</v>
      </c>
      <c r="B110" s="176" t="s">
        <v>155</v>
      </c>
      <c r="C110" s="44"/>
      <c r="D110" s="63" t="s">
        <v>56</v>
      </c>
      <c r="E110" s="44"/>
      <c r="F110" s="44"/>
      <c r="G110" s="63" t="s">
        <v>1128</v>
      </c>
      <c r="H110" s="58" t="s">
        <v>1129</v>
      </c>
      <c r="I110" s="44"/>
      <c r="J110" s="44"/>
      <c r="K110" s="143"/>
      <c r="L110" s="144"/>
      <c r="M110" s="166">
        <v>4.1354166666666664E-2</v>
      </c>
      <c r="N110" s="166">
        <v>4.2905092592592592E-2</v>
      </c>
      <c r="O110" s="143">
        <f t="shared" si="20"/>
        <v>1.5509259259259278E-3</v>
      </c>
      <c r="P110" s="177">
        <v>43036</v>
      </c>
      <c r="Q110" s="153" t="str">
        <f t="shared" ca="1" si="0"/>
        <v>https://www.youtube.com/embed/k_PhmmAyLFg?start=3573&amp;end=3707&amp;autoplay=1</v>
      </c>
      <c r="R110" s="159" t="s">
        <v>63</v>
      </c>
      <c r="S110" s="159" t="s">
        <v>131</v>
      </c>
      <c r="T110" s="159" t="s">
        <v>63</v>
      </c>
      <c r="U110" s="148"/>
      <c r="V110" s="149"/>
      <c r="W110" s="167" t="s">
        <v>64</v>
      </c>
      <c r="X110" s="151"/>
      <c r="Y110" s="44"/>
      <c r="Z110" s="44"/>
      <c r="AA110" s="152"/>
      <c r="AB110" s="152"/>
      <c r="AC110" s="152"/>
      <c r="AD110" s="152"/>
      <c r="AE110" s="152"/>
      <c r="AF110" s="152"/>
      <c r="AG110" s="152"/>
      <c r="AH110" s="44"/>
      <c r="AI110" s="44"/>
      <c r="AJ110" s="44"/>
      <c r="AK110" s="44"/>
      <c r="AL110" s="44"/>
      <c r="AM110" s="44"/>
      <c r="AN110" s="44"/>
    </row>
    <row r="111" spans="1:40">
      <c r="A111" s="63">
        <v>105.07</v>
      </c>
      <c r="B111" s="176" t="s">
        <v>155</v>
      </c>
      <c r="C111" s="44"/>
      <c r="D111" s="63" t="s">
        <v>56</v>
      </c>
      <c r="E111" s="44"/>
      <c r="F111" s="44"/>
      <c r="G111" s="63" t="s">
        <v>1132</v>
      </c>
      <c r="H111" s="58" t="s">
        <v>1133</v>
      </c>
      <c r="I111" s="44"/>
      <c r="J111" s="44"/>
      <c r="K111" s="143"/>
      <c r="L111" s="144"/>
      <c r="M111" s="166">
        <v>4.3078703703703702E-2</v>
      </c>
      <c r="N111" s="166">
        <v>4.5949074074074073E-2</v>
      </c>
      <c r="O111" s="143">
        <f t="shared" si="20"/>
        <v>2.8703703703703703E-3</v>
      </c>
      <c r="P111" s="177">
        <v>43036</v>
      </c>
      <c r="Q111" s="153" t="str">
        <f t="shared" ca="1" si="0"/>
        <v>https://www.youtube.com/embed/k_PhmmAyLFg?start=3722&amp;end=3970&amp;autoplay=1</v>
      </c>
      <c r="R111" s="159" t="s">
        <v>63</v>
      </c>
      <c r="S111" s="159" t="s">
        <v>131</v>
      </c>
      <c r="T111" s="159" t="s">
        <v>63</v>
      </c>
      <c r="U111" s="148"/>
      <c r="V111" s="149"/>
      <c r="W111" s="167" t="s">
        <v>151</v>
      </c>
      <c r="X111" s="151"/>
      <c r="Y111" s="44"/>
      <c r="Z111" s="63" t="s">
        <v>1134</v>
      </c>
      <c r="AA111" s="152"/>
      <c r="AB111" s="152"/>
      <c r="AC111" s="152"/>
      <c r="AD111" s="152"/>
      <c r="AE111" s="152"/>
      <c r="AF111" s="152"/>
      <c r="AG111" s="152"/>
      <c r="AH111" s="44"/>
      <c r="AI111" s="44"/>
      <c r="AJ111" s="44"/>
      <c r="AK111" s="44"/>
      <c r="AL111" s="44"/>
      <c r="AM111" s="44"/>
      <c r="AN111" s="44"/>
    </row>
    <row r="112" spans="1:40">
      <c r="A112" s="63">
        <v>105.08</v>
      </c>
      <c r="B112" s="176" t="s">
        <v>155</v>
      </c>
      <c r="C112" s="63"/>
      <c r="D112" s="63" t="s">
        <v>56</v>
      </c>
      <c r="E112" s="44"/>
      <c r="F112" s="44"/>
      <c r="G112" s="63" t="s">
        <v>1137</v>
      </c>
      <c r="H112" s="58" t="s">
        <v>1138</v>
      </c>
      <c r="I112" s="44"/>
      <c r="J112" s="44"/>
      <c r="K112" s="143"/>
      <c r="L112" s="144"/>
      <c r="M112" s="166">
        <v>4.5960648148148146E-2</v>
      </c>
      <c r="N112" s="166">
        <v>5.1574074074074071E-2</v>
      </c>
      <c r="O112" s="143">
        <f t="shared" si="20"/>
        <v>5.6134259259259245E-3</v>
      </c>
      <c r="P112" s="177">
        <v>43036</v>
      </c>
      <c r="Q112" s="153" t="str">
        <f t="shared" ca="1" si="0"/>
        <v>https://www.youtube.com/embed/k_PhmmAyLFg?start=3971&amp;end=4456&amp;autoplay=1</v>
      </c>
      <c r="R112" s="159" t="s">
        <v>63</v>
      </c>
      <c r="S112" s="159" t="s">
        <v>131</v>
      </c>
      <c r="T112" s="159" t="s">
        <v>63</v>
      </c>
      <c r="U112" s="148"/>
      <c r="V112" s="149"/>
      <c r="W112" s="167" t="s">
        <v>64</v>
      </c>
      <c r="X112" s="151"/>
      <c r="Y112" s="44"/>
      <c r="Z112" s="44"/>
      <c r="AA112" s="152"/>
      <c r="AB112" s="152"/>
      <c r="AC112" s="152"/>
      <c r="AD112" s="152"/>
      <c r="AE112" s="152"/>
      <c r="AF112" s="152"/>
      <c r="AG112" s="152"/>
      <c r="AH112" s="44"/>
      <c r="AI112" s="44"/>
      <c r="AJ112" s="44"/>
      <c r="AK112" s="44"/>
      <c r="AL112" s="44"/>
      <c r="AM112" s="44"/>
      <c r="AN112" s="44"/>
    </row>
    <row r="113" spans="1:40">
      <c r="A113" s="63">
        <v>105.09</v>
      </c>
      <c r="B113" s="176" t="s">
        <v>155</v>
      </c>
      <c r="C113" s="44"/>
      <c r="D113" s="63" t="s">
        <v>56</v>
      </c>
      <c r="E113" s="44"/>
      <c r="F113" s="44"/>
      <c r="G113" s="63" t="s">
        <v>1142</v>
      </c>
      <c r="H113" s="58" t="s">
        <v>1143</v>
      </c>
      <c r="I113" s="44"/>
      <c r="J113" s="44"/>
      <c r="K113" s="143"/>
      <c r="L113" s="144"/>
      <c r="M113" s="166">
        <v>5.1620370370370372E-2</v>
      </c>
      <c r="N113" s="166">
        <v>5.3356481481481484E-2</v>
      </c>
      <c r="O113" s="143">
        <f t="shared" si="20"/>
        <v>1.7361111111111119E-3</v>
      </c>
      <c r="P113" s="177">
        <v>43037</v>
      </c>
      <c r="Q113" s="153" t="str">
        <f t="shared" ca="1" si="0"/>
        <v>https://www.youtube.com/embed/k_PhmmAyLFg?start=4460&amp;end=4610&amp;autoplay=1</v>
      </c>
      <c r="R113" s="159" t="s">
        <v>63</v>
      </c>
      <c r="S113" s="159" t="s">
        <v>131</v>
      </c>
      <c r="T113" s="159" t="s">
        <v>63</v>
      </c>
      <c r="U113" s="148"/>
      <c r="V113" s="149"/>
      <c r="W113" s="167" t="s">
        <v>64</v>
      </c>
      <c r="X113" s="151"/>
      <c r="Y113" s="44"/>
      <c r="Z113" s="44"/>
      <c r="AA113" s="152"/>
      <c r="AB113" s="152"/>
      <c r="AC113" s="152"/>
      <c r="AD113" s="152"/>
      <c r="AE113" s="152"/>
      <c r="AF113" s="152"/>
      <c r="AG113" s="152"/>
      <c r="AH113" s="44"/>
      <c r="AI113" s="44"/>
      <c r="AJ113" s="44"/>
      <c r="AK113" s="44"/>
      <c r="AL113" s="44"/>
      <c r="AM113" s="44"/>
      <c r="AN113" s="44"/>
    </row>
    <row r="114" spans="1:40">
      <c r="A114" s="190">
        <v>105.1</v>
      </c>
      <c r="B114" s="176" t="s">
        <v>155</v>
      </c>
      <c r="C114" s="44"/>
      <c r="D114" s="63" t="s">
        <v>56</v>
      </c>
      <c r="E114" s="44"/>
      <c r="F114" s="44"/>
      <c r="G114" s="63" t="s">
        <v>1146</v>
      </c>
      <c r="H114" s="58" t="s">
        <v>1147</v>
      </c>
      <c r="I114" s="44"/>
      <c r="J114" s="44"/>
      <c r="K114" s="143"/>
      <c r="L114" s="144"/>
      <c r="M114" s="166">
        <v>5.3391203703703705E-2</v>
      </c>
      <c r="N114" s="166">
        <v>5.7210648148148149E-2</v>
      </c>
      <c r="O114" s="143">
        <f t="shared" si="20"/>
        <v>3.8194444444444448E-3</v>
      </c>
      <c r="P114" s="177">
        <v>43037</v>
      </c>
      <c r="Q114" s="153" t="str">
        <f t="shared" ca="1" si="0"/>
        <v>https://www.youtube.com/embed/k_PhmmAyLFg?start=4613&amp;end=4943&amp;autoplay=1</v>
      </c>
      <c r="R114" s="159" t="s">
        <v>63</v>
      </c>
      <c r="S114" s="159" t="s">
        <v>131</v>
      </c>
      <c r="T114" s="159" t="s">
        <v>63</v>
      </c>
      <c r="U114" s="148"/>
      <c r="V114" s="149"/>
      <c r="W114" s="167" t="s">
        <v>64</v>
      </c>
      <c r="X114" s="151"/>
      <c r="Y114" s="44"/>
      <c r="Z114" s="44"/>
      <c r="AA114" s="152"/>
      <c r="AB114" s="152"/>
      <c r="AC114" s="152"/>
      <c r="AD114" s="152"/>
      <c r="AE114" s="152"/>
      <c r="AF114" s="152"/>
      <c r="AG114" s="152"/>
      <c r="AH114" s="44"/>
      <c r="AI114" s="44"/>
      <c r="AJ114" s="44"/>
      <c r="AK114" s="44"/>
      <c r="AL114" s="44"/>
      <c r="AM114" s="44"/>
      <c r="AN114" s="44"/>
    </row>
    <row r="115" spans="1:40">
      <c r="A115" s="63">
        <v>105.11</v>
      </c>
      <c r="B115" s="176" t="s">
        <v>155</v>
      </c>
      <c r="C115" s="44"/>
      <c r="D115" s="63" t="s">
        <v>56</v>
      </c>
      <c r="E115" s="44"/>
      <c r="F115" s="44"/>
      <c r="G115" s="63" t="s">
        <v>1150</v>
      </c>
      <c r="H115" s="58" t="s">
        <v>1151</v>
      </c>
      <c r="I115" s="44"/>
      <c r="J115" s="44"/>
      <c r="K115" s="143"/>
      <c r="L115" s="144"/>
      <c r="M115" s="166">
        <v>5.7361111111111113E-2</v>
      </c>
      <c r="N115" s="166">
        <v>6.2129629629629632E-2</v>
      </c>
      <c r="O115" s="143">
        <f t="shared" si="20"/>
        <v>4.7685185185185192E-3</v>
      </c>
      <c r="P115" s="177">
        <v>43037</v>
      </c>
      <c r="Q115" s="153" t="str">
        <f t="shared" ca="1" si="0"/>
        <v>https://www.youtube.com/embed/k_PhmmAyLFg?start=4956&amp;end=5368&amp;autoplay=1</v>
      </c>
      <c r="R115" s="159" t="s">
        <v>63</v>
      </c>
      <c r="S115" s="159" t="s">
        <v>131</v>
      </c>
      <c r="T115" s="159" t="s">
        <v>63</v>
      </c>
      <c r="U115" s="148"/>
      <c r="V115" s="149"/>
      <c r="W115" s="167" t="s">
        <v>64</v>
      </c>
      <c r="X115" s="151"/>
      <c r="Y115" s="44"/>
      <c r="Z115" s="44"/>
      <c r="AA115" s="152"/>
      <c r="AB115" s="152"/>
      <c r="AC115" s="152"/>
      <c r="AD115" s="152"/>
      <c r="AE115" s="152"/>
      <c r="AF115" s="152"/>
      <c r="AG115" s="152"/>
      <c r="AH115" s="44"/>
      <c r="AI115" s="44"/>
      <c r="AJ115" s="44"/>
      <c r="AK115" s="44"/>
      <c r="AL115" s="44"/>
      <c r="AM115" s="44"/>
      <c r="AN115" s="44"/>
    </row>
    <row r="116" spans="1:40">
      <c r="A116" s="63">
        <v>105.12</v>
      </c>
      <c r="B116" s="176" t="s">
        <v>155</v>
      </c>
      <c r="C116" s="44"/>
      <c r="D116" s="63" t="s">
        <v>56</v>
      </c>
      <c r="E116" s="44"/>
      <c r="F116" s="44"/>
      <c r="G116" s="63" t="s">
        <v>1154</v>
      </c>
      <c r="H116" s="58" t="s">
        <v>1155</v>
      </c>
      <c r="I116" s="44"/>
      <c r="J116" s="44"/>
      <c r="K116" s="143"/>
      <c r="L116" s="144"/>
      <c r="M116" s="166">
        <v>6.2129629629629632E-2</v>
      </c>
      <c r="N116" s="166">
        <v>6.5034722222222216E-2</v>
      </c>
      <c r="O116" s="143">
        <f t="shared" si="20"/>
        <v>2.9050925925925841E-3</v>
      </c>
      <c r="P116" s="177">
        <v>43037</v>
      </c>
      <c r="Q116" s="153" t="str">
        <f t="shared" ca="1" si="0"/>
        <v>https://www.youtube.com/embed/k_PhmmAyLFg?start=5368&amp;end=5619&amp;autoplay=1</v>
      </c>
      <c r="R116" s="159" t="s">
        <v>63</v>
      </c>
      <c r="S116" s="159" t="s">
        <v>131</v>
      </c>
      <c r="T116" s="159" t="s">
        <v>63</v>
      </c>
      <c r="U116" s="148"/>
      <c r="V116" s="149"/>
      <c r="W116" s="167" t="s">
        <v>64</v>
      </c>
      <c r="X116" s="151"/>
      <c r="Y116" s="44"/>
      <c r="Z116" s="44"/>
      <c r="AA116" s="152"/>
      <c r="AB116" s="152"/>
      <c r="AC116" s="152"/>
      <c r="AD116" s="152"/>
      <c r="AE116" s="152"/>
      <c r="AF116" s="152"/>
      <c r="AG116" s="152"/>
      <c r="AH116" s="44"/>
      <c r="AI116" s="44"/>
      <c r="AJ116" s="44"/>
      <c r="AK116" s="44"/>
      <c r="AL116" s="44"/>
      <c r="AM116" s="44"/>
      <c r="AN116" s="44"/>
    </row>
    <row r="117" spans="1:40">
      <c r="A117" s="63">
        <v>105.13</v>
      </c>
      <c r="B117" s="176" t="s">
        <v>155</v>
      </c>
      <c r="C117" s="44"/>
      <c r="D117" s="63" t="s">
        <v>56</v>
      </c>
      <c r="E117" s="44"/>
      <c r="F117" s="44"/>
      <c r="G117" s="63" t="s">
        <v>1158</v>
      </c>
      <c r="H117" s="58" t="s">
        <v>1159</v>
      </c>
      <c r="I117" s="44"/>
      <c r="J117" s="44"/>
      <c r="K117" s="143"/>
      <c r="L117" s="144"/>
      <c r="M117" s="166">
        <v>6.5092592592592591E-2</v>
      </c>
      <c r="N117" s="166">
        <v>7.1365740740740743E-2</v>
      </c>
      <c r="O117" s="143">
        <f t="shared" si="20"/>
        <v>6.2731481481481527E-3</v>
      </c>
      <c r="P117" s="177">
        <v>43037</v>
      </c>
      <c r="Q117" s="153" t="str">
        <f t="shared" ca="1" si="0"/>
        <v>https://www.youtube.com/embed/k_PhmmAyLFg?start=5624&amp;end=6166&amp;autoplay=1</v>
      </c>
      <c r="R117" s="159" t="s">
        <v>63</v>
      </c>
      <c r="S117" s="159" t="s">
        <v>131</v>
      </c>
      <c r="T117" s="159" t="s">
        <v>63</v>
      </c>
      <c r="U117" s="148"/>
      <c r="V117" s="149"/>
      <c r="W117" s="167" t="s">
        <v>64</v>
      </c>
      <c r="X117" s="151"/>
      <c r="Y117" s="44"/>
      <c r="Z117" s="44"/>
      <c r="AA117" s="152"/>
      <c r="AB117" s="152"/>
      <c r="AC117" s="152"/>
      <c r="AD117" s="152"/>
      <c r="AE117" s="152"/>
      <c r="AF117" s="152"/>
      <c r="AG117" s="152"/>
      <c r="AH117" s="44"/>
      <c r="AI117" s="44"/>
      <c r="AJ117" s="44"/>
      <c r="AK117" s="44"/>
      <c r="AL117" s="44"/>
      <c r="AM117" s="44"/>
      <c r="AN117" s="44"/>
    </row>
    <row r="118" spans="1:40">
      <c r="A118" s="63">
        <v>105.14</v>
      </c>
      <c r="B118" s="176" t="s">
        <v>155</v>
      </c>
      <c r="C118" s="44"/>
      <c r="D118" s="63" t="s">
        <v>56</v>
      </c>
      <c r="E118" s="44"/>
      <c r="F118" s="44"/>
      <c r="G118" s="63" t="s">
        <v>1162</v>
      </c>
      <c r="H118" s="58" t="s">
        <v>1163</v>
      </c>
      <c r="I118" s="44"/>
      <c r="J118" s="44"/>
      <c r="K118" s="143"/>
      <c r="L118" s="144"/>
      <c r="M118" s="166">
        <v>7.1388888888888891E-2</v>
      </c>
      <c r="N118" s="166">
        <v>7.3425925925925922E-2</v>
      </c>
      <c r="O118" s="143">
        <f t="shared" si="20"/>
        <v>2.0370370370370317E-3</v>
      </c>
      <c r="P118" s="177">
        <v>43037</v>
      </c>
      <c r="Q118" s="153" t="str">
        <f t="shared" ca="1" si="0"/>
        <v>https://www.youtube.com/embed/k_PhmmAyLFg?start=6168&amp;end=6344&amp;autoplay=1</v>
      </c>
      <c r="R118" s="159" t="s">
        <v>63</v>
      </c>
      <c r="S118" s="159" t="s">
        <v>131</v>
      </c>
      <c r="T118" s="159" t="s">
        <v>63</v>
      </c>
      <c r="U118" s="148"/>
      <c r="V118" s="149"/>
      <c r="W118" s="167" t="s">
        <v>64</v>
      </c>
      <c r="X118" s="151"/>
      <c r="Y118" s="44"/>
      <c r="Z118" s="44"/>
      <c r="AA118" s="152"/>
      <c r="AB118" s="152"/>
      <c r="AC118" s="152"/>
      <c r="AD118" s="152"/>
      <c r="AE118" s="152"/>
      <c r="AF118" s="152"/>
      <c r="AG118" s="152"/>
      <c r="AH118" s="44"/>
      <c r="AI118" s="44"/>
      <c r="AJ118" s="44"/>
      <c r="AK118" s="44"/>
      <c r="AL118" s="44"/>
      <c r="AM118" s="44"/>
      <c r="AN118" s="44"/>
    </row>
    <row r="119" spans="1:40">
      <c r="A119" s="63">
        <v>105.15</v>
      </c>
      <c r="B119" s="176" t="s">
        <v>155</v>
      </c>
      <c r="C119" s="44"/>
      <c r="D119" s="63" t="s">
        <v>56</v>
      </c>
      <c r="E119" s="44"/>
      <c r="F119" s="44"/>
      <c r="G119" s="63" t="s">
        <v>1166</v>
      </c>
      <c r="H119" s="58" t="s">
        <v>1167</v>
      </c>
      <c r="I119" s="44"/>
      <c r="J119" s="44"/>
      <c r="K119" s="143"/>
      <c r="L119" s="144"/>
      <c r="M119" s="166">
        <v>7.6631944444444447E-2</v>
      </c>
      <c r="N119" s="166">
        <v>8.2581018518518512E-2</v>
      </c>
      <c r="O119" s="143">
        <f t="shared" si="20"/>
        <v>5.949074074074065E-3</v>
      </c>
      <c r="P119" s="177">
        <v>43037</v>
      </c>
      <c r="Q119" s="153" t="str">
        <f t="shared" ca="1" si="0"/>
        <v>https://www.youtube.com/embed/k_PhmmAyLFg?start=6621&amp;end=7135&amp;autoplay=1</v>
      </c>
      <c r="R119" s="159" t="s">
        <v>63</v>
      </c>
      <c r="S119" s="159" t="s">
        <v>131</v>
      </c>
      <c r="T119" s="159" t="s">
        <v>63</v>
      </c>
      <c r="U119" s="148"/>
      <c r="V119" s="149"/>
      <c r="W119" s="167" t="s">
        <v>64</v>
      </c>
      <c r="X119" s="151"/>
      <c r="Y119" s="44"/>
      <c r="Z119" s="44"/>
      <c r="AA119" s="152"/>
      <c r="AB119" s="152"/>
      <c r="AC119" s="152"/>
      <c r="AD119" s="152"/>
      <c r="AE119" s="152"/>
      <c r="AF119" s="152"/>
      <c r="AG119" s="152"/>
      <c r="AH119" s="44"/>
      <c r="AI119" s="44"/>
      <c r="AJ119" s="44"/>
      <c r="AK119" s="44"/>
      <c r="AL119" s="44"/>
      <c r="AM119" s="44"/>
      <c r="AN119" s="44"/>
    </row>
    <row r="120" spans="1:40">
      <c r="A120" s="63">
        <v>105.16</v>
      </c>
      <c r="B120" s="176" t="s">
        <v>155</v>
      </c>
      <c r="C120" s="44"/>
      <c r="D120" s="63" t="s">
        <v>56</v>
      </c>
      <c r="E120" s="44"/>
      <c r="F120" s="44"/>
      <c r="G120" s="63" t="s">
        <v>1170</v>
      </c>
      <c r="H120" s="58" t="s">
        <v>1171</v>
      </c>
      <c r="I120" s="44"/>
      <c r="J120" s="44"/>
      <c r="K120" s="143"/>
      <c r="L120" s="144"/>
      <c r="M120" s="166">
        <v>8.2581018518518512E-2</v>
      </c>
      <c r="N120" s="166">
        <v>8.4259259259259256E-2</v>
      </c>
      <c r="O120" s="143">
        <f t="shared" si="20"/>
        <v>1.678240740740744E-3</v>
      </c>
      <c r="P120" s="177">
        <v>43037</v>
      </c>
      <c r="Q120" s="153" t="str">
        <f t="shared" ca="1" si="0"/>
        <v>https://www.youtube.com/embed/k_PhmmAyLFg?start=7135&amp;end=7280&amp;autoplay=1</v>
      </c>
      <c r="R120" s="159" t="s">
        <v>63</v>
      </c>
      <c r="S120" s="159" t="s">
        <v>131</v>
      </c>
      <c r="T120" s="159" t="s">
        <v>63</v>
      </c>
      <c r="U120" s="148"/>
      <c r="V120" s="149"/>
      <c r="W120" s="167" t="s">
        <v>64</v>
      </c>
      <c r="X120" s="151"/>
      <c r="Y120" s="44"/>
      <c r="Z120" s="44"/>
      <c r="AA120" s="152"/>
      <c r="AB120" s="152"/>
      <c r="AC120" s="152"/>
      <c r="AD120" s="152"/>
      <c r="AE120" s="152"/>
      <c r="AF120" s="152"/>
      <c r="AG120" s="152"/>
      <c r="AH120" s="44"/>
      <c r="AI120" s="44"/>
      <c r="AJ120" s="44"/>
      <c r="AK120" s="44"/>
      <c r="AL120" s="44"/>
      <c r="AM120" s="44"/>
      <c r="AN120" s="44"/>
    </row>
    <row r="121" spans="1:40">
      <c r="A121" s="44">
        <v>109</v>
      </c>
      <c r="B121" s="176" t="s">
        <v>155</v>
      </c>
      <c r="C121" s="170"/>
      <c r="D121" s="63" t="s">
        <v>56</v>
      </c>
      <c r="E121" s="44" t="s">
        <v>611</v>
      </c>
      <c r="F121" s="43" t="s">
        <v>612</v>
      </c>
      <c r="G121" s="44"/>
      <c r="H121" s="45"/>
      <c r="I121" s="44"/>
      <c r="J121" s="44">
        <f>1.4*1000</f>
        <v>1400</v>
      </c>
      <c r="K121" s="143">
        <v>3.1817129629629633E-2</v>
      </c>
      <c r="L121" s="144" t="s">
        <v>286</v>
      </c>
      <c r="M121" s="189"/>
      <c r="N121" s="189"/>
      <c r="O121" s="189">
        <f t="shared" si="20"/>
        <v>0</v>
      </c>
      <c r="P121" s="191">
        <v>43044</v>
      </c>
      <c r="Q121" s="45" t="str">
        <f t="shared" ca="1" si="0"/>
        <v/>
      </c>
      <c r="R121" s="169"/>
      <c r="S121" s="169"/>
      <c r="T121" s="169"/>
      <c r="U121" s="170"/>
      <c r="V121" s="171"/>
      <c r="W121" s="172"/>
      <c r="X121" s="151"/>
      <c r="Y121" s="44"/>
      <c r="Z121" s="44"/>
      <c r="AA121" s="44"/>
      <c r="AB121" s="44"/>
      <c r="AC121" s="152"/>
      <c r="AD121" s="152"/>
      <c r="AE121" s="152"/>
      <c r="AF121" s="152"/>
      <c r="AG121" s="152"/>
      <c r="AH121" s="44"/>
      <c r="AI121" s="44"/>
      <c r="AJ121" s="44"/>
      <c r="AK121" s="44"/>
      <c r="AL121" s="44"/>
      <c r="AM121" s="44"/>
      <c r="AN121" s="44"/>
    </row>
    <row r="122" spans="1:40">
      <c r="A122" s="190">
        <v>109.01</v>
      </c>
      <c r="B122" s="176" t="s">
        <v>155</v>
      </c>
      <c r="C122" s="44"/>
      <c r="D122" s="63" t="s">
        <v>56</v>
      </c>
      <c r="E122" s="44"/>
      <c r="F122" s="44"/>
      <c r="G122" s="63" t="s">
        <v>1176</v>
      </c>
      <c r="H122" s="58" t="s">
        <v>1177</v>
      </c>
      <c r="I122" s="44"/>
      <c r="J122" s="44"/>
      <c r="K122" s="143"/>
      <c r="L122" s="144"/>
      <c r="M122" s="166">
        <v>4.2361111111111115E-3</v>
      </c>
      <c r="N122" s="166">
        <v>6.6782407407407407E-3</v>
      </c>
      <c r="O122" s="143">
        <f t="shared" si="20"/>
        <v>2.4421296296296292E-3</v>
      </c>
      <c r="P122" s="191">
        <v>43044</v>
      </c>
      <c r="Q122" s="153" t="str">
        <f t="shared" ca="1" si="0"/>
        <v>https://www.youtube.com/embed/apOba1F4MT4?start=366&amp;end=577&amp;autoplay=1</v>
      </c>
      <c r="R122" s="159" t="s">
        <v>63</v>
      </c>
      <c r="S122" s="159" t="s">
        <v>131</v>
      </c>
      <c r="T122" s="159" t="s">
        <v>63</v>
      </c>
      <c r="U122" s="148"/>
      <c r="V122" s="149"/>
      <c r="W122" s="167" t="s">
        <v>64</v>
      </c>
      <c r="X122" s="151"/>
      <c r="Y122" s="44"/>
      <c r="Z122" s="44"/>
      <c r="AA122" s="152"/>
      <c r="AB122" s="152"/>
      <c r="AC122" s="152"/>
      <c r="AD122" s="152"/>
      <c r="AE122" s="152"/>
      <c r="AF122" s="152"/>
      <c r="AG122" s="152"/>
      <c r="AH122" s="44"/>
      <c r="AI122" s="44"/>
      <c r="AJ122" s="44"/>
      <c r="AK122" s="44"/>
      <c r="AL122" s="44"/>
      <c r="AM122" s="44"/>
      <c r="AN122" s="44"/>
    </row>
    <row r="123" spans="1:40">
      <c r="A123" s="63">
        <v>109.02</v>
      </c>
      <c r="B123" s="63" t="s">
        <v>155</v>
      </c>
      <c r="C123" s="44"/>
      <c r="D123" s="63" t="s">
        <v>56</v>
      </c>
      <c r="E123" s="44"/>
      <c r="F123" s="43"/>
      <c r="G123" s="63" t="s">
        <v>1180</v>
      </c>
      <c r="H123" s="58" t="s">
        <v>1181</v>
      </c>
      <c r="I123" s="44"/>
      <c r="J123" s="44"/>
      <c r="K123" s="143"/>
      <c r="L123" s="144"/>
      <c r="M123" s="166">
        <v>6.6782407407407407E-3</v>
      </c>
      <c r="N123" s="166">
        <v>8.2523148148148148E-3</v>
      </c>
      <c r="O123" s="143">
        <f t="shared" si="20"/>
        <v>1.5740740740740741E-3</v>
      </c>
      <c r="P123" s="191">
        <v>43044</v>
      </c>
      <c r="Q123" s="153" t="str">
        <f t="shared" ca="1" si="0"/>
        <v>https://www.youtube.com/embed/apOba1F4MT4?start=577&amp;end=713&amp;autoplay=1</v>
      </c>
      <c r="R123" s="159" t="s">
        <v>63</v>
      </c>
      <c r="S123" s="159" t="s">
        <v>131</v>
      </c>
      <c r="T123" s="159" t="s">
        <v>63</v>
      </c>
      <c r="U123" s="148"/>
      <c r="V123" s="149"/>
      <c r="W123" s="167" t="s">
        <v>64</v>
      </c>
      <c r="X123" s="151"/>
      <c r="Y123" s="44"/>
      <c r="Z123" s="44"/>
      <c r="AA123" s="152"/>
      <c r="AB123" s="152"/>
      <c r="AC123" s="152"/>
      <c r="AD123" s="152"/>
      <c r="AE123" s="152"/>
      <c r="AF123" s="152"/>
      <c r="AG123" s="152"/>
      <c r="AH123" s="44"/>
      <c r="AI123" s="44"/>
      <c r="AJ123" s="44"/>
      <c r="AK123" s="44"/>
      <c r="AL123" s="44"/>
      <c r="AM123" s="44"/>
      <c r="AN123" s="44"/>
    </row>
    <row r="124" spans="1:40">
      <c r="A124" s="190">
        <v>109.03</v>
      </c>
      <c r="B124" s="63" t="s">
        <v>155</v>
      </c>
      <c r="C124" s="44"/>
      <c r="D124" s="63" t="s">
        <v>56</v>
      </c>
      <c r="E124" s="44"/>
      <c r="F124" s="43"/>
      <c r="G124" s="63" t="s">
        <v>1184</v>
      </c>
      <c r="H124" s="58" t="s">
        <v>1185</v>
      </c>
      <c r="I124" s="44"/>
      <c r="J124" s="44"/>
      <c r="K124" s="143"/>
      <c r="L124" s="144"/>
      <c r="M124" s="166">
        <v>8.2523148148148148E-3</v>
      </c>
      <c r="N124" s="166">
        <v>1.1608796296296296E-2</v>
      </c>
      <c r="O124" s="143">
        <f t="shared" si="20"/>
        <v>3.3564814814814811E-3</v>
      </c>
      <c r="P124" s="191">
        <v>43044</v>
      </c>
      <c r="Q124" s="153" t="str">
        <f t="shared" ca="1" si="0"/>
        <v>https://www.youtube.com/embed/apOba1F4MT4?start=713&amp;end=1003&amp;autoplay=1</v>
      </c>
      <c r="R124" s="159" t="s">
        <v>63</v>
      </c>
      <c r="S124" s="159" t="s">
        <v>131</v>
      </c>
      <c r="T124" s="159" t="s">
        <v>63</v>
      </c>
      <c r="U124" s="148"/>
      <c r="V124" s="149"/>
      <c r="W124" s="167" t="s">
        <v>64</v>
      </c>
      <c r="X124" s="151"/>
      <c r="Y124" s="44"/>
      <c r="Z124" s="44"/>
      <c r="AA124" s="152"/>
      <c r="AB124" s="152"/>
      <c r="AC124" s="152"/>
      <c r="AD124" s="152"/>
      <c r="AE124" s="152"/>
      <c r="AF124" s="152"/>
      <c r="AG124" s="152"/>
      <c r="AH124" s="44"/>
      <c r="AI124" s="44"/>
      <c r="AJ124" s="44"/>
      <c r="AK124" s="44"/>
      <c r="AL124" s="44"/>
      <c r="AM124" s="44"/>
      <c r="AN124" s="44"/>
    </row>
    <row r="125" spans="1:40">
      <c r="A125" s="63">
        <v>109.04</v>
      </c>
      <c r="B125" s="63" t="s">
        <v>155</v>
      </c>
      <c r="C125" s="44"/>
      <c r="D125" s="63" t="s">
        <v>56</v>
      </c>
      <c r="E125" s="44"/>
      <c r="F125" s="43"/>
      <c r="G125" s="63" t="s">
        <v>1188</v>
      </c>
      <c r="H125" s="58" t="s">
        <v>1189</v>
      </c>
      <c r="I125" s="44"/>
      <c r="J125" s="44"/>
      <c r="K125" s="143"/>
      <c r="L125" s="144"/>
      <c r="M125" s="166">
        <v>1.1608796296296296E-2</v>
      </c>
      <c r="N125" s="187">
        <v>1.4965277777777777E-2</v>
      </c>
      <c r="O125" s="192">
        <f t="shared" si="20"/>
        <v>3.3564814814814811E-3</v>
      </c>
      <c r="P125" s="191">
        <v>43044</v>
      </c>
      <c r="Q125" s="153" t="str">
        <f t="shared" ca="1" si="0"/>
        <v>https://www.youtube.com/embed/apOba1F4MT4?start=1003&amp;end=1293&amp;autoplay=1</v>
      </c>
      <c r="R125" s="159" t="s">
        <v>63</v>
      </c>
      <c r="S125" s="159" t="s">
        <v>131</v>
      </c>
      <c r="T125" s="159" t="s">
        <v>63</v>
      </c>
      <c r="U125" s="148"/>
      <c r="V125" s="149"/>
      <c r="W125" s="167" t="s">
        <v>64</v>
      </c>
      <c r="X125" s="151"/>
      <c r="Y125" s="44"/>
      <c r="Z125" s="44"/>
      <c r="AA125" s="152"/>
      <c r="AB125" s="152"/>
      <c r="AC125" s="152"/>
      <c r="AD125" s="152"/>
      <c r="AE125" s="152"/>
      <c r="AF125" s="152"/>
      <c r="AG125" s="152"/>
      <c r="AH125" s="44"/>
      <c r="AI125" s="44"/>
      <c r="AJ125" s="44"/>
      <c r="AK125" s="44"/>
      <c r="AL125" s="44"/>
      <c r="AM125" s="44"/>
      <c r="AN125" s="44"/>
    </row>
    <row r="126" spans="1:40">
      <c r="A126" s="190">
        <v>109.05</v>
      </c>
      <c r="B126" s="63" t="s">
        <v>155</v>
      </c>
      <c r="C126" s="44"/>
      <c r="D126" s="63" t="s">
        <v>56</v>
      </c>
      <c r="E126" s="44"/>
      <c r="F126" s="43"/>
      <c r="G126" s="63" t="s">
        <v>1194</v>
      </c>
      <c r="H126" s="58" t="s">
        <v>1195</v>
      </c>
      <c r="I126" s="44"/>
      <c r="J126" s="44"/>
      <c r="K126" s="143"/>
      <c r="L126" s="144"/>
      <c r="M126" s="187">
        <v>1.4965277777777777E-2</v>
      </c>
      <c r="N126" s="166">
        <v>2.1215277777777777E-2</v>
      </c>
      <c r="O126" s="143">
        <f t="shared" si="20"/>
        <v>6.2500000000000003E-3</v>
      </c>
      <c r="P126" s="191">
        <v>43044</v>
      </c>
      <c r="Q126" s="153" t="str">
        <f t="shared" ca="1" si="0"/>
        <v>https://www.youtube.com/embed/apOba1F4MT4?start=1293&amp;end=1833&amp;autoplay=1</v>
      </c>
      <c r="R126" s="159" t="s">
        <v>63</v>
      </c>
      <c r="S126" s="159" t="s">
        <v>131</v>
      </c>
      <c r="T126" s="159" t="s">
        <v>63</v>
      </c>
      <c r="U126" s="148"/>
      <c r="V126" s="149"/>
      <c r="W126" s="167" t="s">
        <v>64</v>
      </c>
      <c r="X126" s="151"/>
      <c r="Y126" s="44"/>
      <c r="Z126" s="44"/>
      <c r="AA126" s="152"/>
      <c r="AB126" s="152"/>
      <c r="AC126" s="152"/>
      <c r="AD126" s="152"/>
      <c r="AE126" s="152"/>
      <c r="AF126" s="152"/>
      <c r="AG126" s="152"/>
      <c r="AH126" s="44"/>
      <c r="AI126" s="44"/>
      <c r="AJ126" s="44"/>
      <c r="AK126" s="44"/>
      <c r="AL126" s="44"/>
      <c r="AM126" s="44"/>
      <c r="AN126" s="44"/>
    </row>
    <row r="127" spans="1:40">
      <c r="A127" s="63">
        <v>109.06</v>
      </c>
      <c r="B127" s="63" t="s">
        <v>155</v>
      </c>
      <c r="C127" s="170"/>
      <c r="D127" s="63" t="s">
        <v>56</v>
      </c>
      <c r="E127" s="44"/>
      <c r="F127" s="43"/>
      <c r="G127" s="63" t="s">
        <v>1197</v>
      </c>
      <c r="H127" s="58" t="s">
        <v>1199</v>
      </c>
      <c r="I127" s="44"/>
      <c r="J127" s="44"/>
      <c r="K127" s="143"/>
      <c r="L127" s="144"/>
      <c r="M127" s="193">
        <v>2.1226851851851851E-2</v>
      </c>
      <c r="N127" s="193">
        <v>2.763888888888889E-2</v>
      </c>
      <c r="O127" s="189">
        <f t="shared" si="20"/>
        <v>6.412037037037039E-3</v>
      </c>
      <c r="P127" s="191">
        <v>43044</v>
      </c>
      <c r="Q127" s="153" t="str">
        <f t="shared" ca="1" si="0"/>
        <v>https://www.youtube.com/embed/apOba1F4MT4?start=1834&amp;end=2388&amp;autoplay=1</v>
      </c>
      <c r="R127" s="159" t="s">
        <v>63</v>
      </c>
      <c r="S127" s="159" t="s">
        <v>131</v>
      </c>
      <c r="T127" s="159" t="s">
        <v>63</v>
      </c>
      <c r="U127" s="148"/>
      <c r="V127" s="149"/>
      <c r="W127" s="167" t="s">
        <v>64</v>
      </c>
      <c r="X127" s="151"/>
      <c r="Y127" s="44"/>
      <c r="Z127" s="44"/>
      <c r="AA127" s="44"/>
      <c r="AB127" s="44"/>
      <c r="AC127" s="152"/>
      <c r="AD127" s="152"/>
      <c r="AE127" s="152"/>
      <c r="AF127" s="152"/>
      <c r="AG127" s="152"/>
      <c r="AH127" s="44"/>
      <c r="AI127" s="44"/>
      <c r="AJ127" s="44"/>
      <c r="AK127" s="44"/>
      <c r="AL127" s="44"/>
      <c r="AM127" s="44"/>
      <c r="AN127" s="44"/>
    </row>
    <row r="128" spans="1:40">
      <c r="A128" s="190">
        <v>109.07</v>
      </c>
      <c r="B128" s="63" t="s">
        <v>155</v>
      </c>
      <c r="C128" s="170"/>
      <c r="D128" s="63" t="s">
        <v>56</v>
      </c>
      <c r="E128" s="44"/>
      <c r="F128" s="43"/>
      <c r="G128" s="63" t="s">
        <v>1202</v>
      </c>
      <c r="H128" s="58" t="s">
        <v>1203</v>
      </c>
      <c r="I128" s="44"/>
      <c r="J128" s="44"/>
      <c r="K128" s="143"/>
      <c r="L128" s="144"/>
      <c r="M128" s="193">
        <v>2.763888888888889E-2</v>
      </c>
      <c r="N128" s="193">
        <v>3.0636574074074073E-2</v>
      </c>
      <c r="O128" s="189">
        <f t="shared" si="20"/>
        <v>2.9976851851851831E-3</v>
      </c>
      <c r="P128" s="191">
        <v>43044</v>
      </c>
      <c r="Q128" s="153" t="str">
        <f t="shared" ca="1" si="0"/>
        <v>https://www.youtube.com/embed/apOba1F4MT4?start=2388&amp;end=2647&amp;autoplay=1</v>
      </c>
      <c r="R128" s="159" t="s">
        <v>63</v>
      </c>
      <c r="S128" s="159" t="s">
        <v>131</v>
      </c>
      <c r="T128" s="159" t="s">
        <v>63</v>
      </c>
      <c r="U128" s="148"/>
      <c r="V128" s="149"/>
      <c r="W128" s="167" t="s">
        <v>64</v>
      </c>
      <c r="X128" s="151"/>
      <c r="Y128" s="44"/>
      <c r="Z128" s="44"/>
      <c r="AA128" s="44"/>
      <c r="AB128" s="44"/>
      <c r="AC128" s="152"/>
      <c r="AD128" s="152"/>
      <c r="AE128" s="152"/>
      <c r="AF128" s="152"/>
      <c r="AG128" s="152"/>
      <c r="AH128" s="44"/>
      <c r="AI128" s="44"/>
      <c r="AJ128" s="44"/>
      <c r="AK128" s="44"/>
      <c r="AL128" s="44"/>
      <c r="AM128" s="44"/>
      <c r="AN128" s="44"/>
    </row>
    <row r="129" spans="1:40">
      <c r="A129" s="44">
        <v>127</v>
      </c>
      <c r="B129" s="176" t="s">
        <v>155</v>
      </c>
      <c r="C129" s="170"/>
      <c r="D129" s="63" t="s">
        <v>56</v>
      </c>
      <c r="E129" s="44" t="s">
        <v>677</v>
      </c>
      <c r="F129" s="43" t="s">
        <v>678</v>
      </c>
      <c r="G129" s="44"/>
      <c r="H129" s="45"/>
      <c r="I129" s="44"/>
      <c r="J129" s="44">
        <f>2.4*1000</f>
        <v>2400</v>
      </c>
      <c r="K129" s="143">
        <v>2.8645833333333332E-2</v>
      </c>
      <c r="L129" s="144" t="s">
        <v>286</v>
      </c>
      <c r="M129" s="189"/>
      <c r="N129" s="189"/>
      <c r="O129" s="189">
        <f t="shared" si="20"/>
        <v>0</v>
      </c>
      <c r="P129" s="191">
        <v>43044</v>
      </c>
      <c r="Q129" s="45" t="str">
        <f t="shared" ca="1" si="0"/>
        <v/>
      </c>
      <c r="R129" s="169"/>
      <c r="S129" s="169"/>
      <c r="T129" s="169"/>
      <c r="U129" s="170"/>
      <c r="V129" s="171"/>
      <c r="W129" s="172"/>
      <c r="X129" s="151"/>
      <c r="Y129" s="44"/>
      <c r="Z129" s="44"/>
      <c r="AA129" s="44"/>
      <c r="AB129" s="44"/>
      <c r="AC129" s="152"/>
      <c r="AD129" s="152"/>
      <c r="AE129" s="152"/>
      <c r="AF129" s="152"/>
      <c r="AG129" s="152"/>
      <c r="AH129" s="44"/>
      <c r="AI129" s="44"/>
      <c r="AJ129" s="44"/>
      <c r="AK129" s="44"/>
      <c r="AL129" s="44"/>
      <c r="AM129" s="44"/>
      <c r="AN129" s="44"/>
    </row>
    <row r="130" spans="1:40">
      <c r="A130" s="63">
        <v>127.01</v>
      </c>
      <c r="B130" s="63" t="s">
        <v>155</v>
      </c>
      <c r="C130" s="44"/>
      <c r="D130" s="63" t="s">
        <v>56</v>
      </c>
      <c r="E130" s="44"/>
      <c r="F130" s="43"/>
      <c r="G130" s="63" t="s">
        <v>1208</v>
      </c>
      <c r="H130" s="58" t="s">
        <v>1209</v>
      </c>
      <c r="I130" s="44"/>
      <c r="J130" s="44"/>
      <c r="K130" s="143"/>
      <c r="L130" s="144"/>
      <c r="M130" s="166">
        <v>4.5254629629629629E-3</v>
      </c>
      <c r="N130" s="166">
        <v>9.0740740740740747E-3</v>
      </c>
      <c r="O130" s="143">
        <f t="shared" si="20"/>
        <v>4.5486111111111118E-3</v>
      </c>
      <c r="P130" s="191">
        <v>43044</v>
      </c>
      <c r="Q130" s="153" t="str">
        <f t="shared" ca="1" si="0"/>
        <v>https://www.youtube.com/embed/08Xwx9vsy6w?start=391&amp;end=784&amp;autoplay=1</v>
      </c>
      <c r="R130" s="159" t="s">
        <v>63</v>
      </c>
      <c r="S130" s="159" t="s">
        <v>131</v>
      </c>
      <c r="T130" s="159" t="s">
        <v>63</v>
      </c>
      <c r="U130" s="148"/>
      <c r="V130" s="149"/>
      <c r="W130" s="167" t="s">
        <v>64</v>
      </c>
      <c r="X130" s="151"/>
      <c r="Y130" s="44"/>
      <c r="Z130" s="63" t="s">
        <v>1210</v>
      </c>
      <c r="AA130" s="152"/>
      <c r="AB130" s="152"/>
      <c r="AC130" s="152"/>
      <c r="AD130" s="152"/>
      <c r="AE130" s="152"/>
      <c r="AF130" s="152"/>
      <c r="AG130" s="152"/>
      <c r="AH130" s="44"/>
      <c r="AI130" s="44"/>
      <c r="AJ130" s="44"/>
      <c r="AK130" s="44"/>
      <c r="AL130" s="44"/>
      <c r="AM130" s="44"/>
      <c r="AN130" s="44"/>
    </row>
    <row r="131" spans="1:40">
      <c r="A131" s="63">
        <v>127.02</v>
      </c>
      <c r="B131" s="63" t="s">
        <v>155</v>
      </c>
      <c r="C131" s="44"/>
      <c r="D131" s="63" t="s">
        <v>56</v>
      </c>
      <c r="E131" s="44"/>
      <c r="F131" s="43"/>
      <c r="G131" s="63" t="s">
        <v>1213</v>
      </c>
      <c r="H131" s="58" t="s">
        <v>1214</v>
      </c>
      <c r="I131" s="44"/>
      <c r="J131" s="44"/>
      <c r="K131" s="143"/>
      <c r="L131" s="144"/>
      <c r="M131" s="166">
        <v>9.0740740740740747E-3</v>
      </c>
      <c r="N131" s="166">
        <v>1.2164351851851852E-2</v>
      </c>
      <c r="O131" s="143">
        <f t="shared" si="20"/>
        <v>3.0902777777777769E-3</v>
      </c>
      <c r="P131" s="191">
        <v>43044</v>
      </c>
      <c r="Q131" s="153" t="str">
        <f t="shared" ca="1" si="0"/>
        <v>https://www.youtube.com/embed/08Xwx9vsy6w?start=784&amp;end=1051&amp;autoplay=1</v>
      </c>
      <c r="R131" s="159" t="s">
        <v>63</v>
      </c>
      <c r="S131" s="159" t="s">
        <v>131</v>
      </c>
      <c r="T131" s="159" t="s">
        <v>63</v>
      </c>
      <c r="U131" s="148"/>
      <c r="V131" s="149"/>
      <c r="W131" s="167" t="s">
        <v>64</v>
      </c>
      <c r="X131" s="151"/>
      <c r="Y131" s="44"/>
      <c r="Z131" s="44"/>
      <c r="AA131" s="152"/>
      <c r="AB131" s="152"/>
      <c r="AC131" s="152"/>
      <c r="AD131" s="152"/>
      <c r="AE131" s="152"/>
      <c r="AF131" s="152"/>
      <c r="AG131" s="152"/>
      <c r="AH131" s="44"/>
      <c r="AI131" s="44"/>
      <c r="AJ131" s="44"/>
      <c r="AK131" s="44"/>
      <c r="AL131" s="44"/>
      <c r="AM131" s="44"/>
      <c r="AN131" s="44"/>
    </row>
    <row r="132" spans="1:40">
      <c r="A132" s="63">
        <v>127.03</v>
      </c>
      <c r="B132" s="63" t="s">
        <v>155</v>
      </c>
      <c r="C132" s="44"/>
      <c r="D132" s="63" t="s">
        <v>56</v>
      </c>
      <c r="E132" s="44"/>
      <c r="F132" s="43"/>
      <c r="G132" s="63" t="s">
        <v>1215</v>
      </c>
      <c r="H132" s="58" t="s">
        <v>1216</v>
      </c>
      <c r="I132" s="44"/>
      <c r="J132" s="44"/>
      <c r="K132" s="143"/>
      <c r="L132" s="144"/>
      <c r="M132" s="166">
        <v>1.2175925925925925E-2</v>
      </c>
      <c r="N132" s="166">
        <v>1.8680555555555554E-2</v>
      </c>
      <c r="O132" s="143">
        <f t="shared" si="20"/>
        <v>6.5046296296296293E-3</v>
      </c>
      <c r="P132" s="191">
        <v>43044</v>
      </c>
      <c r="Q132" s="153" t="str">
        <f t="shared" ca="1" si="0"/>
        <v>https://www.youtube.com/embed/08Xwx9vsy6w?start=1052&amp;end=1614&amp;autoplay=1</v>
      </c>
      <c r="R132" s="159" t="s">
        <v>63</v>
      </c>
      <c r="S132" s="159" t="s">
        <v>131</v>
      </c>
      <c r="T132" s="159" t="s">
        <v>63</v>
      </c>
      <c r="U132" s="148"/>
      <c r="V132" s="149"/>
      <c r="W132" s="167" t="s">
        <v>64</v>
      </c>
      <c r="X132" s="151"/>
      <c r="Y132" s="44"/>
      <c r="Z132" s="44"/>
      <c r="AA132" s="152"/>
      <c r="AB132" s="152"/>
      <c r="AC132" s="152"/>
      <c r="AD132" s="152"/>
      <c r="AE132" s="152"/>
      <c r="AF132" s="152"/>
      <c r="AG132" s="152"/>
      <c r="AH132" s="44"/>
      <c r="AI132" s="44"/>
      <c r="AJ132" s="44"/>
      <c r="AK132" s="44"/>
      <c r="AL132" s="44"/>
      <c r="AM132" s="44"/>
      <c r="AN132" s="44"/>
    </row>
    <row r="133" spans="1:40">
      <c r="A133" s="63">
        <v>127.04</v>
      </c>
      <c r="B133" s="63" t="s">
        <v>155</v>
      </c>
      <c r="C133" s="44"/>
      <c r="D133" s="63" t="s">
        <v>56</v>
      </c>
      <c r="E133" s="44"/>
      <c r="F133" s="43"/>
      <c r="G133" s="63" t="s">
        <v>1219</v>
      </c>
      <c r="H133" s="58" t="s">
        <v>1220</v>
      </c>
      <c r="I133" s="44"/>
      <c r="J133" s="44"/>
      <c r="K133" s="143"/>
      <c r="L133" s="144"/>
      <c r="M133" s="166">
        <v>1.8692129629629628E-2</v>
      </c>
      <c r="N133" s="166">
        <v>2.1655092592592594E-2</v>
      </c>
      <c r="O133" s="143">
        <f t="shared" si="20"/>
        <v>2.9629629629629659E-3</v>
      </c>
      <c r="P133" s="191">
        <v>43044</v>
      </c>
      <c r="Q133" s="153" t="str">
        <f t="shared" ca="1" si="0"/>
        <v>https://www.youtube.com/embed/08Xwx9vsy6w?start=1615&amp;end=1871&amp;autoplay=1</v>
      </c>
      <c r="R133" s="159" t="s">
        <v>63</v>
      </c>
      <c r="S133" s="159" t="s">
        <v>131</v>
      </c>
      <c r="T133" s="159" t="s">
        <v>63</v>
      </c>
      <c r="U133" s="148"/>
      <c r="V133" s="149"/>
      <c r="W133" s="167" t="s">
        <v>64</v>
      </c>
      <c r="X133" s="151"/>
      <c r="Y133" s="44"/>
      <c r="Z133" s="44"/>
      <c r="AA133" s="152"/>
      <c r="AB133" s="152"/>
      <c r="AC133" s="152"/>
      <c r="AD133" s="152"/>
      <c r="AE133" s="152"/>
      <c r="AF133" s="152"/>
      <c r="AG133" s="152"/>
      <c r="AH133" s="44"/>
      <c r="AI133" s="44"/>
      <c r="AJ133" s="44"/>
      <c r="AK133" s="44"/>
      <c r="AL133" s="44"/>
      <c r="AM133" s="44"/>
      <c r="AN133" s="44"/>
    </row>
    <row r="134" spans="1:40">
      <c r="A134" s="63">
        <v>127.05</v>
      </c>
      <c r="B134" s="63" t="s">
        <v>155</v>
      </c>
      <c r="C134" s="44"/>
      <c r="D134" s="63" t="s">
        <v>56</v>
      </c>
      <c r="E134" s="44"/>
      <c r="F134" s="43"/>
      <c r="G134" s="63" t="s">
        <v>1223</v>
      </c>
      <c r="H134" s="58" t="s">
        <v>1224</v>
      </c>
      <c r="I134" s="44"/>
      <c r="J134" s="44"/>
      <c r="K134" s="143"/>
      <c r="L134" s="144"/>
      <c r="M134" s="166">
        <v>2.1666666666666667E-2</v>
      </c>
      <c r="N134" s="166">
        <v>2.8611111111111111E-2</v>
      </c>
      <c r="O134" s="143">
        <f t="shared" si="20"/>
        <v>6.9444444444444441E-3</v>
      </c>
      <c r="P134" s="191">
        <v>43044</v>
      </c>
      <c r="Q134" s="153" t="str">
        <f t="shared" ca="1" si="0"/>
        <v>https://www.youtube.com/embed/08Xwx9vsy6w?start=1872&amp;end=2472&amp;autoplay=1</v>
      </c>
      <c r="R134" s="159" t="s">
        <v>63</v>
      </c>
      <c r="S134" s="159" t="s">
        <v>131</v>
      </c>
      <c r="T134" s="159" t="s">
        <v>63</v>
      </c>
      <c r="U134" s="148"/>
      <c r="V134" s="149"/>
      <c r="W134" s="167" t="s">
        <v>64</v>
      </c>
      <c r="X134" s="151"/>
      <c r="Y134" s="44"/>
      <c r="Z134" s="44"/>
      <c r="AA134" s="152"/>
      <c r="AB134" s="152"/>
      <c r="AC134" s="152"/>
      <c r="AD134" s="152"/>
      <c r="AE134" s="152"/>
      <c r="AF134" s="152"/>
      <c r="AG134" s="152"/>
      <c r="AH134" s="44"/>
      <c r="AI134" s="44"/>
      <c r="AJ134" s="44"/>
      <c r="AK134" s="44"/>
      <c r="AL134" s="44"/>
      <c r="AM134" s="44"/>
      <c r="AN134" s="44"/>
    </row>
    <row r="135" spans="1:40">
      <c r="A135" s="44">
        <v>128</v>
      </c>
      <c r="B135" s="176" t="s">
        <v>155</v>
      </c>
      <c r="C135" s="170"/>
      <c r="D135" s="63" t="s">
        <v>56</v>
      </c>
      <c r="E135" s="44" t="s">
        <v>679</v>
      </c>
      <c r="F135" s="43" t="s">
        <v>680</v>
      </c>
      <c r="G135" s="44"/>
      <c r="H135" s="45"/>
      <c r="I135" s="44"/>
      <c r="J135" s="44">
        <f>1.4*1000</f>
        <v>1400</v>
      </c>
      <c r="K135" s="143">
        <v>3.318287037037037E-2</v>
      </c>
      <c r="L135" s="144" t="s">
        <v>286</v>
      </c>
      <c r="M135" s="189"/>
      <c r="N135" s="189"/>
      <c r="O135" s="189">
        <f t="shared" si="20"/>
        <v>0</v>
      </c>
      <c r="P135" s="191">
        <v>43054</v>
      </c>
      <c r="Q135" s="45" t="str">
        <f t="shared" ca="1" si="0"/>
        <v/>
      </c>
      <c r="R135" s="169"/>
      <c r="S135" s="169"/>
      <c r="T135" s="169"/>
      <c r="U135" s="170"/>
      <c r="V135" s="171"/>
      <c r="W135" s="172"/>
      <c r="X135" s="151"/>
      <c r="Y135" s="44"/>
      <c r="Z135" s="44"/>
      <c r="AA135" s="44"/>
      <c r="AB135" s="44"/>
      <c r="AC135" s="152"/>
      <c r="AD135" s="152"/>
      <c r="AE135" s="152"/>
      <c r="AF135" s="152"/>
      <c r="AG135" s="152"/>
      <c r="AH135" s="44"/>
      <c r="AI135" s="44"/>
      <c r="AJ135" s="44"/>
      <c r="AK135" s="44"/>
      <c r="AL135" s="44"/>
      <c r="AM135" s="44"/>
      <c r="AN135" s="44"/>
    </row>
    <row r="136" spans="1:40">
      <c r="A136" s="63">
        <v>128.01</v>
      </c>
      <c r="B136" s="176" t="s">
        <v>155</v>
      </c>
      <c r="C136" s="170"/>
      <c r="D136" s="63" t="s">
        <v>56</v>
      </c>
      <c r="E136" s="44"/>
      <c r="F136" s="43"/>
      <c r="G136" s="63" t="s">
        <v>1227</v>
      </c>
      <c r="H136" s="58" t="s">
        <v>1228</v>
      </c>
      <c r="I136" s="44"/>
      <c r="J136" s="44"/>
      <c r="K136" s="143"/>
      <c r="L136" s="144"/>
      <c r="M136" s="193">
        <v>3.4722222222222222E-5</v>
      </c>
      <c r="N136" s="193">
        <v>4.7222222222222223E-3</v>
      </c>
      <c r="O136" s="189">
        <f t="shared" si="20"/>
        <v>4.6874999999999998E-3</v>
      </c>
      <c r="P136" s="191">
        <v>43054</v>
      </c>
      <c r="Q136" s="153" t="str">
        <f t="shared" ca="1" si="0"/>
        <v>https://www.youtube.com/embed/JErwMUETzvU?start=3&amp;end=408&amp;autoplay=1</v>
      </c>
      <c r="R136" s="159" t="s">
        <v>63</v>
      </c>
      <c r="S136" s="159" t="s">
        <v>63</v>
      </c>
      <c r="T136" s="159" t="s">
        <v>63</v>
      </c>
      <c r="U136" s="148"/>
      <c r="V136" s="149"/>
      <c r="W136" s="167" t="s">
        <v>64</v>
      </c>
      <c r="X136" s="151"/>
      <c r="Y136" s="44"/>
      <c r="Z136" s="63" t="s">
        <v>1231</v>
      </c>
      <c r="AA136" s="44"/>
      <c r="AB136" s="44"/>
      <c r="AC136" s="152"/>
      <c r="AD136" s="152"/>
      <c r="AE136" s="152"/>
      <c r="AF136" s="152"/>
      <c r="AG136" s="152"/>
      <c r="AH136" s="44"/>
      <c r="AI136" s="44"/>
      <c r="AJ136" s="44"/>
      <c r="AK136" s="44"/>
      <c r="AL136" s="44"/>
      <c r="AM136" s="44"/>
      <c r="AN136" s="44"/>
    </row>
    <row r="137" spans="1:40">
      <c r="A137" s="63">
        <v>128.02000000000001</v>
      </c>
      <c r="B137" s="176" t="s">
        <v>155</v>
      </c>
      <c r="C137" s="170"/>
      <c r="D137" s="63" t="s">
        <v>56</v>
      </c>
      <c r="E137" s="44"/>
      <c r="F137" s="43"/>
      <c r="G137" s="63" t="s">
        <v>1232</v>
      </c>
      <c r="H137" s="63" t="s">
        <v>1233</v>
      </c>
      <c r="I137" s="44"/>
      <c r="J137" s="44"/>
      <c r="K137" s="143"/>
      <c r="L137" s="144"/>
      <c r="M137" s="193">
        <v>4.7453703703703703E-3</v>
      </c>
      <c r="N137" s="193">
        <v>1.2152777777777778E-2</v>
      </c>
      <c r="O137" s="189">
        <f t="shared" si="20"/>
        <v>7.4074074074074077E-3</v>
      </c>
      <c r="P137" s="191">
        <v>43054</v>
      </c>
      <c r="Q137" s="153" t="str">
        <f t="shared" ca="1" si="0"/>
        <v>https://www.youtube.com/embed/JErwMUETzvU?start=410&amp;end=1050&amp;autoplay=1</v>
      </c>
      <c r="R137" s="159" t="s">
        <v>63</v>
      </c>
      <c r="S137" s="159" t="s">
        <v>63</v>
      </c>
      <c r="T137" s="159" t="s">
        <v>63</v>
      </c>
      <c r="U137" s="148"/>
      <c r="V137" s="149"/>
      <c r="W137" s="167" t="s">
        <v>64</v>
      </c>
      <c r="X137" s="151"/>
      <c r="Y137" s="44"/>
      <c r="Z137" s="63" t="s">
        <v>1231</v>
      </c>
      <c r="AA137" s="44"/>
      <c r="AB137" s="44"/>
      <c r="AC137" s="152"/>
      <c r="AD137" s="152"/>
      <c r="AE137" s="152"/>
      <c r="AF137" s="152"/>
      <c r="AG137" s="152"/>
      <c r="AH137" s="44"/>
      <c r="AI137" s="44"/>
      <c r="AJ137" s="44"/>
      <c r="AK137" s="44"/>
      <c r="AL137" s="44"/>
      <c r="AM137" s="44"/>
      <c r="AN137" s="44"/>
    </row>
    <row r="138" spans="1:40">
      <c r="A138" s="63">
        <v>128.03</v>
      </c>
      <c r="B138" s="176" t="s">
        <v>155</v>
      </c>
      <c r="C138" s="170"/>
      <c r="D138" s="63" t="s">
        <v>56</v>
      </c>
      <c r="E138" s="44"/>
      <c r="F138" s="43"/>
      <c r="G138" s="63" t="s">
        <v>1236</v>
      </c>
      <c r="H138" s="58" t="s">
        <v>1237</v>
      </c>
      <c r="I138" s="44"/>
      <c r="J138" s="44"/>
      <c r="K138" s="143"/>
      <c r="L138" s="144"/>
      <c r="M138" s="193">
        <v>1.2175925925925925E-2</v>
      </c>
      <c r="N138" s="193">
        <v>1.9733796296296298E-2</v>
      </c>
      <c r="O138" s="189">
        <f t="shared" si="20"/>
        <v>7.5578703703703728E-3</v>
      </c>
      <c r="P138" s="191">
        <v>43054</v>
      </c>
      <c r="Q138" s="153" t="str">
        <f t="shared" ca="1" si="0"/>
        <v>https://www.youtube.com/embed/JErwMUETzvU?start=1052&amp;end=1705&amp;autoplay=1</v>
      </c>
      <c r="R138" s="159" t="s">
        <v>63</v>
      </c>
      <c r="S138" s="159" t="s">
        <v>63</v>
      </c>
      <c r="T138" s="159" t="s">
        <v>63</v>
      </c>
      <c r="U138" s="148"/>
      <c r="V138" s="149"/>
      <c r="W138" s="167" t="s">
        <v>64</v>
      </c>
      <c r="X138" s="151"/>
      <c r="Y138" s="44"/>
      <c r="Z138" s="63" t="s">
        <v>1231</v>
      </c>
      <c r="AA138" s="44"/>
      <c r="AB138" s="44"/>
      <c r="AC138" s="152"/>
      <c r="AD138" s="152"/>
      <c r="AE138" s="152"/>
      <c r="AF138" s="152"/>
      <c r="AG138" s="152"/>
      <c r="AH138" s="44"/>
      <c r="AI138" s="44"/>
      <c r="AJ138" s="44"/>
      <c r="AK138" s="44"/>
      <c r="AL138" s="44"/>
      <c r="AM138" s="44"/>
      <c r="AN138" s="44"/>
    </row>
    <row r="139" spans="1:40">
      <c r="A139" s="63">
        <v>128.04</v>
      </c>
      <c r="B139" s="176" t="s">
        <v>155</v>
      </c>
      <c r="C139" s="170"/>
      <c r="D139" s="63" t="s">
        <v>56</v>
      </c>
      <c r="E139" s="44"/>
      <c r="F139" s="43"/>
      <c r="G139" s="63" t="s">
        <v>1240</v>
      </c>
      <c r="H139" s="58" t="s">
        <v>1241</v>
      </c>
      <c r="I139" s="44"/>
      <c r="J139" s="44"/>
      <c r="K139" s="143"/>
      <c r="L139" s="144"/>
      <c r="M139" s="193">
        <v>1.9814814814814816E-2</v>
      </c>
      <c r="N139" s="193">
        <v>3.0023148148148149E-2</v>
      </c>
      <c r="O139" s="189">
        <f t="shared" si="20"/>
        <v>1.0208333333333333E-2</v>
      </c>
      <c r="P139" s="191">
        <v>43054</v>
      </c>
      <c r="Q139" s="153" t="str">
        <f t="shared" ca="1" si="0"/>
        <v>https://www.youtube.com/embed/JErwMUETzvU?start=1712&amp;end=2594&amp;autoplay=1</v>
      </c>
      <c r="R139" s="159" t="s">
        <v>63</v>
      </c>
      <c r="S139" s="159" t="s">
        <v>63</v>
      </c>
      <c r="T139" s="159" t="s">
        <v>63</v>
      </c>
      <c r="U139" s="148"/>
      <c r="V139" s="149"/>
      <c r="W139" s="167" t="s">
        <v>64</v>
      </c>
      <c r="X139" s="151"/>
      <c r="Y139" s="44"/>
      <c r="Z139" s="63" t="s">
        <v>1231</v>
      </c>
      <c r="AA139" s="44"/>
      <c r="AB139" s="44"/>
      <c r="AC139" s="152"/>
      <c r="AD139" s="152"/>
      <c r="AE139" s="152"/>
      <c r="AF139" s="152"/>
      <c r="AG139" s="152"/>
      <c r="AH139" s="44"/>
      <c r="AI139" s="44"/>
      <c r="AJ139" s="44"/>
      <c r="AK139" s="44"/>
      <c r="AL139" s="44"/>
      <c r="AM139" s="44"/>
      <c r="AN139" s="44"/>
    </row>
    <row r="140" spans="1:40">
      <c r="A140" s="63">
        <v>128.05000000000001</v>
      </c>
      <c r="B140" s="176" t="s">
        <v>155</v>
      </c>
      <c r="C140" s="170"/>
      <c r="D140" s="63" t="s">
        <v>56</v>
      </c>
      <c r="E140" s="44"/>
      <c r="F140" s="43"/>
      <c r="G140" s="63" t="s">
        <v>1242</v>
      </c>
      <c r="H140" s="58" t="s">
        <v>1243</v>
      </c>
      <c r="I140" s="44"/>
      <c r="J140" s="44"/>
      <c r="K140" s="143"/>
      <c r="L140" s="144"/>
      <c r="M140" s="193">
        <v>3.0034722222222223E-2</v>
      </c>
      <c r="N140" s="193">
        <v>3.3136574074074075E-2</v>
      </c>
      <c r="O140" s="189">
        <f t="shared" si="20"/>
        <v>3.1018518518518522E-3</v>
      </c>
      <c r="P140" s="191">
        <v>43054</v>
      </c>
      <c r="Q140" s="153" t="str">
        <f t="shared" ca="1" si="0"/>
        <v>https://www.youtube.com/embed/JErwMUETzvU?start=2595&amp;end=2863&amp;autoplay=1</v>
      </c>
      <c r="R140" s="159" t="s">
        <v>63</v>
      </c>
      <c r="S140" s="159" t="s">
        <v>63</v>
      </c>
      <c r="T140" s="159" t="s">
        <v>63</v>
      </c>
      <c r="U140" s="148"/>
      <c r="V140" s="149"/>
      <c r="W140" s="167" t="s">
        <v>64</v>
      </c>
      <c r="X140" s="151"/>
      <c r="Y140" s="44"/>
      <c r="Z140" s="63" t="s">
        <v>1231</v>
      </c>
      <c r="AA140" s="44"/>
      <c r="AB140" s="44"/>
      <c r="AC140" s="152"/>
      <c r="AD140" s="152"/>
      <c r="AE140" s="152"/>
      <c r="AF140" s="152"/>
      <c r="AG140" s="152"/>
      <c r="AH140" s="44"/>
      <c r="AI140" s="44"/>
      <c r="AJ140" s="44"/>
      <c r="AK140" s="44"/>
      <c r="AL140" s="44"/>
      <c r="AM140" s="44"/>
      <c r="AN140" s="44"/>
    </row>
    <row r="141" spans="1:40">
      <c r="A141" s="44">
        <v>129</v>
      </c>
      <c r="B141" s="176" t="s">
        <v>155</v>
      </c>
      <c r="C141" s="170"/>
      <c r="D141" s="63" t="s">
        <v>56</v>
      </c>
      <c r="E141" s="44" t="s">
        <v>683</v>
      </c>
      <c r="F141" s="43" t="s">
        <v>684</v>
      </c>
      <c r="G141" s="44"/>
      <c r="H141" s="45"/>
      <c r="I141" s="44"/>
      <c r="J141" s="44">
        <f>19*1000</f>
        <v>19000</v>
      </c>
      <c r="K141" s="143">
        <v>1.1620370370370371E-2</v>
      </c>
      <c r="L141" s="144" t="s">
        <v>286</v>
      </c>
      <c r="M141" s="189"/>
      <c r="N141" s="189"/>
      <c r="O141" s="189">
        <f t="shared" si="20"/>
        <v>0</v>
      </c>
      <c r="P141" s="191">
        <v>43046</v>
      </c>
      <c r="Q141" s="45" t="str">
        <f t="shared" ca="1" si="0"/>
        <v/>
      </c>
      <c r="R141" s="169"/>
      <c r="S141" s="169"/>
      <c r="T141" s="169"/>
      <c r="U141" s="170"/>
      <c r="V141" s="171"/>
      <c r="W141" s="172"/>
      <c r="X141" s="151"/>
      <c r="Y141" s="44"/>
      <c r="Z141" s="44"/>
      <c r="AA141" s="44"/>
      <c r="AB141" s="44"/>
      <c r="AC141" s="152"/>
      <c r="AD141" s="152"/>
      <c r="AE141" s="152"/>
      <c r="AF141" s="152"/>
      <c r="AG141" s="152"/>
      <c r="AH141" s="44"/>
      <c r="AI141" s="44"/>
      <c r="AJ141" s="44"/>
      <c r="AK141" s="44"/>
      <c r="AL141" s="44"/>
      <c r="AM141" s="44"/>
      <c r="AN141" s="44"/>
    </row>
    <row r="142" spans="1:40">
      <c r="A142" s="63">
        <v>129.01</v>
      </c>
      <c r="B142" s="176" t="s">
        <v>155</v>
      </c>
      <c r="C142" s="170"/>
      <c r="D142" s="63" t="s">
        <v>56</v>
      </c>
      <c r="E142" s="44"/>
      <c r="F142" s="43"/>
      <c r="G142" s="63" t="s">
        <v>1248</v>
      </c>
      <c r="H142" s="58" t="s">
        <v>1249</v>
      </c>
      <c r="I142" s="44"/>
      <c r="J142" s="44"/>
      <c r="K142" s="143"/>
      <c r="L142" s="144"/>
      <c r="M142" s="193">
        <v>2.8935185185185184E-4</v>
      </c>
      <c r="N142" s="193">
        <v>8.3796296296296292E-3</v>
      </c>
      <c r="O142" s="189">
        <f t="shared" si="20"/>
        <v>8.0902777777777778E-3</v>
      </c>
      <c r="P142" s="191">
        <v>43046</v>
      </c>
      <c r="Q142" s="153" t="str">
        <f t="shared" ca="1" si="0"/>
        <v>https://www.youtube.com/embed/SS0UQNsxhus?start=25&amp;end=724&amp;autoplay=1</v>
      </c>
      <c r="R142" s="159" t="s">
        <v>63</v>
      </c>
      <c r="S142" s="159" t="s">
        <v>131</v>
      </c>
      <c r="T142" s="159" t="s">
        <v>63</v>
      </c>
      <c r="U142" s="148"/>
      <c r="V142" s="149"/>
      <c r="W142" s="167" t="s">
        <v>64</v>
      </c>
      <c r="X142" s="151"/>
      <c r="Y142" s="44"/>
      <c r="Z142" s="63" t="s">
        <v>1250</v>
      </c>
      <c r="AA142" s="44"/>
      <c r="AB142" s="44"/>
      <c r="AC142" s="152"/>
      <c r="AD142" s="152"/>
      <c r="AE142" s="152"/>
      <c r="AF142" s="152"/>
      <c r="AG142" s="152"/>
      <c r="AH142" s="44"/>
      <c r="AI142" s="44"/>
      <c r="AJ142" s="44"/>
      <c r="AK142" s="44"/>
      <c r="AL142" s="44"/>
      <c r="AM142" s="44"/>
      <c r="AN142" s="44"/>
    </row>
    <row r="143" spans="1:40">
      <c r="A143" s="63">
        <v>129.02000000000001</v>
      </c>
      <c r="B143" s="176" t="s">
        <v>155</v>
      </c>
      <c r="C143" s="170"/>
      <c r="D143" s="63" t="s">
        <v>56</v>
      </c>
      <c r="E143" s="44"/>
      <c r="F143" s="43"/>
      <c r="G143" s="63" t="s">
        <v>1251</v>
      </c>
      <c r="H143" s="58" t="s">
        <v>1252</v>
      </c>
      <c r="I143" s="44"/>
      <c r="J143" s="44"/>
      <c r="K143" s="143"/>
      <c r="L143" s="144"/>
      <c r="M143" s="193">
        <v>8.3796296296296292E-3</v>
      </c>
      <c r="N143" s="193">
        <v>1.1273148148148148E-2</v>
      </c>
      <c r="O143" s="189">
        <f t="shared" si="20"/>
        <v>2.8935185185185192E-3</v>
      </c>
      <c r="P143" s="191">
        <v>43046</v>
      </c>
      <c r="Q143" s="153" t="str">
        <f t="shared" ca="1" si="0"/>
        <v>https://www.youtube.com/embed/SS0UQNsxhus?start=724&amp;end=974&amp;autoplay=1</v>
      </c>
      <c r="R143" s="159" t="s">
        <v>63</v>
      </c>
      <c r="S143" s="159" t="s">
        <v>131</v>
      </c>
      <c r="T143" s="159" t="s">
        <v>63</v>
      </c>
      <c r="U143" s="148"/>
      <c r="V143" s="149"/>
      <c r="W143" s="167" t="s">
        <v>64</v>
      </c>
      <c r="X143" s="151"/>
      <c r="Y143" s="44"/>
      <c r="Z143" s="44"/>
      <c r="AA143" s="44"/>
      <c r="AB143" s="44"/>
      <c r="AC143" s="152"/>
      <c r="AD143" s="152"/>
      <c r="AE143" s="152"/>
      <c r="AF143" s="152"/>
      <c r="AG143" s="152"/>
      <c r="AH143" s="44"/>
      <c r="AI143" s="44"/>
      <c r="AJ143" s="44"/>
      <c r="AK143" s="44"/>
      <c r="AL143" s="44"/>
      <c r="AM143" s="44"/>
      <c r="AN143" s="44"/>
    </row>
    <row r="144" spans="1:40">
      <c r="A144" s="44">
        <v>130</v>
      </c>
      <c r="B144" s="176" t="s">
        <v>155</v>
      </c>
      <c r="C144" s="170"/>
      <c r="D144" s="63" t="s">
        <v>56</v>
      </c>
      <c r="E144" s="44" t="s">
        <v>686</v>
      </c>
      <c r="F144" s="43" t="s">
        <v>687</v>
      </c>
      <c r="G144" s="44"/>
      <c r="H144" s="45"/>
      <c r="I144" s="44"/>
      <c r="J144" s="44">
        <f>651</f>
        <v>651</v>
      </c>
      <c r="K144" s="143">
        <v>3.9814814814814817E-3</v>
      </c>
      <c r="L144" s="144" t="s">
        <v>286</v>
      </c>
      <c r="M144" s="189"/>
      <c r="N144" s="189"/>
      <c r="O144" s="189">
        <f t="shared" si="20"/>
        <v>0</v>
      </c>
      <c r="P144" s="177">
        <v>43050</v>
      </c>
      <c r="Q144" s="45" t="str">
        <f t="shared" ca="1" si="0"/>
        <v/>
      </c>
      <c r="R144" s="169"/>
      <c r="S144" s="169"/>
      <c r="T144" s="169"/>
      <c r="U144" s="170"/>
      <c r="V144" s="171"/>
      <c r="W144" s="172"/>
      <c r="X144" s="151"/>
      <c r="Y144" s="44"/>
      <c r="Z144" s="44"/>
      <c r="AA144" s="44"/>
      <c r="AB144" s="44"/>
      <c r="AC144" s="152"/>
      <c r="AD144" s="152"/>
      <c r="AE144" s="152"/>
      <c r="AF144" s="152"/>
      <c r="AG144" s="152"/>
      <c r="AH144" s="44"/>
      <c r="AI144" s="44"/>
      <c r="AJ144" s="44"/>
      <c r="AK144" s="44"/>
      <c r="AL144" s="44"/>
      <c r="AM144" s="44"/>
      <c r="AN144" s="44"/>
    </row>
    <row r="145" spans="1:40">
      <c r="A145" s="63">
        <v>130.01</v>
      </c>
      <c r="B145" s="176" t="s">
        <v>155</v>
      </c>
      <c r="C145" s="170"/>
      <c r="D145" s="63" t="s">
        <v>56</v>
      </c>
      <c r="E145" s="44"/>
      <c r="F145" s="43"/>
      <c r="G145" s="63" t="s">
        <v>1257</v>
      </c>
      <c r="H145" s="58" t="s">
        <v>1258</v>
      </c>
      <c r="I145" s="44"/>
      <c r="J145" s="44"/>
      <c r="K145" s="143"/>
      <c r="L145" s="144"/>
      <c r="M145" s="193">
        <v>0</v>
      </c>
      <c r="N145" s="143">
        <v>3.9814814814814817E-3</v>
      </c>
      <c r="O145" s="143">
        <f t="shared" si="20"/>
        <v>3.9814814814814817E-3</v>
      </c>
      <c r="P145" s="177">
        <v>43050</v>
      </c>
      <c r="Q145" s="153" t="str">
        <f t="shared" ca="1" si="0"/>
        <v>https://www.youtube.com/embed/g-xyM5pVESg?start=0&amp;end=344&amp;autoplay=1</v>
      </c>
      <c r="R145" s="159" t="s">
        <v>63</v>
      </c>
      <c r="S145" s="159" t="s">
        <v>63</v>
      </c>
      <c r="T145" s="159" t="s">
        <v>63</v>
      </c>
      <c r="U145" s="148"/>
      <c r="V145" s="149"/>
      <c r="W145" s="167" t="s">
        <v>151</v>
      </c>
      <c r="X145" s="151"/>
      <c r="Y145" s="44"/>
      <c r="Z145" s="63" t="s">
        <v>1261</v>
      </c>
      <c r="AA145" s="44"/>
      <c r="AB145" s="44"/>
      <c r="AC145" s="152"/>
      <c r="AD145" s="152"/>
      <c r="AE145" s="152"/>
      <c r="AF145" s="152"/>
      <c r="AG145" s="152"/>
      <c r="AH145" s="44"/>
      <c r="AI145" s="44"/>
      <c r="AJ145" s="44"/>
      <c r="AK145" s="44"/>
      <c r="AL145" s="44"/>
      <c r="AM145" s="44"/>
      <c r="AN145" s="44"/>
    </row>
    <row r="146" spans="1:40">
      <c r="A146" s="44">
        <v>133</v>
      </c>
      <c r="B146" s="176" t="s">
        <v>155</v>
      </c>
      <c r="C146" s="170"/>
      <c r="D146" s="63" t="s">
        <v>56</v>
      </c>
      <c r="E146" s="44" t="s">
        <v>696</v>
      </c>
      <c r="F146" s="43" t="s">
        <v>697</v>
      </c>
      <c r="G146" s="44"/>
      <c r="H146" s="45"/>
      <c r="I146" s="44"/>
      <c r="J146" s="44">
        <f>1.5*1000</f>
        <v>1500</v>
      </c>
      <c r="K146" s="143">
        <v>2.0995370370370373E-2</v>
      </c>
      <c r="L146" s="144" t="s">
        <v>286</v>
      </c>
      <c r="M146" s="189"/>
      <c r="N146" s="189"/>
      <c r="O146" s="189">
        <f t="shared" si="20"/>
        <v>0</v>
      </c>
      <c r="P146" s="177">
        <v>43050</v>
      </c>
      <c r="Q146" s="45" t="str">
        <f t="shared" ca="1" si="0"/>
        <v/>
      </c>
      <c r="R146" s="169"/>
      <c r="S146" s="169"/>
      <c r="T146" s="169"/>
      <c r="U146" s="170"/>
      <c r="V146" s="171"/>
      <c r="W146" s="172"/>
      <c r="X146" s="151"/>
      <c r="Y146" s="44"/>
      <c r="Z146" s="44"/>
      <c r="AA146" s="44"/>
      <c r="AB146" s="44"/>
      <c r="AC146" s="152"/>
      <c r="AD146" s="152"/>
      <c r="AE146" s="152"/>
      <c r="AF146" s="152"/>
      <c r="AG146" s="152"/>
      <c r="AH146" s="44"/>
      <c r="AI146" s="44"/>
      <c r="AJ146" s="44"/>
      <c r="AK146" s="44"/>
      <c r="AL146" s="44"/>
      <c r="AM146" s="44"/>
      <c r="AN146" s="44"/>
    </row>
    <row r="147" spans="1:40">
      <c r="A147" s="63">
        <v>133.01</v>
      </c>
      <c r="B147" s="176" t="s">
        <v>155</v>
      </c>
      <c r="C147" s="170"/>
      <c r="D147" s="63" t="s">
        <v>56</v>
      </c>
      <c r="E147" s="44"/>
      <c r="F147" s="188"/>
      <c r="G147" s="162" t="s">
        <v>1264</v>
      </c>
      <c r="H147" s="63" t="s">
        <v>1265</v>
      </c>
      <c r="I147" s="44"/>
      <c r="J147" s="44"/>
      <c r="K147" s="143"/>
      <c r="L147" s="144"/>
      <c r="M147" s="193">
        <v>8.1018518518518516E-5</v>
      </c>
      <c r="N147" s="193">
        <v>2.0983796296296296E-2</v>
      </c>
      <c r="O147" s="189">
        <f t="shared" si="20"/>
        <v>2.0902777777777777E-2</v>
      </c>
      <c r="P147" s="177">
        <v>43050</v>
      </c>
      <c r="Q147" s="153" t="str">
        <f t="shared" ca="1" si="0"/>
        <v>https://www.youtube.com/embed/kQP4pUPNjqs?start=7&amp;end=1813&amp;autoplay=1</v>
      </c>
      <c r="R147" s="159" t="s">
        <v>63</v>
      </c>
      <c r="S147" s="159" t="s">
        <v>131</v>
      </c>
      <c r="T147" s="159" t="s">
        <v>63</v>
      </c>
      <c r="U147" s="148"/>
      <c r="V147" s="149"/>
      <c r="W147" s="167" t="s">
        <v>64</v>
      </c>
      <c r="X147" s="151"/>
      <c r="Y147" s="44"/>
      <c r="Z147" s="63" t="s">
        <v>1268</v>
      </c>
      <c r="AA147" s="44"/>
      <c r="AB147" s="44"/>
      <c r="AC147" s="152"/>
      <c r="AD147" s="152"/>
      <c r="AE147" s="152"/>
      <c r="AF147" s="152"/>
      <c r="AG147" s="152"/>
      <c r="AH147" s="44"/>
      <c r="AI147" s="44"/>
      <c r="AJ147" s="44"/>
      <c r="AK147" s="44"/>
      <c r="AL147" s="44"/>
      <c r="AM147" s="44"/>
      <c r="AN147" s="44"/>
    </row>
    <row r="148" spans="1:40">
      <c r="A148" s="44">
        <v>134</v>
      </c>
      <c r="B148" s="176" t="s">
        <v>155</v>
      </c>
      <c r="C148" s="170"/>
      <c r="D148" s="63" t="s">
        <v>56</v>
      </c>
      <c r="E148" s="44" t="s">
        <v>699</v>
      </c>
      <c r="F148" s="43" t="s">
        <v>700</v>
      </c>
      <c r="G148" s="44"/>
      <c r="H148" s="45"/>
      <c r="I148" s="44"/>
      <c r="J148" s="44">
        <f>919</f>
        <v>919</v>
      </c>
      <c r="K148" s="143">
        <v>3.9479166666666669E-2</v>
      </c>
      <c r="L148" s="144" t="s">
        <v>286</v>
      </c>
      <c r="M148" s="189"/>
      <c r="N148" s="189"/>
      <c r="O148" s="189">
        <f t="shared" si="20"/>
        <v>0</v>
      </c>
      <c r="P148" s="177">
        <v>43052</v>
      </c>
      <c r="Q148" s="45" t="str">
        <f t="shared" ca="1" si="0"/>
        <v/>
      </c>
      <c r="R148" s="169"/>
      <c r="S148" s="169"/>
      <c r="T148" s="169"/>
      <c r="U148" s="170"/>
      <c r="V148" s="171"/>
      <c r="W148" s="172"/>
      <c r="X148" s="151"/>
      <c r="Y148" s="44"/>
      <c r="Z148" s="44"/>
      <c r="AA148" s="44"/>
      <c r="AB148" s="44"/>
      <c r="AC148" s="152"/>
      <c r="AD148" s="152"/>
      <c r="AE148" s="152"/>
      <c r="AF148" s="152"/>
      <c r="AG148" s="152"/>
      <c r="AH148" s="44"/>
      <c r="AI148" s="44"/>
      <c r="AJ148" s="44"/>
      <c r="AK148" s="44"/>
      <c r="AL148" s="44"/>
      <c r="AM148" s="44"/>
      <c r="AN148" s="44"/>
    </row>
    <row r="149" spans="1:40">
      <c r="A149" s="63">
        <v>134.01</v>
      </c>
      <c r="B149" s="176" t="s">
        <v>155</v>
      </c>
      <c r="C149" s="170"/>
      <c r="D149" s="63" t="s">
        <v>56</v>
      </c>
      <c r="E149" s="44"/>
      <c r="F149" s="43"/>
      <c r="G149" s="63" t="s">
        <v>1269</v>
      </c>
      <c r="H149" s="58" t="s">
        <v>1270</v>
      </c>
      <c r="I149" s="44"/>
      <c r="J149" s="44"/>
      <c r="K149" s="143"/>
      <c r="L149" s="144"/>
      <c r="M149" s="193">
        <v>0</v>
      </c>
      <c r="N149" s="193">
        <v>1.4849537037037038E-2</v>
      </c>
      <c r="O149" s="189">
        <f t="shared" si="20"/>
        <v>1.4849537037037038E-2</v>
      </c>
      <c r="P149" s="177">
        <v>43052</v>
      </c>
      <c r="Q149" s="153" t="str">
        <f t="shared" ca="1" si="0"/>
        <v>https://www.youtube.com/embed/hWBzG7eVqVg?start=0&amp;end=1283&amp;autoplay=1</v>
      </c>
      <c r="R149" s="176" t="s">
        <v>63</v>
      </c>
      <c r="S149" s="176" t="s">
        <v>131</v>
      </c>
      <c r="T149" s="176" t="s">
        <v>63</v>
      </c>
      <c r="U149" s="170"/>
      <c r="V149" s="171"/>
      <c r="W149" s="175" t="s">
        <v>64</v>
      </c>
      <c r="X149" s="151"/>
      <c r="Y149" s="44"/>
      <c r="Z149" s="44"/>
      <c r="AA149" s="44"/>
      <c r="AB149" s="44"/>
      <c r="AC149" s="152"/>
      <c r="AD149" s="152"/>
      <c r="AE149" s="152"/>
      <c r="AF149" s="152"/>
      <c r="AG149" s="152"/>
      <c r="AH149" s="44"/>
      <c r="AI149" s="44"/>
      <c r="AJ149" s="44"/>
      <c r="AK149" s="44"/>
      <c r="AL149" s="44"/>
      <c r="AM149" s="44"/>
      <c r="AN149" s="44"/>
    </row>
    <row r="150" spans="1:40">
      <c r="A150" s="63">
        <v>134.02000000000001</v>
      </c>
      <c r="B150" s="176" t="s">
        <v>155</v>
      </c>
      <c r="C150" s="170"/>
      <c r="D150" s="63" t="s">
        <v>56</v>
      </c>
      <c r="E150" s="44"/>
      <c r="F150" s="43"/>
      <c r="G150" s="63" t="s">
        <v>1273</v>
      </c>
      <c r="H150" s="58" t="s">
        <v>1274</v>
      </c>
      <c r="I150" s="44"/>
      <c r="J150" s="44"/>
      <c r="K150" s="143"/>
      <c r="L150" s="144"/>
      <c r="M150" s="193">
        <v>1.4849537037037038E-2</v>
      </c>
      <c r="N150" s="193">
        <v>2.2222222222222223E-2</v>
      </c>
      <c r="O150" s="189">
        <f t="shared" si="20"/>
        <v>7.3726851851851852E-3</v>
      </c>
      <c r="P150" s="177">
        <v>43052</v>
      </c>
      <c r="Q150" s="153" t="str">
        <f t="shared" ca="1" si="0"/>
        <v>https://www.youtube.com/embed/hWBzG7eVqVg?start=1283&amp;end=1920&amp;autoplay=1</v>
      </c>
      <c r="R150" s="159" t="s">
        <v>63</v>
      </c>
      <c r="S150" s="159" t="s">
        <v>131</v>
      </c>
      <c r="T150" s="159" t="s">
        <v>63</v>
      </c>
      <c r="U150" s="148"/>
      <c r="V150" s="149"/>
      <c r="W150" s="167" t="s">
        <v>64</v>
      </c>
      <c r="X150" s="151"/>
      <c r="Y150" s="44"/>
      <c r="Z150" s="63" t="s">
        <v>1268</v>
      </c>
      <c r="AA150" s="44"/>
      <c r="AB150" s="44"/>
      <c r="AC150" s="152"/>
      <c r="AD150" s="152"/>
      <c r="AE150" s="152"/>
      <c r="AF150" s="152"/>
      <c r="AG150" s="152"/>
      <c r="AH150" s="44"/>
      <c r="AI150" s="44"/>
      <c r="AJ150" s="44"/>
      <c r="AK150" s="44"/>
      <c r="AL150" s="44"/>
      <c r="AM150" s="44"/>
      <c r="AN150" s="44"/>
    </row>
    <row r="151" spans="1:40">
      <c r="A151" s="63">
        <v>134.03</v>
      </c>
      <c r="B151" s="176" t="s">
        <v>155</v>
      </c>
      <c r="C151" s="170"/>
      <c r="D151" s="63" t="s">
        <v>56</v>
      </c>
      <c r="E151" s="44"/>
      <c r="F151" s="43"/>
      <c r="G151" s="63" t="s">
        <v>1277</v>
      </c>
      <c r="H151" s="58" t="s">
        <v>1278</v>
      </c>
      <c r="I151" s="44"/>
      <c r="J151" s="44"/>
      <c r="K151" s="143"/>
      <c r="L151" s="144"/>
      <c r="M151" s="193">
        <v>2.2222222222222223E-2</v>
      </c>
      <c r="N151" s="193">
        <v>3.2870370370370369E-2</v>
      </c>
      <c r="O151" s="189">
        <f t="shared" si="20"/>
        <v>1.0648148148148146E-2</v>
      </c>
      <c r="P151" s="177">
        <v>43052</v>
      </c>
      <c r="Q151" s="153" t="str">
        <f t="shared" ca="1" si="0"/>
        <v>https://www.youtube.com/embed/hWBzG7eVqVg?start=1920&amp;end=2840&amp;autoplay=1</v>
      </c>
      <c r="R151" s="159" t="s">
        <v>63</v>
      </c>
      <c r="S151" s="159" t="s">
        <v>131</v>
      </c>
      <c r="T151" s="159" t="s">
        <v>63</v>
      </c>
      <c r="U151" s="148"/>
      <c r="V151" s="149"/>
      <c r="W151" s="167" t="s">
        <v>64</v>
      </c>
      <c r="X151" s="151"/>
      <c r="Y151" s="44"/>
      <c r="Z151" s="44"/>
      <c r="AA151" s="44"/>
      <c r="AB151" s="44"/>
      <c r="AC151" s="152"/>
      <c r="AD151" s="152"/>
      <c r="AE151" s="152"/>
      <c r="AF151" s="152"/>
      <c r="AG151" s="152"/>
      <c r="AH151" s="44"/>
      <c r="AI151" s="44"/>
      <c r="AJ151" s="44"/>
      <c r="AK151" s="44"/>
      <c r="AL151" s="44"/>
      <c r="AM151" s="44"/>
      <c r="AN151" s="44"/>
    </row>
    <row r="152" spans="1:40">
      <c r="A152" s="63">
        <v>134.04</v>
      </c>
      <c r="B152" s="176" t="s">
        <v>155</v>
      </c>
      <c r="C152" s="170"/>
      <c r="D152" s="63" t="s">
        <v>56</v>
      </c>
      <c r="E152" s="44"/>
      <c r="F152" s="43"/>
      <c r="G152" s="63" t="s">
        <v>1279</v>
      </c>
      <c r="H152" s="58" t="s">
        <v>1280</v>
      </c>
      <c r="I152" s="44"/>
      <c r="J152" s="44"/>
      <c r="K152" s="143"/>
      <c r="L152" s="144"/>
      <c r="M152" s="193">
        <v>3.2870370370370369E-2</v>
      </c>
      <c r="N152" s="193">
        <v>3.5046296296296298E-2</v>
      </c>
      <c r="O152" s="189">
        <f t="shared" si="20"/>
        <v>2.1759259259259284E-3</v>
      </c>
      <c r="P152" s="177">
        <v>43052</v>
      </c>
      <c r="Q152" s="153" t="str">
        <f t="shared" ca="1" si="0"/>
        <v>https://www.youtube.com/embed/hWBzG7eVqVg?start=2840&amp;end=3028&amp;autoplay=1</v>
      </c>
      <c r="R152" s="159" t="s">
        <v>63</v>
      </c>
      <c r="S152" s="159" t="s">
        <v>131</v>
      </c>
      <c r="T152" s="159" t="s">
        <v>63</v>
      </c>
      <c r="U152" s="148"/>
      <c r="V152" s="149"/>
      <c r="W152" s="167" t="s">
        <v>64</v>
      </c>
      <c r="X152" s="151"/>
      <c r="Y152" s="44"/>
      <c r="Z152" s="44"/>
      <c r="AA152" s="44"/>
      <c r="AB152" s="44"/>
      <c r="AC152" s="152"/>
      <c r="AD152" s="152"/>
      <c r="AE152" s="152"/>
      <c r="AF152" s="152"/>
      <c r="AG152" s="152"/>
      <c r="AH152" s="44"/>
      <c r="AI152" s="44"/>
      <c r="AJ152" s="44"/>
      <c r="AK152" s="44"/>
      <c r="AL152" s="44"/>
      <c r="AM152" s="44"/>
      <c r="AN152" s="44"/>
    </row>
    <row r="153" spans="1:40">
      <c r="A153" s="63">
        <v>134.05000000000001</v>
      </c>
      <c r="B153" s="176" t="s">
        <v>155</v>
      </c>
      <c r="C153" s="170"/>
      <c r="D153" s="63" t="s">
        <v>56</v>
      </c>
      <c r="E153" s="44"/>
      <c r="F153" s="43"/>
      <c r="G153" s="63" t="s">
        <v>1284</v>
      </c>
      <c r="H153" s="58" t="s">
        <v>1285</v>
      </c>
      <c r="I153" s="44"/>
      <c r="J153" s="44"/>
      <c r="K153" s="143"/>
      <c r="L153" s="144"/>
      <c r="M153" s="193">
        <v>3.5127314814814813E-2</v>
      </c>
      <c r="N153" s="193">
        <v>3.9212962962962963E-2</v>
      </c>
      <c r="O153" s="189">
        <f t="shared" si="20"/>
        <v>4.0856481481481507E-3</v>
      </c>
      <c r="P153" s="177">
        <v>43052</v>
      </c>
      <c r="Q153" s="153" t="str">
        <f t="shared" ca="1" si="0"/>
        <v>https://www.youtube.com/embed/hWBzG7eVqVg?start=3035&amp;end=3388&amp;autoplay=1</v>
      </c>
      <c r="R153" s="159" t="s">
        <v>63</v>
      </c>
      <c r="S153" s="159" t="s">
        <v>131</v>
      </c>
      <c r="T153" s="159" t="s">
        <v>63</v>
      </c>
      <c r="U153" s="148"/>
      <c r="V153" s="171"/>
      <c r="W153" s="175" t="s">
        <v>64</v>
      </c>
      <c r="X153" s="151"/>
      <c r="Y153" s="44"/>
      <c r="Z153" s="44"/>
      <c r="AA153" s="44"/>
      <c r="AB153" s="44"/>
      <c r="AC153" s="152"/>
      <c r="AD153" s="152"/>
      <c r="AE153" s="152"/>
      <c r="AF153" s="152"/>
      <c r="AG153" s="152"/>
      <c r="AH153" s="44"/>
      <c r="AI153" s="44"/>
      <c r="AJ153" s="44"/>
      <c r="AK153" s="44"/>
      <c r="AL153" s="44"/>
      <c r="AM153" s="44"/>
      <c r="AN153" s="44"/>
    </row>
    <row r="154" spans="1:40">
      <c r="A154" s="44">
        <v>135</v>
      </c>
      <c r="B154" s="176" t="s">
        <v>155</v>
      </c>
      <c r="C154" s="170"/>
      <c r="D154" s="63" t="s">
        <v>56</v>
      </c>
      <c r="E154" s="44" t="s">
        <v>703</v>
      </c>
      <c r="F154" s="43" t="s">
        <v>704</v>
      </c>
      <c r="G154" s="44"/>
      <c r="H154" s="45"/>
      <c r="I154" s="44"/>
      <c r="J154" s="44">
        <f>1*1000</f>
        <v>1000</v>
      </c>
      <c r="K154" s="143">
        <v>1.2499999999999999E-2</v>
      </c>
      <c r="L154" s="144" t="s">
        <v>286</v>
      </c>
      <c r="M154" s="189"/>
      <c r="N154" s="189"/>
      <c r="O154" s="189">
        <f t="shared" si="20"/>
        <v>0</v>
      </c>
      <c r="P154" s="177">
        <v>43052</v>
      </c>
      <c r="Q154" s="45" t="str">
        <f t="shared" ca="1" si="0"/>
        <v/>
      </c>
      <c r="R154" s="169"/>
      <c r="S154" s="169"/>
      <c r="T154" s="169"/>
      <c r="U154" s="170"/>
      <c r="V154" s="171"/>
      <c r="W154" s="172"/>
      <c r="X154" s="151"/>
      <c r="Y154" s="44"/>
      <c r="Z154" s="44"/>
      <c r="AA154" s="44"/>
      <c r="AB154" s="44"/>
      <c r="AC154" s="152"/>
      <c r="AD154" s="152"/>
      <c r="AE154" s="152"/>
      <c r="AF154" s="152"/>
      <c r="AG154" s="152"/>
      <c r="AH154" s="44"/>
      <c r="AI154" s="44"/>
      <c r="AJ154" s="44"/>
      <c r="AK154" s="44"/>
      <c r="AL154" s="44"/>
      <c r="AM154" s="44"/>
      <c r="AN154" s="44"/>
    </row>
    <row r="155" spans="1:40">
      <c r="A155" s="63">
        <v>135.01</v>
      </c>
      <c r="B155" s="176" t="s">
        <v>155</v>
      </c>
      <c r="C155" s="170"/>
      <c r="D155" s="63" t="s">
        <v>56</v>
      </c>
      <c r="E155" s="44"/>
      <c r="F155" s="43"/>
      <c r="G155" s="63" t="s">
        <v>1288</v>
      </c>
      <c r="H155" s="58" t="s">
        <v>1289</v>
      </c>
      <c r="I155" s="44"/>
      <c r="J155" s="44"/>
      <c r="K155" s="143"/>
      <c r="L155" s="144"/>
      <c r="M155" s="193">
        <v>1.8518518518518518E-4</v>
      </c>
      <c r="N155" s="193">
        <v>1.2488425925925925E-2</v>
      </c>
      <c r="O155" s="189">
        <f t="shared" si="20"/>
        <v>1.230324074074074E-2</v>
      </c>
      <c r="P155" s="177">
        <v>43052</v>
      </c>
      <c r="Q155" s="153" t="str">
        <f t="shared" ca="1" si="0"/>
        <v>https://www.youtube.com/embed/7jIfpSOnmK8?start=16&amp;end=1079&amp;autoplay=1</v>
      </c>
      <c r="R155" s="159" t="s">
        <v>63</v>
      </c>
      <c r="S155" s="159" t="s">
        <v>63</v>
      </c>
      <c r="T155" s="159" t="s">
        <v>63</v>
      </c>
      <c r="U155" s="148"/>
      <c r="V155" s="171"/>
      <c r="W155" s="175" t="s">
        <v>64</v>
      </c>
      <c r="X155" s="151"/>
      <c r="Y155" s="44"/>
      <c r="Z155" s="44"/>
      <c r="AA155" s="44"/>
      <c r="AB155" s="44"/>
      <c r="AC155" s="152"/>
      <c r="AD155" s="152"/>
      <c r="AE155" s="152"/>
      <c r="AF155" s="152"/>
      <c r="AG155" s="152"/>
      <c r="AH155" s="44"/>
      <c r="AI155" s="44"/>
      <c r="AJ155" s="44"/>
      <c r="AK155" s="44"/>
      <c r="AL155" s="44"/>
      <c r="AM155" s="44"/>
      <c r="AN155" s="44"/>
    </row>
    <row r="156" spans="1:40">
      <c r="A156" s="44">
        <v>131</v>
      </c>
      <c r="B156" s="176" t="s">
        <v>155</v>
      </c>
      <c r="C156" s="170"/>
      <c r="D156" s="63" t="s">
        <v>56</v>
      </c>
      <c r="E156" s="44" t="s">
        <v>689</v>
      </c>
      <c r="F156" s="43" t="s">
        <v>690</v>
      </c>
      <c r="G156" s="44"/>
      <c r="H156" s="45"/>
      <c r="I156" s="44"/>
      <c r="J156" s="44">
        <f>667</f>
        <v>667</v>
      </c>
      <c r="K156" s="143">
        <v>3.0092592592592588E-3</v>
      </c>
      <c r="L156" s="144" t="s">
        <v>286</v>
      </c>
      <c r="M156" s="189"/>
      <c r="N156" s="189"/>
      <c r="O156" s="189">
        <f t="shared" si="20"/>
        <v>0</v>
      </c>
      <c r="P156" s="177">
        <v>43061</v>
      </c>
      <c r="Q156" s="45" t="str">
        <f t="shared" ca="1" si="0"/>
        <v/>
      </c>
      <c r="R156" s="169"/>
      <c r="S156" s="169"/>
      <c r="T156" s="169"/>
      <c r="U156" s="170"/>
      <c r="V156" s="171"/>
      <c r="W156" s="172"/>
      <c r="X156" s="151"/>
      <c r="Y156" s="44"/>
      <c r="Z156" s="44"/>
      <c r="AA156" s="44"/>
      <c r="AB156" s="44"/>
      <c r="AC156" s="152"/>
      <c r="AD156" s="152"/>
      <c r="AE156" s="152"/>
      <c r="AF156" s="152"/>
      <c r="AG156" s="152"/>
      <c r="AH156" s="44"/>
      <c r="AI156" s="44"/>
      <c r="AJ156" s="44"/>
      <c r="AK156" s="44"/>
      <c r="AL156" s="44"/>
      <c r="AM156" s="44"/>
      <c r="AN156" s="44"/>
    </row>
    <row r="157" spans="1:40">
      <c r="A157" s="63">
        <v>131.01</v>
      </c>
      <c r="B157" s="176" t="s">
        <v>155</v>
      </c>
      <c r="C157" s="170"/>
      <c r="D157" s="63" t="s">
        <v>56</v>
      </c>
      <c r="E157" s="44"/>
      <c r="F157" s="43"/>
      <c r="G157" s="63" t="s">
        <v>1294</v>
      </c>
      <c r="H157" s="58" t="s">
        <v>1295</v>
      </c>
      <c r="I157" s="44"/>
      <c r="J157" s="44"/>
      <c r="K157" s="143"/>
      <c r="L157" s="144"/>
      <c r="M157" s="193">
        <v>0</v>
      </c>
      <c r="N157" s="143">
        <v>3.0092592592592588E-3</v>
      </c>
      <c r="O157" s="143">
        <f t="shared" si="20"/>
        <v>3.0092592592592588E-3</v>
      </c>
      <c r="P157" s="177">
        <v>43061</v>
      </c>
      <c r="Q157" s="153" t="str">
        <f t="shared" ca="1" si="0"/>
        <v>https://www.youtube.com/embed/vHGejHQUoio?start=0&amp;end=260&amp;autoplay=1</v>
      </c>
      <c r="R157" s="159" t="s">
        <v>63</v>
      </c>
      <c r="S157" s="159" t="s">
        <v>63</v>
      </c>
      <c r="T157" s="159" t="s">
        <v>63</v>
      </c>
      <c r="U157" s="148"/>
      <c r="V157" s="171"/>
      <c r="W157" s="175" t="s">
        <v>64</v>
      </c>
      <c r="X157" s="151"/>
      <c r="Y157" s="88"/>
      <c r="Z157" s="88"/>
      <c r="AA157" s="44"/>
      <c r="AB157" s="44"/>
      <c r="AC157" s="152"/>
      <c r="AD157" s="152"/>
      <c r="AE157" s="152"/>
      <c r="AF157" s="152"/>
      <c r="AG157" s="152"/>
      <c r="AH157" s="44"/>
      <c r="AI157" s="44"/>
      <c r="AJ157" s="44"/>
      <c r="AK157" s="44"/>
      <c r="AL157" s="44"/>
      <c r="AM157" s="44"/>
      <c r="AN157" s="44"/>
    </row>
    <row r="158" spans="1:40">
      <c r="A158" s="44">
        <v>132</v>
      </c>
      <c r="B158" s="176" t="s">
        <v>155</v>
      </c>
      <c r="C158" s="170"/>
      <c r="D158" s="63" t="s">
        <v>56</v>
      </c>
      <c r="E158" s="44" t="s">
        <v>692</v>
      </c>
      <c r="F158" s="43" t="s">
        <v>694</v>
      </c>
      <c r="G158" s="44"/>
      <c r="H158" s="45"/>
      <c r="I158" s="44"/>
      <c r="J158" s="44">
        <f>446</f>
        <v>446</v>
      </c>
      <c r="K158" s="143">
        <v>1.6087962962962963E-3</v>
      </c>
      <c r="L158" s="144" t="s">
        <v>286</v>
      </c>
      <c r="M158" s="189"/>
      <c r="N158" s="189"/>
      <c r="O158" s="189">
        <f t="shared" si="20"/>
        <v>0</v>
      </c>
      <c r="P158" s="177">
        <v>43061</v>
      </c>
      <c r="Q158" s="45" t="str">
        <f t="shared" ca="1" si="0"/>
        <v/>
      </c>
      <c r="R158" s="169"/>
      <c r="S158" s="169"/>
      <c r="T158" s="169"/>
      <c r="U158" s="170"/>
      <c r="V158" s="171"/>
      <c r="W158" s="172"/>
      <c r="X158" s="151"/>
      <c r="Y158" s="44"/>
      <c r="Z158" s="44"/>
      <c r="AA158" s="44"/>
      <c r="AB158" s="44"/>
      <c r="AC158" s="152"/>
      <c r="AD158" s="152"/>
      <c r="AE158" s="152"/>
      <c r="AF158" s="152"/>
      <c r="AG158" s="152"/>
      <c r="AH158" s="44"/>
      <c r="AI158" s="44"/>
      <c r="AJ158" s="44"/>
      <c r="AK158" s="44"/>
      <c r="AL158" s="44"/>
      <c r="AM158" s="44"/>
      <c r="AN158" s="44"/>
    </row>
    <row r="159" spans="1:40">
      <c r="A159" s="63">
        <v>132.01</v>
      </c>
      <c r="B159" s="176" t="s">
        <v>155</v>
      </c>
      <c r="C159" s="170"/>
      <c r="D159" s="63" t="s">
        <v>56</v>
      </c>
      <c r="E159" s="44"/>
      <c r="F159" s="43"/>
      <c r="G159" s="63" t="s">
        <v>1298</v>
      </c>
      <c r="H159" s="58" t="s">
        <v>1299</v>
      </c>
      <c r="I159" s="44"/>
      <c r="J159" s="44"/>
      <c r="K159" s="143"/>
      <c r="L159" s="144"/>
      <c r="M159" s="193">
        <v>0</v>
      </c>
      <c r="N159" s="166">
        <v>1.5972222222222223E-3</v>
      </c>
      <c r="O159" s="143">
        <f t="shared" si="20"/>
        <v>1.5972222222222223E-3</v>
      </c>
      <c r="P159" s="177">
        <v>43061</v>
      </c>
      <c r="Q159" s="153" t="str">
        <f t="shared" ca="1" si="0"/>
        <v>https://www.youtube.com/embed/3f7b_ZE5B1Y?start=0&amp;end=138&amp;autoplay=1</v>
      </c>
      <c r="R159" s="159" t="s">
        <v>63</v>
      </c>
      <c r="S159" s="159" t="s">
        <v>63</v>
      </c>
      <c r="T159" s="159" t="s">
        <v>63</v>
      </c>
      <c r="U159" s="148"/>
      <c r="V159" s="171"/>
      <c r="W159" s="175" t="s">
        <v>64</v>
      </c>
      <c r="X159" s="151"/>
      <c r="Y159" s="44"/>
      <c r="Z159" s="44"/>
      <c r="AA159" s="44"/>
      <c r="AB159" s="44"/>
      <c r="AC159" s="152"/>
      <c r="AD159" s="152"/>
      <c r="AE159" s="152"/>
      <c r="AF159" s="152"/>
      <c r="AG159" s="152"/>
      <c r="AH159" s="44"/>
      <c r="AI159" s="44"/>
      <c r="AJ159" s="44"/>
      <c r="AK159" s="44"/>
      <c r="AL159" s="44"/>
      <c r="AM159" s="44"/>
      <c r="AN159" s="44"/>
    </row>
    <row r="160" spans="1:40">
      <c r="A160" s="44">
        <v>136</v>
      </c>
      <c r="B160" s="176" t="s">
        <v>155</v>
      </c>
      <c r="C160" s="170"/>
      <c r="D160" s="63" t="s">
        <v>56</v>
      </c>
      <c r="E160" s="44" t="s">
        <v>706</v>
      </c>
      <c r="F160" s="43" t="s">
        <v>707</v>
      </c>
      <c r="G160" s="44"/>
      <c r="H160" s="45"/>
      <c r="I160" s="44"/>
      <c r="J160" s="44">
        <f>246</f>
        <v>246</v>
      </c>
      <c r="K160" s="143">
        <v>1.8055555555555557E-3</v>
      </c>
      <c r="L160" s="144" t="s">
        <v>286</v>
      </c>
      <c r="M160" s="189"/>
      <c r="N160" s="189"/>
      <c r="O160" s="189">
        <f t="shared" si="20"/>
        <v>0</v>
      </c>
      <c r="P160" s="177">
        <v>43061</v>
      </c>
      <c r="Q160" s="45" t="str">
        <f t="shared" ca="1" si="0"/>
        <v/>
      </c>
      <c r="R160" s="169"/>
      <c r="S160" s="169"/>
      <c r="T160" s="169"/>
      <c r="U160" s="170"/>
      <c r="V160" s="171"/>
      <c r="W160" s="172"/>
      <c r="X160" s="151"/>
      <c r="Y160" s="44"/>
      <c r="Z160" s="44"/>
      <c r="AA160" s="44"/>
      <c r="AB160" s="44"/>
      <c r="AC160" s="152"/>
      <c r="AD160" s="152"/>
      <c r="AE160" s="152"/>
      <c r="AF160" s="152"/>
      <c r="AG160" s="152"/>
      <c r="AH160" s="44"/>
      <c r="AI160" s="44"/>
      <c r="AJ160" s="44"/>
      <c r="AK160" s="44"/>
      <c r="AL160" s="44"/>
      <c r="AM160" s="44"/>
      <c r="AN160" s="44"/>
    </row>
    <row r="161" spans="1:40">
      <c r="A161" s="42">
        <v>136.01</v>
      </c>
      <c r="B161" s="39" t="s">
        <v>155</v>
      </c>
      <c r="C161" s="40"/>
      <c r="D161" s="42" t="s">
        <v>56</v>
      </c>
      <c r="E161" s="38"/>
      <c r="F161" s="188"/>
      <c r="G161" s="63" t="s">
        <v>1304</v>
      </c>
      <c r="H161" s="58" t="s">
        <v>1305</v>
      </c>
      <c r="I161" s="38"/>
      <c r="J161" s="38"/>
      <c r="K161" s="46"/>
      <c r="L161" s="47"/>
      <c r="M161" s="93">
        <v>0</v>
      </c>
      <c r="N161" s="93">
        <v>1.1226851851851851E-3</v>
      </c>
      <c r="O161" s="189">
        <f t="shared" si="20"/>
        <v>1.1226851851851851E-3</v>
      </c>
      <c r="P161" s="177">
        <v>43061</v>
      </c>
      <c r="Q161" s="153" t="str">
        <f t="shared" ca="1" si="0"/>
        <v>https://www.youtube.com/embed/qd7yTtTb_Fc?start=0&amp;end=97&amp;autoplay=1</v>
      </c>
      <c r="R161" s="159" t="s">
        <v>63</v>
      </c>
      <c r="S161" s="159" t="s">
        <v>63</v>
      </c>
      <c r="T161" s="159" t="s">
        <v>63</v>
      </c>
      <c r="U161" s="148"/>
      <c r="V161" s="171"/>
      <c r="W161" s="175" t="s">
        <v>64</v>
      </c>
      <c r="X161" s="56"/>
      <c r="Y161" s="88"/>
      <c r="Z161" s="88"/>
      <c r="AA161" s="88"/>
      <c r="AB161" s="88"/>
      <c r="AC161" s="152"/>
      <c r="AD161" s="152"/>
      <c r="AE161" s="152"/>
      <c r="AF161" s="152"/>
      <c r="AG161" s="152"/>
      <c r="AH161" s="44"/>
      <c r="AI161" s="44"/>
      <c r="AJ161" s="44"/>
      <c r="AK161" s="44"/>
      <c r="AL161" s="44"/>
      <c r="AM161" s="44"/>
      <c r="AN161" s="44"/>
    </row>
    <row r="162" spans="1:40">
      <c r="A162" s="38">
        <v>126</v>
      </c>
      <c r="B162" s="39" t="s">
        <v>155</v>
      </c>
      <c r="C162" s="40"/>
      <c r="D162" s="42" t="s">
        <v>56</v>
      </c>
      <c r="E162" s="38" t="s">
        <v>672</v>
      </c>
      <c r="F162" s="43" t="s">
        <v>674</v>
      </c>
      <c r="G162" s="44"/>
      <c r="H162" s="45"/>
      <c r="I162" s="38"/>
      <c r="J162" s="38">
        <f>2.1*1000</f>
        <v>2100</v>
      </c>
      <c r="K162" s="46">
        <v>2.6249999999999999E-2</v>
      </c>
      <c r="L162" s="47" t="s">
        <v>286</v>
      </c>
      <c r="M162" s="48"/>
      <c r="N162" s="48"/>
      <c r="O162" s="48">
        <f t="shared" si="20"/>
        <v>0</v>
      </c>
      <c r="P162" s="177">
        <v>43061</v>
      </c>
      <c r="Q162" s="14" t="str">
        <f t="shared" ca="1" si="0"/>
        <v/>
      </c>
      <c r="R162" s="51"/>
      <c r="S162" s="51"/>
      <c r="T162" s="51"/>
      <c r="U162" s="40"/>
      <c r="V162" s="54"/>
      <c r="W162" s="55"/>
      <c r="X162" s="56"/>
      <c r="Y162" s="88"/>
      <c r="Z162" s="88"/>
      <c r="AA162" s="88"/>
      <c r="AB162" s="88"/>
      <c r="AC162" s="152"/>
      <c r="AD162" s="152"/>
      <c r="AE162" s="152"/>
      <c r="AF162" s="152"/>
      <c r="AG162" s="152"/>
      <c r="AH162" s="44"/>
      <c r="AI162" s="44"/>
      <c r="AJ162" s="44"/>
      <c r="AK162" s="44"/>
      <c r="AL162" s="44"/>
      <c r="AM162" s="44"/>
      <c r="AN162" s="44"/>
    </row>
    <row r="163" spans="1:40">
      <c r="A163" s="42">
        <v>126.01</v>
      </c>
      <c r="B163" s="39" t="s">
        <v>155</v>
      </c>
      <c r="C163" s="40"/>
      <c r="D163" s="42" t="s">
        <v>56</v>
      </c>
      <c r="E163" s="38"/>
      <c r="F163" s="43"/>
      <c r="G163" s="63" t="s">
        <v>1310</v>
      </c>
      <c r="H163" s="58" t="s">
        <v>1311</v>
      </c>
      <c r="I163" s="38"/>
      <c r="J163" s="38"/>
      <c r="K163" s="46"/>
      <c r="L163" s="47"/>
      <c r="M163" s="93">
        <v>4.6296296296296294E-5</v>
      </c>
      <c r="N163" s="93">
        <v>3.7152777777777778E-3</v>
      </c>
      <c r="O163" s="189">
        <f t="shared" si="20"/>
        <v>3.6689814814814814E-3</v>
      </c>
      <c r="P163" s="177">
        <v>43061</v>
      </c>
      <c r="Q163" s="153" t="str">
        <f t="shared" ca="1" si="0"/>
        <v>https://www.youtube.com/embed/6LOxjxiZ3NQ?start=4&amp;end=321&amp;autoplay=1</v>
      </c>
      <c r="R163" s="159" t="s">
        <v>63</v>
      </c>
      <c r="S163" s="159" t="s">
        <v>63</v>
      </c>
      <c r="T163" s="159" t="s">
        <v>63</v>
      </c>
      <c r="U163" s="148"/>
      <c r="V163" s="171"/>
      <c r="W163" s="175" t="s">
        <v>64</v>
      </c>
      <c r="X163" s="151"/>
      <c r="Y163" s="88"/>
      <c r="Z163" s="88"/>
      <c r="AA163" s="88"/>
      <c r="AB163" s="88"/>
      <c r="AC163" s="152"/>
      <c r="AD163" s="152"/>
      <c r="AE163" s="152"/>
      <c r="AF163" s="152"/>
      <c r="AG163" s="152"/>
      <c r="AH163" s="44"/>
      <c r="AI163" s="44"/>
      <c r="AJ163" s="44"/>
      <c r="AK163" s="44"/>
      <c r="AL163" s="44"/>
      <c r="AM163" s="44"/>
      <c r="AN163" s="44"/>
    </row>
    <row r="164" spans="1:40">
      <c r="A164" s="42">
        <v>126.02</v>
      </c>
      <c r="B164" s="39" t="s">
        <v>155</v>
      </c>
      <c r="C164" s="40"/>
      <c r="D164" s="42" t="s">
        <v>56</v>
      </c>
      <c r="E164" s="38"/>
      <c r="F164" s="43"/>
      <c r="G164" s="63" t="s">
        <v>1312</v>
      </c>
      <c r="H164" s="58" t="s">
        <v>1313</v>
      </c>
      <c r="I164" s="38"/>
      <c r="J164" s="38"/>
      <c r="K164" s="46"/>
      <c r="L164" s="47"/>
      <c r="M164" s="93">
        <v>3.7268518518518519E-3</v>
      </c>
      <c r="N164" s="93">
        <v>1.1354166666666667E-2</v>
      </c>
      <c r="O164" s="189">
        <f t="shared" si="20"/>
        <v>7.6273148148148151E-3</v>
      </c>
      <c r="P164" s="177">
        <v>43061</v>
      </c>
      <c r="Q164" s="153" t="str">
        <f t="shared" ca="1" si="0"/>
        <v>https://www.youtube.com/embed/6LOxjxiZ3NQ?start=322&amp;end=981&amp;autoplay=1</v>
      </c>
      <c r="R164" s="159" t="s">
        <v>63</v>
      </c>
      <c r="S164" s="159" t="s">
        <v>63</v>
      </c>
      <c r="T164" s="159" t="s">
        <v>63</v>
      </c>
      <c r="U164" s="148"/>
      <c r="V164" s="171"/>
      <c r="W164" s="175" t="s">
        <v>64</v>
      </c>
      <c r="X164" s="56"/>
      <c r="Y164" s="88"/>
      <c r="Z164" s="88"/>
      <c r="AA164" s="88"/>
      <c r="AB164" s="88"/>
      <c r="AC164" s="152"/>
      <c r="AD164" s="152"/>
      <c r="AE164" s="152"/>
      <c r="AF164" s="152"/>
      <c r="AG164" s="152"/>
      <c r="AH164" s="44"/>
      <c r="AI164" s="44"/>
      <c r="AJ164" s="44"/>
      <c r="AK164" s="44"/>
      <c r="AL164" s="44"/>
      <c r="AM164" s="44"/>
      <c r="AN164" s="44"/>
    </row>
    <row r="165" spans="1:40">
      <c r="A165" s="42">
        <v>126.03</v>
      </c>
      <c r="B165" s="39" t="s">
        <v>155</v>
      </c>
      <c r="C165" s="40"/>
      <c r="D165" s="42" t="s">
        <v>56</v>
      </c>
      <c r="E165" s="38"/>
      <c r="F165" s="43"/>
      <c r="G165" s="63" t="s">
        <v>1316</v>
      </c>
      <c r="H165" s="58" t="s">
        <v>1317</v>
      </c>
      <c r="I165" s="38"/>
      <c r="J165" s="38"/>
      <c r="K165" s="46"/>
      <c r="L165" s="47"/>
      <c r="M165" s="93">
        <v>1.1354166666666667E-2</v>
      </c>
      <c r="N165" s="93">
        <v>1.361111111111111E-2</v>
      </c>
      <c r="O165" s="189">
        <f t="shared" si="20"/>
        <v>2.2569444444444434E-3</v>
      </c>
      <c r="P165" s="177">
        <v>43061</v>
      </c>
      <c r="Q165" s="153" t="str">
        <f t="shared" ca="1" si="0"/>
        <v>https://www.youtube.com/embed/6LOxjxiZ3NQ?start=981&amp;end=1176&amp;autoplay=1</v>
      </c>
      <c r="R165" s="159" t="s">
        <v>63</v>
      </c>
      <c r="S165" s="159" t="s">
        <v>63</v>
      </c>
      <c r="T165" s="159" t="s">
        <v>63</v>
      </c>
      <c r="U165" s="148"/>
      <c r="V165" s="171"/>
      <c r="W165" s="175" t="s">
        <v>64</v>
      </c>
      <c r="X165" s="56"/>
      <c r="Y165" s="88"/>
      <c r="Z165" s="88"/>
      <c r="AA165" s="88"/>
      <c r="AB165" s="88"/>
      <c r="AC165" s="152"/>
      <c r="AD165" s="152"/>
      <c r="AE165" s="152"/>
      <c r="AF165" s="152"/>
      <c r="AG165" s="152"/>
      <c r="AH165" s="44"/>
      <c r="AI165" s="44"/>
      <c r="AJ165" s="44"/>
      <c r="AK165" s="44"/>
      <c r="AL165" s="44"/>
      <c r="AM165" s="44"/>
      <c r="AN165" s="44"/>
    </row>
    <row r="166" spans="1:40">
      <c r="A166" s="42">
        <v>126.04</v>
      </c>
      <c r="B166" s="39" t="s">
        <v>155</v>
      </c>
      <c r="C166" s="40"/>
      <c r="D166" s="42" t="s">
        <v>56</v>
      </c>
      <c r="E166" s="38"/>
      <c r="F166" s="43"/>
      <c r="G166" s="63" t="s">
        <v>1318</v>
      </c>
      <c r="H166" s="58" t="s">
        <v>1319</v>
      </c>
      <c r="I166" s="38"/>
      <c r="J166" s="38"/>
      <c r="K166" s="46"/>
      <c r="L166" s="47"/>
      <c r="M166" s="93">
        <v>1.361111111111111E-2</v>
      </c>
      <c r="N166" s="93">
        <v>1.6493055555555556E-2</v>
      </c>
      <c r="O166" s="189">
        <f t="shared" si="20"/>
        <v>2.8819444444444457E-3</v>
      </c>
      <c r="P166" s="177">
        <v>43061</v>
      </c>
      <c r="Q166" s="153" t="str">
        <f t="shared" ca="1" si="0"/>
        <v>https://www.youtube.com/embed/6LOxjxiZ3NQ?start=1176&amp;end=1425&amp;autoplay=1</v>
      </c>
      <c r="R166" s="159" t="s">
        <v>63</v>
      </c>
      <c r="S166" s="159" t="s">
        <v>63</v>
      </c>
      <c r="T166" s="159" t="s">
        <v>63</v>
      </c>
      <c r="U166" s="148"/>
      <c r="V166" s="171"/>
      <c r="W166" s="175" t="s">
        <v>64</v>
      </c>
      <c r="X166" s="56"/>
      <c r="Y166" s="88"/>
      <c r="Z166" s="88"/>
      <c r="AA166" s="88"/>
      <c r="AB166" s="88"/>
      <c r="AC166" s="152"/>
      <c r="AD166" s="152"/>
      <c r="AE166" s="152"/>
      <c r="AF166" s="152"/>
      <c r="AG166" s="152"/>
      <c r="AH166" s="44"/>
      <c r="AI166" s="44"/>
      <c r="AJ166" s="44"/>
      <c r="AK166" s="44"/>
      <c r="AL166" s="44"/>
      <c r="AM166" s="44"/>
      <c r="AN166" s="44"/>
    </row>
    <row r="167" spans="1:40">
      <c r="A167" s="42">
        <v>126.05</v>
      </c>
      <c r="B167" s="39" t="s">
        <v>155</v>
      </c>
      <c r="C167" s="40"/>
      <c r="D167" s="42" t="s">
        <v>56</v>
      </c>
      <c r="E167" s="38"/>
      <c r="F167" s="43"/>
      <c r="G167" s="63" t="s">
        <v>1322</v>
      </c>
      <c r="H167" s="58" t="s">
        <v>1323</v>
      </c>
      <c r="I167" s="38"/>
      <c r="J167" s="38"/>
      <c r="K167" s="46"/>
      <c r="L167" s="47"/>
      <c r="M167" s="93">
        <v>1.6493055555555556E-2</v>
      </c>
      <c r="N167" s="93">
        <v>2.3622685185185184E-2</v>
      </c>
      <c r="O167" s="189">
        <f t="shared" si="20"/>
        <v>7.1296296296296281E-3</v>
      </c>
      <c r="P167" s="177">
        <v>43061</v>
      </c>
      <c r="Q167" s="153" t="str">
        <f t="shared" ca="1" si="0"/>
        <v>https://www.youtube.com/embed/6LOxjxiZ3NQ?start=1425&amp;end=2041&amp;autoplay=1</v>
      </c>
      <c r="R167" s="159" t="s">
        <v>63</v>
      </c>
      <c r="S167" s="159" t="s">
        <v>63</v>
      </c>
      <c r="T167" s="159" t="s">
        <v>63</v>
      </c>
      <c r="U167" s="148"/>
      <c r="V167" s="171"/>
      <c r="W167" s="175" t="s">
        <v>64</v>
      </c>
      <c r="X167" s="56"/>
      <c r="Y167" s="88"/>
      <c r="Z167" s="88"/>
      <c r="AA167" s="88"/>
      <c r="AB167" s="88"/>
      <c r="AC167" s="152"/>
      <c r="AD167" s="152"/>
      <c r="AE167" s="152"/>
      <c r="AF167" s="152"/>
      <c r="AG167" s="152"/>
      <c r="AH167" s="44"/>
      <c r="AI167" s="44"/>
      <c r="AJ167" s="44"/>
      <c r="AK167" s="44"/>
      <c r="AL167" s="44"/>
      <c r="AM167" s="44"/>
      <c r="AN167" s="44"/>
    </row>
    <row r="168" spans="1:40">
      <c r="A168" s="42">
        <v>126.06</v>
      </c>
      <c r="B168" s="39" t="s">
        <v>155</v>
      </c>
      <c r="C168" s="40"/>
      <c r="D168" s="42" t="s">
        <v>56</v>
      </c>
      <c r="E168" s="38"/>
      <c r="F168" s="43"/>
      <c r="G168" s="63" t="s">
        <v>1326</v>
      </c>
      <c r="H168" s="58" t="s">
        <v>1327</v>
      </c>
      <c r="I168" s="38"/>
      <c r="J168" s="38"/>
      <c r="K168" s="46"/>
      <c r="L168" s="47"/>
      <c r="M168" s="93">
        <v>2.3634259259259258E-2</v>
      </c>
      <c r="N168" s="93">
        <v>2.6238425925925925E-2</v>
      </c>
      <c r="O168" s="189">
        <f t="shared" si="20"/>
        <v>2.6041666666666678E-3</v>
      </c>
      <c r="P168" s="177">
        <v>43061</v>
      </c>
      <c r="Q168" s="153" t="str">
        <f t="shared" ca="1" si="0"/>
        <v>https://www.youtube.com/embed/6LOxjxiZ3NQ?start=2042&amp;end=2267&amp;autoplay=1</v>
      </c>
      <c r="R168" s="159" t="s">
        <v>63</v>
      </c>
      <c r="S168" s="159" t="s">
        <v>63</v>
      </c>
      <c r="T168" s="159" t="s">
        <v>63</v>
      </c>
      <c r="U168" s="148"/>
      <c r="V168" s="171"/>
      <c r="W168" s="175" t="s">
        <v>64</v>
      </c>
      <c r="X168" s="56"/>
      <c r="Y168" s="88"/>
      <c r="Z168" s="88"/>
      <c r="AA168" s="88"/>
      <c r="AB168" s="88"/>
      <c r="AC168" s="152"/>
      <c r="AD168" s="152"/>
      <c r="AE168" s="152"/>
      <c r="AF168" s="152"/>
      <c r="AG168" s="152"/>
      <c r="AH168" s="44"/>
      <c r="AI168" s="44"/>
      <c r="AJ168" s="44"/>
      <c r="AK168" s="44"/>
      <c r="AL168" s="44"/>
      <c r="AM168" s="44"/>
      <c r="AN168" s="44"/>
    </row>
    <row r="169" spans="1:40">
      <c r="A169" s="38">
        <v>137</v>
      </c>
      <c r="B169" s="39" t="s">
        <v>155</v>
      </c>
      <c r="C169" s="40"/>
      <c r="D169" s="42" t="s">
        <v>139</v>
      </c>
      <c r="E169" s="38" t="s">
        <v>710</v>
      </c>
      <c r="F169" s="43" t="s">
        <v>712</v>
      </c>
      <c r="G169" s="44"/>
      <c r="H169" s="45"/>
      <c r="I169" s="38"/>
      <c r="J169" s="38">
        <f>10*1000</f>
        <v>10000</v>
      </c>
      <c r="K169" s="46">
        <v>3.1759259259259258E-2</v>
      </c>
      <c r="L169" s="47" t="s">
        <v>286</v>
      </c>
      <c r="M169" s="48"/>
      <c r="N169" s="48"/>
      <c r="O169" s="48">
        <f t="shared" si="20"/>
        <v>0</v>
      </c>
      <c r="P169" s="38"/>
      <c r="Q169" s="14" t="str">
        <f t="shared" ca="1" si="0"/>
        <v/>
      </c>
      <c r="R169" s="51"/>
      <c r="S169" s="51"/>
      <c r="T169" s="51"/>
      <c r="U169" s="40"/>
      <c r="V169" s="54"/>
      <c r="W169" s="55"/>
      <c r="X169" s="56"/>
      <c r="Y169" s="88"/>
      <c r="Z169" s="88"/>
      <c r="AA169" s="88"/>
      <c r="AB169" s="88"/>
      <c r="AC169" s="152"/>
      <c r="AD169" s="152"/>
      <c r="AE169" s="152"/>
      <c r="AF169" s="152"/>
      <c r="AG169" s="152"/>
      <c r="AH169" s="44"/>
      <c r="AI169" s="44"/>
      <c r="AJ169" s="44"/>
      <c r="AK169" s="44"/>
      <c r="AL169" s="44"/>
      <c r="AM169" s="44"/>
      <c r="AN169" s="44"/>
    </row>
    <row r="170" spans="1:40">
      <c r="A170" s="44"/>
      <c r="B170" s="44"/>
      <c r="C170" s="44"/>
      <c r="D170" s="44"/>
      <c r="E170" s="44"/>
      <c r="F170" s="43"/>
      <c r="G170" s="44"/>
      <c r="H170" s="45"/>
      <c r="I170" s="44"/>
      <c r="J170" s="44"/>
      <c r="K170" s="143"/>
      <c r="L170" s="144"/>
      <c r="M170" s="143"/>
      <c r="N170" s="143"/>
      <c r="O170" s="44"/>
      <c r="P170" s="44"/>
      <c r="Q170" s="45"/>
      <c r="R170" s="147"/>
      <c r="S170" s="147"/>
      <c r="T170" s="147"/>
      <c r="U170" s="148"/>
      <c r="V170" s="149"/>
      <c r="W170" s="150"/>
      <c r="X170" s="151"/>
      <c r="Y170" s="44"/>
      <c r="Z170" s="44"/>
      <c r="AA170" s="152"/>
      <c r="AB170" s="152"/>
      <c r="AC170" s="152"/>
      <c r="AD170" s="152"/>
      <c r="AE170" s="152"/>
      <c r="AF170" s="152"/>
      <c r="AG170" s="152"/>
      <c r="AH170" s="44"/>
      <c r="AI170" s="44"/>
      <c r="AJ170" s="44"/>
      <c r="AK170" s="44"/>
      <c r="AL170" s="44"/>
      <c r="AM170" s="44"/>
      <c r="AN170" s="44"/>
    </row>
    <row r="171" spans="1:40">
      <c r="A171" s="44"/>
      <c r="B171" s="44"/>
      <c r="C171" s="44"/>
      <c r="D171" s="44"/>
      <c r="E171" s="44"/>
      <c r="F171" s="43"/>
      <c r="G171" s="44"/>
      <c r="H171" s="45"/>
      <c r="I171" s="44"/>
      <c r="J171" s="44"/>
      <c r="K171" s="143"/>
      <c r="L171" s="144"/>
      <c r="M171" s="143"/>
      <c r="N171" s="143"/>
      <c r="O171" s="44"/>
      <c r="P171" s="44"/>
      <c r="Q171" s="45"/>
      <c r="R171" s="147"/>
      <c r="S171" s="147"/>
      <c r="T171" s="147"/>
      <c r="U171" s="148"/>
      <c r="V171" s="149"/>
      <c r="W171" s="150"/>
      <c r="X171" s="151"/>
      <c r="Y171" s="44"/>
      <c r="Z171" s="44"/>
      <c r="AA171" s="152"/>
      <c r="AB171" s="152"/>
      <c r="AC171" s="152"/>
      <c r="AD171" s="152"/>
      <c r="AE171" s="152"/>
      <c r="AF171" s="152"/>
      <c r="AG171" s="152"/>
      <c r="AH171" s="44"/>
      <c r="AI171" s="44"/>
      <c r="AJ171" s="44"/>
      <c r="AK171" s="44"/>
      <c r="AL171" s="44"/>
      <c r="AM171" s="44"/>
      <c r="AN171" s="44"/>
    </row>
    <row r="172" spans="1:40">
      <c r="A172" s="194"/>
      <c r="B172" s="44"/>
      <c r="C172" s="44"/>
      <c r="D172" s="44"/>
      <c r="E172" s="44"/>
      <c r="F172" s="43"/>
      <c r="G172" s="63"/>
      <c r="H172" s="45"/>
      <c r="I172" s="44"/>
      <c r="J172" s="44"/>
      <c r="K172" s="143"/>
      <c r="L172" s="144"/>
      <c r="M172" s="143"/>
      <c r="N172" s="143"/>
      <c r="O172" s="155"/>
      <c r="P172" s="145"/>
      <c r="Q172" s="45"/>
      <c r="R172" s="147"/>
      <c r="S172" s="147"/>
      <c r="T172" s="147"/>
      <c r="U172" s="148"/>
      <c r="V172" s="149"/>
      <c r="W172" s="150"/>
      <c r="X172" s="151"/>
      <c r="Y172" s="44"/>
      <c r="Z172" s="44"/>
      <c r="AA172" s="152"/>
      <c r="AB172" s="152"/>
      <c r="AC172" s="152"/>
      <c r="AD172" s="152"/>
      <c r="AE172" s="152"/>
      <c r="AF172" s="152"/>
      <c r="AG172" s="152"/>
      <c r="AH172" s="44"/>
      <c r="AI172" s="44"/>
      <c r="AJ172" s="44"/>
      <c r="AK172" s="44"/>
      <c r="AL172" s="44"/>
      <c r="AM172" s="44"/>
      <c r="AN172" s="44"/>
    </row>
    <row r="173" spans="1:40">
      <c r="A173" s="38">
        <v>139</v>
      </c>
      <c r="B173" s="39" t="s">
        <v>155</v>
      </c>
      <c r="C173" s="40"/>
      <c r="D173" s="42" t="s">
        <v>139</v>
      </c>
      <c r="E173" s="38" t="s">
        <v>717</v>
      </c>
      <c r="F173" s="43" t="s">
        <v>718</v>
      </c>
      <c r="G173" s="44"/>
      <c r="H173" s="45"/>
      <c r="I173" s="38"/>
      <c r="J173" s="38">
        <f>5.6*1000</f>
        <v>5600</v>
      </c>
      <c r="K173" s="46">
        <v>3.7083333333333336E-2</v>
      </c>
      <c r="L173" s="47" t="s">
        <v>286</v>
      </c>
      <c r="M173" s="48"/>
      <c r="N173" s="48"/>
      <c r="O173" s="48">
        <f>N173-M173</f>
        <v>0</v>
      </c>
      <c r="P173" s="38"/>
      <c r="Q173" s="14" t="str">
        <f ca="1">HYPERLINK(IF(INT(A173)-A173=0,"",REPLACE(INDIRECT("MasterList!e"&amp;INT(A173)+1),25,8,"embed/")&amp;"?start="&amp;HOUR(M173)*3600+MINUTE(M173)*60+SECOND(M173)&amp;"&amp;end="&amp;HOUR(N173)*3600+MINUTE(N173)*60+SECOND(N173)&amp;"&amp;autoplay=1"))</f>
        <v/>
      </c>
      <c r="R173" s="51"/>
      <c r="S173" s="51"/>
      <c r="T173" s="51"/>
      <c r="U173" s="40"/>
      <c r="V173" s="54"/>
      <c r="W173" s="55"/>
      <c r="X173" s="56"/>
      <c r="Y173" s="88"/>
      <c r="Z173" s="88"/>
      <c r="AA173" s="88"/>
      <c r="AB173" s="88"/>
      <c r="AC173" s="152"/>
      <c r="AD173" s="152"/>
      <c r="AE173" s="152"/>
      <c r="AF173" s="152"/>
      <c r="AG173" s="152"/>
      <c r="AH173" s="44"/>
      <c r="AI173" s="44"/>
      <c r="AJ173" s="44"/>
      <c r="AK173" s="44"/>
      <c r="AL173" s="44"/>
      <c r="AM173" s="44"/>
      <c r="AN173" s="44"/>
    </row>
    <row r="174" spans="1:40">
      <c r="A174" s="194"/>
      <c r="B174" s="44"/>
      <c r="C174" s="44"/>
      <c r="D174" s="44"/>
      <c r="E174" s="44"/>
      <c r="F174" s="43"/>
      <c r="G174" s="44"/>
      <c r="H174" s="45"/>
      <c r="I174" s="44"/>
      <c r="J174" s="44"/>
      <c r="K174" s="143"/>
      <c r="L174" s="144"/>
      <c r="M174" s="143"/>
      <c r="N174" s="143"/>
      <c r="O174" s="155"/>
      <c r="P174" s="145"/>
      <c r="Q174" s="45"/>
      <c r="R174" s="147"/>
      <c r="S174" s="147"/>
      <c r="T174" s="147"/>
      <c r="U174" s="148"/>
      <c r="V174" s="149"/>
      <c r="W174" s="150"/>
      <c r="X174" s="151"/>
      <c r="Y174" s="44"/>
      <c r="Z174" s="44"/>
      <c r="AA174" s="152"/>
      <c r="AB174" s="152"/>
      <c r="AC174" s="152"/>
      <c r="AD174" s="152"/>
      <c r="AE174" s="152"/>
      <c r="AF174" s="152"/>
      <c r="AG174" s="152"/>
      <c r="AH174" s="44"/>
      <c r="AI174" s="44"/>
      <c r="AJ174" s="44"/>
      <c r="AK174" s="44"/>
      <c r="AL174" s="44"/>
      <c r="AM174" s="44"/>
      <c r="AN174" s="44"/>
    </row>
    <row r="175" spans="1:40">
      <c r="A175" s="194"/>
      <c r="B175" s="44"/>
      <c r="C175" s="44"/>
      <c r="D175" s="44"/>
      <c r="E175" s="44"/>
      <c r="F175" s="43"/>
      <c r="G175" s="44"/>
      <c r="H175" s="45"/>
      <c r="I175" s="44"/>
      <c r="J175" s="44"/>
      <c r="K175" s="143"/>
      <c r="L175" s="144"/>
      <c r="M175" s="143"/>
      <c r="N175" s="143"/>
      <c r="O175" s="155"/>
      <c r="P175" s="145"/>
      <c r="Q175" s="45"/>
      <c r="R175" s="147"/>
      <c r="S175" s="147"/>
      <c r="T175" s="147"/>
      <c r="U175" s="148"/>
      <c r="V175" s="149"/>
      <c r="W175" s="150"/>
      <c r="X175" s="151"/>
      <c r="Y175" s="44"/>
      <c r="Z175" s="44"/>
      <c r="AA175" s="152"/>
      <c r="AB175" s="152"/>
      <c r="AC175" s="152"/>
      <c r="AD175" s="152"/>
      <c r="AE175" s="152"/>
      <c r="AF175" s="152"/>
      <c r="AG175" s="152"/>
      <c r="AH175" s="44"/>
      <c r="AI175" s="44"/>
      <c r="AJ175" s="44"/>
      <c r="AK175" s="44"/>
      <c r="AL175" s="44"/>
      <c r="AM175" s="44"/>
      <c r="AN175" s="44"/>
    </row>
    <row r="176" spans="1:40">
      <c r="A176" s="194"/>
      <c r="B176" s="44"/>
      <c r="C176" s="44"/>
      <c r="D176" s="44"/>
      <c r="E176" s="44"/>
      <c r="F176" s="43"/>
      <c r="G176" s="44"/>
      <c r="H176" s="45"/>
      <c r="I176" s="44"/>
      <c r="J176" s="44"/>
      <c r="K176" s="143"/>
      <c r="L176" s="144"/>
      <c r="M176" s="143"/>
      <c r="N176" s="143"/>
      <c r="O176" s="155"/>
      <c r="P176" s="145"/>
      <c r="Q176" s="45"/>
      <c r="R176" s="147"/>
      <c r="S176" s="147"/>
      <c r="T176" s="147"/>
      <c r="U176" s="148"/>
      <c r="V176" s="149"/>
      <c r="W176" s="150"/>
      <c r="X176" s="151"/>
      <c r="Y176" s="44"/>
      <c r="Z176" s="44"/>
      <c r="AA176" s="152"/>
      <c r="AB176" s="152"/>
      <c r="AC176" s="152"/>
      <c r="AD176" s="152"/>
      <c r="AE176" s="152"/>
      <c r="AF176" s="152"/>
      <c r="AG176" s="152"/>
      <c r="AH176" s="44"/>
      <c r="AI176" s="44"/>
      <c r="AJ176" s="44"/>
      <c r="AK176" s="44"/>
      <c r="AL176" s="44"/>
      <c r="AM176" s="44"/>
      <c r="AN176" s="44"/>
    </row>
    <row r="177" spans="1:40">
      <c r="A177" s="194"/>
      <c r="B177" s="44"/>
      <c r="C177" s="44"/>
      <c r="D177" s="44"/>
      <c r="E177" s="44"/>
      <c r="F177" s="43"/>
      <c r="G177" s="44"/>
      <c r="H177" s="45"/>
      <c r="I177" s="44"/>
      <c r="J177" s="44"/>
      <c r="K177" s="143"/>
      <c r="L177" s="144"/>
      <c r="M177" s="143"/>
      <c r="N177" s="143"/>
      <c r="O177" s="155"/>
      <c r="P177" s="145"/>
      <c r="Q177" s="45"/>
      <c r="R177" s="147"/>
      <c r="S177" s="147"/>
      <c r="T177" s="147"/>
      <c r="U177" s="148"/>
      <c r="V177" s="149"/>
      <c r="W177" s="150"/>
      <c r="X177" s="151"/>
      <c r="Y177" s="44"/>
      <c r="Z177" s="44"/>
      <c r="AA177" s="152"/>
      <c r="AB177" s="152"/>
      <c r="AC177" s="152"/>
      <c r="AD177" s="152"/>
      <c r="AE177" s="152"/>
      <c r="AF177" s="152"/>
      <c r="AG177" s="152"/>
      <c r="AH177" s="44"/>
      <c r="AI177" s="44"/>
      <c r="AJ177" s="44"/>
      <c r="AK177" s="44"/>
      <c r="AL177" s="44"/>
      <c r="AM177" s="44"/>
      <c r="AN177" s="44"/>
    </row>
    <row r="178" spans="1:40">
      <c r="A178" s="194"/>
      <c r="B178" s="44"/>
      <c r="C178" s="44"/>
      <c r="D178" s="44"/>
      <c r="E178" s="44"/>
      <c r="F178" s="43"/>
      <c r="G178" s="44"/>
      <c r="H178" s="45"/>
      <c r="I178" s="44"/>
      <c r="J178" s="44"/>
      <c r="K178" s="143"/>
      <c r="L178" s="144"/>
      <c r="M178" s="143"/>
      <c r="N178" s="143"/>
      <c r="O178" s="155"/>
      <c r="P178" s="145"/>
      <c r="Q178" s="45"/>
      <c r="R178" s="147"/>
      <c r="S178" s="147"/>
      <c r="T178" s="147"/>
      <c r="U178" s="148"/>
      <c r="V178" s="149"/>
      <c r="W178" s="150"/>
      <c r="X178" s="151"/>
      <c r="Y178" s="44"/>
      <c r="Z178" s="44"/>
      <c r="AA178" s="152"/>
      <c r="AB178" s="152"/>
      <c r="AC178" s="152"/>
      <c r="AD178" s="152"/>
      <c r="AE178" s="152"/>
      <c r="AF178" s="152"/>
      <c r="AG178" s="152"/>
      <c r="AH178" s="44"/>
      <c r="AI178" s="44"/>
      <c r="AJ178" s="44"/>
      <c r="AK178" s="44"/>
      <c r="AL178" s="44"/>
      <c r="AM178" s="44"/>
      <c r="AN178" s="44"/>
    </row>
    <row r="179" spans="1:40">
      <c r="A179" s="194"/>
      <c r="B179" s="44"/>
      <c r="C179" s="44"/>
      <c r="D179" s="44"/>
      <c r="E179" s="44"/>
      <c r="F179" s="43"/>
      <c r="G179" s="44"/>
      <c r="H179" s="45"/>
      <c r="I179" s="44"/>
      <c r="J179" s="44"/>
      <c r="K179" s="143"/>
      <c r="L179" s="144"/>
      <c r="M179" s="143"/>
      <c r="N179" s="143"/>
      <c r="O179" s="155"/>
      <c r="P179" s="145"/>
      <c r="Q179" s="45"/>
      <c r="R179" s="147"/>
      <c r="S179" s="147"/>
      <c r="T179" s="147"/>
      <c r="U179" s="148"/>
      <c r="V179" s="149"/>
      <c r="W179" s="150"/>
      <c r="X179" s="151"/>
      <c r="Y179" s="44"/>
      <c r="Z179" s="44"/>
      <c r="AA179" s="152"/>
      <c r="AB179" s="152"/>
      <c r="AC179" s="152"/>
      <c r="AD179" s="152"/>
      <c r="AE179" s="152"/>
      <c r="AF179" s="152"/>
      <c r="AG179" s="152"/>
      <c r="AH179" s="44"/>
      <c r="AI179" s="44"/>
      <c r="AJ179" s="44"/>
      <c r="AK179" s="44"/>
      <c r="AL179" s="44"/>
      <c r="AM179" s="44"/>
      <c r="AN179" s="44"/>
    </row>
    <row r="180" spans="1:40">
      <c r="A180" s="194"/>
      <c r="B180" s="44"/>
      <c r="C180" s="44"/>
      <c r="D180" s="44"/>
      <c r="E180" s="44"/>
      <c r="F180" s="43"/>
      <c r="G180" s="44"/>
      <c r="H180" s="45"/>
      <c r="I180" s="44"/>
      <c r="J180" s="44"/>
      <c r="K180" s="143"/>
      <c r="L180" s="144"/>
      <c r="M180" s="143"/>
      <c r="N180" s="143"/>
      <c r="O180" s="155"/>
      <c r="P180" s="145"/>
      <c r="Q180" s="45"/>
      <c r="R180" s="147"/>
      <c r="S180" s="147"/>
      <c r="T180" s="147"/>
      <c r="U180" s="148"/>
      <c r="V180" s="149"/>
      <c r="W180" s="150"/>
      <c r="X180" s="151"/>
      <c r="Y180" s="44"/>
      <c r="Z180" s="44"/>
      <c r="AA180" s="152"/>
      <c r="AB180" s="152"/>
      <c r="AC180" s="152"/>
      <c r="AD180" s="152"/>
      <c r="AE180" s="152"/>
      <c r="AF180" s="152"/>
      <c r="AG180" s="152"/>
      <c r="AH180" s="44"/>
      <c r="AI180" s="44"/>
      <c r="AJ180" s="44"/>
      <c r="AK180" s="44"/>
      <c r="AL180" s="44"/>
      <c r="AM180" s="44"/>
      <c r="AN180" s="44"/>
    </row>
    <row r="181" spans="1:40">
      <c r="A181" s="194"/>
      <c r="B181" s="44"/>
      <c r="C181" s="44"/>
      <c r="D181" s="44"/>
      <c r="E181" s="44"/>
      <c r="F181" s="43"/>
      <c r="G181" s="44"/>
      <c r="H181" s="45"/>
      <c r="I181" s="44"/>
      <c r="J181" s="44"/>
      <c r="K181" s="143"/>
      <c r="L181" s="144"/>
      <c r="M181" s="143"/>
      <c r="N181" s="143"/>
      <c r="O181" s="155"/>
      <c r="P181" s="145"/>
      <c r="Q181" s="45"/>
      <c r="R181" s="147"/>
      <c r="S181" s="147"/>
      <c r="T181" s="147"/>
      <c r="U181" s="148"/>
      <c r="V181" s="149"/>
      <c r="W181" s="150"/>
      <c r="X181" s="151"/>
      <c r="Y181" s="44"/>
      <c r="Z181" s="44"/>
      <c r="AA181" s="152"/>
      <c r="AB181" s="152"/>
      <c r="AC181" s="152"/>
      <c r="AD181" s="152"/>
      <c r="AE181" s="152"/>
      <c r="AF181" s="152"/>
      <c r="AG181" s="152"/>
      <c r="AH181" s="44"/>
      <c r="AI181" s="44"/>
      <c r="AJ181" s="44"/>
      <c r="AK181" s="44"/>
      <c r="AL181" s="44"/>
      <c r="AM181" s="44"/>
      <c r="AN181" s="44"/>
    </row>
    <row r="182" spans="1:40">
      <c r="A182" s="194"/>
      <c r="B182" s="44"/>
      <c r="C182" s="44"/>
      <c r="D182" s="44"/>
      <c r="E182" s="44"/>
      <c r="F182" s="44"/>
      <c r="G182" s="44"/>
      <c r="H182" s="45"/>
      <c r="I182" s="44"/>
      <c r="J182" s="44"/>
      <c r="K182" s="143"/>
      <c r="L182" s="144"/>
      <c r="M182" s="143"/>
      <c r="N182" s="143"/>
      <c r="O182" s="155"/>
      <c r="P182" s="145"/>
      <c r="Q182" s="45"/>
      <c r="R182" s="147"/>
      <c r="S182" s="147"/>
      <c r="T182" s="147"/>
      <c r="U182" s="148"/>
      <c r="V182" s="149"/>
      <c r="W182" s="150"/>
      <c r="X182" s="151"/>
      <c r="Y182" s="44"/>
      <c r="Z182" s="44"/>
      <c r="AA182" s="152"/>
      <c r="AB182" s="152"/>
      <c r="AC182" s="152"/>
      <c r="AD182" s="152"/>
      <c r="AE182" s="152"/>
      <c r="AF182" s="152"/>
      <c r="AG182" s="152"/>
      <c r="AH182" s="44"/>
      <c r="AI182" s="44"/>
      <c r="AJ182" s="44"/>
      <c r="AK182" s="44"/>
      <c r="AL182" s="44"/>
      <c r="AM182" s="44"/>
      <c r="AN182" s="44"/>
    </row>
    <row r="183" spans="1:40">
      <c r="A183" s="44"/>
      <c r="B183" s="44"/>
      <c r="C183" s="44"/>
      <c r="D183" s="44"/>
      <c r="E183" s="44"/>
      <c r="F183" s="43"/>
      <c r="G183" s="44"/>
      <c r="H183" s="45"/>
      <c r="I183" s="44"/>
      <c r="J183" s="44"/>
      <c r="K183" s="143"/>
      <c r="L183" s="144"/>
      <c r="M183" s="143"/>
      <c r="N183" s="143"/>
      <c r="O183" s="44"/>
      <c r="P183" s="44"/>
      <c r="Q183" s="45"/>
      <c r="R183" s="147"/>
      <c r="S183" s="147"/>
      <c r="T183" s="147"/>
      <c r="U183" s="148"/>
      <c r="V183" s="149"/>
      <c r="W183" s="150"/>
      <c r="X183" s="151"/>
      <c r="Y183" s="44"/>
      <c r="Z183" s="44"/>
      <c r="AA183" s="152"/>
      <c r="AB183" s="152"/>
      <c r="AC183" s="152"/>
      <c r="AD183" s="152"/>
      <c r="AE183" s="152"/>
      <c r="AF183" s="152"/>
      <c r="AG183" s="152"/>
      <c r="AH183" s="44"/>
      <c r="AI183" s="44"/>
      <c r="AJ183" s="44"/>
      <c r="AK183" s="44"/>
      <c r="AL183" s="44"/>
      <c r="AM183" s="44"/>
      <c r="AN183" s="44"/>
    </row>
    <row r="184" spans="1:40">
      <c r="A184" s="44"/>
      <c r="B184" s="44"/>
      <c r="C184" s="44"/>
      <c r="D184" s="44"/>
      <c r="E184" s="44"/>
      <c r="F184" s="43"/>
      <c r="G184" s="44"/>
      <c r="H184" s="45"/>
      <c r="I184" s="44"/>
      <c r="J184" s="44"/>
      <c r="K184" s="143"/>
      <c r="L184" s="144"/>
      <c r="M184" s="143"/>
      <c r="N184" s="143"/>
      <c r="O184" s="44"/>
      <c r="P184" s="44"/>
      <c r="Q184" s="45"/>
      <c r="R184" s="147"/>
      <c r="S184" s="147"/>
      <c r="T184" s="147"/>
      <c r="U184" s="148"/>
      <c r="V184" s="149"/>
      <c r="W184" s="150"/>
      <c r="X184" s="151"/>
      <c r="Y184" s="44"/>
      <c r="Z184" s="44"/>
      <c r="AA184" s="152"/>
      <c r="AB184" s="152"/>
      <c r="AC184" s="152"/>
      <c r="AD184" s="152"/>
      <c r="AE184" s="152"/>
      <c r="AF184" s="152"/>
      <c r="AG184" s="152"/>
      <c r="AH184" s="44"/>
      <c r="AI184" s="44"/>
      <c r="AJ184" s="44"/>
      <c r="AK184" s="44"/>
      <c r="AL184" s="44"/>
      <c r="AM184" s="44"/>
      <c r="AN184" s="44"/>
    </row>
    <row r="185" spans="1:40">
      <c r="A185" s="44"/>
      <c r="B185" s="44"/>
      <c r="C185" s="44"/>
      <c r="D185" s="44"/>
      <c r="E185" s="44"/>
      <c r="F185" s="43"/>
      <c r="G185" s="44"/>
      <c r="H185" s="45"/>
      <c r="I185" s="44"/>
      <c r="J185" s="44"/>
      <c r="K185" s="143"/>
      <c r="L185" s="144"/>
      <c r="M185" s="143"/>
      <c r="N185" s="143"/>
      <c r="O185" s="44"/>
      <c r="P185" s="44"/>
      <c r="Q185" s="45"/>
      <c r="R185" s="147"/>
      <c r="S185" s="147"/>
      <c r="T185" s="147"/>
      <c r="U185" s="148"/>
      <c r="V185" s="149"/>
      <c r="W185" s="150"/>
      <c r="X185" s="151"/>
      <c r="Y185" s="44"/>
      <c r="Z185" s="44"/>
      <c r="AA185" s="152"/>
      <c r="AB185" s="152"/>
      <c r="AC185" s="152"/>
      <c r="AD185" s="152"/>
      <c r="AE185" s="152"/>
      <c r="AF185" s="152"/>
      <c r="AG185" s="152"/>
      <c r="AH185" s="44"/>
      <c r="AI185" s="44"/>
      <c r="AJ185" s="44"/>
      <c r="AK185" s="44"/>
      <c r="AL185" s="44"/>
      <c r="AM185" s="44"/>
      <c r="AN185" s="44"/>
    </row>
    <row r="186" spans="1:40">
      <c r="A186" s="44"/>
      <c r="B186" s="44"/>
      <c r="C186" s="44"/>
      <c r="D186" s="44"/>
      <c r="E186" s="44"/>
      <c r="F186" s="43"/>
      <c r="G186" s="44"/>
      <c r="H186" s="45"/>
      <c r="I186" s="44"/>
      <c r="J186" s="44"/>
      <c r="K186" s="143"/>
      <c r="L186" s="144"/>
      <c r="M186" s="143"/>
      <c r="N186" s="143"/>
      <c r="O186" s="44"/>
      <c r="P186" s="44"/>
      <c r="Q186" s="45"/>
      <c r="R186" s="147"/>
      <c r="S186" s="147"/>
      <c r="T186" s="147"/>
      <c r="U186" s="148"/>
      <c r="V186" s="149"/>
      <c r="W186" s="150"/>
      <c r="X186" s="151"/>
      <c r="Y186" s="44"/>
      <c r="Z186" s="44"/>
      <c r="AA186" s="152"/>
      <c r="AB186" s="152"/>
      <c r="AC186" s="152"/>
      <c r="AD186" s="152"/>
      <c r="AE186" s="152"/>
      <c r="AF186" s="152"/>
      <c r="AG186" s="152"/>
      <c r="AH186" s="44"/>
      <c r="AI186" s="44"/>
      <c r="AJ186" s="44"/>
      <c r="AK186" s="44"/>
      <c r="AL186" s="44"/>
      <c r="AM186" s="44"/>
      <c r="AN186" s="44"/>
    </row>
    <row r="187" spans="1:40">
      <c r="A187" s="44"/>
      <c r="B187" s="63"/>
      <c r="C187" s="44"/>
      <c r="D187" s="63"/>
      <c r="E187" s="44"/>
      <c r="F187" s="43"/>
      <c r="G187" s="44"/>
      <c r="H187" s="45"/>
      <c r="I187" s="44"/>
      <c r="J187" s="44"/>
      <c r="K187" s="143"/>
      <c r="L187" s="144"/>
      <c r="M187" s="143"/>
      <c r="N187" s="143"/>
      <c r="O187" s="44"/>
      <c r="P187" s="44"/>
      <c r="Q187" s="45"/>
      <c r="R187" s="147"/>
      <c r="S187" s="147"/>
      <c r="T187" s="147"/>
      <c r="U187" s="148"/>
      <c r="V187" s="149"/>
      <c r="W187" s="150"/>
      <c r="X187" s="151"/>
      <c r="Y187" s="44"/>
      <c r="Z187" s="44"/>
      <c r="AA187" s="152"/>
      <c r="AB187" s="152"/>
      <c r="AC187" s="152"/>
      <c r="AD187" s="152"/>
      <c r="AE187" s="152"/>
      <c r="AF187" s="152"/>
      <c r="AG187" s="152"/>
      <c r="AH187" s="44"/>
      <c r="AI187" s="44"/>
      <c r="AJ187" s="44"/>
      <c r="AK187" s="44"/>
      <c r="AL187" s="44"/>
      <c r="AM187" s="44"/>
      <c r="AN187" s="44"/>
    </row>
    <row r="188" spans="1:40">
      <c r="A188" s="63"/>
      <c r="B188" s="63"/>
      <c r="C188" s="44"/>
      <c r="D188" s="63"/>
      <c r="E188" s="44"/>
      <c r="F188" s="44"/>
      <c r="G188" s="63"/>
      <c r="H188" s="44"/>
      <c r="I188" s="44"/>
      <c r="J188" s="44"/>
      <c r="K188" s="143"/>
      <c r="L188" s="44"/>
      <c r="M188" s="143"/>
      <c r="N188" s="143"/>
      <c r="O188" s="155"/>
      <c r="P188" s="195"/>
      <c r="Q188" s="45"/>
      <c r="R188" s="147"/>
      <c r="S188" s="147"/>
      <c r="T188" s="147"/>
      <c r="U188" s="148"/>
      <c r="V188" s="149"/>
      <c r="W188" s="150"/>
      <c r="X188" s="151"/>
      <c r="Y188" s="44"/>
      <c r="Z188" s="44"/>
      <c r="AA188" s="152"/>
      <c r="AB188" s="152"/>
      <c r="AC188" s="152"/>
      <c r="AD188" s="152"/>
      <c r="AE188" s="152"/>
      <c r="AF188" s="152"/>
      <c r="AG188" s="152"/>
      <c r="AH188" s="44"/>
      <c r="AI188" s="44"/>
      <c r="AJ188" s="44"/>
      <c r="AK188" s="44"/>
      <c r="AL188" s="44"/>
      <c r="AM188" s="44"/>
      <c r="AN188" s="44"/>
    </row>
    <row r="189" spans="1:40">
      <c r="A189" s="44"/>
      <c r="B189" s="44"/>
      <c r="C189" s="44"/>
      <c r="D189" s="44"/>
      <c r="E189" s="44"/>
      <c r="F189" s="43"/>
      <c r="G189" s="44"/>
      <c r="H189" s="45"/>
      <c r="I189" s="44"/>
      <c r="J189" s="44"/>
      <c r="K189" s="143"/>
      <c r="L189" s="144"/>
      <c r="M189" s="143"/>
      <c r="N189" s="143"/>
      <c r="O189" s="44"/>
      <c r="P189" s="44"/>
      <c r="Q189" s="45"/>
      <c r="R189" s="147"/>
      <c r="S189" s="147"/>
      <c r="T189" s="147"/>
      <c r="U189" s="148"/>
      <c r="V189" s="149"/>
      <c r="W189" s="150"/>
      <c r="X189" s="151"/>
      <c r="Y189" s="44"/>
      <c r="Z189" s="44"/>
      <c r="AA189" s="152"/>
      <c r="AB189" s="152"/>
      <c r="AC189" s="152"/>
      <c r="AD189" s="152"/>
      <c r="AE189" s="152"/>
      <c r="AF189" s="152"/>
      <c r="AG189" s="152"/>
      <c r="AH189" s="44"/>
      <c r="AI189" s="44"/>
      <c r="AJ189" s="44"/>
      <c r="AK189" s="44"/>
      <c r="AL189" s="44"/>
      <c r="AM189" s="44"/>
      <c r="AN189" s="44"/>
    </row>
    <row r="190" spans="1:40">
      <c r="A190" s="44"/>
      <c r="B190" s="44"/>
      <c r="C190" s="44"/>
      <c r="D190" s="44"/>
      <c r="E190" s="44"/>
      <c r="F190" s="43"/>
      <c r="G190" s="44"/>
      <c r="H190" s="45"/>
      <c r="I190" s="44"/>
      <c r="J190" s="44"/>
      <c r="K190" s="143"/>
      <c r="L190" s="144"/>
      <c r="M190" s="143"/>
      <c r="N190" s="143"/>
      <c r="O190" s="44"/>
      <c r="P190" s="44"/>
      <c r="Q190" s="45"/>
      <c r="R190" s="147"/>
      <c r="S190" s="147"/>
      <c r="T190" s="147"/>
      <c r="U190" s="148"/>
      <c r="V190" s="149"/>
      <c r="W190" s="150"/>
      <c r="X190" s="151"/>
      <c r="Y190" s="44"/>
      <c r="Z190" s="44"/>
      <c r="AA190" s="152"/>
      <c r="AB190" s="152"/>
      <c r="AC190" s="152"/>
      <c r="AD190" s="152"/>
      <c r="AE190" s="152"/>
      <c r="AF190" s="152"/>
      <c r="AG190" s="152"/>
      <c r="AH190" s="44"/>
      <c r="AI190" s="44"/>
      <c r="AJ190" s="44"/>
      <c r="AK190" s="44"/>
      <c r="AL190" s="44"/>
      <c r="AM190" s="44"/>
      <c r="AN190" s="44"/>
    </row>
    <row r="191" spans="1:40">
      <c r="A191" s="44"/>
      <c r="B191" s="44"/>
      <c r="C191" s="44"/>
      <c r="D191" s="44"/>
      <c r="E191" s="44"/>
      <c r="F191" s="43"/>
      <c r="G191" s="44"/>
      <c r="H191" s="45"/>
      <c r="I191" s="44"/>
      <c r="J191" s="44"/>
      <c r="K191" s="143"/>
      <c r="L191" s="144"/>
      <c r="M191" s="143"/>
      <c r="N191" s="143"/>
      <c r="O191" s="44"/>
      <c r="P191" s="44"/>
      <c r="Q191" s="45"/>
      <c r="R191" s="147"/>
      <c r="S191" s="147"/>
      <c r="T191" s="147"/>
      <c r="U191" s="148"/>
      <c r="V191" s="149"/>
      <c r="W191" s="150"/>
      <c r="X191" s="151"/>
      <c r="Y191" s="44"/>
      <c r="Z191" s="44"/>
      <c r="AA191" s="152"/>
      <c r="AB191" s="152"/>
      <c r="AC191" s="152"/>
      <c r="AD191" s="152"/>
      <c r="AE191" s="152"/>
      <c r="AF191" s="152"/>
      <c r="AG191" s="152"/>
      <c r="AH191" s="44"/>
      <c r="AI191" s="44"/>
      <c r="AJ191" s="44"/>
      <c r="AK191" s="44"/>
      <c r="AL191" s="44"/>
      <c r="AM191" s="44"/>
      <c r="AN191" s="44"/>
    </row>
    <row r="192" spans="1:40">
      <c r="A192" s="44"/>
      <c r="B192" s="44"/>
      <c r="C192" s="44"/>
      <c r="D192" s="44"/>
      <c r="E192" s="44"/>
      <c r="F192" s="43"/>
      <c r="G192" s="44"/>
      <c r="H192" s="45"/>
      <c r="I192" s="44"/>
      <c r="J192" s="44"/>
      <c r="K192" s="143"/>
      <c r="L192" s="144"/>
      <c r="M192" s="143"/>
      <c r="N192" s="143"/>
      <c r="O192" s="44"/>
      <c r="P192" s="44"/>
      <c r="Q192" s="45"/>
      <c r="R192" s="147"/>
      <c r="S192" s="147"/>
      <c r="T192" s="147"/>
      <c r="U192" s="148"/>
      <c r="V192" s="149"/>
      <c r="W192" s="150"/>
      <c r="X192" s="151"/>
      <c r="Y192" s="44"/>
      <c r="Z192" s="44"/>
      <c r="AA192" s="152"/>
      <c r="AB192" s="152"/>
      <c r="AC192" s="152"/>
      <c r="AD192" s="152"/>
      <c r="AE192" s="152"/>
      <c r="AF192" s="152"/>
      <c r="AG192" s="152"/>
      <c r="AH192" s="44"/>
      <c r="AI192" s="44"/>
      <c r="AJ192" s="44"/>
      <c r="AK192" s="44"/>
      <c r="AL192" s="44"/>
      <c r="AM192" s="44"/>
      <c r="AN192" s="44"/>
    </row>
    <row r="193" spans="1:40">
      <c r="A193" s="44"/>
      <c r="B193" s="44"/>
      <c r="C193" s="44"/>
      <c r="D193" s="44"/>
      <c r="E193" s="44"/>
      <c r="F193" s="43"/>
      <c r="G193" s="44"/>
      <c r="H193" s="45"/>
      <c r="I193" s="44"/>
      <c r="J193" s="44"/>
      <c r="K193" s="143"/>
      <c r="L193" s="144"/>
      <c r="M193" s="143"/>
      <c r="N193" s="143"/>
      <c r="O193" s="44"/>
      <c r="P193" s="44"/>
      <c r="Q193" s="45"/>
      <c r="R193" s="147"/>
      <c r="S193" s="147"/>
      <c r="T193" s="147"/>
      <c r="U193" s="148"/>
      <c r="V193" s="149"/>
      <c r="W193" s="150"/>
      <c r="X193" s="151"/>
      <c r="Y193" s="44"/>
      <c r="Z193" s="44"/>
      <c r="AA193" s="152"/>
      <c r="AB193" s="152"/>
      <c r="AC193" s="152"/>
      <c r="AD193" s="152"/>
      <c r="AE193" s="152"/>
      <c r="AF193" s="152"/>
      <c r="AG193" s="152"/>
      <c r="AH193" s="44"/>
      <c r="AI193" s="44"/>
      <c r="AJ193" s="44"/>
      <c r="AK193" s="44"/>
      <c r="AL193" s="44"/>
      <c r="AM193" s="44"/>
      <c r="AN193" s="44"/>
    </row>
    <row r="194" spans="1:40">
      <c r="A194" s="44"/>
      <c r="B194" s="44"/>
      <c r="C194" s="44"/>
      <c r="D194" s="44"/>
      <c r="E194" s="44"/>
      <c r="F194" s="43"/>
      <c r="G194" s="44"/>
      <c r="H194" s="45"/>
      <c r="I194" s="44"/>
      <c r="J194" s="44"/>
      <c r="K194" s="143"/>
      <c r="L194" s="144"/>
      <c r="M194" s="143"/>
      <c r="N194" s="143"/>
      <c r="O194" s="44"/>
      <c r="P194" s="44"/>
      <c r="Q194" s="45"/>
      <c r="R194" s="147"/>
      <c r="S194" s="147"/>
      <c r="T194" s="147"/>
      <c r="U194" s="148"/>
      <c r="V194" s="149"/>
      <c r="W194" s="150"/>
      <c r="X194" s="151"/>
      <c r="Y194" s="44"/>
      <c r="Z194" s="44"/>
      <c r="AA194" s="152"/>
      <c r="AB194" s="152"/>
      <c r="AC194" s="152"/>
      <c r="AD194" s="152"/>
      <c r="AE194" s="152"/>
      <c r="AF194" s="152"/>
      <c r="AG194" s="152"/>
      <c r="AH194" s="44"/>
      <c r="AI194" s="44"/>
      <c r="AJ194" s="44"/>
      <c r="AK194" s="44"/>
      <c r="AL194" s="44"/>
      <c r="AM194" s="44"/>
      <c r="AN194" s="44"/>
    </row>
    <row r="195" spans="1:40">
      <c r="A195" s="44"/>
      <c r="B195" s="44"/>
      <c r="C195" s="44"/>
      <c r="D195" s="44"/>
      <c r="E195" s="44"/>
      <c r="F195" s="43"/>
      <c r="G195" s="44"/>
      <c r="H195" s="45"/>
      <c r="I195" s="44"/>
      <c r="J195" s="44"/>
      <c r="K195" s="143"/>
      <c r="L195" s="144"/>
      <c r="M195" s="143"/>
      <c r="N195" s="143"/>
      <c r="O195" s="44"/>
      <c r="P195" s="44"/>
      <c r="Q195" s="45"/>
      <c r="R195" s="147"/>
      <c r="S195" s="147"/>
      <c r="T195" s="147"/>
      <c r="U195" s="148"/>
      <c r="V195" s="149"/>
      <c r="W195" s="150"/>
      <c r="X195" s="151"/>
      <c r="Y195" s="44"/>
      <c r="Z195" s="44"/>
      <c r="AA195" s="152"/>
      <c r="AB195" s="152"/>
      <c r="AC195" s="152"/>
      <c r="AD195" s="152"/>
      <c r="AE195" s="152"/>
      <c r="AF195" s="152"/>
      <c r="AG195" s="152"/>
      <c r="AH195" s="44"/>
      <c r="AI195" s="44"/>
      <c r="AJ195" s="44"/>
      <c r="AK195" s="44"/>
      <c r="AL195" s="44"/>
      <c r="AM195" s="44"/>
      <c r="AN195" s="44"/>
    </row>
    <row r="196" spans="1:40">
      <c r="A196" s="44"/>
      <c r="B196" s="44"/>
      <c r="C196" s="44"/>
      <c r="D196" s="44"/>
      <c r="E196" s="44"/>
      <c r="F196" s="43"/>
      <c r="G196" s="44"/>
      <c r="H196" s="45"/>
      <c r="I196" s="44"/>
      <c r="J196" s="44"/>
      <c r="K196" s="143"/>
      <c r="L196" s="144"/>
      <c r="M196" s="143"/>
      <c r="N196" s="143"/>
      <c r="O196" s="44"/>
      <c r="P196" s="44"/>
      <c r="Q196" s="45"/>
      <c r="R196" s="147"/>
      <c r="S196" s="147"/>
      <c r="T196" s="147"/>
      <c r="U196" s="148"/>
      <c r="V196" s="149"/>
      <c r="W196" s="150"/>
      <c r="X196" s="151"/>
      <c r="Y196" s="44"/>
      <c r="Z196" s="44"/>
      <c r="AA196" s="152"/>
      <c r="AB196" s="152"/>
      <c r="AC196" s="152"/>
      <c r="AD196" s="152"/>
      <c r="AE196" s="152"/>
      <c r="AF196" s="152"/>
      <c r="AG196" s="152"/>
      <c r="AH196" s="44"/>
      <c r="AI196" s="44"/>
      <c r="AJ196" s="44"/>
      <c r="AK196" s="44"/>
      <c r="AL196" s="44"/>
      <c r="AM196" s="44"/>
      <c r="AN196" s="44"/>
    </row>
    <row r="197" spans="1:40">
      <c r="A197" s="44"/>
      <c r="B197" s="44"/>
      <c r="C197" s="44"/>
      <c r="D197" s="44"/>
      <c r="E197" s="44"/>
      <c r="F197" s="43"/>
      <c r="G197" s="44"/>
      <c r="H197" s="45"/>
      <c r="I197" s="44"/>
      <c r="J197" s="44"/>
      <c r="K197" s="143"/>
      <c r="L197" s="144"/>
      <c r="M197" s="143"/>
      <c r="N197" s="143"/>
      <c r="O197" s="44"/>
      <c r="P197" s="44"/>
      <c r="Q197" s="45"/>
      <c r="R197" s="147"/>
      <c r="S197" s="147"/>
      <c r="T197" s="147"/>
      <c r="U197" s="148"/>
      <c r="V197" s="149"/>
      <c r="W197" s="150"/>
      <c r="X197" s="151"/>
      <c r="Y197" s="44"/>
      <c r="Z197" s="44"/>
      <c r="AA197" s="152"/>
      <c r="AB197" s="152"/>
      <c r="AC197" s="152"/>
      <c r="AD197" s="152"/>
      <c r="AE197" s="152"/>
      <c r="AF197" s="152"/>
      <c r="AG197" s="152"/>
      <c r="AH197" s="44"/>
      <c r="AI197" s="44"/>
      <c r="AJ197" s="44"/>
      <c r="AK197" s="44"/>
      <c r="AL197" s="44"/>
      <c r="AM197" s="44"/>
      <c r="AN197" s="44"/>
    </row>
    <row r="198" spans="1:40">
      <c r="A198" s="44"/>
      <c r="B198" s="44"/>
      <c r="C198" s="44"/>
      <c r="D198" s="44"/>
      <c r="E198" s="44"/>
      <c r="F198" s="43"/>
      <c r="G198" s="44"/>
      <c r="H198" s="45"/>
      <c r="I198" s="44"/>
      <c r="J198" s="44"/>
      <c r="K198" s="143"/>
      <c r="L198" s="144"/>
      <c r="M198" s="143"/>
      <c r="N198" s="143"/>
      <c r="O198" s="44"/>
      <c r="P198" s="44"/>
      <c r="Q198" s="45"/>
      <c r="R198" s="147"/>
      <c r="S198" s="147"/>
      <c r="T198" s="147"/>
      <c r="U198" s="148"/>
      <c r="V198" s="149"/>
      <c r="W198" s="150"/>
      <c r="X198" s="151"/>
      <c r="Y198" s="44"/>
      <c r="Z198" s="44"/>
      <c r="AA198" s="152"/>
      <c r="AB198" s="152"/>
      <c r="AC198" s="152"/>
      <c r="AD198" s="152"/>
      <c r="AE198" s="152"/>
      <c r="AF198" s="152"/>
      <c r="AG198" s="152"/>
      <c r="AH198" s="44"/>
      <c r="AI198" s="44"/>
      <c r="AJ198" s="44"/>
      <c r="AK198" s="44"/>
      <c r="AL198" s="44"/>
      <c r="AM198" s="44"/>
      <c r="AN198" s="44"/>
    </row>
    <row r="199" spans="1:40">
      <c r="A199" s="44"/>
      <c r="B199" s="44"/>
      <c r="C199" s="44"/>
      <c r="D199" s="44"/>
      <c r="E199" s="44"/>
      <c r="F199" s="43"/>
      <c r="G199" s="44"/>
      <c r="H199" s="45"/>
      <c r="I199" s="44"/>
      <c r="J199" s="44"/>
      <c r="K199" s="143"/>
      <c r="L199" s="144"/>
      <c r="M199" s="143"/>
      <c r="N199" s="143"/>
      <c r="O199" s="44"/>
      <c r="P199" s="44"/>
      <c r="Q199" s="45"/>
      <c r="R199" s="147"/>
      <c r="S199" s="147"/>
      <c r="T199" s="147"/>
      <c r="U199" s="148"/>
      <c r="V199" s="149"/>
      <c r="W199" s="150"/>
      <c r="X199" s="151"/>
      <c r="Y199" s="44"/>
      <c r="Z199" s="44"/>
      <c r="AA199" s="152"/>
      <c r="AB199" s="152"/>
      <c r="AC199" s="152"/>
      <c r="AD199" s="152"/>
      <c r="AE199" s="152"/>
      <c r="AF199" s="152"/>
      <c r="AG199" s="152"/>
      <c r="AH199" s="44"/>
      <c r="AI199" s="44"/>
      <c r="AJ199" s="44"/>
      <c r="AK199" s="44"/>
      <c r="AL199" s="44"/>
      <c r="AM199" s="44"/>
      <c r="AN199" s="44"/>
    </row>
    <row r="200" spans="1:40">
      <c r="A200" s="63"/>
      <c r="B200" s="63"/>
      <c r="C200" s="44"/>
      <c r="D200" s="44"/>
      <c r="E200" s="44"/>
      <c r="F200" s="43"/>
      <c r="G200" s="44"/>
      <c r="H200" s="45"/>
      <c r="I200" s="44"/>
      <c r="J200" s="44"/>
      <c r="K200" s="143"/>
      <c r="L200" s="144"/>
      <c r="M200" s="143"/>
      <c r="N200" s="143"/>
      <c r="O200" s="44"/>
      <c r="P200" s="173"/>
      <c r="Q200" s="45"/>
      <c r="R200" s="44"/>
      <c r="S200" s="44"/>
      <c r="T200" s="44"/>
      <c r="U200" s="44"/>
      <c r="V200" s="44"/>
      <c r="W200" s="44"/>
      <c r="X200" s="151"/>
      <c r="Y200" s="44"/>
      <c r="Z200" s="44"/>
      <c r="AA200" s="44"/>
      <c r="AB200" s="44"/>
      <c r="AC200" s="165"/>
      <c r="AD200" s="165"/>
      <c r="AE200" s="165"/>
      <c r="AF200" s="165"/>
      <c r="AG200" s="165"/>
      <c r="AH200" s="44"/>
      <c r="AI200" s="44"/>
      <c r="AJ200" s="44"/>
      <c r="AK200" s="44"/>
      <c r="AL200" s="44"/>
      <c r="AM200" s="44"/>
      <c r="AN200" s="44"/>
    </row>
    <row r="201" spans="1:40">
      <c r="A201" s="63"/>
      <c r="B201" s="63"/>
      <c r="C201" s="44"/>
      <c r="D201" s="44"/>
      <c r="E201" s="44"/>
      <c r="F201" s="44"/>
      <c r="G201" s="63"/>
      <c r="H201" s="58"/>
      <c r="I201" s="44"/>
      <c r="J201" s="44"/>
      <c r="K201" s="143"/>
      <c r="L201" s="144"/>
      <c r="M201" s="143"/>
      <c r="N201" s="143"/>
      <c r="O201" s="155"/>
      <c r="P201" s="158"/>
      <c r="Q201" s="45"/>
      <c r="R201" s="159"/>
      <c r="S201" s="159"/>
      <c r="T201" s="159"/>
      <c r="U201" s="148"/>
      <c r="V201" s="149"/>
      <c r="W201" s="150"/>
      <c r="X201" s="151"/>
      <c r="Y201" s="44"/>
      <c r="Z201" s="44"/>
      <c r="AA201" s="152"/>
      <c r="AB201" s="152"/>
      <c r="AC201" s="152"/>
      <c r="AD201" s="152"/>
      <c r="AE201" s="152"/>
      <c r="AF201" s="152"/>
      <c r="AG201" s="152"/>
      <c r="AH201" s="44"/>
      <c r="AI201" s="44"/>
      <c r="AJ201" s="44"/>
      <c r="AK201" s="44"/>
      <c r="AL201" s="44"/>
      <c r="AM201" s="44"/>
      <c r="AN201" s="44"/>
    </row>
    <row r="202" spans="1:40">
      <c r="A202" s="63"/>
      <c r="B202" s="63"/>
      <c r="C202" s="44"/>
      <c r="D202" s="44"/>
      <c r="E202" s="44"/>
      <c r="F202" s="44"/>
      <c r="G202" s="63"/>
      <c r="H202" s="58"/>
      <c r="I202" s="44"/>
      <c r="J202" s="44"/>
      <c r="K202" s="143"/>
      <c r="L202" s="144"/>
      <c r="M202" s="143"/>
      <c r="N202" s="143"/>
      <c r="O202" s="155"/>
      <c r="P202" s="158"/>
      <c r="Q202" s="45"/>
      <c r="R202" s="159"/>
      <c r="S202" s="159"/>
      <c r="T202" s="159"/>
      <c r="U202" s="148"/>
      <c r="V202" s="149"/>
      <c r="W202" s="150"/>
      <c r="X202" s="151"/>
      <c r="Y202" s="44"/>
      <c r="Z202" s="44"/>
      <c r="AA202" s="152"/>
      <c r="AB202" s="152"/>
      <c r="AC202" s="152"/>
      <c r="AD202" s="152"/>
      <c r="AE202" s="152"/>
      <c r="AF202" s="152"/>
      <c r="AG202" s="152"/>
      <c r="AH202" s="44"/>
      <c r="AI202" s="44"/>
      <c r="AJ202" s="44"/>
      <c r="AK202" s="44"/>
      <c r="AL202" s="44"/>
      <c r="AM202" s="44"/>
      <c r="AN202" s="44"/>
    </row>
    <row r="203" spans="1:40">
      <c r="A203" s="63"/>
      <c r="B203" s="63"/>
      <c r="C203" s="44"/>
      <c r="D203" s="44"/>
      <c r="E203" s="44"/>
      <c r="F203" s="44"/>
      <c r="G203" s="63"/>
      <c r="H203" s="58"/>
      <c r="I203" s="44"/>
      <c r="J203" s="44"/>
      <c r="K203" s="143"/>
      <c r="L203" s="144"/>
      <c r="M203" s="143"/>
      <c r="N203" s="143"/>
      <c r="O203" s="155"/>
      <c r="P203" s="158"/>
      <c r="Q203" s="45"/>
      <c r="R203" s="159"/>
      <c r="S203" s="159"/>
      <c r="T203" s="159"/>
      <c r="U203" s="148"/>
      <c r="V203" s="149"/>
      <c r="W203" s="150"/>
      <c r="X203" s="163"/>
      <c r="Y203" s="63"/>
      <c r="Z203" s="63"/>
      <c r="AA203" s="152"/>
      <c r="AB203" s="152"/>
      <c r="AC203" s="152"/>
      <c r="AD203" s="152"/>
      <c r="AE203" s="152"/>
      <c r="AF203" s="152"/>
      <c r="AG203" s="152"/>
      <c r="AH203" s="44"/>
      <c r="AI203" s="44"/>
      <c r="AJ203" s="44"/>
      <c r="AK203" s="44"/>
      <c r="AL203" s="44"/>
      <c r="AM203" s="44"/>
      <c r="AN203" s="44"/>
    </row>
    <row r="204" spans="1:40">
      <c r="A204" s="63"/>
      <c r="B204" s="63"/>
      <c r="C204" s="44"/>
      <c r="D204" s="44"/>
      <c r="E204" s="44"/>
      <c r="F204" s="44"/>
      <c r="G204" s="63"/>
      <c r="H204" s="58"/>
      <c r="I204" s="44"/>
      <c r="J204" s="44"/>
      <c r="K204" s="143"/>
      <c r="L204" s="144"/>
      <c r="M204" s="143"/>
      <c r="N204" s="143"/>
      <c r="O204" s="155"/>
      <c r="P204" s="158"/>
      <c r="Q204" s="45"/>
      <c r="R204" s="159"/>
      <c r="S204" s="159"/>
      <c r="T204" s="159"/>
      <c r="U204" s="148"/>
      <c r="V204" s="149"/>
      <c r="W204" s="150"/>
      <c r="X204" s="151"/>
      <c r="Y204" s="44"/>
      <c r="Z204" s="44"/>
      <c r="AA204" s="152"/>
      <c r="AB204" s="152"/>
      <c r="AC204" s="152"/>
      <c r="AD204" s="152"/>
      <c r="AE204" s="152"/>
      <c r="AF204" s="152"/>
      <c r="AG204" s="152"/>
      <c r="AH204" s="44"/>
      <c r="AI204" s="44"/>
      <c r="AJ204" s="44"/>
      <c r="AK204" s="44"/>
      <c r="AL204" s="44"/>
      <c r="AM204" s="44"/>
      <c r="AN204" s="44"/>
    </row>
    <row r="205" spans="1:40">
      <c r="A205" s="63"/>
      <c r="B205" s="63"/>
      <c r="C205" s="44"/>
      <c r="D205" s="44"/>
      <c r="E205" s="44"/>
      <c r="F205" s="44"/>
      <c r="G205" s="63"/>
      <c r="H205" s="58"/>
      <c r="I205" s="44"/>
      <c r="J205" s="44"/>
      <c r="K205" s="143"/>
      <c r="L205" s="144"/>
      <c r="M205" s="143"/>
      <c r="N205" s="143"/>
      <c r="O205" s="155"/>
      <c r="P205" s="158"/>
      <c r="Q205" s="45"/>
      <c r="R205" s="159"/>
      <c r="S205" s="159"/>
      <c r="T205" s="159"/>
      <c r="U205" s="148"/>
      <c r="V205" s="149"/>
      <c r="W205" s="150"/>
      <c r="X205" s="151"/>
      <c r="Y205" s="44"/>
      <c r="Z205" s="44"/>
      <c r="AA205" s="152"/>
      <c r="AB205" s="152"/>
      <c r="AC205" s="152"/>
      <c r="AD205" s="152"/>
      <c r="AE205" s="152"/>
      <c r="AF205" s="152"/>
      <c r="AG205" s="152"/>
      <c r="AH205" s="44"/>
      <c r="AI205" s="44"/>
      <c r="AJ205" s="44"/>
      <c r="AK205" s="44"/>
      <c r="AL205" s="44"/>
      <c r="AM205" s="44"/>
      <c r="AN205" s="44"/>
    </row>
    <row r="206" spans="1:40">
      <c r="A206" s="63"/>
      <c r="B206" s="63"/>
      <c r="C206" s="44"/>
      <c r="D206" s="44"/>
      <c r="E206" s="44"/>
      <c r="F206" s="44"/>
      <c r="G206" s="63"/>
      <c r="H206" s="58"/>
      <c r="I206" s="44"/>
      <c r="J206" s="44"/>
      <c r="K206" s="143"/>
      <c r="L206" s="144"/>
      <c r="M206" s="143"/>
      <c r="N206" s="143"/>
      <c r="O206" s="155"/>
      <c r="P206" s="158"/>
      <c r="Q206" s="45"/>
      <c r="R206" s="159"/>
      <c r="S206" s="159"/>
      <c r="T206" s="159"/>
      <c r="U206" s="148"/>
      <c r="V206" s="149"/>
      <c r="W206" s="150"/>
      <c r="X206" s="151"/>
      <c r="Y206" s="44"/>
      <c r="Z206" s="44"/>
      <c r="AA206" s="152"/>
      <c r="AB206" s="152"/>
      <c r="AC206" s="152"/>
      <c r="AD206" s="152"/>
      <c r="AE206" s="152"/>
      <c r="AF206" s="152"/>
      <c r="AG206" s="152"/>
      <c r="AH206" s="44"/>
      <c r="AI206" s="44"/>
      <c r="AJ206" s="44"/>
      <c r="AK206" s="44"/>
      <c r="AL206" s="44"/>
      <c r="AM206" s="44"/>
      <c r="AN206" s="44"/>
    </row>
    <row r="207" spans="1:40">
      <c r="A207" s="63"/>
      <c r="B207" s="63"/>
      <c r="C207" s="44"/>
      <c r="D207" s="44"/>
      <c r="E207" s="44"/>
      <c r="F207" s="44"/>
      <c r="G207" s="63"/>
      <c r="H207" s="58"/>
      <c r="I207" s="44"/>
      <c r="J207" s="44"/>
      <c r="K207" s="143"/>
      <c r="L207" s="144"/>
      <c r="M207" s="143"/>
      <c r="N207" s="143"/>
      <c r="O207" s="155"/>
      <c r="P207" s="158"/>
      <c r="Q207" s="45"/>
      <c r="R207" s="159"/>
      <c r="S207" s="159"/>
      <c r="T207" s="159"/>
      <c r="U207" s="148"/>
      <c r="V207" s="149"/>
      <c r="W207" s="150"/>
      <c r="X207" s="151"/>
      <c r="Y207" s="44"/>
      <c r="Z207" s="44"/>
      <c r="AA207" s="152"/>
      <c r="AB207" s="152"/>
      <c r="AC207" s="152"/>
      <c r="AD207" s="152"/>
      <c r="AE207" s="152"/>
      <c r="AF207" s="152"/>
      <c r="AG207" s="152"/>
      <c r="AH207" s="44"/>
      <c r="AI207" s="44"/>
      <c r="AJ207" s="44"/>
      <c r="AK207" s="44"/>
      <c r="AL207" s="44"/>
      <c r="AM207" s="44"/>
      <c r="AN207" s="44"/>
    </row>
    <row r="208" spans="1:40">
      <c r="A208" s="44"/>
      <c r="B208" s="44"/>
      <c r="C208" s="44"/>
      <c r="D208" s="44"/>
      <c r="E208" s="44"/>
      <c r="F208" s="43"/>
      <c r="G208" s="44"/>
      <c r="H208" s="45"/>
      <c r="I208" s="44"/>
      <c r="J208" s="44"/>
      <c r="K208" s="143"/>
      <c r="L208" s="144"/>
      <c r="M208" s="143"/>
      <c r="N208" s="143"/>
      <c r="O208" s="44"/>
      <c r="P208" s="44"/>
      <c r="Q208" s="45"/>
      <c r="R208" s="147"/>
      <c r="S208" s="147"/>
      <c r="T208" s="147"/>
      <c r="U208" s="148"/>
      <c r="V208" s="149"/>
      <c r="W208" s="150"/>
      <c r="X208" s="151"/>
      <c r="Y208" s="44"/>
      <c r="Z208" s="44"/>
      <c r="AA208" s="152"/>
      <c r="AB208" s="152"/>
      <c r="AC208" s="152"/>
      <c r="AD208" s="152"/>
      <c r="AE208" s="152"/>
      <c r="AF208" s="152"/>
      <c r="AG208" s="152"/>
      <c r="AH208" s="44"/>
      <c r="AI208" s="44"/>
      <c r="AJ208" s="44"/>
      <c r="AK208" s="44"/>
      <c r="AL208" s="44"/>
      <c r="AM208" s="44"/>
      <c r="AN208" s="44"/>
    </row>
    <row r="209" spans="1:40">
      <c r="A209" s="44"/>
      <c r="B209" s="44"/>
      <c r="C209" s="44"/>
      <c r="D209" s="44"/>
      <c r="E209" s="44"/>
      <c r="F209" s="43"/>
      <c r="G209" s="44"/>
      <c r="H209" s="45"/>
      <c r="I209" s="44"/>
      <c r="J209" s="44"/>
      <c r="K209" s="143"/>
      <c r="L209" s="144"/>
      <c r="M209" s="143"/>
      <c r="N209" s="143"/>
      <c r="O209" s="44"/>
      <c r="P209" s="44"/>
      <c r="Q209" s="45"/>
      <c r="R209" s="147"/>
      <c r="S209" s="147"/>
      <c r="T209" s="147"/>
      <c r="U209" s="148"/>
      <c r="V209" s="149"/>
      <c r="W209" s="150"/>
      <c r="X209" s="151"/>
      <c r="Y209" s="44"/>
      <c r="Z209" s="44"/>
      <c r="AA209" s="152"/>
      <c r="AB209" s="152"/>
      <c r="AC209" s="152"/>
      <c r="AD209" s="152"/>
      <c r="AE209" s="152"/>
      <c r="AF209" s="152"/>
      <c r="AG209" s="152"/>
      <c r="AH209" s="44"/>
      <c r="AI209" s="44"/>
      <c r="AJ209" s="44"/>
      <c r="AK209" s="44"/>
      <c r="AL209" s="44"/>
      <c r="AM209" s="44"/>
      <c r="AN209" s="44"/>
    </row>
    <row r="210" spans="1:40">
      <c r="A210" s="44"/>
      <c r="B210" s="63"/>
      <c r="C210" s="44"/>
      <c r="D210" s="63"/>
      <c r="E210" s="44"/>
      <c r="F210" s="43"/>
      <c r="G210" s="44"/>
      <c r="H210" s="45"/>
      <c r="I210" s="44"/>
      <c r="J210" s="44"/>
      <c r="K210" s="143"/>
      <c r="L210" s="144"/>
      <c r="M210" s="143"/>
      <c r="N210" s="143"/>
      <c r="O210" s="44"/>
      <c r="P210" s="195"/>
      <c r="Q210" s="45"/>
      <c r="R210" s="147"/>
      <c r="S210" s="147"/>
      <c r="T210" s="147"/>
      <c r="U210" s="148"/>
      <c r="V210" s="149"/>
      <c r="W210" s="150"/>
      <c r="X210" s="151"/>
      <c r="Y210" s="44"/>
      <c r="Z210" s="44"/>
      <c r="AA210" s="152"/>
      <c r="AB210" s="152"/>
      <c r="AC210" s="152"/>
      <c r="AD210" s="152"/>
      <c r="AE210" s="152"/>
      <c r="AF210" s="152"/>
      <c r="AG210" s="152"/>
      <c r="AH210" s="44"/>
      <c r="AI210" s="44"/>
      <c r="AJ210" s="44"/>
      <c r="AK210" s="44"/>
      <c r="AL210" s="44"/>
      <c r="AM210" s="44"/>
      <c r="AN210" s="44"/>
    </row>
    <row r="211" spans="1:40">
      <c r="A211" s="190"/>
      <c r="B211" s="63"/>
      <c r="C211" s="44"/>
      <c r="D211" s="63"/>
      <c r="E211" s="44"/>
      <c r="F211" s="44"/>
      <c r="G211" s="63"/>
      <c r="H211" s="44"/>
      <c r="I211" s="44"/>
      <c r="J211" s="44"/>
      <c r="K211" s="143"/>
      <c r="L211" s="44"/>
      <c r="M211" s="143"/>
      <c r="N211" s="143"/>
      <c r="O211" s="155"/>
      <c r="P211" s="195"/>
      <c r="Q211" s="45"/>
      <c r="R211" s="147"/>
      <c r="S211" s="147"/>
      <c r="T211" s="147"/>
      <c r="U211" s="148"/>
      <c r="V211" s="149"/>
      <c r="W211" s="150"/>
      <c r="X211" s="151"/>
      <c r="Y211" s="44"/>
      <c r="Z211" s="44"/>
      <c r="AA211" s="152"/>
      <c r="AB211" s="152"/>
      <c r="AC211" s="152"/>
      <c r="AD211" s="152"/>
      <c r="AE211" s="152"/>
      <c r="AF211" s="152"/>
      <c r="AG211" s="152"/>
      <c r="AH211" s="44"/>
      <c r="AI211" s="44"/>
      <c r="AJ211" s="44"/>
      <c r="AK211" s="44"/>
      <c r="AL211" s="44"/>
      <c r="AM211" s="44"/>
      <c r="AN211" s="44"/>
    </row>
    <row r="212" spans="1:40">
      <c r="A212" s="190"/>
      <c r="B212" s="63"/>
      <c r="C212" s="44"/>
      <c r="D212" s="63"/>
      <c r="E212" s="44"/>
      <c r="F212" s="44"/>
      <c r="G212" s="63"/>
      <c r="H212" s="63"/>
      <c r="I212" s="44"/>
      <c r="J212" s="44"/>
      <c r="K212" s="143"/>
      <c r="L212" s="44"/>
      <c r="M212" s="143"/>
      <c r="N212" s="143"/>
      <c r="O212" s="155"/>
      <c r="P212" s="195"/>
      <c r="Q212" s="45"/>
      <c r="R212" s="147"/>
      <c r="S212" s="147"/>
      <c r="T212" s="147"/>
      <c r="U212" s="148"/>
      <c r="V212" s="149"/>
      <c r="W212" s="150"/>
      <c r="X212" s="151"/>
      <c r="Y212" s="44"/>
      <c r="Z212" s="44"/>
      <c r="AA212" s="152"/>
      <c r="AB212" s="152"/>
      <c r="AC212" s="152"/>
      <c r="AD212" s="152"/>
      <c r="AE212" s="152"/>
      <c r="AF212" s="152"/>
      <c r="AG212" s="152"/>
      <c r="AH212" s="44"/>
      <c r="AI212" s="44"/>
      <c r="AJ212" s="44"/>
      <c r="AK212" s="44"/>
      <c r="AL212" s="44"/>
      <c r="AM212" s="44"/>
      <c r="AN212" s="44"/>
    </row>
    <row r="213" spans="1:40">
      <c r="A213" s="190"/>
      <c r="B213" s="63"/>
      <c r="C213" s="44"/>
      <c r="D213" s="63"/>
      <c r="E213" s="44"/>
      <c r="F213" s="44"/>
      <c r="G213" s="63"/>
      <c r="H213" s="44"/>
      <c r="I213" s="44"/>
      <c r="J213" s="44"/>
      <c r="K213" s="143"/>
      <c r="L213" s="44"/>
      <c r="M213" s="143"/>
      <c r="N213" s="143"/>
      <c r="O213" s="155"/>
      <c r="P213" s="195"/>
      <c r="Q213" s="45"/>
      <c r="R213" s="147"/>
      <c r="S213" s="147"/>
      <c r="T213" s="147"/>
      <c r="U213" s="148"/>
      <c r="V213" s="149"/>
      <c r="W213" s="150"/>
      <c r="X213" s="151"/>
      <c r="Y213" s="44"/>
      <c r="Z213" s="44"/>
      <c r="AA213" s="152"/>
      <c r="AB213" s="152"/>
      <c r="AC213" s="152"/>
      <c r="AD213" s="152"/>
      <c r="AE213" s="152"/>
      <c r="AF213" s="152"/>
      <c r="AG213" s="152"/>
      <c r="AH213" s="44"/>
      <c r="AI213" s="44"/>
      <c r="AJ213" s="44"/>
      <c r="AK213" s="44"/>
      <c r="AL213" s="44"/>
      <c r="AM213" s="44"/>
      <c r="AN213" s="44"/>
    </row>
    <row r="214" spans="1:40">
      <c r="A214" s="190"/>
      <c r="B214" s="63"/>
      <c r="C214" s="44"/>
      <c r="D214" s="63"/>
      <c r="E214" s="44"/>
      <c r="F214" s="44"/>
      <c r="G214" s="63"/>
      <c r="H214" s="44"/>
      <c r="I214" s="44"/>
      <c r="J214" s="44"/>
      <c r="K214" s="143"/>
      <c r="L214" s="44"/>
      <c r="M214" s="143"/>
      <c r="N214" s="143"/>
      <c r="O214" s="155"/>
      <c r="P214" s="195"/>
      <c r="Q214" s="45"/>
      <c r="R214" s="147"/>
      <c r="S214" s="147"/>
      <c r="T214" s="147"/>
      <c r="U214" s="148"/>
      <c r="V214" s="149"/>
      <c r="W214" s="150"/>
      <c r="X214" s="151"/>
      <c r="Y214" s="44"/>
      <c r="Z214" s="44"/>
      <c r="AA214" s="152"/>
      <c r="AB214" s="152"/>
      <c r="AC214" s="152"/>
      <c r="AD214" s="152"/>
      <c r="AE214" s="152"/>
      <c r="AF214" s="152"/>
      <c r="AG214" s="152"/>
      <c r="AH214" s="44"/>
      <c r="AI214" s="44"/>
      <c r="AJ214" s="44"/>
      <c r="AK214" s="44"/>
      <c r="AL214" s="44"/>
      <c r="AM214" s="44"/>
      <c r="AN214" s="44"/>
    </row>
    <row r="215" spans="1:40">
      <c r="A215" s="190"/>
      <c r="B215" s="196"/>
      <c r="C215" s="44"/>
      <c r="D215" s="196"/>
      <c r="E215" s="44"/>
      <c r="F215" s="44"/>
      <c r="G215" s="63"/>
      <c r="H215" s="44"/>
      <c r="I215" s="44"/>
      <c r="J215" s="44"/>
      <c r="K215" s="143"/>
      <c r="L215" s="44"/>
      <c r="M215" s="143"/>
      <c r="N215" s="143"/>
      <c r="O215" s="155"/>
      <c r="P215" s="195"/>
      <c r="Q215" s="45"/>
      <c r="R215" s="147"/>
      <c r="S215" s="147"/>
      <c r="T215" s="147"/>
      <c r="U215" s="148"/>
      <c r="V215" s="149"/>
      <c r="W215" s="150"/>
      <c r="X215" s="151"/>
      <c r="Y215" s="44"/>
      <c r="Z215" s="44"/>
      <c r="AA215" s="152"/>
      <c r="AB215" s="152"/>
      <c r="AC215" s="152"/>
      <c r="AD215" s="152"/>
      <c r="AE215" s="152"/>
      <c r="AF215" s="152"/>
      <c r="AG215" s="152"/>
      <c r="AH215" s="44"/>
      <c r="AI215" s="44"/>
      <c r="AJ215" s="44"/>
      <c r="AK215" s="44"/>
      <c r="AL215" s="44"/>
      <c r="AM215" s="44"/>
      <c r="AN215" s="44"/>
    </row>
    <row r="216" spans="1:40">
      <c r="A216" s="190"/>
      <c r="B216" s="196"/>
      <c r="C216" s="44"/>
      <c r="D216" s="196"/>
      <c r="E216" s="44"/>
      <c r="F216" s="44"/>
      <c r="G216" s="63"/>
      <c r="H216" s="63"/>
      <c r="I216" s="44"/>
      <c r="J216" s="44"/>
      <c r="K216" s="143"/>
      <c r="L216" s="44"/>
      <c r="M216" s="143"/>
      <c r="N216" s="143"/>
      <c r="O216" s="155"/>
      <c r="P216" s="195"/>
      <c r="Q216" s="45"/>
      <c r="R216" s="147"/>
      <c r="S216" s="147"/>
      <c r="T216" s="147"/>
      <c r="U216" s="148"/>
      <c r="V216" s="149"/>
      <c r="W216" s="150"/>
      <c r="X216" s="151"/>
      <c r="Y216" s="44"/>
      <c r="Z216" s="44"/>
      <c r="AA216" s="152"/>
      <c r="AB216" s="152"/>
      <c r="AC216" s="152"/>
      <c r="AD216" s="152"/>
      <c r="AE216" s="152"/>
      <c r="AF216" s="152"/>
      <c r="AG216" s="152"/>
      <c r="AH216" s="44"/>
      <c r="AI216" s="44"/>
      <c r="AJ216" s="44"/>
      <c r="AK216" s="44"/>
      <c r="AL216" s="44"/>
      <c r="AM216" s="44"/>
      <c r="AN216" s="44"/>
    </row>
    <row r="217" spans="1:40">
      <c r="A217" s="190"/>
      <c r="B217" s="196"/>
      <c r="C217" s="44"/>
      <c r="D217" s="196"/>
      <c r="E217" s="44"/>
      <c r="F217" s="44"/>
      <c r="G217" s="63"/>
      <c r="H217" s="44"/>
      <c r="I217" s="44"/>
      <c r="J217" s="44"/>
      <c r="K217" s="143"/>
      <c r="L217" s="44"/>
      <c r="M217" s="143"/>
      <c r="N217" s="143"/>
      <c r="O217" s="155"/>
      <c r="P217" s="195"/>
      <c r="Q217" s="45"/>
      <c r="R217" s="147"/>
      <c r="S217" s="147"/>
      <c r="T217" s="147"/>
      <c r="U217" s="148"/>
      <c r="V217" s="149"/>
      <c r="W217" s="150"/>
      <c r="X217" s="151"/>
      <c r="Y217" s="44"/>
      <c r="Z217" s="44"/>
      <c r="AA217" s="152"/>
      <c r="AB217" s="152"/>
      <c r="AC217" s="152"/>
      <c r="AD217" s="152"/>
      <c r="AE217" s="152"/>
      <c r="AF217" s="152"/>
      <c r="AG217" s="152"/>
      <c r="AH217" s="44"/>
      <c r="AI217" s="44"/>
      <c r="AJ217" s="44"/>
      <c r="AK217" s="44"/>
      <c r="AL217" s="44"/>
      <c r="AM217" s="44"/>
      <c r="AN217" s="44"/>
    </row>
    <row r="218" spans="1:40">
      <c r="A218" s="190"/>
      <c r="B218" s="196"/>
      <c r="C218" s="44"/>
      <c r="D218" s="196"/>
      <c r="E218" s="44"/>
      <c r="F218" s="44"/>
      <c r="G218" s="63"/>
      <c r="H218" s="63"/>
      <c r="I218" s="44"/>
      <c r="J218" s="44"/>
      <c r="K218" s="143"/>
      <c r="L218" s="44"/>
      <c r="M218" s="143"/>
      <c r="N218" s="143"/>
      <c r="O218" s="155"/>
      <c r="P218" s="195"/>
      <c r="Q218" s="45"/>
      <c r="R218" s="147"/>
      <c r="S218" s="147"/>
      <c r="T218" s="147"/>
      <c r="U218" s="148"/>
      <c r="V218" s="149"/>
      <c r="W218" s="150"/>
      <c r="X218" s="151"/>
      <c r="Y218" s="44"/>
      <c r="Z218" s="44"/>
      <c r="AA218" s="152"/>
      <c r="AB218" s="152"/>
      <c r="AC218" s="152"/>
      <c r="AD218" s="152"/>
      <c r="AE218" s="152"/>
      <c r="AF218" s="152"/>
      <c r="AG218" s="152"/>
      <c r="AH218" s="44"/>
      <c r="AI218" s="44"/>
      <c r="AJ218" s="44"/>
      <c r="AK218" s="44"/>
      <c r="AL218" s="44"/>
      <c r="AM218" s="44"/>
      <c r="AN218" s="44"/>
    </row>
    <row r="219" spans="1:40">
      <c r="A219" s="190"/>
      <c r="B219" s="196"/>
      <c r="C219" s="44"/>
      <c r="D219" s="196"/>
      <c r="E219" s="44"/>
      <c r="F219" s="44"/>
      <c r="G219" s="63"/>
      <c r="H219" s="44"/>
      <c r="I219" s="44"/>
      <c r="J219" s="44"/>
      <c r="K219" s="143"/>
      <c r="L219" s="44"/>
      <c r="M219" s="143"/>
      <c r="N219" s="143"/>
      <c r="O219" s="155"/>
      <c r="P219" s="195"/>
      <c r="Q219" s="45"/>
      <c r="R219" s="147"/>
      <c r="S219" s="147"/>
      <c r="T219" s="147"/>
      <c r="U219" s="148"/>
      <c r="V219" s="149"/>
      <c r="W219" s="150"/>
      <c r="X219" s="151"/>
      <c r="Y219" s="44"/>
      <c r="Z219" s="44"/>
      <c r="AA219" s="152"/>
      <c r="AB219" s="152"/>
      <c r="AC219" s="152"/>
      <c r="AD219" s="152"/>
      <c r="AE219" s="152"/>
      <c r="AF219" s="152"/>
      <c r="AG219" s="152"/>
      <c r="AH219" s="44"/>
      <c r="AI219" s="44"/>
      <c r="AJ219" s="44"/>
      <c r="AK219" s="44"/>
      <c r="AL219" s="44"/>
      <c r="AM219" s="44"/>
      <c r="AN219" s="44"/>
    </row>
    <row r="220" spans="1:40">
      <c r="A220" s="190"/>
      <c r="B220" s="196"/>
      <c r="C220" s="44"/>
      <c r="D220" s="196"/>
      <c r="E220" s="44"/>
      <c r="F220" s="44"/>
      <c r="G220" s="63"/>
      <c r="H220" s="44"/>
      <c r="I220" s="44"/>
      <c r="J220" s="44"/>
      <c r="K220" s="143"/>
      <c r="L220" s="44"/>
      <c r="M220" s="143"/>
      <c r="N220" s="143"/>
      <c r="O220" s="155"/>
      <c r="P220" s="195"/>
      <c r="Q220" s="45"/>
      <c r="R220" s="147"/>
      <c r="S220" s="147"/>
      <c r="T220" s="147"/>
      <c r="U220" s="148"/>
      <c r="V220" s="149"/>
      <c r="W220" s="150"/>
      <c r="X220" s="151"/>
      <c r="Y220" s="44"/>
      <c r="Z220" s="44"/>
      <c r="AA220" s="152"/>
      <c r="AB220" s="152"/>
      <c r="AC220" s="152"/>
      <c r="AD220" s="152"/>
      <c r="AE220" s="152"/>
      <c r="AF220" s="152"/>
      <c r="AG220" s="152"/>
      <c r="AH220" s="44"/>
      <c r="AI220" s="44"/>
      <c r="AJ220" s="44"/>
      <c r="AK220" s="44"/>
      <c r="AL220" s="44"/>
      <c r="AM220" s="44"/>
      <c r="AN220" s="44"/>
    </row>
    <row r="221" spans="1:40">
      <c r="A221" s="44"/>
      <c r="B221" s="44"/>
      <c r="C221" s="44"/>
      <c r="D221" s="44"/>
      <c r="E221" s="44"/>
      <c r="F221" s="43"/>
      <c r="G221" s="44"/>
      <c r="H221" s="45"/>
      <c r="I221" s="44"/>
      <c r="J221" s="44"/>
      <c r="K221" s="143"/>
      <c r="L221" s="144"/>
      <c r="M221" s="143"/>
      <c r="N221" s="143"/>
      <c r="O221" s="44"/>
      <c r="P221" s="44"/>
      <c r="Q221" s="45"/>
      <c r="R221" s="147"/>
      <c r="S221" s="147"/>
      <c r="T221" s="147"/>
      <c r="U221" s="148"/>
      <c r="V221" s="149"/>
      <c r="W221" s="150"/>
      <c r="X221" s="151"/>
      <c r="Y221" s="44"/>
      <c r="Z221" s="44"/>
      <c r="AA221" s="152"/>
      <c r="AB221" s="152"/>
      <c r="AC221" s="152"/>
      <c r="AD221" s="152"/>
      <c r="AE221" s="152"/>
      <c r="AF221" s="152"/>
      <c r="AG221" s="152"/>
      <c r="AH221" s="44"/>
      <c r="AI221" s="44"/>
      <c r="AJ221" s="44"/>
      <c r="AK221" s="44"/>
      <c r="AL221" s="44"/>
      <c r="AM221" s="44"/>
      <c r="AN221" s="44"/>
    </row>
    <row r="222" spans="1:40">
      <c r="A222" s="44"/>
      <c r="B222" s="44"/>
      <c r="C222" s="44"/>
      <c r="D222" s="44"/>
      <c r="E222" s="44"/>
      <c r="F222" s="43"/>
      <c r="G222" s="44"/>
      <c r="H222" s="45"/>
      <c r="I222" s="44"/>
      <c r="J222" s="44"/>
      <c r="K222" s="143"/>
      <c r="L222" s="144"/>
      <c r="M222" s="143"/>
      <c r="N222" s="143"/>
      <c r="O222" s="44"/>
      <c r="P222" s="44"/>
      <c r="Q222" s="45"/>
      <c r="R222" s="147"/>
      <c r="S222" s="147"/>
      <c r="T222" s="147"/>
      <c r="U222" s="148"/>
      <c r="V222" s="149"/>
      <c r="W222" s="150"/>
      <c r="X222" s="151"/>
      <c r="Y222" s="44"/>
      <c r="Z222" s="44"/>
      <c r="AA222" s="152"/>
      <c r="AB222" s="152"/>
      <c r="AC222" s="152"/>
      <c r="AD222" s="152"/>
      <c r="AE222" s="152"/>
      <c r="AF222" s="152"/>
      <c r="AG222" s="152"/>
      <c r="AH222" s="44"/>
      <c r="AI222" s="44"/>
      <c r="AJ222" s="44"/>
      <c r="AK222" s="44"/>
      <c r="AL222" s="44"/>
      <c r="AM222" s="44"/>
      <c r="AN222" s="44"/>
    </row>
    <row r="223" spans="1:40">
      <c r="A223" s="44"/>
      <c r="B223" s="44"/>
      <c r="C223" s="44"/>
      <c r="D223" s="44"/>
      <c r="E223" s="44"/>
      <c r="F223" s="43"/>
      <c r="G223" s="44"/>
      <c r="H223" s="45"/>
      <c r="I223" s="44"/>
      <c r="J223" s="44"/>
      <c r="K223" s="143"/>
      <c r="L223" s="144"/>
      <c r="M223" s="143"/>
      <c r="N223" s="143"/>
      <c r="O223" s="44"/>
      <c r="P223" s="44"/>
      <c r="Q223" s="45"/>
      <c r="R223" s="147"/>
      <c r="S223" s="147"/>
      <c r="T223" s="147"/>
      <c r="U223" s="148"/>
      <c r="V223" s="149"/>
      <c r="W223" s="150"/>
      <c r="X223" s="151"/>
      <c r="Y223" s="44"/>
      <c r="Z223" s="44"/>
      <c r="AA223" s="152"/>
      <c r="AB223" s="152"/>
      <c r="AC223" s="152"/>
      <c r="AD223" s="152"/>
      <c r="AE223" s="152"/>
      <c r="AF223" s="152"/>
      <c r="AG223" s="152"/>
      <c r="AH223" s="44"/>
      <c r="AI223" s="44"/>
      <c r="AJ223" s="44"/>
      <c r="AK223" s="44"/>
      <c r="AL223" s="44"/>
      <c r="AM223" s="44"/>
      <c r="AN223" s="44"/>
    </row>
    <row r="224" spans="1:40">
      <c r="A224" s="44"/>
      <c r="B224" s="44"/>
      <c r="C224" s="44"/>
      <c r="D224" s="44"/>
      <c r="E224" s="44"/>
      <c r="F224" s="43"/>
      <c r="G224" s="44"/>
      <c r="H224" s="45"/>
      <c r="I224" s="44"/>
      <c r="J224" s="44"/>
      <c r="K224" s="143"/>
      <c r="L224" s="144"/>
      <c r="M224" s="143"/>
      <c r="N224" s="143"/>
      <c r="O224" s="44"/>
      <c r="P224" s="44"/>
      <c r="Q224" s="45"/>
      <c r="R224" s="147"/>
      <c r="S224" s="147"/>
      <c r="T224" s="147"/>
      <c r="U224" s="148"/>
      <c r="V224" s="149"/>
      <c r="W224" s="150"/>
      <c r="X224" s="151"/>
      <c r="Y224" s="44"/>
      <c r="Z224" s="44"/>
      <c r="AA224" s="152"/>
      <c r="AB224" s="152"/>
      <c r="AC224" s="152"/>
      <c r="AD224" s="152"/>
      <c r="AE224" s="152"/>
      <c r="AF224" s="152"/>
      <c r="AG224" s="152"/>
      <c r="AH224" s="44"/>
      <c r="AI224" s="44"/>
      <c r="AJ224" s="44"/>
      <c r="AK224" s="44"/>
      <c r="AL224" s="44"/>
      <c r="AM224" s="44"/>
      <c r="AN224" s="44"/>
    </row>
    <row r="225" spans="1:40">
      <c r="A225" s="44"/>
      <c r="B225" s="44"/>
      <c r="C225" s="44"/>
      <c r="D225" s="44"/>
      <c r="E225" s="44"/>
      <c r="F225" s="43"/>
      <c r="G225" s="44"/>
      <c r="H225" s="45"/>
      <c r="I225" s="44"/>
      <c r="J225" s="44"/>
      <c r="K225" s="143"/>
      <c r="L225" s="144"/>
      <c r="M225" s="143"/>
      <c r="N225" s="143"/>
      <c r="O225" s="44"/>
      <c r="P225" s="44"/>
      <c r="Q225" s="45"/>
      <c r="R225" s="147"/>
      <c r="S225" s="147"/>
      <c r="T225" s="147"/>
      <c r="U225" s="148"/>
      <c r="V225" s="149"/>
      <c r="W225" s="150"/>
      <c r="X225" s="151"/>
      <c r="Y225" s="44"/>
      <c r="Z225" s="44"/>
      <c r="AA225" s="152"/>
      <c r="AB225" s="152"/>
      <c r="AC225" s="152"/>
      <c r="AD225" s="152"/>
      <c r="AE225" s="152"/>
      <c r="AF225" s="152"/>
      <c r="AG225" s="152"/>
      <c r="AH225" s="44"/>
      <c r="AI225" s="44"/>
      <c r="AJ225" s="44"/>
      <c r="AK225" s="44"/>
      <c r="AL225" s="44"/>
      <c r="AM225" s="44"/>
      <c r="AN225" s="44"/>
    </row>
    <row r="226" spans="1:40">
      <c r="A226" s="44"/>
      <c r="B226" s="44"/>
      <c r="C226" s="44"/>
      <c r="D226" s="44"/>
      <c r="E226" s="44"/>
      <c r="F226" s="43"/>
      <c r="G226" s="44"/>
      <c r="H226" s="45"/>
      <c r="I226" s="44"/>
      <c r="J226" s="44"/>
      <c r="K226" s="143"/>
      <c r="L226" s="144"/>
      <c r="M226" s="143"/>
      <c r="N226" s="143"/>
      <c r="O226" s="44"/>
      <c r="P226" s="44"/>
      <c r="Q226" s="45"/>
      <c r="R226" s="147"/>
      <c r="S226" s="147"/>
      <c r="T226" s="147"/>
      <c r="U226" s="148"/>
      <c r="V226" s="149"/>
      <c r="W226" s="150"/>
      <c r="X226" s="151"/>
      <c r="Y226" s="44"/>
      <c r="Z226" s="44"/>
      <c r="AA226" s="152"/>
      <c r="AB226" s="152"/>
      <c r="AC226" s="152"/>
      <c r="AD226" s="152"/>
      <c r="AE226" s="152"/>
      <c r="AF226" s="152"/>
      <c r="AG226" s="152"/>
      <c r="AH226" s="44"/>
      <c r="AI226" s="44"/>
      <c r="AJ226" s="44"/>
      <c r="AK226" s="44"/>
      <c r="AL226" s="44"/>
      <c r="AM226" s="44"/>
      <c r="AN226" s="44"/>
    </row>
    <row r="227" spans="1:40">
      <c r="A227" s="44"/>
      <c r="B227" s="44"/>
      <c r="C227" s="44"/>
      <c r="D227" s="44"/>
      <c r="E227" s="44"/>
      <c r="F227" s="43"/>
      <c r="G227" s="44"/>
      <c r="H227" s="45"/>
      <c r="I227" s="44"/>
      <c r="J227" s="44"/>
      <c r="K227" s="143"/>
      <c r="L227" s="144"/>
      <c r="M227" s="143"/>
      <c r="N227" s="143"/>
      <c r="O227" s="44"/>
      <c r="P227" s="44"/>
      <c r="Q227" s="45"/>
      <c r="R227" s="147"/>
      <c r="S227" s="147"/>
      <c r="T227" s="147"/>
      <c r="U227" s="148"/>
      <c r="V227" s="149"/>
      <c r="W227" s="150"/>
      <c r="X227" s="151"/>
      <c r="Y227" s="44"/>
      <c r="Z227" s="44"/>
      <c r="AA227" s="152"/>
      <c r="AB227" s="152"/>
      <c r="AC227" s="152"/>
      <c r="AD227" s="152"/>
      <c r="AE227" s="152"/>
      <c r="AF227" s="152"/>
      <c r="AG227" s="152"/>
      <c r="AH227" s="44"/>
      <c r="AI227" s="44"/>
      <c r="AJ227" s="44"/>
      <c r="AK227" s="44"/>
      <c r="AL227" s="44"/>
      <c r="AM227" s="44"/>
      <c r="AN227" s="44"/>
    </row>
    <row r="228" spans="1:40" ht="20.25" customHeight="1">
      <c r="A228" s="44"/>
      <c r="B228" s="63"/>
      <c r="C228" s="44"/>
      <c r="D228" s="63"/>
      <c r="E228" s="44"/>
      <c r="F228" s="43"/>
      <c r="G228" s="63"/>
      <c r="H228" s="58"/>
      <c r="I228" s="44"/>
      <c r="J228" s="44"/>
      <c r="K228" s="143"/>
      <c r="L228" s="144"/>
      <c r="M228" s="143"/>
      <c r="N228" s="143"/>
      <c r="O228" s="44"/>
      <c r="P228" s="44"/>
      <c r="Q228" s="45"/>
      <c r="R228" s="147"/>
      <c r="S228" s="147"/>
      <c r="T228" s="147"/>
      <c r="U228" s="148"/>
      <c r="V228" s="149"/>
      <c r="W228" s="150"/>
      <c r="X228" s="163"/>
      <c r="Y228" s="63"/>
      <c r="Z228" s="63"/>
      <c r="AA228" s="152"/>
      <c r="AB228" s="152"/>
      <c r="AC228" s="152"/>
      <c r="AD228" s="152"/>
      <c r="AE228" s="152"/>
      <c r="AF228" s="152"/>
      <c r="AG228" s="152"/>
      <c r="AH228" s="44"/>
      <c r="AI228" s="44"/>
      <c r="AJ228" s="44"/>
      <c r="AK228" s="44"/>
      <c r="AL228" s="44"/>
      <c r="AM228" s="44"/>
      <c r="AN228" s="44"/>
    </row>
    <row r="229" spans="1:40">
      <c r="A229" s="44"/>
      <c r="B229" s="63"/>
      <c r="C229" s="44"/>
      <c r="D229" s="63"/>
      <c r="E229" s="44"/>
      <c r="F229" s="43"/>
      <c r="G229" s="44"/>
      <c r="H229" s="45"/>
      <c r="I229" s="44"/>
      <c r="J229" s="44"/>
      <c r="K229" s="143"/>
      <c r="L229" s="144"/>
      <c r="M229" s="143"/>
      <c r="N229" s="143"/>
      <c r="O229" s="44"/>
      <c r="P229" s="44"/>
      <c r="Q229" s="45"/>
      <c r="R229" s="159"/>
      <c r="S229" s="159"/>
      <c r="T229" s="159"/>
      <c r="U229" s="148"/>
      <c r="V229" s="149"/>
      <c r="W229" s="167"/>
      <c r="X229" s="151"/>
      <c r="Y229" s="44"/>
      <c r="Z229" s="44"/>
      <c r="AA229" s="152"/>
      <c r="AB229" s="152"/>
      <c r="AC229" s="152"/>
      <c r="AD229" s="152"/>
      <c r="AE229" s="152"/>
      <c r="AF229" s="152"/>
      <c r="AG229" s="152"/>
      <c r="AH229" s="44"/>
      <c r="AI229" s="44"/>
      <c r="AJ229" s="44"/>
      <c r="AK229" s="44"/>
      <c r="AL229" s="44"/>
      <c r="AM229" s="44"/>
      <c r="AN229" s="44"/>
    </row>
    <row r="230" spans="1:40">
      <c r="A230" s="63"/>
      <c r="B230" s="63"/>
      <c r="C230" s="44"/>
      <c r="D230" s="63"/>
      <c r="E230" s="44"/>
      <c r="F230" s="44"/>
      <c r="G230" s="63"/>
      <c r="H230" s="58"/>
      <c r="I230" s="44"/>
      <c r="J230" s="44"/>
      <c r="K230" s="143"/>
      <c r="L230" s="144"/>
      <c r="M230" s="143"/>
      <c r="N230" s="143"/>
      <c r="O230" s="155"/>
      <c r="P230" s="195"/>
      <c r="Q230" s="45"/>
      <c r="R230" s="159"/>
      <c r="S230" s="159"/>
      <c r="T230" s="159"/>
      <c r="U230" s="148"/>
      <c r="V230" s="149"/>
      <c r="W230" s="150"/>
      <c r="X230" s="151"/>
      <c r="Y230" s="44"/>
      <c r="Z230" s="44"/>
      <c r="AA230" s="152"/>
      <c r="AB230" s="152"/>
      <c r="AC230" s="152"/>
      <c r="AD230" s="152"/>
      <c r="AE230" s="152"/>
      <c r="AF230" s="152"/>
      <c r="AG230" s="152"/>
      <c r="AH230" s="44"/>
      <c r="AI230" s="44"/>
      <c r="AJ230" s="44"/>
      <c r="AK230" s="44"/>
      <c r="AL230" s="44"/>
      <c r="AM230" s="44"/>
      <c r="AN230" s="44"/>
    </row>
    <row r="231" spans="1:40">
      <c r="A231" s="63"/>
      <c r="B231" s="63"/>
      <c r="C231" s="44"/>
      <c r="D231" s="63"/>
      <c r="E231" s="44"/>
      <c r="F231" s="44"/>
      <c r="G231" s="63"/>
      <c r="H231" s="58"/>
      <c r="I231" s="44"/>
      <c r="J231" s="44"/>
      <c r="K231" s="143"/>
      <c r="L231" s="144"/>
      <c r="M231" s="143"/>
      <c r="N231" s="143"/>
      <c r="O231" s="155"/>
      <c r="P231" s="195"/>
      <c r="Q231" s="45"/>
      <c r="R231" s="159"/>
      <c r="S231" s="159"/>
      <c r="T231" s="159"/>
      <c r="U231" s="148"/>
      <c r="V231" s="149"/>
      <c r="W231" s="150"/>
      <c r="X231" s="151"/>
      <c r="Y231" s="44"/>
      <c r="Z231" s="44"/>
      <c r="AA231" s="152"/>
      <c r="AB231" s="152"/>
      <c r="AC231" s="152"/>
      <c r="AD231" s="152"/>
      <c r="AE231" s="152"/>
      <c r="AF231" s="152"/>
      <c r="AG231" s="152"/>
      <c r="AH231" s="44"/>
      <c r="AI231" s="44"/>
      <c r="AJ231" s="44"/>
      <c r="AK231" s="44"/>
      <c r="AL231" s="44"/>
      <c r="AM231" s="44"/>
      <c r="AN231" s="44"/>
    </row>
    <row r="232" spans="1:40">
      <c r="A232" s="63"/>
      <c r="B232" s="63"/>
      <c r="C232" s="44"/>
      <c r="D232" s="63"/>
      <c r="E232" s="44"/>
      <c r="F232" s="44"/>
      <c r="G232" s="63"/>
      <c r="H232" s="58"/>
      <c r="I232" s="44"/>
      <c r="J232" s="44"/>
      <c r="K232" s="143"/>
      <c r="L232" s="144"/>
      <c r="M232" s="143"/>
      <c r="N232" s="143"/>
      <c r="O232" s="155"/>
      <c r="P232" s="195"/>
      <c r="Q232" s="45"/>
      <c r="R232" s="159"/>
      <c r="S232" s="159"/>
      <c r="T232" s="159"/>
      <c r="U232" s="148"/>
      <c r="V232" s="149"/>
      <c r="W232" s="150"/>
      <c r="X232" s="151"/>
      <c r="Y232" s="44"/>
      <c r="Z232" s="44"/>
      <c r="AA232" s="152"/>
      <c r="AB232" s="152"/>
      <c r="AC232" s="152"/>
      <c r="AD232" s="152"/>
      <c r="AE232" s="152"/>
      <c r="AF232" s="152"/>
      <c r="AG232" s="152"/>
      <c r="AH232" s="44"/>
      <c r="AI232" s="44"/>
      <c r="AJ232" s="44"/>
      <c r="AK232" s="44"/>
      <c r="AL232" s="44"/>
      <c r="AM232" s="44"/>
      <c r="AN232" s="44"/>
    </row>
    <row r="233" spans="1:40">
      <c r="A233" s="63"/>
      <c r="B233" s="63"/>
      <c r="C233" s="44"/>
      <c r="D233" s="63"/>
      <c r="E233" s="44"/>
      <c r="F233" s="44"/>
      <c r="G233" s="63"/>
      <c r="H233" s="58"/>
      <c r="I233" s="44"/>
      <c r="J233" s="44"/>
      <c r="K233" s="143"/>
      <c r="L233" s="144"/>
      <c r="M233" s="143"/>
      <c r="N233" s="143"/>
      <c r="O233" s="155"/>
      <c r="P233" s="195"/>
      <c r="Q233" s="45"/>
      <c r="R233" s="159"/>
      <c r="S233" s="159"/>
      <c r="T233" s="159"/>
      <c r="U233" s="148"/>
      <c r="V233" s="149"/>
      <c r="W233" s="150"/>
      <c r="X233" s="151"/>
      <c r="Y233" s="44"/>
      <c r="Z233" s="44"/>
      <c r="AA233" s="152"/>
      <c r="AB233" s="152"/>
      <c r="AC233" s="152"/>
      <c r="AD233" s="152"/>
      <c r="AE233" s="152"/>
      <c r="AF233" s="152"/>
      <c r="AG233" s="152"/>
      <c r="AH233" s="44"/>
      <c r="AI233" s="44"/>
      <c r="AJ233" s="44"/>
      <c r="AK233" s="44"/>
      <c r="AL233" s="44"/>
      <c r="AM233" s="44"/>
      <c r="AN233" s="44"/>
    </row>
    <row r="234" spans="1:40">
      <c r="A234" s="63"/>
      <c r="B234" s="63"/>
      <c r="C234" s="44"/>
      <c r="D234" s="63"/>
      <c r="E234" s="44"/>
      <c r="F234" s="44"/>
      <c r="G234" s="63"/>
      <c r="H234" s="58"/>
      <c r="I234" s="44"/>
      <c r="J234" s="44"/>
      <c r="K234" s="143"/>
      <c r="L234" s="144"/>
      <c r="M234" s="143"/>
      <c r="N234" s="143"/>
      <c r="O234" s="155"/>
      <c r="P234" s="195"/>
      <c r="Q234" s="45"/>
      <c r="R234" s="159"/>
      <c r="S234" s="159"/>
      <c r="T234" s="159"/>
      <c r="U234" s="148"/>
      <c r="V234" s="149"/>
      <c r="W234" s="150"/>
      <c r="X234" s="151"/>
      <c r="Y234" s="44"/>
      <c r="Z234" s="44"/>
      <c r="AA234" s="152"/>
      <c r="AB234" s="152"/>
      <c r="AC234" s="152"/>
      <c r="AD234" s="152"/>
      <c r="AE234" s="152"/>
      <c r="AF234" s="152"/>
      <c r="AG234" s="152"/>
      <c r="AH234" s="44"/>
      <c r="AI234" s="44"/>
      <c r="AJ234" s="44"/>
      <c r="AK234" s="44"/>
      <c r="AL234" s="44"/>
      <c r="AM234" s="44"/>
      <c r="AN234" s="44"/>
    </row>
    <row r="235" spans="1:40">
      <c r="A235" s="63"/>
      <c r="B235" s="63"/>
      <c r="C235" s="44"/>
      <c r="D235" s="63"/>
      <c r="E235" s="44"/>
      <c r="F235" s="44"/>
      <c r="G235" s="63"/>
      <c r="H235" s="58"/>
      <c r="I235" s="44"/>
      <c r="J235" s="44"/>
      <c r="K235" s="143"/>
      <c r="L235" s="144"/>
      <c r="M235" s="143"/>
      <c r="N235" s="143"/>
      <c r="O235" s="155"/>
      <c r="P235" s="195"/>
      <c r="Q235" s="45"/>
      <c r="R235" s="159"/>
      <c r="S235" s="159"/>
      <c r="T235" s="159"/>
      <c r="U235" s="148"/>
      <c r="V235" s="149"/>
      <c r="W235" s="150"/>
      <c r="X235" s="151"/>
      <c r="Y235" s="44"/>
      <c r="Z235" s="44"/>
      <c r="AA235" s="152"/>
      <c r="AB235" s="152"/>
      <c r="AC235" s="152"/>
      <c r="AD235" s="152"/>
      <c r="AE235" s="152"/>
      <c r="AF235" s="152"/>
      <c r="AG235" s="152"/>
      <c r="AH235" s="44"/>
      <c r="AI235" s="44"/>
      <c r="AJ235" s="44"/>
      <c r="AK235" s="44"/>
      <c r="AL235" s="44"/>
      <c r="AM235" s="44"/>
      <c r="AN235" s="44"/>
    </row>
    <row r="236" spans="1:40">
      <c r="A236" s="63"/>
      <c r="B236" s="63"/>
      <c r="C236" s="44"/>
      <c r="D236" s="63"/>
      <c r="E236" s="44"/>
      <c r="F236" s="44"/>
      <c r="G236" s="63"/>
      <c r="H236" s="58"/>
      <c r="I236" s="44"/>
      <c r="J236" s="44"/>
      <c r="K236" s="143"/>
      <c r="L236" s="144"/>
      <c r="M236" s="143"/>
      <c r="N236" s="143"/>
      <c r="O236" s="155"/>
      <c r="P236" s="195"/>
      <c r="Q236" s="45"/>
      <c r="R236" s="159"/>
      <c r="S236" s="159"/>
      <c r="T236" s="159"/>
      <c r="U236" s="148"/>
      <c r="V236" s="149"/>
      <c r="W236" s="150"/>
      <c r="X236" s="151"/>
      <c r="Y236" s="44"/>
      <c r="Z236" s="44"/>
      <c r="AA236" s="152"/>
      <c r="AB236" s="152"/>
      <c r="AC236" s="152"/>
      <c r="AD236" s="152"/>
      <c r="AE236" s="152"/>
      <c r="AF236" s="152"/>
      <c r="AG236" s="152"/>
      <c r="AH236" s="44"/>
      <c r="AI236" s="44"/>
      <c r="AJ236" s="44"/>
      <c r="AK236" s="44"/>
      <c r="AL236" s="44"/>
      <c r="AM236" s="44"/>
      <c r="AN236" s="44"/>
    </row>
    <row r="237" spans="1:40">
      <c r="A237" s="63"/>
      <c r="B237" s="63"/>
      <c r="C237" s="44"/>
      <c r="D237" s="63"/>
      <c r="E237" s="44"/>
      <c r="F237" s="44"/>
      <c r="G237" s="63"/>
      <c r="H237" s="58"/>
      <c r="I237" s="44"/>
      <c r="J237" s="44"/>
      <c r="K237" s="143"/>
      <c r="L237" s="144"/>
      <c r="M237" s="143"/>
      <c r="N237" s="143"/>
      <c r="O237" s="155"/>
      <c r="P237" s="195"/>
      <c r="Q237" s="45"/>
      <c r="R237" s="159"/>
      <c r="S237" s="159"/>
      <c r="T237" s="159"/>
      <c r="U237" s="148"/>
      <c r="V237" s="149"/>
      <c r="W237" s="150"/>
      <c r="X237" s="151"/>
      <c r="Y237" s="44"/>
      <c r="Z237" s="44"/>
      <c r="AA237" s="152"/>
      <c r="AB237" s="152"/>
      <c r="AC237" s="152"/>
      <c r="AD237" s="152"/>
      <c r="AE237" s="152"/>
      <c r="AF237" s="152"/>
      <c r="AG237" s="152"/>
      <c r="AH237" s="44"/>
      <c r="AI237" s="44"/>
      <c r="AJ237" s="44"/>
      <c r="AK237" s="44"/>
      <c r="AL237" s="44"/>
      <c r="AM237" s="44"/>
      <c r="AN237" s="44"/>
    </row>
    <row r="238" spans="1:40">
      <c r="A238" s="63"/>
      <c r="B238" s="63"/>
      <c r="C238" s="44"/>
      <c r="D238" s="63"/>
      <c r="E238" s="44"/>
      <c r="F238" s="44"/>
      <c r="G238" s="63"/>
      <c r="H238" s="58"/>
      <c r="I238" s="44"/>
      <c r="J238" s="44"/>
      <c r="K238" s="143"/>
      <c r="L238" s="144"/>
      <c r="M238" s="143"/>
      <c r="N238" s="143"/>
      <c r="O238" s="155"/>
      <c r="P238" s="195"/>
      <c r="Q238" s="45"/>
      <c r="R238" s="159"/>
      <c r="S238" s="159"/>
      <c r="T238" s="159"/>
      <c r="U238" s="148"/>
      <c r="V238" s="149"/>
      <c r="W238" s="150"/>
      <c r="X238" s="151"/>
      <c r="Y238" s="44"/>
      <c r="Z238" s="44"/>
      <c r="AA238" s="152"/>
      <c r="AB238" s="152"/>
      <c r="AC238" s="152"/>
      <c r="AD238" s="152"/>
      <c r="AE238" s="152"/>
      <c r="AF238" s="152"/>
      <c r="AG238" s="152"/>
      <c r="AH238" s="44"/>
      <c r="AI238" s="44"/>
      <c r="AJ238" s="44"/>
      <c r="AK238" s="44"/>
      <c r="AL238" s="44"/>
      <c r="AM238" s="44"/>
      <c r="AN238" s="44"/>
    </row>
    <row r="239" spans="1:40">
      <c r="A239" s="63"/>
      <c r="B239" s="63"/>
      <c r="C239" s="44"/>
      <c r="D239" s="63"/>
      <c r="E239" s="44"/>
      <c r="F239" s="44"/>
      <c r="G239" s="63"/>
      <c r="H239" s="58"/>
      <c r="I239" s="44"/>
      <c r="J239" s="44"/>
      <c r="K239" s="143"/>
      <c r="L239" s="144"/>
      <c r="M239" s="143"/>
      <c r="N239" s="143"/>
      <c r="O239" s="155"/>
      <c r="P239" s="195"/>
      <c r="Q239" s="45"/>
      <c r="R239" s="159"/>
      <c r="S239" s="159"/>
      <c r="T239" s="159"/>
      <c r="U239" s="148"/>
      <c r="V239" s="149"/>
      <c r="W239" s="150"/>
      <c r="X239" s="151"/>
      <c r="Y239" s="44"/>
      <c r="Z239" s="44"/>
      <c r="AA239" s="152"/>
      <c r="AB239" s="152"/>
      <c r="AC239" s="152"/>
      <c r="AD239" s="152"/>
      <c r="AE239" s="152"/>
      <c r="AF239" s="152"/>
      <c r="AG239" s="152"/>
      <c r="AH239" s="44"/>
      <c r="AI239" s="44"/>
      <c r="AJ239" s="44"/>
      <c r="AK239" s="44"/>
      <c r="AL239" s="44"/>
      <c r="AM239" s="44"/>
      <c r="AN239" s="44"/>
    </row>
    <row r="240" spans="1:40">
      <c r="A240" s="63"/>
      <c r="B240" s="63"/>
      <c r="C240" s="44"/>
      <c r="D240" s="63"/>
      <c r="E240" s="44"/>
      <c r="F240" s="44"/>
      <c r="G240" s="63"/>
      <c r="H240" s="45"/>
      <c r="I240" s="44"/>
      <c r="J240" s="44"/>
      <c r="K240" s="143"/>
      <c r="L240" s="144"/>
      <c r="M240" s="143"/>
      <c r="N240" s="143"/>
      <c r="O240" s="155"/>
      <c r="P240" s="195"/>
      <c r="Q240" s="45"/>
      <c r="R240" s="159"/>
      <c r="S240" s="159"/>
      <c r="T240" s="159"/>
      <c r="U240" s="148"/>
      <c r="V240" s="149"/>
      <c r="W240" s="150"/>
      <c r="X240" s="151"/>
      <c r="Y240" s="44"/>
      <c r="Z240" s="44"/>
      <c r="AA240" s="152"/>
      <c r="AB240" s="152"/>
      <c r="AC240" s="152"/>
      <c r="AD240" s="152"/>
      <c r="AE240" s="152"/>
      <c r="AF240" s="152"/>
      <c r="AG240" s="152"/>
      <c r="AH240" s="44"/>
      <c r="AI240" s="44"/>
      <c r="AJ240" s="44"/>
      <c r="AK240" s="44"/>
      <c r="AL240" s="44"/>
      <c r="AM240" s="44"/>
      <c r="AN240" s="44"/>
    </row>
    <row r="241" spans="1:40">
      <c r="A241" s="63"/>
      <c r="B241" s="63"/>
      <c r="C241" s="44"/>
      <c r="D241" s="63"/>
      <c r="E241" s="44"/>
      <c r="F241" s="44"/>
      <c r="G241" s="63"/>
      <c r="H241" s="45"/>
      <c r="I241" s="44"/>
      <c r="J241" s="44"/>
      <c r="K241" s="143"/>
      <c r="L241" s="144"/>
      <c r="M241" s="143"/>
      <c r="N241" s="143"/>
      <c r="O241" s="155"/>
      <c r="P241" s="195"/>
      <c r="Q241" s="45"/>
      <c r="R241" s="159"/>
      <c r="S241" s="159"/>
      <c r="T241" s="159"/>
      <c r="U241" s="148"/>
      <c r="V241" s="149"/>
      <c r="W241" s="150"/>
      <c r="X241" s="151"/>
      <c r="Y241" s="44"/>
      <c r="Z241" s="44"/>
      <c r="AA241" s="152"/>
      <c r="AB241" s="152"/>
      <c r="AC241" s="152"/>
      <c r="AD241" s="152"/>
      <c r="AE241" s="152"/>
      <c r="AF241" s="152"/>
      <c r="AG241" s="152"/>
      <c r="AH241" s="44"/>
      <c r="AI241" s="44"/>
      <c r="AJ241" s="44"/>
      <c r="AK241" s="44"/>
      <c r="AL241" s="44"/>
      <c r="AM241" s="44"/>
      <c r="AN241" s="44"/>
    </row>
    <row r="242" spans="1:40">
      <c r="A242" s="63"/>
      <c r="B242" s="63"/>
      <c r="C242" s="44"/>
      <c r="D242" s="63"/>
      <c r="E242" s="44"/>
      <c r="F242" s="44"/>
      <c r="G242" s="63"/>
      <c r="H242" s="45"/>
      <c r="I242" s="44"/>
      <c r="J242" s="44"/>
      <c r="K242" s="143"/>
      <c r="L242" s="144"/>
      <c r="M242" s="143"/>
      <c r="N242" s="143"/>
      <c r="O242" s="155"/>
      <c r="P242" s="195"/>
      <c r="Q242" s="45"/>
      <c r="R242" s="159"/>
      <c r="S242" s="159"/>
      <c r="T242" s="159"/>
      <c r="U242" s="148"/>
      <c r="V242" s="149"/>
      <c r="W242" s="150"/>
      <c r="X242" s="151"/>
      <c r="Y242" s="44"/>
      <c r="Z242" s="44"/>
      <c r="AA242" s="152"/>
      <c r="AB242" s="152"/>
      <c r="AC242" s="152"/>
      <c r="AD242" s="152"/>
      <c r="AE242" s="152"/>
      <c r="AF242" s="152"/>
      <c r="AG242" s="152"/>
      <c r="AH242" s="44"/>
      <c r="AI242" s="44"/>
      <c r="AJ242" s="44"/>
      <c r="AK242" s="44"/>
      <c r="AL242" s="44"/>
      <c r="AM242" s="44"/>
      <c r="AN242" s="44"/>
    </row>
    <row r="243" spans="1:40">
      <c r="A243" s="63"/>
      <c r="B243" s="63"/>
      <c r="C243" s="44"/>
      <c r="D243" s="63"/>
      <c r="E243" s="44"/>
      <c r="F243" s="44"/>
      <c r="G243" s="63"/>
      <c r="H243" s="58"/>
      <c r="I243" s="44"/>
      <c r="J243" s="44"/>
      <c r="K243" s="143"/>
      <c r="L243" s="144"/>
      <c r="M243" s="143"/>
      <c r="N243" s="143"/>
      <c r="O243" s="155"/>
      <c r="P243" s="195"/>
      <c r="Q243" s="45"/>
      <c r="R243" s="159"/>
      <c r="S243" s="159"/>
      <c r="T243" s="159"/>
      <c r="U243" s="148"/>
      <c r="V243" s="149"/>
      <c r="W243" s="150"/>
      <c r="X243" s="151"/>
      <c r="Y243" s="44"/>
      <c r="Z243" s="44"/>
      <c r="AA243" s="152"/>
      <c r="AB243" s="152"/>
      <c r="AC243" s="152"/>
      <c r="AD243" s="152"/>
      <c r="AE243" s="152"/>
      <c r="AF243" s="152"/>
      <c r="AG243" s="152"/>
      <c r="AH243" s="44"/>
      <c r="AI243" s="44"/>
      <c r="AJ243" s="44"/>
      <c r="AK243" s="44"/>
      <c r="AL243" s="44"/>
      <c r="AM243" s="44"/>
      <c r="AN243" s="44"/>
    </row>
    <row r="244" spans="1:40">
      <c r="A244" s="63"/>
      <c r="B244" s="63"/>
      <c r="C244" s="44"/>
      <c r="D244" s="63"/>
      <c r="E244" s="44"/>
      <c r="F244" s="44"/>
      <c r="G244" s="63"/>
      <c r="H244" s="45"/>
      <c r="I244" s="44"/>
      <c r="J244" s="44"/>
      <c r="K244" s="143"/>
      <c r="L244" s="144"/>
      <c r="M244" s="143"/>
      <c r="N244" s="143"/>
      <c r="O244" s="155"/>
      <c r="P244" s="195"/>
      <c r="Q244" s="45"/>
      <c r="R244" s="159"/>
      <c r="S244" s="159"/>
      <c r="T244" s="159"/>
      <c r="U244" s="148"/>
      <c r="V244" s="149"/>
      <c r="W244" s="150"/>
      <c r="X244" s="151"/>
      <c r="Y244" s="44"/>
      <c r="Z244" s="44"/>
      <c r="AA244" s="152"/>
      <c r="AB244" s="152"/>
      <c r="AC244" s="152"/>
      <c r="AD244" s="152"/>
      <c r="AE244" s="152"/>
      <c r="AF244" s="152"/>
      <c r="AG244" s="152"/>
      <c r="AH244" s="44"/>
      <c r="AI244" s="44"/>
      <c r="AJ244" s="44"/>
      <c r="AK244" s="44"/>
      <c r="AL244" s="44"/>
      <c r="AM244" s="44"/>
      <c r="AN244" s="44"/>
    </row>
    <row r="245" spans="1:40">
      <c r="A245" s="63"/>
      <c r="B245" s="63"/>
      <c r="C245" s="44"/>
      <c r="D245" s="63"/>
      <c r="E245" s="44"/>
      <c r="F245" s="44"/>
      <c r="G245" s="63"/>
      <c r="H245" s="58"/>
      <c r="I245" s="44"/>
      <c r="J245" s="44"/>
      <c r="K245" s="143"/>
      <c r="L245" s="144"/>
      <c r="M245" s="143"/>
      <c r="N245" s="143"/>
      <c r="O245" s="155"/>
      <c r="P245" s="195"/>
      <c r="Q245" s="45"/>
      <c r="R245" s="159"/>
      <c r="S245" s="159"/>
      <c r="T245" s="159"/>
      <c r="U245" s="148"/>
      <c r="V245" s="149"/>
      <c r="W245" s="150"/>
      <c r="X245" s="151"/>
      <c r="Y245" s="44"/>
      <c r="Z245" s="44"/>
      <c r="AA245" s="152"/>
      <c r="AB245" s="152"/>
      <c r="AC245" s="152"/>
      <c r="AD245" s="152"/>
      <c r="AE245" s="152"/>
      <c r="AF245" s="152"/>
      <c r="AG245" s="152"/>
      <c r="AH245" s="44"/>
      <c r="AI245" s="44"/>
      <c r="AJ245" s="44"/>
      <c r="AK245" s="44"/>
      <c r="AL245" s="44"/>
      <c r="AM245" s="44"/>
      <c r="AN245" s="44"/>
    </row>
    <row r="246" spans="1:40">
      <c r="A246" s="63"/>
      <c r="B246" s="63"/>
      <c r="C246" s="44"/>
      <c r="D246" s="63"/>
      <c r="E246" s="44"/>
      <c r="F246" s="44"/>
      <c r="G246" s="63"/>
      <c r="H246" s="44"/>
      <c r="I246" s="44"/>
      <c r="J246" s="44"/>
      <c r="K246" s="143"/>
      <c r="L246" s="44"/>
      <c r="M246" s="143"/>
      <c r="N246" s="143"/>
      <c r="O246" s="155"/>
      <c r="P246" s="195"/>
      <c r="Q246" s="45"/>
      <c r="R246" s="159"/>
      <c r="S246" s="159"/>
      <c r="T246" s="159"/>
      <c r="U246" s="148"/>
      <c r="V246" s="149"/>
      <c r="W246" s="150"/>
      <c r="X246" s="151"/>
      <c r="Y246" s="44"/>
      <c r="Z246" s="44"/>
      <c r="AA246" s="152"/>
      <c r="AB246" s="152"/>
      <c r="AC246" s="152"/>
      <c r="AD246" s="152"/>
      <c r="AE246" s="152"/>
      <c r="AF246" s="152"/>
      <c r="AG246" s="152"/>
      <c r="AH246" s="44"/>
      <c r="AI246" s="44"/>
      <c r="AJ246" s="44"/>
      <c r="AK246" s="44"/>
      <c r="AL246" s="44"/>
      <c r="AM246" s="44"/>
      <c r="AN246" s="44"/>
    </row>
    <row r="247" spans="1:40">
      <c r="A247" s="63"/>
      <c r="B247" s="63"/>
      <c r="C247" s="44"/>
      <c r="D247" s="63"/>
      <c r="E247" s="44"/>
      <c r="F247" s="44"/>
      <c r="G247" s="63"/>
      <c r="H247" s="44"/>
      <c r="I247" s="44"/>
      <c r="J247" s="44"/>
      <c r="K247" s="143"/>
      <c r="L247" s="44"/>
      <c r="M247" s="143"/>
      <c r="N247" s="143"/>
      <c r="O247" s="155"/>
      <c r="P247" s="195"/>
      <c r="Q247" s="45"/>
      <c r="R247" s="159"/>
      <c r="S247" s="159"/>
      <c r="T247" s="159"/>
      <c r="U247" s="148"/>
      <c r="V247" s="149"/>
      <c r="W247" s="150"/>
      <c r="X247" s="151"/>
      <c r="Y247" s="44"/>
      <c r="Z247" s="44"/>
      <c r="AA247" s="152"/>
      <c r="AB247" s="152"/>
      <c r="AC247" s="152"/>
      <c r="AD247" s="152"/>
      <c r="AE247" s="152"/>
      <c r="AF247" s="152"/>
      <c r="AG247" s="152"/>
      <c r="AH247" s="44"/>
      <c r="AI247" s="44"/>
      <c r="AJ247" s="44"/>
      <c r="AK247" s="44"/>
      <c r="AL247" s="44"/>
      <c r="AM247" s="44"/>
      <c r="AN247" s="44"/>
    </row>
    <row r="248" spans="1:40">
      <c r="A248" s="63"/>
      <c r="B248" s="63"/>
      <c r="C248" s="44"/>
      <c r="D248" s="63"/>
      <c r="E248" s="44"/>
      <c r="F248" s="44"/>
      <c r="G248" s="63"/>
      <c r="H248" s="44"/>
      <c r="I248" s="44"/>
      <c r="J248" s="44"/>
      <c r="K248" s="143"/>
      <c r="L248" s="44"/>
      <c r="M248" s="143"/>
      <c r="N248" s="143"/>
      <c r="O248" s="155"/>
      <c r="P248" s="195"/>
      <c r="Q248" s="45"/>
      <c r="R248" s="159"/>
      <c r="S248" s="159"/>
      <c r="T248" s="159"/>
      <c r="U248" s="148"/>
      <c r="V248" s="149"/>
      <c r="W248" s="150"/>
      <c r="X248" s="151"/>
      <c r="Y248" s="44"/>
      <c r="Z248" s="44"/>
      <c r="AA248" s="152"/>
      <c r="AB248" s="152"/>
      <c r="AC248" s="152"/>
      <c r="AD248" s="152"/>
      <c r="AE248" s="152"/>
      <c r="AF248" s="152"/>
      <c r="AG248" s="152"/>
      <c r="AH248" s="44"/>
      <c r="AI248" s="44"/>
      <c r="AJ248" s="44"/>
      <c r="AK248" s="44"/>
      <c r="AL248" s="44"/>
      <c r="AM248" s="44"/>
      <c r="AN248" s="44"/>
    </row>
    <row r="249" spans="1:40">
      <c r="A249" s="44"/>
      <c r="B249" s="44"/>
      <c r="C249" s="44"/>
      <c r="D249" s="44"/>
      <c r="E249" s="44"/>
      <c r="F249" s="43"/>
      <c r="G249" s="44"/>
      <c r="H249" s="45"/>
      <c r="I249" s="44"/>
      <c r="J249" s="44"/>
      <c r="K249" s="143"/>
      <c r="L249" s="144"/>
      <c r="M249" s="143"/>
      <c r="N249" s="143"/>
      <c r="O249" s="44"/>
      <c r="P249" s="44"/>
      <c r="Q249" s="45"/>
      <c r="R249" s="147"/>
      <c r="S249" s="147"/>
      <c r="T249" s="147"/>
      <c r="U249" s="148"/>
      <c r="V249" s="149"/>
      <c r="W249" s="150"/>
      <c r="X249" s="151"/>
      <c r="Y249" s="44"/>
      <c r="Z249" s="44"/>
      <c r="AA249" s="152"/>
      <c r="AB249" s="152"/>
      <c r="AC249" s="152"/>
      <c r="AD249" s="152"/>
      <c r="AE249" s="152"/>
      <c r="AF249" s="152"/>
      <c r="AG249" s="152"/>
      <c r="AH249" s="44"/>
      <c r="AI249" s="44"/>
      <c r="AJ249" s="44"/>
      <c r="AK249" s="44"/>
      <c r="AL249" s="44"/>
      <c r="AM249" s="44"/>
      <c r="AN249" s="44"/>
    </row>
    <row r="250" spans="1:40">
      <c r="A250" s="44"/>
      <c r="B250" s="44"/>
      <c r="C250" s="44"/>
      <c r="D250" s="44"/>
      <c r="E250" s="44"/>
      <c r="F250" s="43"/>
      <c r="G250" s="44"/>
      <c r="H250" s="45"/>
      <c r="I250" s="44"/>
      <c r="J250" s="44"/>
      <c r="K250" s="143"/>
      <c r="L250" s="144"/>
      <c r="M250" s="143"/>
      <c r="N250" s="143"/>
      <c r="O250" s="44"/>
      <c r="P250" s="44"/>
      <c r="Q250" s="45"/>
      <c r="R250" s="147"/>
      <c r="S250" s="147"/>
      <c r="T250" s="147"/>
      <c r="U250" s="148"/>
      <c r="V250" s="149"/>
      <c r="W250" s="150"/>
      <c r="X250" s="151"/>
      <c r="Y250" s="44"/>
      <c r="Z250" s="44"/>
      <c r="AA250" s="152"/>
      <c r="AB250" s="152"/>
      <c r="AC250" s="152"/>
      <c r="AD250" s="152"/>
      <c r="AE250" s="152"/>
      <c r="AF250" s="152"/>
      <c r="AG250" s="152"/>
      <c r="AH250" s="44"/>
      <c r="AI250" s="44"/>
      <c r="AJ250" s="44"/>
      <c r="AK250" s="44"/>
      <c r="AL250" s="44"/>
      <c r="AM250" s="44"/>
      <c r="AN250" s="44"/>
    </row>
    <row r="251" spans="1:40">
      <c r="A251" s="44"/>
      <c r="B251" s="44"/>
      <c r="C251" s="44"/>
      <c r="D251" s="44"/>
      <c r="E251" s="44"/>
      <c r="F251" s="43"/>
      <c r="G251" s="44"/>
      <c r="H251" s="45"/>
      <c r="I251" s="44"/>
      <c r="J251" s="44"/>
      <c r="K251" s="143"/>
      <c r="L251" s="144"/>
      <c r="M251" s="143"/>
      <c r="N251" s="143"/>
      <c r="O251" s="44"/>
      <c r="P251" s="44"/>
      <c r="Q251" s="45"/>
      <c r="R251" s="147"/>
      <c r="S251" s="147"/>
      <c r="T251" s="147"/>
      <c r="U251" s="148"/>
      <c r="V251" s="149"/>
      <c r="W251" s="150"/>
      <c r="X251" s="151"/>
      <c r="Y251" s="44"/>
      <c r="Z251" s="44"/>
      <c r="AA251" s="152"/>
      <c r="AB251" s="152"/>
      <c r="AC251" s="152"/>
      <c r="AD251" s="152"/>
      <c r="AE251" s="152"/>
      <c r="AF251" s="152"/>
      <c r="AG251" s="152"/>
      <c r="AH251" s="44"/>
      <c r="AI251" s="44"/>
      <c r="AJ251" s="44"/>
      <c r="AK251" s="44"/>
      <c r="AL251" s="44"/>
      <c r="AM251" s="44"/>
      <c r="AN251" s="44"/>
    </row>
    <row r="252" spans="1:40">
      <c r="A252" s="44"/>
      <c r="B252" s="63"/>
      <c r="C252" s="44"/>
      <c r="D252" s="63"/>
      <c r="E252" s="44"/>
      <c r="F252" s="43"/>
      <c r="G252" s="44"/>
      <c r="H252" s="45"/>
      <c r="I252" s="44"/>
      <c r="J252" s="44"/>
      <c r="K252" s="143"/>
      <c r="L252" s="144"/>
      <c r="M252" s="143"/>
      <c r="N252" s="143"/>
      <c r="O252" s="44"/>
      <c r="P252" s="44"/>
      <c r="Q252" s="45"/>
      <c r="R252" s="147"/>
      <c r="S252" s="147"/>
      <c r="T252" s="147"/>
      <c r="U252" s="148"/>
      <c r="V252" s="149"/>
      <c r="W252" s="150"/>
      <c r="X252" s="151"/>
      <c r="Y252" s="44"/>
      <c r="Z252" s="44"/>
      <c r="AA252" s="152"/>
      <c r="AB252" s="152"/>
      <c r="AC252" s="152"/>
      <c r="AD252" s="152"/>
      <c r="AE252" s="152"/>
      <c r="AF252" s="152"/>
      <c r="AG252" s="152"/>
      <c r="AH252" s="44"/>
      <c r="AI252" s="44"/>
      <c r="AJ252" s="44"/>
      <c r="AK252" s="44"/>
      <c r="AL252" s="44"/>
      <c r="AM252" s="44"/>
      <c r="AN252" s="44"/>
    </row>
    <row r="253" spans="1:40">
      <c r="A253" s="63"/>
      <c r="B253" s="63"/>
      <c r="C253" s="44"/>
      <c r="D253" s="63"/>
      <c r="E253" s="44"/>
      <c r="F253" s="44"/>
      <c r="G253" s="63"/>
      <c r="H253" s="44"/>
      <c r="I253" s="44"/>
      <c r="J253" s="44"/>
      <c r="K253" s="143"/>
      <c r="L253" s="44"/>
      <c r="M253" s="143"/>
      <c r="N253" s="143"/>
      <c r="O253" s="155"/>
      <c r="P253" s="195"/>
      <c r="Q253" s="45"/>
      <c r="R253" s="147"/>
      <c r="S253" s="147"/>
      <c r="T253" s="147"/>
      <c r="U253" s="148"/>
      <c r="V253" s="149"/>
      <c r="W253" s="150"/>
      <c r="X253" s="151"/>
      <c r="Y253" s="44"/>
      <c r="Z253" s="44"/>
      <c r="AA253" s="152"/>
      <c r="AB253" s="152"/>
      <c r="AC253" s="152"/>
      <c r="AD253" s="152"/>
      <c r="AE253" s="152"/>
      <c r="AF253" s="152"/>
      <c r="AG253" s="152"/>
      <c r="AH253" s="44"/>
      <c r="AI253" s="44"/>
      <c r="AJ253" s="44"/>
      <c r="AK253" s="44"/>
      <c r="AL253" s="44"/>
      <c r="AM253" s="44"/>
      <c r="AN253" s="44"/>
    </row>
    <row r="254" spans="1:40">
      <c r="A254" s="63"/>
      <c r="B254" s="63"/>
      <c r="C254" s="44"/>
      <c r="D254" s="63"/>
      <c r="E254" s="44"/>
      <c r="F254" s="44"/>
      <c r="G254" s="63"/>
      <c r="H254" s="44"/>
      <c r="I254" s="44"/>
      <c r="J254" s="44"/>
      <c r="K254" s="143"/>
      <c r="L254" s="44"/>
      <c r="M254" s="143"/>
      <c r="N254" s="143"/>
      <c r="O254" s="155"/>
      <c r="P254" s="195"/>
      <c r="Q254" s="45"/>
      <c r="R254" s="147"/>
      <c r="S254" s="147"/>
      <c r="T254" s="147"/>
      <c r="U254" s="148"/>
      <c r="V254" s="149"/>
      <c r="W254" s="150"/>
      <c r="X254" s="151"/>
      <c r="Y254" s="44"/>
      <c r="Z254" s="44"/>
      <c r="AA254" s="152"/>
      <c r="AB254" s="152"/>
      <c r="AC254" s="152"/>
      <c r="AD254" s="152"/>
      <c r="AE254" s="152"/>
      <c r="AF254" s="152"/>
      <c r="AG254" s="152"/>
      <c r="AH254" s="44"/>
      <c r="AI254" s="44"/>
      <c r="AJ254" s="44"/>
      <c r="AK254" s="44"/>
      <c r="AL254" s="44"/>
      <c r="AM254" s="44"/>
      <c r="AN254" s="44"/>
    </row>
    <row r="255" spans="1:40">
      <c r="A255" s="63"/>
      <c r="B255" s="63"/>
      <c r="C255" s="44"/>
      <c r="D255" s="63"/>
      <c r="E255" s="44"/>
      <c r="F255" s="44"/>
      <c r="G255" s="63"/>
      <c r="H255" s="44"/>
      <c r="I255" s="44"/>
      <c r="J255" s="44"/>
      <c r="K255" s="143"/>
      <c r="L255" s="44"/>
      <c r="M255" s="143"/>
      <c r="N255" s="143"/>
      <c r="O255" s="155"/>
      <c r="P255" s="195"/>
      <c r="Q255" s="45"/>
      <c r="R255" s="147"/>
      <c r="S255" s="147"/>
      <c r="T255" s="147"/>
      <c r="U255" s="148"/>
      <c r="V255" s="149"/>
      <c r="W255" s="150"/>
      <c r="X255" s="151"/>
      <c r="Y255" s="44"/>
      <c r="Z255" s="44"/>
      <c r="AA255" s="152"/>
      <c r="AB255" s="152"/>
      <c r="AC255" s="152"/>
      <c r="AD255" s="152"/>
      <c r="AE255" s="152"/>
      <c r="AF255" s="152"/>
      <c r="AG255" s="152"/>
      <c r="AH255" s="44"/>
      <c r="AI255" s="44"/>
      <c r="AJ255" s="44"/>
      <c r="AK255" s="44"/>
      <c r="AL255" s="44"/>
      <c r="AM255" s="44"/>
      <c r="AN255" s="44"/>
    </row>
    <row r="256" spans="1:40">
      <c r="A256" s="63"/>
      <c r="B256" s="63"/>
      <c r="C256" s="44"/>
      <c r="D256" s="63"/>
      <c r="E256" s="44"/>
      <c r="F256" s="44"/>
      <c r="G256" s="63"/>
      <c r="H256" s="44"/>
      <c r="I256" s="44"/>
      <c r="J256" s="44"/>
      <c r="K256" s="143"/>
      <c r="L256" s="44"/>
      <c r="M256" s="143"/>
      <c r="N256" s="143"/>
      <c r="O256" s="155"/>
      <c r="P256" s="195"/>
      <c r="Q256" s="45"/>
      <c r="R256" s="147"/>
      <c r="S256" s="147"/>
      <c r="T256" s="147"/>
      <c r="U256" s="148"/>
      <c r="V256" s="149"/>
      <c r="W256" s="150"/>
      <c r="X256" s="151"/>
      <c r="Y256" s="44"/>
      <c r="Z256" s="44"/>
      <c r="AA256" s="152"/>
      <c r="AB256" s="152"/>
      <c r="AC256" s="152"/>
      <c r="AD256" s="152"/>
      <c r="AE256" s="152"/>
      <c r="AF256" s="152"/>
      <c r="AG256" s="152"/>
      <c r="AH256" s="44"/>
      <c r="AI256" s="44"/>
      <c r="AJ256" s="44"/>
      <c r="AK256" s="44"/>
      <c r="AL256" s="44"/>
      <c r="AM256" s="44"/>
      <c r="AN256" s="44"/>
    </row>
    <row r="257" spans="1:40">
      <c r="A257" s="190"/>
      <c r="B257" s="63"/>
      <c r="C257" s="44"/>
      <c r="D257" s="63"/>
      <c r="E257" s="44"/>
      <c r="F257" s="44"/>
      <c r="G257" s="63"/>
      <c r="H257" s="44"/>
      <c r="I257" s="44"/>
      <c r="J257" s="44"/>
      <c r="K257" s="143"/>
      <c r="L257" s="44"/>
      <c r="M257" s="143"/>
      <c r="N257" s="143"/>
      <c r="O257" s="155"/>
      <c r="P257" s="195"/>
      <c r="Q257" s="45"/>
      <c r="R257" s="147"/>
      <c r="S257" s="147"/>
      <c r="T257" s="147"/>
      <c r="U257" s="148"/>
      <c r="V257" s="149"/>
      <c r="W257" s="150"/>
      <c r="X257" s="151"/>
      <c r="Y257" s="44"/>
      <c r="Z257" s="44"/>
      <c r="AA257" s="152"/>
      <c r="AB257" s="152"/>
      <c r="AC257" s="152"/>
      <c r="AD257" s="152"/>
      <c r="AE257" s="152"/>
      <c r="AF257" s="152"/>
      <c r="AG257" s="152"/>
      <c r="AH257" s="44"/>
      <c r="AI257" s="44"/>
      <c r="AJ257" s="44"/>
      <c r="AK257" s="44"/>
      <c r="AL257" s="44"/>
      <c r="AM257" s="44"/>
      <c r="AN257" s="44"/>
    </row>
    <row r="258" spans="1:40">
      <c r="A258" s="190"/>
      <c r="B258" s="63"/>
      <c r="C258" s="44"/>
      <c r="D258" s="63"/>
      <c r="E258" s="44"/>
      <c r="F258" s="44"/>
      <c r="G258" s="63"/>
      <c r="H258" s="44"/>
      <c r="I258" s="44"/>
      <c r="J258" s="44"/>
      <c r="K258" s="143"/>
      <c r="L258" s="44"/>
      <c r="M258" s="143"/>
      <c r="N258" s="143"/>
      <c r="O258" s="155"/>
      <c r="P258" s="195"/>
      <c r="Q258" s="45"/>
      <c r="R258" s="147"/>
      <c r="S258" s="147"/>
      <c r="T258" s="147"/>
      <c r="U258" s="148"/>
      <c r="V258" s="149"/>
      <c r="W258" s="150"/>
      <c r="X258" s="151"/>
      <c r="Y258" s="44"/>
      <c r="Z258" s="44"/>
      <c r="AA258" s="152"/>
      <c r="AB258" s="152"/>
      <c r="AC258" s="152"/>
      <c r="AD258" s="152"/>
      <c r="AE258" s="152"/>
      <c r="AF258" s="152"/>
      <c r="AG258" s="152"/>
      <c r="AH258" s="44"/>
      <c r="AI258" s="44"/>
      <c r="AJ258" s="44"/>
      <c r="AK258" s="44"/>
      <c r="AL258" s="44"/>
      <c r="AM258" s="44"/>
      <c r="AN258" s="44"/>
    </row>
    <row r="259" spans="1:40">
      <c r="A259" s="190"/>
      <c r="B259" s="63"/>
      <c r="C259" s="44"/>
      <c r="D259" s="63"/>
      <c r="E259" s="44"/>
      <c r="F259" s="44"/>
      <c r="G259" s="63"/>
      <c r="H259" s="44"/>
      <c r="I259" s="44"/>
      <c r="J259" s="44"/>
      <c r="K259" s="143"/>
      <c r="L259" s="44"/>
      <c r="M259" s="143"/>
      <c r="N259" s="143"/>
      <c r="O259" s="155"/>
      <c r="P259" s="195"/>
      <c r="Q259" s="45"/>
      <c r="R259" s="147"/>
      <c r="S259" s="147"/>
      <c r="T259" s="147"/>
      <c r="U259" s="148"/>
      <c r="V259" s="149"/>
      <c r="W259" s="150"/>
      <c r="X259" s="151"/>
      <c r="Y259" s="44"/>
      <c r="Z259" s="44"/>
      <c r="AA259" s="152"/>
      <c r="AB259" s="152"/>
      <c r="AC259" s="152"/>
      <c r="AD259" s="152"/>
      <c r="AE259" s="152"/>
      <c r="AF259" s="152"/>
      <c r="AG259" s="152"/>
      <c r="AH259" s="44"/>
      <c r="AI259" s="44"/>
      <c r="AJ259" s="44"/>
      <c r="AK259" s="44"/>
      <c r="AL259" s="44"/>
      <c r="AM259" s="44"/>
      <c r="AN259" s="44"/>
    </row>
    <row r="260" spans="1:40">
      <c r="A260" s="190"/>
      <c r="B260" s="63"/>
      <c r="C260" s="44"/>
      <c r="D260" s="63"/>
      <c r="E260" s="44"/>
      <c r="F260" s="44"/>
      <c r="G260" s="63"/>
      <c r="H260" s="44"/>
      <c r="I260" s="44"/>
      <c r="J260" s="44"/>
      <c r="K260" s="143"/>
      <c r="L260" s="44"/>
      <c r="M260" s="143"/>
      <c r="N260" s="143"/>
      <c r="O260" s="155"/>
      <c r="P260" s="195"/>
      <c r="Q260" s="45"/>
      <c r="R260" s="147"/>
      <c r="S260" s="147"/>
      <c r="T260" s="147"/>
      <c r="U260" s="148"/>
      <c r="V260" s="149"/>
      <c r="W260" s="150"/>
      <c r="X260" s="151"/>
      <c r="Y260" s="44"/>
      <c r="Z260" s="44"/>
      <c r="AA260" s="152"/>
      <c r="AB260" s="152"/>
      <c r="AC260" s="152"/>
      <c r="AD260" s="152"/>
      <c r="AE260" s="152"/>
      <c r="AF260" s="152"/>
      <c r="AG260" s="152"/>
      <c r="AH260" s="44"/>
      <c r="AI260" s="44"/>
      <c r="AJ260" s="44"/>
      <c r="AK260" s="44"/>
      <c r="AL260" s="44"/>
      <c r="AM260" s="44"/>
      <c r="AN260" s="44"/>
    </row>
    <row r="261" spans="1:40">
      <c r="A261" s="190"/>
      <c r="B261" s="63"/>
      <c r="C261" s="44"/>
      <c r="D261" s="63"/>
      <c r="E261" s="44"/>
      <c r="F261" s="44"/>
      <c r="G261" s="63"/>
      <c r="H261" s="44"/>
      <c r="I261" s="44"/>
      <c r="J261" s="44"/>
      <c r="K261" s="143"/>
      <c r="L261" s="44"/>
      <c r="M261" s="143"/>
      <c r="N261" s="143"/>
      <c r="O261" s="155"/>
      <c r="P261" s="195"/>
      <c r="Q261" s="45"/>
      <c r="R261" s="147"/>
      <c r="S261" s="147"/>
      <c r="T261" s="147"/>
      <c r="U261" s="148"/>
      <c r="V261" s="149"/>
      <c r="W261" s="150"/>
      <c r="X261" s="151"/>
      <c r="Y261" s="44"/>
      <c r="Z261" s="44"/>
      <c r="AA261" s="152"/>
      <c r="AB261" s="152"/>
      <c r="AC261" s="152"/>
      <c r="AD261" s="152"/>
      <c r="AE261" s="152"/>
      <c r="AF261" s="152"/>
      <c r="AG261" s="152"/>
      <c r="AH261" s="44"/>
      <c r="AI261" s="44"/>
      <c r="AJ261" s="44"/>
      <c r="AK261" s="44"/>
      <c r="AL261" s="44"/>
      <c r="AM261" s="44"/>
      <c r="AN261" s="44"/>
    </row>
    <row r="262" spans="1:40">
      <c r="A262" s="190"/>
      <c r="B262" s="63"/>
      <c r="C262" s="44"/>
      <c r="D262" s="63"/>
      <c r="E262" s="44"/>
      <c r="F262" s="44"/>
      <c r="G262" s="63"/>
      <c r="H262" s="44"/>
      <c r="I262" s="44"/>
      <c r="J262" s="44"/>
      <c r="K262" s="143"/>
      <c r="L262" s="44"/>
      <c r="M262" s="143"/>
      <c r="N262" s="143"/>
      <c r="O262" s="155"/>
      <c r="P262" s="195"/>
      <c r="Q262" s="45"/>
      <c r="R262" s="147"/>
      <c r="S262" s="147"/>
      <c r="T262" s="147"/>
      <c r="U262" s="148"/>
      <c r="V262" s="149"/>
      <c r="W262" s="150"/>
      <c r="X262" s="151"/>
      <c r="Y262" s="44"/>
      <c r="Z262" s="44"/>
      <c r="AA262" s="152"/>
      <c r="AB262" s="152"/>
      <c r="AC262" s="152"/>
      <c r="AD262" s="152"/>
      <c r="AE262" s="152"/>
      <c r="AF262" s="152"/>
      <c r="AG262" s="152"/>
      <c r="AH262" s="44"/>
      <c r="AI262" s="44"/>
      <c r="AJ262" s="44"/>
      <c r="AK262" s="44"/>
      <c r="AL262" s="44"/>
      <c r="AM262" s="44"/>
      <c r="AN262" s="44"/>
    </row>
    <row r="263" spans="1:40">
      <c r="A263" s="190"/>
      <c r="B263" s="63"/>
      <c r="C263" s="44"/>
      <c r="D263" s="63"/>
      <c r="E263" s="44"/>
      <c r="F263" s="44"/>
      <c r="G263" s="63"/>
      <c r="H263" s="63"/>
      <c r="I263" s="44"/>
      <c r="J263" s="44"/>
      <c r="K263" s="143"/>
      <c r="L263" s="44"/>
      <c r="M263" s="143"/>
      <c r="N263" s="143"/>
      <c r="O263" s="155"/>
      <c r="P263" s="195"/>
      <c r="Q263" s="45"/>
      <c r="R263" s="147"/>
      <c r="S263" s="147"/>
      <c r="T263" s="147"/>
      <c r="U263" s="148"/>
      <c r="V263" s="149"/>
      <c r="W263" s="150"/>
      <c r="X263" s="151"/>
      <c r="Y263" s="44"/>
      <c r="Z263" s="44"/>
      <c r="AA263" s="152"/>
      <c r="AB263" s="152"/>
      <c r="AC263" s="152"/>
      <c r="AD263" s="152"/>
      <c r="AE263" s="152"/>
      <c r="AF263" s="152"/>
      <c r="AG263" s="152"/>
      <c r="AH263" s="44"/>
      <c r="AI263" s="44"/>
      <c r="AJ263" s="44"/>
      <c r="AK263" s="44"/>
      <c r="AL263" s="44"/>
      <c r="AM263" s="44"/>
      <c r="AN263" s="44"/>
    </row>
    <row r="264" spans="1:40">
      <c r="A264" s="190"/>
      <c r="B264" s="63"/>
      <c r="C264" s="44"/>
      <c r="D264" s="63"/>
      <c r="E264" s="44"/>
      <c r="F264" s="44"/>
      <c r="G264" s="63"/>
      <c r="H264" s="44"/>
      <c r="I264" s="44"/>
      <c r="J264" s="44"/>
      <c r="K264" s="143"/>
      <c r="L264" s="44"/>
      <c r="M264" s="143"/>
      <c r="N264" s="143"/>
      <c r="O264" s="155"/>
      <c r="P264" s="195"/>
      <c r="Q264" s="45"/>
      <c r="R264" s="147"/>
      <c r="S264" s="147"/>
      <c r="T264" s="147"/>
      <c r="U264" s="148"/>
      <c r="V264" s="149"/>
      <c r="W264" s="150"/>
      <c r="X264" s="151"/>
      <c r="Y264" s="44"/>
      <c r="Z264" s="44"/>
      <c r="AA264" s="152"/>
      <c r="AB264" s="152"/>
      <c r="AC264" s="152"/>
      <c r="AD264" s="152"/>
      <c r="AE264" s="152"/>
      <c r="AF264" s="152"/>
      <c r="AG264" s="152"/>
      <c r="AH264" s="44"/>
      <c r="AI264" s="44"/>
      <c r="AJ264" s="44"/>
      <c r="AK264" s="44"/>
      <c r="AL264" s="44"/>
      <c r="AM264" s="44"/>
      <c r="AN264" s="44"/>
    </row>
    <row r="265" spans="1:40">
      <c r="A265" s="190"/>
      <c r="B265" s="63"/>
      <c r="C265" s="44"/>
      <c r="D265" s="63"/>
      <c r="E265" s="44"/>
      <c r="F265" s="44"/>
      <c r="G265" s="63"/>
      <c r="H265" s="44"/>
      <c r="I265" s="44"/>
      <c r="J265" s="44"/>
      <c r="K265" s="143"/>
      <c r="L265" s="44"/>
      <c r="M265" s="143"/>
      <c r="N265" s="143"/>
      <c r="O265" s="155"/>
      <c r="P265" s="195"/>
      <c r="Q265" s="45"/>
      <c r="R265" s="147"/>
      <c r="S265" s="147"/>
      <c r="T265" s="147"/>
      <c r="U265" s="148"/>
      <c r="V265" s="149"/>
      <c r="W265" s="150"/>
      <c r="X265" s="151"/>
      <c r="Y265" s="44"/>
      <c r="Z265" s="44"/>
      <c r="AA265" s="152"/>
      <c r="AB265" s="152"/>
      <c r="AC265" s="152"/>
      <c r="AD265" s="152"/>
      <c r="AE265" s="152"/>
      <c r="AF265" s="152"/>
      <c r="AG265" s="152"/>
      <c r="AH265" s="44"/>
      <c r="AI265" s="44"/>
      <c r="AJ265" s="44"/>
      <c r="AK265" s="44"/>
      <c r="AL265" s="44"/>
      <c r="AM265" s="44"/>
      <c r="AN265" s="44"/>
    </row>
    <row r="266" spans="1:40">
      <c r="A266" s="190"/>
      <c r="B266" s="63"/>
      <c r="C266" s="44"/>
      <c r="D266" s="63"/>
      <c r="E266" s="44"/>
      <c r="F266" s="44"/>
      <c r="G266" s="63"/>
      <c r="H266" s="44"/>
      <c r="I266" s="44"/>
      <c r="J266" s="44"/>
      <c r="K266" s="143"/>
      <c r="L266" s="44"/>
      <c r="M266" s="143"/>
      <c r="N266" s="143"/>
      <c r="O266" s="155"/>
      <c r="P266" s="195"/>
      <c r="Q266" s="45"/>
      <c r="R266" s="147"/>
      <c r="S266" s="147"/>
      <c r="T266" s="147"/>
      <c r="U266" s="148"/>
      <c r="V266" s="149"/>
      <c r="W266" s="150"/>
      <c r="X266" s="151"/>
      <c r="Y266" s="44"/>
      <c r="Z266" s="44"/>
      <c r="AA266" s="152"/>
      <c r="AB266" s="152"/>
      <c r="AC266" s="152"/>
      <c r="AD266" s="152"/>
      <c r="AE266" s="152"/>
      <c r="AF266" s="152"/>
      <c r="AG266" s="152"/>
      <c r="AH266" s="44"/>
      <c r="AI266" s="44"/>
      <c r="AJ266" s="44"/>
      <c r="AK266" s="44"/>
      <c r="AL266" s="44"/>
      <c r="AM266" s="44"/>
      <c r="AN266" s="44"/>
    </row>
    <row r="267" spans="1:40">
      <c r="A267" s="44"/>
      <c r="B267" s="44"/>
      <c r="C267" s="44"/>
      <c r="D267" s="44"/>
      <c r="E267" s="44"/>
      <c r="F267" s="43"/>
      <c r="G267" s="44"/>
      <c r="H267" s="45"/>
      <c r="I267" s="44"/>
      <c r="J267" s="44"/>
      <c r="K267" s="143"/>
      <c r="L267" s="144"/>
      <c r="M267" s="143"/>
      <c r="N267" s="143"/>
      <c r="O267" s="44"/>
      <c r="P267" s="44"/>
      <c r="Q267" s="45"/>
      <c r="R267" s="147"/>
      <c r="S267" s="147"/>
      <c r="T267" s="147"/>
      <c r="U267" s="148"/>
      <c r="V267" s="149"/>
      <c r="W267" s="150"/>
      <c r="X267" s="151"/>
      <c r="Y267" s="44"/>
      <c r="Z267" s="44"/>
      <c r="AA267" s="152"/>
      <c r="AB267" s="152"/>
      <c r="AC267" s="152"/>
      <c r="AD267" s="152"/>
      <c r="AE267" s="152"/>
      <c r="AF267" s="152"/>
      <c r="AG267" s="152"/>
      <c r="AH267" s="44"/>
      <c r="AI267" s="44"/>
      <c r="AJ267" s="44"/>
      <c r="AK267" s="44"/>
      <c r="AL267" s="44"/>
      <c r="AM267" s="44"/>
      <c r="AN267" s="44"/>
    </row>
    <row r="268" spans="1:40">
      <c r="A268" s="44"/>
      <c r="B268" s="44"/>
      <c r="C268" s="44"/>
      <c r="D268" s="44"/>
      <c r="E268" s="44"/>
      <c r="F268" s="43"/>
      <c r="G268" s="44"/>
      <c r="H268" s="45"/>
      <c r="I268" s="44"/>
      <c r="J268" s="44"/>
      <c r="K268" s="143"/>
      <c r="L268" s="144"/>
      <c r="M268" s="143"/>
      <c r="N268" s="143"/>
      <c r="O268" s="44"/>
      <c r="P268" s="44"/>
      <c r="Q268" s="45"/>
      <c r="R268" s="147"/>
      <c r="S268" s="147"/>
      <c r="T268" s="147"/>
      <c r="U268" s="148"/>
      <c r="V268" s="149"/>
      <c r="W268" s="150"/>
      <c r="X268" s="151"/>
      <c r="Y268" s="44"/>
      <c r="Z268" s="44"/>
      <c r="AA268" s="152"/>
      <c r="AB268" s="152"/>
      <c r="AC268" s="152"/>
      <c r="AD268" s="152"/>
      <c r="AE268" s="152"/>
      <c r="AF268" s="152"/>
      <c r="AG268" s="152"/>
      <c r="AH268" s="44"/>
      <c r="AI268" s="44"/>
      <c r="AJ268" s="44"/>
      <c r="AK268" s="44"/>
      <c r="AL268" s="44"/>
      <c r="AM268" s="44"/>
      <c r="AN268" s="44"/>
    </row>
    <row r="269" spans="1:40">
      <c r="A269" s="44"/>
      <c r="B269" s="44"/>
      <c r="C269" s="44"/>
      <c r="D269" s="44"/>
      <c r="E269" s="44"/>
      <c r="F269" s="43"/>
      <c r="G269" s="44"/>
      <c r="H269" s="45"/>
      <c r="I269" s="44"/>
      <c r="J269" s="44"/>
      <c r="K269" s="143"/>
      <c r="L269" s="144"/>
      <c r="M269" s="143"/>
      <c r="N269" s="143"/>
      <c r="O269" s="44"/>
      <c r="P269" s="44"/>
      <c r="Q269" s="45"/>
      <c r="R269" s="147"/>
      <c r="S269" s="147"/>
      <c r="T269" s="147"/>
      <c r="U269" s="148"/>
      <c r="V269" s="149"/>
      <c r="W269" s="150"/>
      <c r="X269" s="151"/>
      <c r="Y269" s="44"/>
      <c r="Z269" s="44"/>
      <c r="AA269" s="152"/>
      <c r="AB269" s="152"/>
      <c r="AC269" s="152"/>
      <c r="AD269" s="152"/>
      <c r="AE269" s="152"/>
      <c r="AF269" s="152"/>
      <c r="AG269" s="152"/>
      <c r="AH269" s="44"/>
      <c r="AI269" s="44"/>
      <c r="AJ269" s="44"/>
      <c r="AK269" s="44"/>
      <c r="AL269" s="44"/>
      <c r="AM269" s="44"/>
      <c r="AN269" s="44"/>
    </row>
    <row r="270" spans="1:40">
      <c r="A270" s="44"/>
      <c r="B270" s="44"/>
      <c r="C270" s="44"/>
      <c r="D270" s="44"/>
      <c r="E270" s="44"/>
      <c r="F270" s="43"/>
      <c r="G270" s="44"/>
      <c r="H270" s="45"/>
      <c r="I270" s="44"/>
      <c r="J270" s="44"/>
      <c r="K270" s="143"/>
      <c r="L270" s="144"/>
      <c r="M270" s="143"/>
      <c r="N270" s="143"/>
      <c r="O270" s="44"/>
      <c r="P270" s="44"/>
      <c r="Q270" s="45"/>
      <c r="R270" s="147"/>
      <c r="S270" s="147"/>
      <c r="T270" s="147"/>
      <c r="U270" s="148"/>
      <c r="V270" s="149"/>
      <c r="W270" s="150"/>
      <c r="X270" s="151"/>
      <c r="Y270" s="44"/>
      <c r="Z270" s="44"/>
      <c r="AA270" s="152"/>
      <c r="AB270" s="152"/>
      <c r="AC270" s="152"/>
      <c r="AD270" s="152"/>
      <c r="AE270" s="152"/>
      <c r="AF270" s="152"/>
      <c r="AG270" s="152"/>
      <c r="AH270" s="44"/>
      <c r="AI270" s="44"/>
      <c r="AJ270" s="44"/>
      <c r="AK270" s="44"/>
      <c r="AL270" s="44"/>
      <c r="AM270" s="44"/>
      <c r="AN270" s="44"/>
    </row>
    <row r="271" spans="1:40">
      <c r="A271" s="44"/>
      <c r="B271" s="44"/>
      <c r="C271" s="44"/>
      <c r="D271" s="44"/>
      <c r="E271" s="44"/>
      <c r="F271" s="43"/>
      <c r="G271" s="44"/>
      <c r="H271" s="45"/>
      <c r="I271" s="44"/>
      <c r="J271" s="44"/>
      <c r="K271" s="143"/>
      <c r="L271" s="144"/>
      <c r="M271" s="143"/>
      <c r="N271" s="143"/>
      <c r="O271" s="44"/>
      <c r="P271" s="44"/>
      <c r="Q271" s="45"/>
      <c r="R271" s="147"/>
      <c r="S271" s="147"/>
      <c r="T271" s="147"/>
      <c r="U271" s="148"/>
      <c r="V271" s="149"/>
      <c r="W271" s="150"/>
      <c r="X271" s="151"/>
      <c r="Y271" s="44"/>
      <c r="Z271" s="44"/>
      <c r="AA271" s="152"/>
      <c r="AB271" s="152"/>
      <c r="AC271" s="152"/>
      <c r="AD271" s="152"/>
      <c r="AE271" s="152"/>
      <c r="AF271" s="152"/>
      <c r="AG271" s="152"/>
      <c r="AH271" s="44"/>
      <c r="AI271" s="44"/>
      <c r="AJ271" s="44"/>
      <c r="AK271" s="44"/>
      <c r="AL271" s="44"/>
      <c r="AM271" s="44"/>
      <c r="AN271" s="44"/>
    </row>
    <row r="272" spans="1:40">
      <c r="A272" s="44"/>
      <c r="B272" s="44"/>
      <c r="C272" s="44"/>
      <c r="D272" s="44"/>
      <c r="E272" s="44"/>
      <c r="F272" s="43"/>
      <c r="G272" s="44"/>
      <c r="H272" s="45"/>
      <c r="I272" s="44"/>
      <c r="J272" s="44"/>
      <c r="K272" s="143"/>
      <c r="L272" s="144"/>
      <c r="M272" s="143"/>
      <c r="N272" s="143"/>
      <c r="O272" s="44"/>
      <c r="P272" s="44"/>
      <c r="Q272" s="45"/>
      <c r="R272" s="147"/>
      <c r="S272" s="147"/>
      <c r="T272" s="147"/>
      <c r="U272" s="148"/>
      <c r="V272" s="149"/>
      <c r="W272" s="150"/>
      <c r="X272" s="151"/>
      <c r="Y272" s="44"/>
      <c r="Z272" s="44"/>
      <c r="AA272" s="152"/>
      <c r="AB272" s="152"/>
      <c r="AC272" s="152"/>
      <c r="AD272" s="152"/>
      <c r="AE272" s="152"/>
      <c r="AF272" s="152"/>
      <c r="AG272" s="152"/>
      <c r="AH272" s="44"/>
      <c r="AI272" s="44"/>
      <c r="AJ272" s="44"/>
      <c r="AK272" s="44"/>
      <c r="AL272" s="44"/>
      <c r="AM272" s="44"/>
      <c r="AN272" s="44"/>
    </row>
    <row r="273" spans="1:40">
      <c r="A273" s="44"/>
      <c r="B273" s="44"/>
      <c r="C273" s="44"/>
      <c r="D273" s="44"/>
      <c r="E273" s="44"/>
      <c r="F273" s="43"/>
      <c r="G273" s="44"/>
      <c r="H273" s="45"/>
      <c r="I273" s="44"/>
      <c r="J273" s="44"/>
      <c r="K273" s="143"/>
      <c r="L273" s="144"/>
      <c r="M273" s="143"/>
      <c r="N273" s="143"/>
      <c r="O273" s="44"/>
      <c r="P273" s="44"/>
      <c r="Q273" s="45"/>
      <c r="R273" s="147"/>
      <c r="S273" s="147"/>
      <c r="T273" s="147"/>
      <c r="U273" s="148"/>
      <c r="V273" s="149"/>
      <c r="W273" s="150"/>
      <c r="X273" s="151"/>
      <c r="Y273" s="44"/>
      <c r="Z273" s="44"/>
      <c r="AA273" s="152"/>
      <c r="AB273" s="152"/>
      <c r="AC273" s="152"/>
      <c r="AD273" s="152"/>
      <c r="AE273" s="152"/>
      <c r="AF273" s="152"/>
      <c r="AG273" s="152"/>
      <c r="AH273" s="44"/>
      <c r="AI273" s="44"/>
      <c r="AJ273" s="44"/>
      <c r="AK273" s="44"/>
      <c r="AL273" s="44"/>
      <c r="AM273" s="44"/>
      <c r="AN273" s="44"/>
    </row>
    <row r="274" spans="1:40">
      <c r="A274" s="44"/>
      <c r="B274" s="44"/>
      <c r="C274" s="44"/>
      <c r="D274" s="44"/>
      <c r="E274" s="44"/>
      <c r="F274" s="43"/>
      <c r="G274" s="44"/>
      <c r="H274" s="45"/>
      <c r="I274" s="44"/>
      <c r="J274" s="44"/>
      <c r="K274" s="143"/>
      <c r="L274" s="144"/>
      <c r="M274" s="143"/>
      <c r="N274" s="143"/>
      <c r="O274" s="44"/>
      <c r="P274" s="44"/>
      <c r="Q274" s="45"/>
      <c r="R274" s="147"/>
      <c r="S274" s="147"/>
      <c r="T274" s="147"/>
      <c r="U274" s="148"/>
      <c r="V274" s="149"/>
      <c r="W274" s="150"/>
      <c r="X274" s="151"/>
      <c r="Y274" s="44"/>
      <c r="Z274" s="44"/>
      <c r="AA274" s="152"/>
      <c r="AB274" s="152"/>
      <c r="AC274" s="152"/>
      <c r="AD274" s="152"/>
      <c r="AE274" s="152"/>
      <c r="AF274" s="152"/>
      <c r="AG274" s="152"/>
      <c r="AH274" s="44"/>
      <c r="AI274" s="44"/>
      <c r="AJ274" s="44"/>
      <c r="AK274" s="44"/>
      <c r="AL274" s="44"/>
      <c r="AM274" s="44"/>
      <c r="AN274" s="44"/>
    </row>
    <row r="275" spans="1:40">
      <c r="A275" s="44"/>
      <c r="B275" s="44"/>
      <c r="C275" s="44"/>
      <c r="D275" s="44"/>
      <c r="E275" s="44"/>
      <c r="F275" s="43"/>
      <c r="G275" s="44"/>
      <c r="H275" s="45"/>
      <c r="I275" s="44"/>
      <c r="J275" s="44"/>
      <c r="K275" s="143"/>
      <c r="L275" s="144"/>
      <c r="M275" s="143"/>
      <c r="N275" s="143"/>
      <c r="O275" s="44"/>
      <c r="P275" s="44"/>
      <c r="Q275" s="45"/>
      <c r="R275" s="147"/>
      <c r="S275" s="147"/>
      <c r="T275" s="147"/>
      <c r="U275" s="148"/>
      <c r="V275" s="149"/>
      <c r="W275" s="150"/>
      <c r="X275" s="151"/>
      <c r="Y275" s="44"/>
      <c r="Z275" s="44"/>
      <c r="AA275" s="152"/>
      <c r="AB275" s="152"/>
      <c r="AC275" s="152"/>
      <c r="AD275" s="152"/>
      <c r="AE275" s="152"/>
      <c r="AF275" s="152"/>
      <c r="AG275" s="152"/>
      <c r="AH275" s="44"/>
      <c r="AI275" s="44"/>
      <c r="AJ275" s="44"/>
      <c r="AK275" s="44"/>
      <c r="AL275" s="44"/>
      <c r="AM275" s="44"/>
      <c r="AN275" s="44"/>
    </row>
    <row r="276" spans="1:40">
      <c r="A276" s="44"/>
      <c r="B276" s="44"/>
      <c r="C276" s="44"/>
      <c r="D276" s="44"/>
      <c r="E276" s="44"/>
      <c r="F276" s="43"/>
      <c r="G276" s="44"/>
      <c r="H276" s="45"/>
      <c r="I276" s="44"/>
      <c r="J276" s="44"/>
      <c r="K276" s="143"/>
      <c r="L276" s="144"/>
      <c r="M276" s="143"/>
      <c r="N276" s="143"/>
      <c r="O276" s="44"/>
      <c r="P276" s="44"/>
      <c r="Q276" s="45"/>
      <c r="R276" s="147"/>
      <c r="S276" s="147"/>
      <c r="T276" s="147"/>
      <c r="U276" s="148"/>
      <c r="V276" s="149"/>
      <c r="W276" s="150"/>
      <c r="X276" s="151"/>
      <c r="Y276" s="44"/>
      <c r="Z276" s="44"/>
      <c r="AA276" s="152"/>
      <c r="AB276" s="152"/>
      <c r="AC276" s="152"/>
      <c r="AD276" s="152"/>
      <c r="AE276" s="152"/>
      <c r="AF276" s="152"/>
      <c r="AG276" s="152"/>
      <c r="AH276" s="44"/>
      <c r="AI276" s="44"/>
      <c r="AJ276" s="44"/>
      <c r="AK276" s="44"/>
      <c r="AL276" s="44"/>
      <c r="AM276" s="44"/>
      <c r="AN276" s="44"/>
    </row>
    <row r="277" spans="1:40">
      <c r="A277" s="44"/>
      <c r="B277" s="44"/>
      <c r="C277" s="44"/>
      <c r="D277" s="44"/>
      <c r="E277" s="44"/>
      <c r="F277" s="43"/>
      <c r="G277" s="44"/>
      <c r="H277" s="45"/>
      <c r="I277" s="44"/>
      <c r="J277" s="44"/>
      <c r="K277" s="143"/>
      <c r="L277" s="144"/>
      <c r="M277" s="143"/>
      <c r="N277" s="143"/>
      <c r="O277" s="44"/>
      <c r="P277" s="44"/>
      <c r="Q277" s="45"/>
      <c r="R277" s="147"/>
      <c r="S277" s="147"/>
      <c r="T277" s="147"/>
      <c r="U277" s="148"/>
      <c r="V277" s="149"/>
      <c r="W277" s="150"/>
      <c r="X277" s="151"/>
      <c r="Y277" s="44"/>
      <c r="Z277" s="44"/>
      <c r="AA277" s="152"/>
      <c r="AB277" s="152"/>
      <c r="AC277" s="152"/>
      <c r="AD277" s="152"/>
      <c r="AE277" s="152"/>
      <c r="AF277" s="152"/>
      <c r="AG277" s="152"/>
      <c r="AH277" s="44"/>
      <c r="AI277" s="44"/>
      <c r="AJ277" s="44"/>
      <c r="AK277" s="44"/>
      <c r="AL277" s="44"/>
      <c r="AM277" s="44"/>
      <c r="AN277" s="44"/>
    </row>
    <row r="278" spans="1:40">
      <c r="A278" s="44"/>
      <c r="B278" s="44"/>
      <c r="C278" s="44"/>
      <c r="D278" s="44"/>
      <c r="E278" s="44"/>
      <c r="F278" s="43"/>
      <c r="G278" s="44"/>
      <c r="H278" s="45"/>
      <c r="I278" s="44"/>
      <c r="J278" s="44"/>
      <c r="K278" s="143"/>
      <c r="L278" s="144"/>
      <c r="M278" s="143"/>
      <c r="N278" s="143"/>
      <c r="O278" s="44"/>
      <c r="P278" s="44"/>
      <c r="Q278" s="45"/>
      <c r="R278" s="147"/>
      <c r="S278" s="147"/>
      <c r="T278" s="147"/>
      <c r="U278" s="148"/>
      <c r="V278" s="149"/>
      <c r="W278" s="150"/>
      <c r="X278" s="151"/>
      <c r="Y278" s="44"/>
      <c r="Z278" s="44"/>
      <c r="AA278" s="152"/>
      <c r="AB278" s="152"/>
      <c r="AC278" s="152"/>
      <c r="AD278" s="152"/>
      <c r="AE278" s="152"/>
      <c r="AF278" s="152"/>
      <c r="AG278" s="152"/>
      <c r="AH278" s="44"/>
      <c r="AI278" s="44"/>
      <c r="AJ278" s="44"/>
      <c r="AK278" s="44"/>
      <c r="AL278" s="44"/>
      <c r="AM278" s="44"/>
      <c r="AN278" s="44"/>
    </row>
    <row r="279" spans="1:40">
      <c r="A279" s="44"/>
      <c r="B279" s="44"/>
      <c r="C279" s="44"/>
      <c r="D279" s="44"/>
      <c r="E279" s="44"/>
      <c r="F279" s="43"/>
      <c r="G279" s="44"/>
      <c r="H279" s="45"/>
      <c r="I279" s="44"/>
      <c r="J279" s="44"/>
      <c r="K279" s="143"/>
      <c r="L279" s="144"/>
      <c r="M279" s="143"/>
      <c r="N279" s="143"/>
      <c r="O279" s="44"/>
      <c r="P279" s="44"/>
      <c r="Q279" s="45"/>
      <c r="R279" s="147"/>
      <c r="S279" s="147"/>
      <c r="T279" s="147"/>
      <c r="U279" s="148"/>
      <c r="V279" s="149"/>
      <c r="W279" s="150"/>
      <c r="X279" s="151"/>
      <c r="Y279" s="44"/>
      <c r="Z279" s="44"/>
      <c r="AA279" s="152"/>
      <c r="AB279" s="152"/>
      <c r="AC279" s="152"/>
      <c r="AD279" s="152"/>
      <c r="AE279" s="152"/>
      <c r="AF279" s="152"/>
      <c r="AG279" s="152"/>
      <c r="AH279" s="44"/>
      <c r="AI279" s="44"/>
      <c r="AJ279" s="44"/>
      <c r="AK279" s="44"/>
      <c r="AL279" s="44"/>
      <c r="AM279" s="44"/>
      <c r="AN279" s="44"/>
    </row>
    <row r="280" spans="1:40">
      <c r="A280" s="44"/>
      <c r="B280" s="44"/>
      <c r="C280" s="44"/>
      <c r="D280" s="44"/>
      <c r="E280" s="44"/>
      <c r="F280" s="43"/>
      <c r="G280" s="44"/>
      <c r="H280" s="45"/>
      <c r="I280" s="44"/>
      <c r="J280" s="44"/>
      <c r="K280" s="143"/>
      <c r="L280" s="144"/>
      <c r="M280" s="143"/>
      <c r="N280" s="143"/>
      <c r="O280" s="44"/>
      <c r="P280" s="44"/>
      <c r="Q280" s="45"/>
      <c r="R280" s="147"/>
      <c r="S280" s="147"/>
      <c r="T280" s="147"/>
      <c r="U280" s="148"/>
      <c r="V280" s="149"/>
      <c r="W280" s="150"/>
      <c r="X280" s="151"/>
      <c r="Y280" s="44"/>
      <c r="Z280" s="44"/>
      <c r="AA280" s="152"/>
      <c r="AB280" s="152"/>
      <c r="AC280" s="152"/>
      <c r="AD280" s="152"/>
      <c r="AE280" s="152"/>
      <c r="AF280" s="152"/>
      <c r="AG280" s="152"/>
      <c r="AH280" s="44"/>
      <c r="AI280" s="44"/>
      <c r="AJ280" s="44"/>
      <c r="AK280" s="44"/>
      <c r="AL280" s="44"/>
      <c r="AM280" s="44"/>
      <c r="AN280" s="44"/>
    </row>
    <row r="281" spans="1:40">
      <c r="A281" s="44"/>
      <c r="B281" s="44"/>
      <c r="C281" s="44"/>
      <c r="D281" s="44"/>
      <c r="E281" s="44"/>
      <c r="F281" s="43"/>
      <c r="G281" s="44"/>
      <c r="H281" s="45"/>
      <c r="I281" s="44"/>
      <c r="J281" s="44"/>
      <c r="K281" s="143"/>
      <c r="L281" s="144"/>
      <c r="M281" s="143"/>
      <c r="N281" s="143"/>
      <c r="O281" s="44"/>
      <c r="P281" s="44"/>
      <c r="Q281" s="45"/>
      <c r="R281" s="147"/>
      <c r="S281" s="147"/>
      <c r="T281" s="147"/>
      <c r="U281" s="148"/>
      <c r="V281" s="149"/>
      <c r="W281" s="150"/>
      <c r="X281" s="151"/>
      <c r="Y281" s="44"/>
      <c r="Z281" s="44"/>
      <c r="AA281" s="152"/>
      <c r="AB281" s="152"/>
      <c r="AC281" s="152"/>
      <c r="AD281" s="152"/>
      <c r="AE281" s="152"/>
      <c r="AF281" s="152"/>
      <c r="AG281" s="152"/>
      <c r="AH281" s="44"/>
      <c r="AI281" s="44"/>
      <c r="AJ281" s="44"/>
      <c r="AK281" s="44"/>
      <c r="AL281" s="44"/>
      <c r="AM281" s="44"/>
      <c r="AN281" s="44"/>
    </row>
    <row r="282" spans="1:40">
      <c r="A282" s="44"/>
      <c r="B282" s="44"/>
      <c r="C282" s="44"/>
      <c r="D282" s="44"/>
      <c r="E282" s="44"/>
      <c r="F282" s="43"/>
      <c r="G282" s="44"/>
      <c r="H282" s="45"/>
      <c r="I282" s="44"/>
      <c r="J282" s="44"/>
      <c r="K282" s="143"/>
      <c r="L282" s="144"/>
      <c r="M282" s="143"/>
      <c r="N282" s="143"/>
      <c r="O282" s="44"/>
      <c r="P282" s="44"/>
      <c r="Q282" s="45"/>
      <c r="R282" s="147"/>
      <c r="S282" s="147"/>
      <c r="T282" s="147"/>
      <c r="U282" s="148"/>
      <c r="V282" s="149"/>
      <c r="W282" s="150"/>
      <c r="X282" s="151"/>
      <c r="Y282" s="44"/>
      <c r="Z282" s="44"/>
      <c r="AA282" s="152"/>
      <c r="AB282" s="152"/>
      <c r="AC282" s="152"/>
      <c r="AD282" s="152"/>
      <c r="AE282" s="152"/>
      <c r="AF282" s="152"/>
      <c r="AG282" s="152"/>
      <c r="AH282" s="44"/>
      <c r="AI282" s="44"/>
      <c r="AJ282" s="44"/>
      <c r="AK282" s="44"/>
      <c r="AL282" s="44"/>
      <c r="AM282" s="44"/>
      <c r="AN282" s="44"/>
    </row>
    <row r="283" spans="1:40">
      <c r="A283" s="44"/>
      <c r="B283" s="44"/>
      <c r="C283" s="44"/>
      <c r="D283" s="44"/>
      <c r="E283" s="44"/>
      <c r="F283" s="43"/>
      <c r="G283" s="44"/>
      <c r="H283" s="45"/>
      <c r="I283" s="44"/>
      <c r="J283" s="44"/>
      <c r="K283" s="143"/>
      <c r="L283" s="144"/>
      <c r="M283" s="143"/>
      <c r="N283" s="143"/>
      <c r="O283" s="44"/>
      <c r="P283" s="44"/>
      <c r="Q283" s="45"/>
      <c r="R283" s="147"/>
      <c r="S283" s="147"/>
      <c r="T283" s="147"/>
      <c r="U283" s="148"/>
      <c r="V283" s="149"/>
      <c r="W283" s="150"/>
      <c r="X283" s="151"/>
      <c r="Y283" s="44"/>
      <c r="Z283" s="44"/>
      <c r="AA283" s="152"/>
      <c r="AB283" s="152"/>
      <c r="AC283" s="152"/>
      <c r="AD283" s="152"/>
      <c r="AE283" s="152"/>
      <c r="AF283" s="152"/>
      <c r="AG283" s="152"/>
      <c r="AH283" s="44"/>
      <c r="AI283" s="44"/>
      <c r="AJ283" s="44"/>
      <c r="AK283" s="44"/>
      <c r="AL283" s="44"/>
      <c r="AM283" s="44"/>
      <c r="AN283" s="44"/>
    </row>
    <row r="284" spans="1:40">
      <c r="A284" s="44"/>
      <c r="B284" s="44"/>
      <c r="C284" s="44"/>
      <c r="D284" s="44"/>
      <c r="E284" s="44"/>
      <c r="F284" s="43"/>
      <c r="G284" s="44"/>
      <c r="H284" s="45"/>
      <c r="I284" s="44"/>
      <c r="J284" s="44"/>
      <c r="K284" s="143"/>
      <c r="L284" s="144"/>
      <c r="M284" s="143"/>
      <c r="N284" s="143"/>
      <c r="O284" s="44"/>
      <c r="P284" s="44"/>
      <c r="Q284" s="45"/>
      <c r="R284" s="147"/>
      <c r="S284" s="147"/>
      <c r="T284" s="147"/>
      <c r="U284" s="148"/>
      <c r="V284" s="149"/>
      <c r="W284" s="150"/>
      <c r="X284" s="151"/>
      <c r="Y284" s="44"/>
      <c r="Z284" s="44"/>
      <c r="AA284" s="152"/>
      <c r="AB284" s="152"/>
      <c r="AC284" s="152"/>
      <c r="AD284" s="152"/>
      <c r="AE284" s="152"/>
      <c r="AF284" s="152"/>
      <c r="AG284" s="152"/>
      <c r="AH284" s="44"/>
      <c r="AI284" s="44"/>
      <c r="AJ284" s="44"/>
      <c r="AK284" s="44"/>
      <c r="AL284" s="44"/>
      <c r="AM284" s="44"/>
      <c r="AN284" s="44"/>
    </row>
    <row r="285" spans="1:40">
      <c r="A285" s="44"/>
      <c r="B285" s="44"/>
      <c r="C285" s="44"/>
      <c r="D285" s="44"/>
      <c r="E285" s="44"/>
      <c r="F285" s="43"/>
      <c r="G285" s="44"/>
      <c r="H285" s="45"/>
      <c r="I285" s="44"/>
      <c r="J285" s="44"/>
      <c r="K285" s="143"/>
      <c r="L285" s="144"/>
      <c r="M285" s="143"/>
      <c r="N285" s="143"/>
      <c r="O285" s="44"/>
      <c r="P285" s="44"/>
      <c r="Q285" s="45"/>
      <c r="R285" s="147"/>
      <c r="S285" s="147"/>
      <c r="T285" s="147"/>
      <c r="U285" s="148"/>
      <c r="V285" s="149"/>
      <c r="W285" s="150"/>
      <c r="X285" s="151"/>
      <c r="Y285" s="44"/>
      <c r="Z285" s="44"/>
      <c r="AA285" s="152"/>
      <c r="AB285" s="152"/>
      <c r="AC285" s="152"/>
      <c r="AD285" s="152"/>
      <c r="AE285" s="152"/>
      <c r="AF285" s="152"/>
      <c r="AG285" s="152"/>
      <c r="AH285" s="44"/>
      <c r="AI285" s="44"/>
      <c r="AJ285" s="44"/>
      <c r="AK285" s="44"/>
      <c r="AL285" s="44"/>
      <c r="AM285" s="44"/>
      <c r="AN285" s="44"/>
    </row>
    <row r="286" spans="1:40">
      <c r="A286" s="44"/>
      <c r="B286" s="44"/>
      <c r="C286" s="44"/>
      <c r="D286" s="44"/>
      <c r="E286" s="44"/>
      <c r="F286" s="43"/>
      <c r="G286" s="44"/>
      <c r="H286" s="45"/>
      <c r="I286" s="44"/>
      <c r="J286" s="44"/>
      <c r="K286" s="143"/>
      <c r="L286" s="144"/>
      <c r="M286" s="143"/>
      <c r="N286" s="143"/>
      <c r="O286" s="44"/>
      <c r="P286" s="44"/>
      <c r="Q286" s="45"/>
      <c r="R286" s="147"/>
      <c r="S286" s="147"/>
      <c r="T286" s="147"/>
      <c r="U286" s="148"/>
      <c r="V286" s="149"/>
      <c r="W286" s="150"/>
      <c r="X286" s="151"/>
      <c r="Y286" s="44"/>
      <c r="Z286" s="44"/>
      <c r="AA286" s="152"/>
      <c r="AB286" s="152"/>
      <c r="AC286" s="152"/>
      <c r="AD286" s="152"/>
      <c r="AE286" s="152"/>
      <c r="AF286" s="152"/>
      <c r="AG286" s="152"/>
      <c r="AH286" s="44"/>
      <c r="AI286" s="44"/>
      <c r="AJ286" s="44"/>
      <c r="AK286" s="44"/>
      <c r="AL286" s="44"/>
      <c r="AM286" s="44"/>
      <c r="AN286" s="44"/>
    </row>
    <row r="287" spans="1:40">
      <c r="A287" s="44"/>
      <c r="B287" s="44"/>
      <c r="C287" s="44"/>
      <c r="D287" s="44"/>
      <c r="E287" s="44"/>
      <c r="F287" s="43"/>
      <c r="G287" s="44"/>
      <c r="H287" s="45"/>
      <c r="I287" s="44"/>
      <c r="J287" s="44"/>
      <c r="K287" s="143"/>
      <c r="L287" s="144"/>
      <c r="M287" s="143"/>
      <c r="N287" s="143"/>
      <c r="O287" s="44"/>
      <c r="P287" s="44"/>
      <c r="Q287" s="45"/>
      <c r="R287" s="147"/>
      <c r="S287" s="147"/>
      <c r="T287" s="147"/>
      <c r="U287" s="148"/>
      <c r="V287" s="149"/>
      <c r="W287" s="150"/>
      <c r="X287" s="151"/>
      <c r="Y287" s="44"/>
      <c r="Z287" s="44"/>
      <c r="AA287" s="152"/>
      <c r="AB287" s="152"/>
      <c r="AC287" s="152"/>
      <c r="AD287" s="152"/>
      <c r="AE287" s="152"/>
      <c r="AF287" s="152"/>
      <c r="AG287" s="152"/>
      <c r="AH287" s="44"/>
      <c r="AI287" s="44"/>
      <c r="AJ287" s="44"/>
      <c r="AK287" s="44"/>
      <c r="AL287" s="44"/>
      <c r="AM287" s="44"/>
      <c r="AN287" s="44"/>
    </row>
    <row r="288" spans="1:40">
      <c r="A288" s="44"/>
      <c r="B288" s="44"/>
      <c r="C288" s="44"/>
      <c r="D288" s="44"/>
      <c r="E288" s="44"/>
      <c r="F288" s="43"/>
      <c r="G288" s="44"/>
      <c r="H288" s="45"/>
      <c r="I288" s="44"/>
      <c r="J288" s="44"/>
      <c r="K288" s="143"/>
      <c r="L288" s="144"/>
      <c r="M288" s="143"/>
      <c r="N288" s="143"/>
      <c r="O288" s="44"/>
      <c r="P288" s="44"/>
      <c r="Q288" s="45"/>
      <c r="R288" s="147"/>
      <c r="S288" s="147"/>
      <c r="T288" s="147"/>
      <c r="U288" s="148"/>
      <c r="V288" s="149"/>
      <c r="W288" s="150"/>
      <c r="X288" s="151"/>
      <c r="Y288" s="44"/>
      <c r="Z288" s="44"/>
      <c r="AA288" s="152"/>
      <c r="AB288" s="152"/>
      <c r="AC288" s="152"/>
      <c r="AD288" s="152"/>
      <c r="AE288" s="152"/>
      <c r="AF288" s="152"/>
      <c r="AG288" s="152"/>
      <c r="AH288" s="44"/>
      <c r="AI288" s="44"/>
      <c r="AJ288" s="44"/>
      <c r="AK288" s="44"/>
      <c r="AL288" s="44"/>
      <c r="AM288" s="44"/>
      <c r="AN288" s="44"/>
    </row>
    <row r="289" spans="1:40">
      <c r="A289" s="44"/>
      <c r="B289" s="44"/>
      <c r="C289" s="44"/>
      <c r="D289" s="44"/>
      <c r="E289" s="44"/>
      <c r="F289" s="43"/>
      <c r="G289" s="44"/>
      <c r="H289" s="45"/>
      <c r="I289" s="44"/>
      <c r="J289" s="44"/>
      <c r="K289" s="143"/>
      <c r="L289" s="144"/>
      <c r="M289" s="143"/>
      <c r="N289" s="143"/>
      <c r="O289" s="44"/>
      <c r="P289" s="44"/>
      <c r="Q289" s="45"/>
      <c r="R289" s="147"/>
      <c r="S289" s="147"/>
      <c r="T289" s="147"/>
      <c r="U289" s="148"/>
      <c r="V289" s="149"/>
      <c r="W289" s="150"/>
      <c r="X289" s="151"/>
      <c r="Y289" s="44"/>
      <c r="Z289" s="44"/>
      <c r="AA289" s="152"/>
      <c r="AB289" s="152"/>
      <c r="AC289" s="152"/>
      <c r="AD289" s="152"/>
      <c r="AE289" s="152"/>
      <c r="AF289" s="152"/>
      <c r="AG289" s="152"/>
      <c r="AH289" s="44"/>
      <c r="AI289" s="44"/>
      <c r="AJ289" s="44"/>
      <c r="AK289" s="44"/>
      <c r="AL289" s="44"/>
      <c r="AM289" s="44"/>
      <c r="AN289" s="44"/>
    </row>
    <row r="290" spans="1:40">
      <c r="A290" s="44"/>
      <c r="B290" s="44"/>
      <c r="C290" s="44"/>
      <c r="D290" s="44"/>
      <c r="E290" s="44"/>
      <c r="F290" s="43"/>
      <c r="G290" s="44"/>
      <c r="H290" s="45"/>
      <c r="I290" s="44"/>
      <c r="J290" s="44"/>
      <c r="K290" s="143"/>
      <c r="L290" s="144"/>
      <c r="M290" s="143"/>
      <c r="N290" s="143"/>
      <c r="O290" s="44"/>
      <c r="P290" s="44"/>
      <c r="Q290" s="45"/>
      <c r="R290" s="147"/>
      <c r="S290" s="147"/>
      <c r="T290" s="147"/>
      <c r="U290" s="148"/>
      <c r="V290" s="149"/>
      <c r="W290" s="150"/>
      <c r="X290" s="151"/>
      <c r="Y290" s="44"/>
      <c r="Z290" s="44"/>
      <c r="AA290" s="152"/>
      <c r="AB290" s="152"/>
      <c r="AC290" s="152"/>
      <c r="AD290" s="152"/>
      <c r="AE290" s="152"/>
      <c r="AF290" s="152"/>
      <c r="AG290" s="152"/>
      <c r="AH290" s="44"/>
      <c r="AI290" s="44"/>
      <c r="AJ290" s="44"/>
      <c r="AK290" s="44"/>
      <c r="AL290" s="44"/>
      <c r="AM290" s="44"/>
      <c r="AN290" s="44"/>
    </row>
    <row r="291" spans="1:40">
      <c r="A291" s="44"/>
      <c r="B291" s="44"/>
      <c r="C291" s="44"/>
      <c r="D291" s="44"/>
      <c r="E291" s="44"/>
      <c r="F291" s="43"/>
      <c r="G291" s="44"/>
      <c r="H291" s="45"/>
      <c r="I291" s="44"/>
      <c r="J291" s="44"/>
      <c r="K291" s="143"/>
      <c r="L291" s="144"/>
      <c r="M291" s="143"/>
      <c r="N291" s="143"/>
      <c r="O291" s="44"/>
      <c r="P291" s="44"/>
      <c r="Q291" s="45"/>
      <c r="R291" s="147"/>
      <c r="S291" s="147"/>
      <c r="T291" s="147"/>
      <c r="U291" s="148"/>
      <c r="V291" s="149"/>
      <c r="W291" s="150"/>
      <c r="X291" s="151"/>
      <c r="Y291" s="44"/>
      <c r="Z291" s="44"/>
      <c r="AA291" s="152"/>
      <c r="AB291" s="152"/>
      <c r="AC291" s="152"/>
      <c r="AD291" s="152"/>
      <c r="AE291" s="152"/>
      <c r="AF291" s="152"/>
      <c r="AG291" s="152"/>
      <c r="AH291" s="44"/>
      <c r="AI291" s="44"/>
      <c r="AJ291" s="44"/>
      <c r="AK291" s="44"/>
      <c r="AL291" s="44"/>
      <c r="AM291" s="44"/>
      <c r="AN291" s="44"/>
    </row>
    <row r="292" spans="1:40">
      <c r="A292" s="44"/>
      <c r="B292" s="44"/>
      <c r="C292" s="44"/>
      <c r="D292" s="44"/>
      <c r="E292" s="44"/>
      <c r="F292" s="43"/>
      <c r="G292" s="44"/>
      <c r="H292" s="45"/>
      <c r="I292" s="44"/>
      <c r="J292" s="44"/>
      <c r="K292" s="143"/>
      <c r="L292" s="144"/>
      <c r="M292" s="143"/>
      <c r="N292" s="143"/>
      <c r="O292" s="44"/>
      <c r="P292" s="44"/>
      <c r="Q292" s="45"/>
      <c r="R292" s="147"/>
      <c r="S292" s="147"/>
      <c r="T292" s="147"/>
      <c r="U292" s="148"/>
      <c r="V292" s="149"/>
      <c r="W292" s="150"/>
      <c r="X292" s="151"/>
      <c r="Y292" s="44"/>
      <c r="Z292" s="44"/>
      <c r="AA292" s="152"/>
      <c r="AB292" s="152"/>
      <c r="AC292" s="152"/>
      <c r="AD292" s="152"/>
      <c r="AE292" s="152"/>
      <c r="AF292" s="152"/>
      <c r="AG292" s="152"/>
      <c r="AH292" s="44"/>
      <c r="AI292" s="44"/>
      <c r="AJ292" s="44"/>
      <c r="AK292" s="44"/>
      <c r="AL292" s="44"/>
      <c r="AM292" s="44"/>
      <c r="AN292" s="44"/>
    </row>
    <row r="293" spans="1:40">
      <c r="A293" s="44"/>
      <c r="B293" s="44"/>
      <c r="C293" s="44"/>
      <c r="D293" s="44"/>
      <c r="E293" s="44"/>
      <c r="F293" s="43"/>
      <c r="G293" s="44"/>
      <c r="H293" s="45"/>
      <c r="I293" s="44"/>
      <c r="J293" s="44"/>
      <c r="K293" s="143"/>
      <c r="L293" s="144"/>
      <c r="M293" s="143"/>
      <c r="N293" s="143"/>
      <c r="O293" s="44"/>
      <c r="P293" s="44"/>
      <c r="Q293" s="45"/>
      <c r="R293" s="147"/>
      <c r="S293" s="147"/>
      <c r="T293" s="147"/>
      <c r="U293" s="148"/>
      <c r="V293" s="149"/>
      <c r="W293" s="150"/>
      <c r="X293" s="151"/>
      <c r="Y293" s="44"/>
      <c r="Z293" s="44"/>
      <c r="AA293" s="152"/>
      <c r="AB293" s="152"/>
      <c r="AC293" s="152"/>
      <c r="AD293" s="152"/>
      <c r="AE293" s="152"/>
      <c r="AF293" s="152"/>
      <c r="AG293" s="152"/>
      <c r="AH293" s="44"/>
      <c r="AI293" s="44"/>
      <c r="AJ293" s="44"/>
      <c r="AK293" s="44"/>
      <c r="AL293" s="44"/>
      <c r="AM293" s="44"/>
      <c r="AN293" s="44"/>
    </row>
    <row r="294" spans="1:40">
      <c r="A294" s="44"/>
      <c r="B294" s="44"/>
      <c r="C294" s="44"/>
      <c r="D294" s="44"/>
      <c r="E294" s="44"/>
      <c r="F294" s="43"/>
      <c r="G294" s="44"/>
      <c r="H294" s="45"/>
      <c r="I294" s="44"/>
      <c r="J294" s="44"/>
      <c r="K294" s="143"/>
      <c r="L294" s="144"/>
      <c r="M294" s="143"/>
      <c r="N294" s="143"/>
      <c r="O294" s="44"/>
      <c r="P294" s="44"/>
      <c r="Q294" s="45"/>
      <c r="R294" s="147"/>
      <c r="S294" s="147"/>
      <c r="T294" s="147"/>
      <c r="U294" s="148"/>
      <c r="V294" s="149"/>
      <c r="W294" s="150"/>
      <c r="X294" s="151"/>
      <c r="Y294" s="44"/>
      <c r="Z294" s="44"/>
      <c r="AA294" s="152"/>
      <c r="AB294" s="152"/>
      <c r="AC294" s="152"/>
      <c r="AD294" s="152"/>
      <c r="AE294" s="152"/>
      <c r="AF294" s="152"/>
      <c r="AG294" s="152"/>
      <c r="AH294" s="44"/>
      <c r="AI294" s="44"/>
      <c r="AJ294" s="44"/>
      <c r="AK294" s="44"/>
      <c r="AL294" s="44"/>
      <c r="AM294" s="44"/>
      <c r="AN294" s="44"/>
    </row>
    <row r="295" spans="1:40">
      <c r="A295" s="44"/>
      <c r="B295" s="44"/>
      <c r="C295" s="44"/>
      <c r="D295" s="44"/>
      <c r="E295" s="44"/>
      <c r="F295" s="43"/>
      <c r="G295" s="44"/>
      <c r="H295" s="45"/>
      <c r="I295" s="44"/>
      <c r="J295" s="44"/>
      <c r="K295" s="143"/>
      <c r="L295" s="144"/>
      <c r="M295" s="143"/>
      <c r="N295" s="143"/>
      <c r="O295" s="44"/>
      <c r="P295" s="44"/>
      <c r="Q295" s="45"/>
      <c r="R295" s="147"/>
      <c r="S295" s="147"/>
      <c r="T295" s="147"/>
      <c r="U295" s="148"/>
      <c r="V295" s="149"/>
      <c r="W295" s="150"/>
      <c r="X295" s="151"/>
      <c r="Y295" s="44"/>
      <c r="Z295" s="44"/>
      <c r="AA295" s="152"/>
      <c r="AB295" s="152"/>
      <c r="AC295" s="152"/>
      <c r="AD295" s="152"/>
      <c r="AE295" s="152"/>
      <c r="AF295" s="152"/>
      <c r="AG295" s="152"/>
      <c r="AH295" s="44"/>
      <c r="AI295" s="44"/>
      <c r="AJ295" s="44"/>
      <c r="AK295" s="44"/>
      <c r="AL295" s="44"/>
      <c r="AM295" s="44"/>
      <c r="AN295" s="44"/>
    </row>
    <row r="296" spans="1:40">
      <c r="A296" s="44"/>
      <c r="B296" s="44"/>
      <c r="C296" s="44"/>
      <c r="D296" s="44"/>
      <c r="E296" s="44"/>
      <c r="F296" s="43"/>
      <c r="G296" s="44"/>
      <c r="H296" s="45"/>
      <c r="I296" s="44"/>
      <c r="J296" s="44"/>
      <c r="K296" s="143"/>
      <c r="L296" s="144"/>
      <c r="M296" s="143"/>
      <c r="N296" s="143"/>
      <c r="O296" s="44"/>
      <c r="P296" s="44"/>
      <c r="Q296" s="45"/>
      <c r="R296" s="147"/>
      <c r="S296" s="147"/>
      <c r="T296" s="147"/>
      <c r="U296" s="148"/>
      <c r="V296" s="149"/>
      <c r="W296" s="150"/>
      <c r="X296" s="151"/>
      <c r="Y296" s="44"/>
      <c r="Z296" s="44"/>
      <c r="AA296" s="152"/>
      <c r="AB296" s="152"/>
      <c r="AC296" s="152"/>
      <c r="AD296" s="152"/>
      <c r="AE296" s="152"/>
      <c r="AF296" s="152"/>
      <c r="AG296" s="152"/>
      <c r="AH296" s="44"/>
      <c r="AI296" s="44"/>
      <c r="AJ296" s="44"/>
      <c r="AK296" s="44"/>
      <c r="AL296" s="44"/>
      <c r="AM296" s="44"/>
      <c r="AN296" s="44"/>
    </row>
    <row r="297" spans="1:40">
      <c r="A297" s="44"/>
      <c r="B297" s="44"/>
      <c r="C297" s="44"/>
      <c r="D297" s="44"/>
      <c r="E297" s="44"/>
      <c r="F297" s="43"/>
      <c r="G297" s="44"/>
      <c r="H297" s="45"/>
      <c r="I297" s="44"/>
      <c r="J297" s="44"/>
      <c r="K297" s="143"/>
      <c r="L297" s="144"/>
      <c r="M297" s="143"/>
      <c r="N297" s="143"/>
      <c r="O297" s="44"/>
      <c r="P297" s="44"/>
      <c r="Q297" s="45"/>
      <c r="R297" s="147"/>
      <c r="S297" s="147"/>
      <c r="T297" s="147"/>
      <c r="U297" s="148"/>
      <c r="V297" s="149"/>
      <c r="W297" s="150"/>
      <c r="X297" s="151"/>
      <c r="Y297" s="44"/>
      <c r="Z297" s="44"/>
      <c r="AA297" s="152"/>
      <c r="AB297" s="152"/>
      <c r="AC297" s="152"/>
      <c r="AD297" s="152"/>
      <c r="AE297" s="152"/>
      <c r="AF297" s="152"/>
      <c r="AG297" s="152"/>
      <c r="AH297" s="44"/>
      <c r="AI297" s="44"/>
      <c r="AJ297" s="44"/>
      <c r="AK297" s="44"/>
      <c r="AL297" s="44"/>
      <c r="AM297" s="44"/>
      <c r="AN297" s="44"/>
    </row>
    <row r="298" spans="1:40">
      <c r="A298" s="44"/>
      <c r="B298" s="44"/>
      <c r="C298" s="44"/>
      <c r="D298" s="44"/>
      <c r="E298" s="44"/>
      <c r="F298" s="43"/>
      <c r="G298" s="44"/>
      <c r="H298" s="45"/>
      <c r="I298" s="44"/>
      <c r="J298" s="44"/>
      <c r="K298" s="143"/>
      <c r="L298" s="144"/>
      <c r="M298" s="143"/>
      <c r="N298" s="143"/>
      <c r="O298" s="44"/>
      <c r="P298" s="44"/>
      <c r="Q298" s="45"/>
      <c r="R298" s="147"/>
      <c r="S298" s="147"/>
      <c r="T298" s="147"/>
      <c r="U298" s="148"/>
      <c r="V298" s="149"/>
      <c r="W298" s="150"/>
      <c r="X298" s="151"/>
      <c r="Y298" s="44"/>
      <c r="Z298" s="44"/>
      <c r="AA298" s="152"/>
      <c r="AB298" s="152"/>
      <c r="AC298" s="152"/>
      <c r="AD298" s="152"/>
      <c r="AE298" s="152"/>
      <c r="AF298" s="152"/>
      <c r="AG298" s="152"/>
      <c r="AH298" s="44"/>
      <c r="AI298" s="44"/>
      <c r="AJ298" s="44"/>
      <c r="AK298" s="44"/>
      <c r="AL298" s="44"/>
      <c r="AM298" s="44"/>
      <c r="AN298" s="44"/>
    </row>
    <row r="299" spans="1:40">
      <c r="A299" s="44"/>
      <c r="B299" s="44"/>
      <c r="C299" s="44"/>
      <c r="D299" s="44"/>
      <c r="E299" s="44"/>
      <c r="F299" s="43"/>
      <c r="G299" s="44"/>
      <c r="H299" s="45"/>
      <c r="I299" s="44"/>
      <c r="J299" s="44"/>
      <c r="K299" s="143"/>
      <c r="L299" s="144"/>
      <c r="M299" s="143"/>
      <c r="N299" s="143"/>
      <c r="O299" s="44"/>
      <c r="P299" s="44"/>
      <c r="Q299" s="45"/>
      <c r="R299" s="147"/>
      <c r="S299" s="147"/>
      <c r="T299" s="147"/>
      <c r="U299" s="148"/>
      <c r="V299" s="149"/>
      <c r="W299" s="150"/>
      <c r="X299" s="151"/>
      <c r="Y299" s="44"/>
      <c r="Z299" s="44"/>
      <c r="AA299" s="152"/>
      <c r="AB299" s="152"/>
      <c r="AC299" s="152"/>
      <c r="AD299" s="152"/>
      <c r="AE299" s="152"/>
      <c r="AF299" s="152"/>
      <c r="AG299" s="152"/>
      <c r="AH299" s="44"/>
      <c r="AI299" s="44"/>
      <c r="AJ299" s="44"/>
      <c r="AK299" s="44"/>
      <c r="AL299" s="44"/>
      <c r="AM299" s="44"/>
      <c r="AN299" s="44"/>
    </row>
    <row r="300" spans="1:40">
      <c r="A300" s="44"/>
      <c r="B300" s="44"/>
      <c r="C300" s="44"/>
      <c r="D300" s="44"/>
      <c r="E300" s="44"/>
      <c r="F300" s="43"/>
      <c r="G300" s="44"/>
      <c r="H300" s="45"/>
      <c r="I300" s="44"/>
      <c r="J300" s="44"/>
      <c r="K300" s="143"/>
      <c r="L300" s="144"/>
      <c r="M300" s="143"/>
      <c r="N300" s="143"/>
      <c r="O300" s="44"/>
      <c r="P300" s="44"/>
      <c r="Q300" s="45"/>
      <c r="R300" s="147"/>
      <c r="S300" s="147"/>
      <c r="T300" s="147"/>
      <c r="U300" s="148"/>
      <c r="V300" s="149"/>
      <c r="W300" s="150"/>
      <c r="X300" s="151"/>
      <c r="Y300" s="44"/>
      <c r="Z300" s="44"/>
      <c r="AA300" s="152"/>
      <c r="AB300" s="152"/>
      <c r="AC300" s="152"/>
      <c r="AD300" s="152"/>
      <c r="AE300" s="152"/>
      <c r="AF300" s="152"/>
      <c r="AG300" s="152"/>
      <c r="AH300" s="44"/>
      <c r="AI300" s="44"/>
      <c r="AJ300" s="44"/>
      <c r="AK300" s="44"/>
      <c r="AL300" s="44"/>
      <c r="AM300" s="44"/>
      <c r="AN300" s="44"/>
    </row>
    <row r="301" spans="1:40">
      <c r="A301" s="44"/>
      <c r="B301" s="44"/>
      <c r="C301" s="44"/>
      <c r="D301" s="44"/>
      <c r="E301" s="44"/>
      <c r="F301" s="43"/>
      <c r="G301" s="44"/>
      <c r="H301" s="45"/>
      <c r="I301" s="44"/>
      <c r="J301" s="44"/>
      <c r="K301" s="143"/>
      <c r="L301" s="144"/>
      <c r="M301" s="143"/>
      <c r="N301" s="143"/>
      <c r="O301" s="44"/>
      <c r="P301" s="44"/>
      <c r="Q301" s="45"/>
      <c r="R301" s="147"/>
      <c r="S301" s="147"/>
      <c r="T301" s="147"/>
      <c r="U301" s="148"/>
      <c r="V301" s="149"/>
      <c r="W301" s="150"/>
      <c r="X301" s="151"/>
      <c r="Y301" s="44"/>
      <c r="Z301" s="44"/>
      <c r="AA301" s="152"/>
      <c r="AB301" s="152"/>
      <c r="AC301" s="152"/>
      <c r="AD301" s="152"/>
      <c r="AE301" s="152"/>
      <c r="AF301" s="152"/>
      <c r="AG301" s="152"/>
      <c r="AH301" s="44"/>
      <c r="AI301" s="44"/>
      <c r="AJ301" s="44"/>
      <c r="AK301" s="44"/>
      <c r="AL301" s="44"/>
      <c r="AM301" s="44"/>
      <c r="AN301" s="44"/>
    </row>
    <row r="302" spans="1:40">
      <c r="A302" s="44"/>
      <c r="B302" s="44"/>
      <c r="C302" s="44"/>
      <c r="D302" s="44"/>
      <c r="E302" s="44"/>
      <c r="F302" s="43"/>
      <c r="G302" s="44"/>
      <c r="H302" s="45"/>
      <c r="I302" s="44"/>
      <c r="J302" s="44"/>
      <c r="K302" s="143"/>
      <c r="L302" s="144"/>
      <c r="M302" s="143"/>
      <c r="N302" s="143"/>
      <c r="O302" s="44"/>
      <c r="P302" s="44"/>
      <c r="Q302" s="45"/>
      <c r="R302" s="147"/>
      <c r="S302" s="147"/>
      <c r="T302" s="147"/>
      <c r="U302" s="148"/>
      <c r="V302" s="149"/>
      <c r="W302" s="150"/>
      <c r="X302" s="151"/>
      <c r="Y302" s="44"/>
      <c r="Z302" s="44"/>
      <c r="AA302" s="152"/>
      <c r="AB302" s="152"/>
      <c r="AC302" s="152"/>
      <c r="AD302" s="152"/>
      <c r="AE302" s="152"/>
      <c r="AF302" s="152"/>
      <c r="AG302" s="152"/>
      <c r="AH302" s="44"/>
      <c r="AI302" s="44"/>
      <c r="AJ302" s="44"/>
      <c r="AK302" s="44"/>
      <c r="AL302" s="44"/>
      <c r="AM302" s="44"/>
      <c r="AN302" s="44"/>
    </row>
    <row r="303" spans="1:40">
      <c r="A303" s="44"/>
      <c r="B303" s="44"/>
      <c r="C303" s="44"/>
      <c r="D303" s="44"/>
      <c r="E303" s="44"/>
      <c r="F303" s="43"/>
      <c r="G303" s="44"/>
      <c r="H303" s="45"/>
      <c r="I303" s="44"/>
      <c r="J303" s="44"/>
      <c r="K303" s="143"/>
      <c r="L303" s="144"/>
      <c r="M303" s="143"/>
      <c r="N303" s="143"/>
      <c r="O303" s="44"/>
      <c r="P303" s="44"/>
      <c r="Q303" s="45"/>
      <c r="R303" s="147"/>
      <c r="S303" s="147"/>
      <c r="T303" s="147"/>
      <c r="U303" s="148"/>
      <c r="V303" s="149"/>
      <c r="W303" s="150"/>
      <c r="X303" s="151"/>
      <c r="Y303" s="44"/>
      <c r="Z303" s="44"/>
      <c r="AA303" s="152"/>
      <c r="AB303" s="152"/>
      <c r="AC303" s="152"/>
      <c r="AD303" s="152"/>
      <c r="AE303" s="152"/>
      <c r="AF303" s="152"/>
      <c r="AG303" s="152"/>
      <c r="AH303" s="44"/>
      <c r="AI303" s="44"/>
      <c r="AJ303" s="44"/>
      <c r="AK303" s="44"/>
      <c r="AL303" s="44"/>
      <c r="AM303" s="44"/>
      <c r="AN303" s="44"/>
    </row>
    <row r="304" spans="1:40">
      <c r="A304" s="44"/>
      <c r="B304" s="44"/>
      <c r="C304" s="44"/>
      <c r="D304" s="44"/>
      <c r="E304" s="44"/>
      <c r="F304" s="43"/>
      <c r="G304" s="44"/>
      <c r="H304" s="45"/>
      <c r="I304" s="44"/>
      <c r="J304" s="44"/>
      <c r="K304" s="143"/>
      <c r="L304" s="144"/>
      <c r="M304" s="143"/>
      <c r="N304" s="143"/>
      <c r="O304" s="44"/>
      <c r="P304" s="44"/>
      <c r="Q304" s="45"/>
      <c r="R304" s="147"/>
      <c r="S304" s="147"/>
      <c r="T304" s="147"/>
      <c r="U304" s="148"/>
      <c r="V304" s="149"/>
      <c r="W304" s="150"/>
      <c r="X304" s="151"/>
      <c r="Y304" s="44"/>
      <c r="Z304" s="44"/>
      <c r="AA304" s="152"/>
      <c r="AB304" s="152"/>
      <c r="AC304" s="152"/>
      <c r="AD304" s="152"/>
      <c r="AE304" s="152"/>
      <c r="AF304" s="152"/>
      <c r="AG304" s="152"/>
      <c r="AH304" s="44"/>
      <c r="AI304" s="44"/>
      <c r="AJ304" s="44"/>
      <c r="AK304" s="44"/>
      <c r="AL304" s="44"/>
      <c r="AM304" s="44"/>
      <c r="AN304" s="44"/>
    </row>
    <row r="305" spans="1:40">
      <c r="A305" s="44"/>
      <c r="B305" s="44"/>
      <c r="C305" s="44"/>
      <c r="D305" s="44"/>
      <c r="E305" s="44"/>
      <c r="F305" s="43"/>
      <c r="G305" s="44"/>
      <c r="H305" s="45"/>
      <c r="I305" s="44"/>
      <c r="J305" s="44"/>
      <c r="K305" s="143"/>
      <c r="L305" s="144"/>
      <c r="M305" s="143"/>
      <c r="N305" s="143"/>
      <c r="O305" s="44"/>
      <c r="P305" s="44"/>
      <c r="Q305" s="45"/>
      <c r="R305" s="147"/>
      <c r="S305" s="147"/>
      <c r="T305" s="147"/>
      <c r="U305" s="148"/>
      <c r="V305" s="149"/>
      <c r="W305" s="150"/>
      <c r="X305" s="151"/>
      <c r="Y305" s="44"/>
      <c r="Z305" s="44"/>
      <c r="AA305" s="152"/>
      <c r="AB305" s="152"/>
      <c r="AC305" s="152"/>
      <c r="AD305" s="152"/>
      <c r="AE305" s="152"/>
      <c r="AF305" s="152"/>
      <c r="AG305" s="152"/>
      <c r="AH305" s="44"/>
      <c r="AI305" s="44"/>
      <c r="AJ305" s="44"/>
      <c r="AK305" s="44"/>
      <c r="AL305" s="44"/>
      <c r="AM305" s="44"/>
      <c r="AN305" s="44"/>
    </row>
    <row r="306" spans="1:40">
      <c r="A306" s="44"/>
      <c r="B306" s="44"/>
      <c r="C306" s="44"/>
      <c r="D306" s="44"/>
      <c r="E306" s="44"/>
      <c r="F306" s="43"/>
      <c r="G306" s="44"/>
      <c r="H306" s="45"/>
      <c r="I306" s="44"/>
      <c r="J306" s="44"/>
      <c r="K306" s="143"/>
      <c r="L306" s="144"/>
      <c r="M306" s="143"/>
      <c r="N306" s="143"/>
      <c r="O306" s="44"/>
      <c r="P306" s="44"/>
      <c r="Q306" s="45"/>
      <c r="R306" s="147"/>
      <c r="S306" s="147"/>
      <c r="T306" s="147"/>
      <c r="U306" s="148"/>
      <c r="V306" s="149"/>
      <c r="W306" s="150"/>
      <c r="X306" s="151"/>
      <c r="Y306" s="44"/>
      <c r="Z306" s="44"/>
      <c r="AA306" s="152"/>
      <c r="AB306" s="152"/>
      <c r="AC306" s="152"/>
      <c r="AD306" s="152"/>
      <c r="AE306" s="152"/>
      <c r="AF306" s="152"/>
      <c r="AG306" s="152"/>
      <c r="AH306" s="44"/>
      <c r="AI306" s="44"/>
      <c r="AJ306" s="44"/>
      <c r="AK306" s="44"/>
      <c r="AL306" s="44"/>
      <c r="AM306" s="44"/>
      <c r="AN306" s="44"/>
    </row>
    <row r="307" spans="1:40">
      <c r="A307" s="44"/>
      <c r="B307" s="44"/>
      <c r="C307" s="44"/>
      <c r="D307" s="44"/>
      <c r="E307" s="44"/>
      <c r="F307" s="43"/>
      <c r="G307" s="44"/>
      <c r="H307" s="45"/>
      <c r="I307" s="44"/>
      <c r="J307" s="44"/>
      <c r="K307" s="143"/>
      <c r="L307" s="144"/>
      <c r="M307" s="143"/>
      <c r="N307" s="143"/>
      <c r="O307" s="44"/>
      <c r="P307" s="44"/>
      <c r="Q307" s="45"/>
      <c r="R307" s="147"/>
      <c r="S307" s="147"/>
      <c r="T307" s="147"/>
      <c r="U307" s="148"/>
      <c r="V307" s="149"/>
      <c r="W307" s="150"/>
      <c r="X307" s="151"/>
      <c r="Y307" s="44"/>
      <c r="Z307" s="44"/>
      <c r="AA307" s="152"/>
      <c r="AB307" s="152"/>
      <c r="AC307" s="152"/>
      <c r="AD307" s="152"/>
      <c r="AE307" s="152"/>
      <c r="AF307" s="152"/>
      <c r="AG307" s="152"/>
      <c r="AH307" s="44"/>
      <c r="AI307" s="44"/>
      <c r="AJ307" s="44"/>
      <c r="AK307" s="44"/>
      <c r="AL307" s="44"/>
      <c r="AM307" s="44"/>
      <c r="AN307" s="44"/>
    </row>
    <row r="308" spans="1:40">
      <c r="A308" s="44"/>
      <c r="B308" s="44"/>
      <c r="C308" s="44"/>
      <c r="D308" s="44"/>
      <c r="E308" s="44"/>
      <c r="F308" s="43"/>
      <c r="G308" s="44"/>
      <c r="H308" s="45"/>
      <c r="I308" s="44"/>
      <c r="J308" s="44"/>
      <c r="K308" s="143"/>
      <c r="L308" s="144"/>
      <c r="M308" s="143"/>
      <c r="N308" s="143"/>
      <c r="O308" s="44"/>
      <c r="P308" s="44"/>
      <c r="Q308" s="45"/>
      <c r="R308" s="147"/>
      <c r="S308" s="147"/>
      <c r="T308" s="147"/>
      <c r="U308" s="148"/>
      <c r="V308" s="149"/>
      <c r="W308" s="150"/>
      <c r="X308" s="151"/>
      <c r="Y308" s="44"/>
      <c r="Z308" s="44"/>
      <c r="AA308" s="152"/>
      <c r="AB308" s="152"/>
      <c r="AC308" s="152"/>
      <c r="AD308" s="152"/>
      <c r="AE308" s="152"/>
      <c r="AF308" s="152"/>
      <c r="AG308" s="152"/>
      <c r="AH308" s="44"/>
      <c r="AI308" s="44"/>
      <c r="AJ308" s="44"/>
      <c r="AK308" s="44"/>
      <c r="AL308" s="44"/>
      <c r="AM308" s="44"/>
      <c r="AN308" s="44"/>
    </row>
    <row r="309" spans="1:40">
      <c r="A309" s="44"/>
      <c r="B309" s="44"/>
      <c r="C309" s="44"/>
      <c r="D309" s="44"/>
      <c r="E309" s="44"/>
      <c r="F309" s="43"/>
      <c r="G309" s="44"/>
      <c r="H309" s="45"/>
      <c r="I309" s="44"/>
      <c r="J309" s="44"/>
      <c r="K309" s="143"/>
      <c r="L309" s="144"/>
      <c r="M309" s="143"/>
      <c r="N309" s="143"/>
      <c r="O309" s="44"/>
      <c r="P309" s="44"/>
      <c r="Q309" s="45"/>
      <c r="R309" s="147"/>
      <c r="S309" s="147"/>
      <c r="T309" s="147"/>
      <c r="U309" s="148"/>
      <c r="V309" s="149"/>
      <c r="W309" s="150"/>
      <c r="X309" s="151"/>
      <c r="Y309" s="44"/>
      <c r="Z309" s="44"/>
      <c r="AA309" s="152"/>
      <c r="AB309" s="152"/>
      <c r="AC309" s="152"/>
      <c r="AD309" s="152"/>
      <c r="AE309" s="152"/>
      <c r="AF309" s="152"/>
      <c r="AG309" s="152"/>
      <c r="AH309" s="44"/>
      <c r="AI309" s="44"/>
      <c r="AJ309" s="44"/>
      <c r="AK309" s="44"/>
      <c r="AL309" s="44"/>
      <c r="AM309" s="44"/>
      <c r="AN309" s="44"/>
    </row>
    <row r="310" spans="1:40">
      <c r="A310" s="44"/>
      <c r="B310" s="44"/>
      <c r="C310" s="44"/>
      <c r="D310" s="44"/>
      <c r="E310" s="44"/>
      <c r="F310" s="43"/>
      <c r="G310" s="44"/>
      <c r="H310" s="45"/>
      <c r="I310" s="44"/>
      <c r="J310" s="44"/>
      <c r="K310" s="143"/>
      <c r="L310" s="144"/>
      <c r="M310" s="143"/>
      <c r="N310" s="143"/>
      <c r="O310" s="44"/>
      <c r="P310" s="44"/>
      <c r="Q310" s="45"/>
      <c r="R310" s="147"/>
      <c r="S310" s="147"/>
      <c r="T310" s="147"/>
      <c r="U310" s="148"/>
      <c r="V310" s="149"/>
      <c r="W310" s="150"/>
      <c r="X310" s="151"/>
      <c r="Y310" s="44"/>
      <c r="Z310" s="44"/>
      <c r="AA310" s="152"/>
      <c r="AB310" s="152"/>
      <c r="AC310" s="152"/>
      <c r="AD310" s="152"/>
      <c r="AE310" s="152"/>
      <c r="AF310" s="152"/>
      <c r="AG310" s="152"/>
      <c r="AH310" s="44"/>
      <c r="AI310" s="44"/>
      <c r="AJ310" s="44"/>
      <c r="AK310" s="44"/>
      <c r="AL310" s="44"/>
      <c r="AM310" s="44"/>
      <c r="AN310" s="44"/>
    </row>
    <row r="311" spans="1:40">
      <c r="A311" s="44"/>
      <c r="B311" s="44"/>
      <c r="C311" s="44"/>
      <c r="D311" s="44"/>
      <c r="E311" s="44"/>
      <c r="F311" s="43"/>
      <c r="G311" s="44"/>
      <c r="H311" s="45"/>
      <c r="I311" s="44"/>
      <c r="J311" s="44"/>
      <c r="K311" s="143"/>
      <c r="L311" s="144"/>
      <c r="M311" s="143"/>
      <c r="N311" s="143"/>
      <c r="O311" s="44"/>
      <c r="P311" s="44"/>
      <c r="Q311" s="45"/>
      <c r="R311" s="147"/>
      <c r="S311" s="147"/>
      <c r="T311" s="147"/>
      <c r="U311" s="148"/>
      <c r="V311" s="149"/>
      <c r="W311" s="150"/>
      <c r="X311" s="151"/>
      <c r="Y311" s="44"/>
      <c r="Z311" s="44"/>
      <c r="AA311" s="152"/>
      <c r="AB311" s="152"/>
      <c r="AC311" s="152"/>
      <c r="AD311" s="152"/>
      <c r="AE311" s="152"/>
      <c r="AF311" s="152"/>
      <c r="AG311" s="152"/>
      <c r="AH311" s="44"/>
      <c r="AI311" s="44"/>
      <c r="AJ311" s="44"/>
      <c r="AK311" s="44"/>
      <c r="AL311" s="44"/>
      <c r="AM311" s="44"/>
      <c r="AN311" s="44"/>
    </row>
    <row r="312" spans="1:40">
      <c r="A312" s="44"/>
      <c r="B312" s="44"/>
      <c r="C312" s="44"/>
      <c r="D312" s="44"/>
      <c r="E312" s="44"/>
      <c r="F312" s="43"/>
      <c r="G312" s="44"/>
      <c r="H312" s="45"/>
      <c r="I312" s="44"/>
      <c r="J312" s="44"/>
      <c r="K312" s="143"/>
      <c r="L312" s="144"/>
      <c r="M312" s="143"/>
      <c r="N312" s="143"/>
      <c r="O312" s="44"/>
      <c r="P312" s="44"/>
      <c r="Q312" s="45"/>
      <c r="R312" s="147"/>
      <c r="S312" s="147"/>
      <c r="T312" s="147"/>
      <c r="U312" s="148"/>
      <c r="V312" s="149"/>
      <c r="W312" s="150"/>
      <c r="X312" s="151"/>
      <c r="Y312" s="44"/>
      <c r="Z312" s="44"/>
      <c r="AA312" s="152"/>
      <c r="AB312" s="152"/>
      <c r="AC312" s="152"/>
      <c r="AD312" s="152"/>
      <c r="AE312" s="152"/>
      <c r="AF312" s="152"/>
      <c r="AG312" s="152"/>
      <c r="AH312" s="44"/>
      <c r="AI312" s="44"/>
      <c r="AJ312" s="44"/>
      <c r="AK312" s="44"/>
      <c r="AL312" s="44"/>
      <c r="AM312" s="44"/>
      <c r="AN312" s="44"/>
    </row>
    <row r="313" spans="1:40">
      <c r="A313" s="44"/>
      <c r="B313" s="44"/>
      <c r="C313" s="44"/>
      <c r="D313" s="44"/>
      <c r="E313" s="44"/>
      <c r="F313" s="43"/>
      <c r="G313" s="44"/>
      <c r="H313" s="45"/>
      <c r="I313" s="44"/>
      <c r="J313" s="44"/>
      <c r="K313" s="143"/>
      <c r="L313" s="144"/>
      <c r="M313" s="143"/>
      <c r="N313" s="143"/>
      <c r="O313" s="44"/>
      <c r="P313" s="44"/>
      <c r="Q313" s="45"/>
      <c r="R313" s="147"/>
      <c r="S313" s="147"/>
      <c r="T313" s="147"/>
      <c r="U313" s="148"/>
      <c r="V313" s="149"/>
      <c r="W313" s="150"/>
      <c r="X313" s="151"/>
      <c r="Y313" s="44"/>
      <c r="Z313" s="44"/>
      <c r="AA313" s="152"/>
      <c r="AB313" s="152"/>
      <c r="AC313" s="152"/>
      <c r="AD313" s="152"/>
      <c r="AE313" s="152"/>
      <c r="AF313" s="152"/>
      <c r="AG313" s="152"/>
      <c r="AH313" s="44"/>
      <c r="AI313" s="44"/>
      <c r="AJ313" s="44"/>
      <c r="AK313" s="44"/>
      <c r="AL313" s="44"/>
      <c r="AM313" s="44"/>
      <c r="AN313" s="44"/>
    </row>
    <row r="314" spans="1:40">
      <c r="A314" s="44"/>
      <c r="B314" s="44"/>
      <c r="C314" s="44"/>
      <c r="D314" s="44"/>
      <c r="E314" s="44"/>
      <c r="F314" s="43"/>
      <c r="G314" s="44"/>
      <c r="H314" s="45"/>
      <c r="I314" s="44"/>
      <c r="J314" s="44"/>
      <c r="K314" s="143"/>
      <c r="L314" s="144"/>
      <c r="M314" s="143"/>
      <c r="N314" s="143"/>
      <c r="O314" s="44"/>
      <c r="P314" s="44"/>
      <c r="Q314" s="45"/>
      <c r="R314" s="147"/>
      <c r="S314" s="147"/>
      <c r="T314" s="147"/>
      <c r="U314" s="148"/>
      <c r="V314" s="149"/>
      <c r="W314" s="150"/>
      <c r="X314" s="151"/>
      <c r="Y314" s="44"/>
      <c r="Z314" s="44"/>
      <c r="AA314" s="152"/>
      <c r="AB314" s="152"/>
      <c r="AC314" s="152"/>
      <c r="AD314" s="152"/>
      <c r="AE314" s="152"/>
      <c r="AF314" s="152"/>
      <c r="AG314" s="152"/>
      <c r="AH314" s="44"/>
      <c r="AI314" s="44"/>
      <c r="AJ314" s="44"/>
      <c r="AK314" s="44"/>
      <c r="AL314" s="44"/>
      <c r="AM314" s="44"/>
      <c r="AN314" s="44"/>
    </row>
    <row r="315" spans="1:40">
      <c r="A315" s="44"/>
      <c r="B315" s="44"/>
      <c r="C315" s="44"/>
      <c r="D315" s="44"/>
      <c r="E315" s="44"/>
      <c r="F315" s="43"/>
      <c r="G315" s="44"/>
      <c r="H315" s="45"/>
      <c r="I315" s="44"/>
      <c r="J315" s="44"/>
      <c r="K315" s="143"/>
      <c r="L315" s="144"/>
      <c r="M315" s="143"/>
      <c r="N315" s="143"/>
      <c r="O315" s="44"/>
      <c r="P315" s="44"/>
      <c r="Q315" s="45"/>
      <c r="R315" s="147"/>
      <c r="S315" s="147"/>
      <c r="T315" s="147"/>
      <c r="U315" s="148"/>
      <c r="V315" s="149"/>
      <c r="W315" s="150"/>
      <c r="X315" s="151"/>
      <c r="Y315" s="44"/>
      <c r="Z315" s="44"/>
      <c r="AA315" s="152"/>
      <c r="AB315" s="152"/>
      <c r="AC315" s="152"/>
      <c r="AD315" s="152"/>
      <c r="AE315" s="152"/>
      <c r="AF315" s="152"/>
      <c r="AG315" s="152"/>
      <c r="AH315" s="44"/>
      <c r="AI315" s="44"/>
      <c r="AJ315" s="44"/>
      <c r="AK315" s="44"/>
      <c r="AL315" s="44"/>
      <c r="AM315" s="44"/>
      <c r="AN315" s="44"/>
    </row>
    <row r="316" spans="1:40">
      <c r="A316" s="44"/>
      <c r="B316" s="44"/>
      <c r="C316" s="44"/>
      <c r="D316" s="44"/>
      <c r="E316" s="44"/>
      <c r="F316" s="43"/>
      <c r="G316" s="44"/>
      <c r="H316" s="45"/>
      <c r="I316" s="44"/>
      <c r="J316" s="44"/>
      <c r="K316" s="143"/>
      <c r="L316" s="144"/>
      <c r="M316" s="143"/>
      <c r="N316" s="143"/>
      <c r="O316" s="44"/>
      <c r="P316" s="44"/>
      <c r="Q316" s="45"/>
      <c r="R316" s="147"/>
      <c r="S316" s="147"/>
      <c r="T316" s="147"/>
      <c r="U316" s="148"/>
      <c r="V316" s="149"/>
      <c r="W316" s="150"/>
      <c r="X316" s="151"/>
      <c r="Y316" s="44"/>
      <c r="Z316" s="44"/>
      <c r="AA316" s="152"/>
      <c r="AB316" s="152"/>
      <c r="AC316" s="152"/>
      <c r="AD316" s="152"/>
      <c r="AE316" s="152"/>
      <c r="AF316" s="152"/>
      <c r="AG316" s="152"/>
      <c r="AH316" s="44"/>
      <c r="AI316" s="44"/>
      <c r="AJ316" s="44"/>
      <c r="AK316" s="44"/>
      <c r="AL316" s="44"/>
      <c r="AM316" s="44"/>
      <c r="AN316" s="44"/>
    </row>
    <row r="317" spans="1:40">
      <c r="A317" s="44"/>
      <c r="B317" s="44"/>
      <c r="C317" s="44"/>
      <c r="D317" s="44"/>
      <c r="E317" s="44"/>
      <c r="F317" s="43"/>
      <c r="G317" s="44"/>
      <c r="H317" s="45"/>
      <c r="I317" s="44"/>
      <c r="J317" s="44"/>
      <c r="K317" s="143"/>
      <c r="L317" s="144"/>
      <c r="M317" s="143"/>
      <c r="N317" s="143"/>
      <c r="O317" s="44"/>
      <c r="P317" s="44"/>
      <c r="Q317" s="45"/>
      <c r="R317" s="147"/>
      <c r="S317" s="147"/>
      <c r="T317" s="147"/>
      <c r="U317" s="148"/>
      <c r="V317" s="149"/>
      <c r="W317" s="150"/>
      <c r="X317" s="151"/>
      <c r="Y317" s="44"/>
      <c r="Z317" s="44"/>
      <c r="AA317" s="152"/>
      <c r="AB317" s="152"/>
      <c r="AC317" s="152"/>
      <c r="AD317" s="152"/>
      <c r="AE317" s="152"/>
      <c r="AF317" s="152"/>
      <c r="AG317" s="152"/>
      <c r="AH317" s="44"/>
      <c r="AI317" s="44"/>
      <c r="AJ317" s="44"/>
      <c r="AK317" s="44"/>
      <c r="AL317" s="44"/>
      <c r="AM317" s="44"/>
      <c r="AN317" s="44"/>
    </row>
    <row r="318" spans="1:40">
      <c r="A318" s="44"/>
      <c r="B318" s="44"/>
      <c r="C318" s="44"/>
      <c r="D318" s="44"/>
      <c r="E318" s="44"/>
      <c r="F318" s="43"/>
      <c r="G318" s="44"/>
      <c r="H318" s="45"/>
      <c r="I318" s="44"/>
      <c r="J318" s="44"/>
      <c r="K318" s="143"/>
      <c r="L318" s="144"/>
      <c r="M318" s="143"/>
      <c r="N318" s="143"/>
      <c r="O318" s="44"/>
      <c r="P318" s="44"/>
      <c r="Q318" s="45"/>
      <c r="R318" s="147"/>
      <c r="S318" s="147"/>
      <c r="T318" s="147"/>
      <c r="U318" s="148"/>
      <c r="V318" s="149"/>
      <c r="W318" s="150"/>
      <c r="X318" s="151"/>
      <c r="Y318" s="44"/>
      <c r="Z318" s="44"/>
      <c r="AA318" s="152"/>
      <c r="AB318" s="152"/>
      <c r="AC318" s="152"/>
      <c r="AD318" s="152"/>
      <c r="AE318" s="152"/>
      <c r="AF318" s="152"/>
      <c r="AG318" s="152"/>
      <c r="AH318" s="44"/>
      <c r="AI318" s="44"/>
      <c r="AJ318" s="44"/>
      <c r="AK318" s="44"/>
      <c r="AL318" s="44"/>
      <c r="AM318" s="44"/>
      <c r="AN318" s="44"/>
    </row>
    <row r="319" spans="1:40">
      <c r="A319" s="44"/>
      <c r="B319" s="44"/>
      <c r="C319" s="44"/>
      <c r="D319" s="44"/>
      <c r="E319" s="44"/>
      <c r="F319" s="43"/>
      <c r="G319" s="44"/>
      <c r="H319" s="45"/>
      <c r="I319" s="44"/>
      <c r="J319" s="44"/>
      <c r="K319" s="143"/>
      <c r="L319" s="144"/>
      <c r="M319" s="143"/>
      <c r="N319" s="143"/>
      <c r="O319" s="44"/>
      <c r="P319" s="44"/>
      <c r="Q319" s="45"/>
      <c r="R319" s="147"/>
      <c r="S319" s="147"/>
      <c r="T319" s="147"/>
      <c r="U319" s="148"/>
      <c r="V319" s="149"/>
      <c r="W319" s="150"/>
      <c r="X319" s="151"/>
      <c r="Y319" s="44"/>
      <c r="Z319" s="44"/>
      <c r="AA319" s="152"/>
      <c r="AB319" s="152"/>
      <c r="AC319" s="152"/>
      <c r="AD319" s="152"/>
      <c r="AE319" s="152"/>
      <c r="AF319" s="152"/>
      <c r="AG319" s="152"/>
      <c r="AH319" s="44"/>
      <c r="AI319" s="44"/>
      <c r="AJ319" s="44"/>
      <c r="AK319" s="44"/>
      <c r="AL319" s="44"/>
      <c r="AM319" s="44"/>
      <c r="AN319" s="44"/>
    </row>
    <row r="320" spans="1:40">
      <c r="A320" s="44"/>
      <c r="B320" s="44"/>
      <c r="C320" s="44"/>
      <c r="D320" s="44"/>
      <c r="E320" s="44"/>
      <c r="F320" s="43"/>
      <c r="G320" s="44"/>
      <c r="H320" s="45"/>
      <c r="I320" s="44"/>
      <c r="J320" s="44"/>
      <c r="K320" s="143"/>
      <c r="L320" s="144"/>
      <c r="M320" s="143"/>
      <c r="N320" s="143"/>
      <c r="O320" s="44"/>
      <c r="P320" s="44"/>
      <c r="Q320" s="45"/>
      <c r="R320" s="147"/>
      <c r="S320" s="147"/>
      <c r="T320" s="147"/>
      <c r="U320" s="148"/>
      <c r="V320" s="149"/>
      <c r="W320" s="150"/>
      <c r="X320" s="151"/>
      <c r="Y320" s="44"/>
      <c r="Z320" s="44"/>
      <c r="AA320" s="152"/>
      <c r="AB320" s="152"/>
      <c r="AC320" s="152"/>
      <c r="AD320" s="152"/>
      <c r="AE320" s="152"/>
      <c r="AF320" s="152"/>
      <c r="AG320" s="152"/>
      <c r="AH320" s="44"/>
      <c r="AI320" s="44"/>
      <c r="AJ320" s="44"/>
      <c r="AK320" s="44"/>
      <c r="AL320" s="44"/>
      <c r="AM320" s="44"/>
      <c r="AN320" s="44"/>
    </row>
    <row r="321" spans="1:40">
      <c r="A321" s="44"/>
      <c r="B321" s="44"/>
      <c r="C321" s="44"/>
      <c r="D321" s="44"/>
      <c r="E321" s="44"/>
      <c r="F321" s="43"/>
      <c r="G321" s="44"/>
      <c r="H321" s="45"/>
      <c r="I321" s="44"/>
      <c r="J321" s="44"/>
      <c r="K321" s="143"/>
      <c r="L321" s="144"/>
      <c r="M321" s="143"/>
      <c r="N321" s="143"/>
      <c r="O321" s="44"/>
      <c r="P321" s="44"/>
      <c r="Q321" s="45"/>
      <c r="R321" s="147"/>
      <c r="S321" s="147"/>
      <c r="T321" s="147"/>
      <c r="U321" s="148"/>
      <c r="V321" s="149"/>
      <c r="W321" s="150"/>
      <c r="X321" s="151"/>
      <c r="Y321" s="44"/>
      <c r="Z321" s="44"/>
      <c r="AA321" s="152"/>
      <c r="AB321" s="152"/>
      <c r="AC321" s="152"/>
      <c r="AD321" s="152"/>
      <c r="AE321" s="152"/>
      <c r="AF321" s="152"/>
      <c r="AG321" s="152"/>
      <c r="AH321" s="44"/>
      <c r="AI321" s="44"/>
      <c r="AJ321" s="44"/>
      <c r="AK321" s="44"/>
      <c r="AL321" s="44"/>
      <c r="AM321" s="44"/>
      <c r="AN321" s="44"/>
    </row>
    <row r="322" spans="1:40">
      <c r="A322" s="44"/>
      <c r="B322" s="44"/>
      <c r="C322" s="44"/>
      <c r="D322" s="44"/>
      <c r="E322" s="44"/>
      <c r="F322" s="43"/>
      <c r="G322" s="44"/>
      <c r="H322" s="45"/>
      <c r="I322" s="44"/>
      <c r="J322" s="44"/>
      <c r="K322" s="143"/>
      <c r="L322" s="144"/>
      <c r="M322" s="143"/>
      <c r="N322" s="143"/>
      <c r="O322" s="44"/>
      <c r="P322" s="44"/>
      <c r="Q322" s="45"/>
      <c r="R322" s="147"/>
      <c r="S322" s="147"/>
      <c r="T322" s="147"/>
      <c r="U322" s="148"/>
      <c r="V322" s="149"/>
      <c r="W322" s="150"/>
      <c r="X322" s="151"/>
      <c r="Y322" s="44"/>
      <c r="Z322" s="44"/>
      <c r="AA322" s="152"/>
      <c r="AB322" s="152"/>
      <c r="AC322" s="152"/>
      <c r="AD322" s="152"/>
      <c r="AE322" s="152"/>
      <c r="AF322" s="152"/>
      <c r="AG322" s="152"/>
      <c r="AH322" s="44"/>
      <c r="AI322" s="44"/>
      <c r="AJ322" s="44"/>
      <c r="AK322" s="44"/>
      <c r="AL322" s="44"/>
      <c r="AM322" s="44"/>
      <c r="AN322" s="44"/>
    </row>
    <row r="323" spans="1:40">
      <c r="A323" s="44"/>
      <c r="B323" s="44"/>
      <c r="C323" s="44"/>
      <c r="D323" s="44"/>
      <c r="E323" s="44"/>
      <c r="F323" s="43"/>
      <c r="G323" s="44"/>
      <c r="H323" s="45"/>
      <c r="I323" s="44"/>
      <c r="J323" s="44"/>
      <c r="K323" s="143"/>
      <c r="L323" s="144"/>
      <c r="M323" s="143"/>
      <c r="N323" s="143"/>
      <c r="O323" s="44"/>
      <c r="P323" s="44"/>
      <c r="Q323" s="45"/>
      <c r="R323" s="147"/>
      <c r="S323" s="147"/>
      <c r="T323" s="147"/>
      <c r="U323" s="148"/>
      <c r="V323" s="149"/>
      <c r="W323" s="150"/>
      <c r="X323" s="151"/>
      <c r="Y323" s="44"/>
      <c r="Z323" s="44"/>
      <c r="AA323" s="152"/>
      <c r="AB323" s="152"/>
      <c r="AC323" s="152"/>
      <c r="AD323" s="152"/>
      <c r="AE323" s="152"/>
      <c r="AF323" s="152"/>
      <c r="AG323" s="152"/>
      <c r="AH323" s="44"/>
      <c r="AI323" s="44"/>
      <c r="AJ323" s="44"/>
      <c r="AK323" s="44"/>
      <c r="AL323" s="44"/>
      <c r="AM323" s="44"/>
      <c r="AN323" s="44"/>
    </row>
    <row r="324" spans="1:40">
      <c r="A324" s="44"/>
      <c r="B324" s="44"/>
      <c r="C324" s="44"/>
      <c r="D324" s="44"/>
      <c r="E324" s="44"/>
      <c r="F324" s="43"/>
      <c r="G324" s="44"/>
      <c r="H324" s="45"/>
      <c r="I324" s="44"/>
      <c r="J324" s="44"/>
      <c r="K324" s="143"/>
      <c r="L324" s="144"/>
      <c r="M324" s="143"/>
      <c r="N324" s="143"/>
      <c r="O324" s="44"/>
      <c r="P324" s="44"/>
      <c r="Q324" s="45"/>
      <c r="R324" s="147"/>
      <c r="S324" s="147"/>
      <c r="T324" s="147"/>
      <c r="U324" s="148"/>
      <c r="V324" s="149"/>
      <c r="W324" s="150"/>
      <c r="X324" s="151"/>
      <c r="Y324" s="44"/>
      <c r="Z324" s="44"/>
      <c r="AA324" s="152"/>
      <c r="AB324" s="152"/>
      <c r="AC324" s="152"/>
      <c r="AD324" s="152"/>
      <c r="AE324" s="152"/>
      <c r="AF324" s="152"/>
      <c r="AG324" s="152"/>
      <c r="AH324" s="44"/>
      <c r="AI324" s="44"/>
      <c r="AJ324" s="44"/>
      <c r="AK324" s="44"/>
      <c r="AL324" s="44"/>
      <c r="AM324" s="44"/>
      <c r="AN324" s="44"/>
    </row>
    <row r="325" spans="1:40">
      <c r="A325" s="44"/>
      <c r="B325" s="44"/>
      <c r="C325" s="44"/>
      <c r="D325" s="44"/>
      <c r="E325" s="44"/>
      <c r="F325" s="43"/>
      <c r="G325" s="44"/>
      <c r="H325" s="45"/>
      <c r="I325" s="44"/>
      <c r="J325" s="44"/>
      <c r="K325" s="143"/>
      <c r="L325" s="144"/>
      <c r="M325" s="143"/>
      <c r="N325" s="143"/>
      <c r="O325" s="44"/>
      <c r="P325" s="44"/>
      <c r="Q325" s="45"/>
      <c r="R325" s="147"/>
      <c r="S325" s="147"/>
      <c r="T325" s="147"/>
      <c r="U325" s="148"/>
      <c r="V325" s="149"/>
      <c r="W325" s="150"/>
      <c r="X325" s="151"/>
      <c r="Y325" s="44"/>
      <c r="Z325" s="44"/>
      <c r="AA325" s="152"/>
      <c r="AB325" s="152"/>
      <c r="AC325" s="152"/>
      <c r="AD325" s="152"/>
      <c r="AE325" s="152"/>
      <c r="AF325" s="152"/>
      <c r="AG325" s="152"/>
      <c r="AH325" s="44"/>
      <c r="AI325" s="44"/>
      <c r="AJ325" s="44"/>
      <c r="AK325" s="44"/>
      <c r="AL325" s="44"/>
      <c r="AM325" s="44"/>
      <c r="AN325" s="44"/>
    </row>
    <row r="326" spans="1:40">
      <c r="A326" s="44"/>
      <c r="B326" s="44"/>
      <c r="C326" s="44"/>
      <c r="D326" s="44"/>
      <c r="E326" s="44"/>
      <c r="F326" s="43"/>
      <c r="G326" s="44"/>
      <c r="H326" s="45"/>
      <c r="I326" s="44"/>
      <c r="J326" s="44"/>
      <c r="K326" s="143"/>
      <c r="L326" s="144"/>
      <c r="M326" s="143"/>
      <c r="N326" s="143"/>
      <c r="O326" s="44"/>
      <c r="P326" s="44"/>
      <c r="Q326" s="45"/>
      <c r="R326" s="147"/>
      <c r="S326" s="147"/>
      <c r="T326" s="147"/>
      <c r="U326" s="148"/>
      <c r="V326" s="149"/>
      <c r="W326" s="150"/>
      <c r="X326" s="151"/>
      <c r="Y326" s="44"/>
      <c r="Z326" s="44"/>
      <c r="AA326" s="152"/>
      <c r="AB326" s="152"/>
      <c r="AC326" s="152"/>
      <c r="AD326" s="152"/>
      <c r="AE326" s="152"/>
      <c r="AF326" s="152"/>
      <c r="AG326" s="152"/>
      <c r="AH326" s="44"/>
      <c r="AI326" s="44"/>
      <c r="AJ326" s="44"/>
      <c r="AK326" s="44"/>
      <c r="AL326" s="44"/>
      <c r="AM326" s="44"/>
      <c r="AN326" s="44"/>
    </row>
    <row r="327" spans="1:40">
      <c r="A327" s="44"/>
      <c r="B327" s="44"/>
      <c r="C327" s="44"/>
      <c r="D327" s="44"/>
      <c r="E327" s="44"/>
      <c r="F327" s="43"/>
      <c r="G327" s="44"/>
      <c r="H327" s="45"/>
      <c r="I327" s="44"/>
      <c r="J327" s="44"/>
      <c r="K327" s="143"/>
      <c r="L327" s="144"/>
      <c r="M327" s="143"/>
      <c r="N327" s="143"/>
      <c r="O327" s="44"/>
      <c r="P327" s="44"/>
      <c r="Q327" s="45"/>
      <c r="R327" s="147"/>
      <c r="S327" s="147"/>
      <c r="T327" s="147"/>
      <c r="U327" s="148"/>
      <c r="V327" s="149"/>
      <c r="W327" s="150"/>
      <c r="X327" s="151"/>
      <c r="Y327" s="44"/>
      <c r="Z327" s="44"/>
      <c r="AA327" s="152"/>
      <c r="AB327" s="152"/>
      <c r="AC327" s="152"/>
      <c r="AD327" s="152"/>
      <c r="AE327" s="152"/>
      <c r="AF327" s="152"/>
      <c r="AG327" s="152"/>
      <c r="AH327" s="44"/>
      <c r="AI327" s="44"/>
      <c r="AJ327" s="44"/>
      <c r="AK327" s="44"/>
      <c r="AL327" s="44"/>
      <c r="AM327" s="44"/>
      <c r="AN327" s="44"/>
    </row>
    <row r="328" spans="1:40">
      <c r="A328" s="44"/>
      <c r="B328" s="44"/>
      <c r="C328" s="44"/>
      <c r="D328" s="44"/>
      <c r="E328" s="44"/>
      <c r="F328" s="43"/>
      <c r="G328" s="44"/>
      <c r="H328" s="45"/>
      <c r="I328" s="44"/>
      <c r="J328" s="44"/>
      <c r="K328" s="143"/>
      <c r="L328" s="144"/>
      <c r="M328" s="143"/>
      <c r="N328" s="143"/>
      <c r="O328" s="44"/>
      <c r="P328" s="44"/>
      <c r="Q328" s="45"/>
      <c r="R328" s="147"/>
      <c r="S328" s="147"/>
      <c r="T328" s="147"/>
      <c r="U328" s="148"/>
      <c r="V328" s="149"/>
      <c r="W328" s="150"/>
      <c r="X328" s="151"/>
      <c r="Y328" s="44"/>
      <c r="Z328" s="44"/>
      <c r="AA328" s="152"/>
      <c r="AB328" s="152"/>
      <c r="AC328" s="152"/>
      <c r="AD328" s="152"/>
      <c r="AE328" s="152"/>
      <c r="AF328" s="152"/>
      <c r="AG328" s="152"/>
      <c r="AH328" s="44"/>
      <c r="AI328" s="44"/>
      <c r="AJ328" s="44"/>
      <c r="AK328" s="44"/>
      <c r="AL328" s="44"/>
      <c r="AM328" s="44"/>
      <c r="AN328" s="44"/>
    </row>
    <row r="329" spans="1:40">
      <c r="A329" s="44"/>
      <c r="B329" s="44"/>
      <c r="C329" s="44"/>
      <c r="D329" s="44"/>
      <c r="E329" s="44"/>
      <c r="F329" s="43"/>
      <c r="G329" s="44"/>
      <c r="H329" s="45"/>
      <c r="I329" s="44"/>
      <c r="J329" s="44"/>
      <c r="K329" s="143"/>
      <c r="L329" s="144"/>
      <c r="M329" s="143"/>
      <c r="N329" s="143"/>
      <c r="O329" s="44"/>
      <c r="P329" s="44"/>
      <c r="Q329" s="45"/>
      <c r="R329" s="147"/>
      <c r="S329" s="147"/>
      <c r="T329" s="147"/>
      <c r="U329" s="148"/>
      <c r="V329" s="149"/>
      <c r="W329" s="150"/>
      <c r="X329" s="151"/>
      <c r="Y329" s="44"/>
      <c r="Z329" s="44"/>
      <c r="AA329" s="152"/>
      <c r="AB329" s="152"/>
      <c r="AC329" s="152"/>
      <c r="AD329" s="152"/>
      <c r="AE329" s="152"/>
      <c r="AF329" s="152"/>
      <c r="AG329" s="152"/>
      <c r="AH329" s="44"/>
      <c r="AI329" s="44"/>
      <c r="AJ329" s="44"/>
      <c r="AK329" s="44"/>
      <c r="AL329" s="44"/>
      <c r="AM329" s="44"/>
      <c r="AN329" s="44"/>
    </row>
    <row r="330" spans="1:40">
      <c r="A330" s="44"/>
      <c r="B330" s="44"/>
      <c r="C330" s="44"/>
      <c r="D330" s="44"/>
      <c r="E330" s="44"/>
      <c r="F330" s="43"/>
      <c r="G330" s="44"/>
      <c r="H330" s="45"/>
      <c r="I330" s="44"/>
      <c r="J330" s="44"/>
      <c r="K330" s="143"/>
      <c r="L330" s="144"/>
      <c r="M330" s="143"/>
      <c r="N330" s="143"/>
      <c r="O330" s="44"/>
      <c r="P330" s="44"/>
      <c r="Q330" s="45"/>
      <c r="R330" s="147"/>
      <c r="S330" s="147"/>
      <c r="T330" s="147"/>
      <c r="U330" s="148"/>
      <c r="V330" s="149"/>
      <c r="W330" s="150"/>
      <c r="X330" s="151"/>
      <c r="Y330" s="44"/>
      <c r="Z330" s="44"/>
      <c r="AA330" s="152"/>
      <c r="AB330" s="152"/>
      <c r="AC330" s="152"/>
      <c r="AD330" s="152"/>
      <c r="AE330" s="152"/>
      <c r="AF330" s="152"/>
      <c r="AG330" s="152"/>
      <c r="AH330" s="44"/>
      <c r="AI330" s="44"/>
      <c r="AJ330" s="44"/>
      <c r="AK330" s="44"/>
      <c r="AL330" s="44"/>
      <c r="AM330" s="44"/>
      <c r="AN330" s="44"/>
    </row>
    <row r="331" spans="1:40">
      <c r="A331" s="44"/>
      <c r="B331" s="44"/>
      <c r="C331" s="44"/>
      <c r="D331" s="44"/>
      <c r="E331" s="44"/>
      <c r="F331" s="43"/>
      <c r="G331" s="44"/>
      <c r="H331" s="45"/>
      <c r="I331" s="44"/>
      <c r="J331" s="44"/>
      <c r="K331" s="143"/>
      <c r="L331" s="144"/>
      <c r="M331" s="143"/>
      <c r="N331" s="143"/>
      <c r="O331" s="44"/>
      <c r="P331" s="44"/>
      <c r="Q331" s="45"/>
      <c r="R331" s="147"/>
      <c r="S331" s="147"/>
      <c r="T331" s="147"/>
      <c r="U331" s="148"/>
      <c r="V331" s="149"/>
      <c r="W331" s="150"/>
      <c r="X331" s="151"/>
      <c r="Y331" s="44"/>
      <c r="Z331" s="44"/>
      <c r="AA331" s="152"/>
      <c r="AB331" s="152"/>
      <c r="AC331" s="152"/>
      <c r="AD331" s="152"/>
      <c r="AE331" s="152"/>
      <c r="AF331" s="152"/>
      <c r="AG331" s="152"/>
      <c r="AH331" s="44"/>
      <c r="AI331" s="44"/>
      <c r="AJ331" s="44"/>
      <c r="AK331" s="44"/>
      <c r="AL331" s="44"/>
      <c r="AM331" s="44"/>
      <c r="AN331" s="44"/>
    </row>
    <row r="332" spans="1:40">
      <c r="A332" s="44"/>
      <c r="B332" s="44"/>
      <c r="C332" s="44"/>
      <c r="D332" s="44"/>
      <c r="E332" s="44"/>
      <c r="F332" s="43"/>
      <c r="G332" s="44"/>
      <c r="H332" s="45"/>
      <c r="I332" s="44"/>
      <c r="J332" s="44"/>
      <c r="K332" s="143"/>
      <c r="L332" s="144"/>
      <c r="M332" s="143"/>
      <c r="N332" s="143"/>
      <c r="O332" s="44"/>
      <c r="P332" s="44"/>
      <c r="Q332" s="45"/>
      <c r="R332" s="147"/>
      <c r="S332" s="147"/>
      <c r="T332" s="147"/>
      <c r="U332" s="148"/>
      <c r="V332" s="149"/>
      <c r="W332" s="150"/>
      <c r="X332" s="151"/>
      <c r="Y332" s="44"/>
      <c r="Z332" s="44"/>
      <c r="AA332" s="152"/>
      <c r="AB332" s="152"/>
      <c r="AC332" s="152"/>
      <c r="AD332" s="152"/>
      <c r="AE332" s="152"/>
      <c r="AF332" s="152"/>
      <c r="AG332" s="152"/>
      <c r="AH332" s="44"/>
      <c r="AI332" s="44"/>
      <c r="AJ332" s="44"/>
      <c r="AK332" s="44"/>
      <c r="AL332" s="44"/>
      <c r="AM332" s="44"/>
      <c r="AN332" s="44"/>
    </row>
    <row r="333" spans="1:40">
      <c r="A333" s="44"/>
      <c r="B333" s="44"/>
      <c r="C333" s="44"/>
      <c r="D333" s="44"/>
      <c r="E333" s="44"/>
      <c r="F333" s="43"/>
      <c r="G333" s="44"/>
      <c r="H333" s="45"/>
      <c r="I333" s="44"/>
      <c r="J333" s="44"/>
      <c r="K333" s="143"/>
      <c r="L333" s="144"/>
      <c r="M333" s="143"/>
      <c r="N333" s="143"/>
      <c r="O333" s="44"/>
      <c r="P333" s="44"/>
      <c r="Q333" s="45"/>
      <c r="R333" s="147"/>
      <c r="S333" s="147"/>
      <c r="T333" s="147"/>
      <c r="U333" s="148"/>
      <c r="V333" s="149"/>
      <c r="W333" s="150"/>
      <c r="X333" s="151"/>
      <c r="Y333" s="44"/>
      <c r="Z333" s="44"/>
      <c r="AA333" s="152"/>
      <c r="AB333" s="152"/>
      <c r="AC333" s="152"/>
      <c r="AD333" s="152"/>
      <c r="AE333" s="152"/>
      <c r="AF333" s="152"/>
      <c r="AG333" s="152"/>
      <c r="AH333" s="44"/>
      <c r="AI333" s="44"/>
      <c r="AJ333" s="44"/>
      <c r="AK333" s="44"/>
      <c r="AL333" s="44"/>
      <c r="AM333" s="44"/>
      <c r="AN333" s="44"/>
    </row>
    <row r="334" spans="1:40">
      <c r="A334" s="44"/>
      <c r="B334" s="44"/>
      <c r="C334" s="44"/>
      <c r="D334" s="44"/>
      <c r="E334" s="44"/>
      <c r="F334" s="43"/>
      <c r="G334" s="44"/>
      <c r="H334" s="45"/>
      <c r="I334" s="44"/>
      <c r="J334" s="44"/>
      <c r="K334" s="143"/>
      <c r="L334" s="144"/>
      <c r="M334" s="143"/>
      <c r="N334" s="143"/>
      <c r="O334" s="44"/>
      <c r="P334" s="44"/>
      <c r="Q334" s="45"/>
      <c r="R334" s="147"/>
      <c r="S334" s="147"/>
      <c r="T334" s="147"/>
      <c r="U334" s="148"/>
      <c r="V334" s="149"/>
      <c r="W334" s="150"/>
      <c r="X334" s="151"/>
      <c r="Y334" s="44"/>
      <c r="Z334" s="44"/>
      <c r="AA334" s="152"/>
      <c r="AB334" s="152"/>
      <c r="AC334" s="152"/>
      <c r="AD334" s="152"/>
      <c r="AE334" s="152"/>
      <c r="AF334" s="152"/>
      <c r="AG334" s="152"/>
      <c r="AH334" s="44"/>
      <c r="AI334" s="44"/>
      <c r="AJ334" s="44"/>
      <c r="AK334" s="44"/>
      <c r="AL334" s="44"/>
      <c r="AM334" s="44"/>
      <c r="AN334" s="44"/>
    </row>
    <row r="335" spans="1:40">
      <c r="A335" s="44"/>
      <c r="B335" s="44"/>
      <c r="C335" s="44"/>
      <c r="D335" s="44"/>
      <c r="E335" s="44"/>
      <c r="F335" s="43"/>
      <c r="G335" s="44"/>
      <c r="H335" s="45"/>
      <c r="I335" s="44"/>
      <c r="J335" s="44"/>
      <c r="K335" s="143"/>
      <c r="L335" s="144"/>
      <c r="M335" s="143"/>
      <c r="N335" s="143"/>
      <c r="O335" s="44"/>
      <c r="P335" s="44"/>
      <c r="Q335" s="45"/>
      <c r="R335" s="147"/>
      <c r="S335" s="147"/>
      <c r="T335" s="147"/>
      <c r="U335" s="148"/>
      <c r="V335" s="149"/>
      <c r="W335" s="150"/>
      <c r="X335" s="151"/>
      <c r="Y335" s="44"/>
      <c r="Z335" s="44"/>
      <c r="AA335" s="152"/>
      <c r="AB335" s="152"/>
      <c r="AC335" s="152"/>
      <c r="AD335" s="152"/>
      <c r="AE335" s="152"/>
      <c r="AF335" s="152"/>
      <c r="AG335" s="152"/>
      <c r="AH335" s="44"/>
      <c r="AI335" s="44"/>
      <c r="AJ335" s="44"/>
      <c r="AK335" s="44"/>
      <c r="AL335" s="44"/>
      <c r="AM335" s="44"/>
      <c r="AN335" s="44"/>
    </row>
    <row r="336" spans="1:40">
      <c r="A336" s="44"/>
      <c r="B336" s="44"/>
      <c r="C336" s="44"/>
      <c r="D336" s="44"/>
      <c r="E336" s="44"/>
      <c r="F336" s="43"/>
      <c r="G336" s="44"/>
      <c r="H336" s="45"/>
      <c r="I336" s="44"/>
      <c r="J336" s="44"/>
      <c r="K336" s="143"/>
      <c r="L336" s="144"/>
      <c r="M336" s="143"/>
      <c r="N336" s="143"/>
      <c r="O336" s="44"/>
      <c r="P336" s="44"/>
      <c r="Q336" s="45"/>
      <c r="R336" s="147"/>
      <c r="S336" s="147"/>
      <c r="T336" s="147"/>
      <c r="U336" s="148"/>
      <c r="V336" s="149"/>
      <c r="W336" s="150"/>
      <c r="X336" s="151"/>
      <c r="Y336" s="44"/>
      <c r="Z336" s="44"/>
      <c r="AA336" s="152"/>
      <c r="AB336" s="152"/>
      <c r="AC336" s="152"/>
      <c r="AD336" s="152"/>
      <c r="AE336" s="152"/>
      <c r="AF336" s="152"/>
      <c r="AG336" s="152"/>
      <c r="AH336" s="44"/>
      <c r="AI336" s="44"/>
      <c r="AJ336" s="44"/>
      <c r="AK336" s="44"/>
      <c r="AL336" s="44"/>
      <c r="AM336" s="44"/>
      <c r="AN336" s="44"/>
    </row>
    <row r="337" spans="1:40">
      <c r="A337" s="44"/>
      <c r="B337" s="44"/>
      <c r="C337" s="44"/>
      <c r="D337" s="44"/>
      <c r="E337" s="44"/>
      <c r="F337" s="43"/>
      <c r="G337" s="44"/>
      <c r="H337" s="45"/>
      <c r="I337" s="44"/>
      <c r="J337" s="44"/>
      <c r="K337" s="143"/>
      <c r="L337" s="144"/>
      <c r="M337" s="143"/>
      <c r="N337" s="143"/>
      <c r="O337" s="44"/>
      <c r="P337" s="44"/>
      <c r="Q337" s="45"/>
      <c r="R337" s="147"/>
      <c r="S337" s="147"/>
      <c r="T337" s="147"/>
      <c r="U337" s="148"/>
      <c r="V337" s="149"/>
      <c r="W337" s="150"/>
      <c r="X337" s="151"/>
      <c r="Y337" s="44"/>
      <c r="Z337" s="44"/>
      <c r="AA337" s="152"/>
      <c r="AB337" s="152"/>
      <c r="AC337" s="152"/>
      <c r="AD337" s="152"/>
      <c r="AE337" s="152"/>
      <c r="AF337" s="152"/>
      <c r="AG337" s="152"/>
      <c r="AH337" s="44"/>
      <c r="AI337" s="44"/>
      <c r="AJ337" s="44"/>
      <c r="AK337" s="44"/>
      <c r="AL337" s="44"/>
      <c r="AM337" s="44"/>
      <c r="AN337" s="44"/>
    </row>
    <row r="338" spans="1:40">
      <c r="A338" s="44"/>
      <c r="B338" s="44"/>
      <c r="C338" s="44"/>
      <c r="D338" s="44"/>
      <c r="E338" s="44"/>
      <c r="F338" s="43"/>
      <c r="G338" s="44"/>
      <c r="H338" s="45"/>
      <c r="I338" s="44"/>
      <c r="J338" s="44"/>
      <c r="K338" s="143"/>
      <c r="L338" s="144"/>
      <c r="M338" s="143"/>
      <c r="N338" s="143"/>
      <c r="O338" s="44"/>
      <c r="P338" s="44"/>
      <c r="Q338" s="45"/>
      <c r="R338" s="147"/>
      <c r="S338" s="147"/>
      <c r="T338" s="147"/>
      <c r="U338" s="148"/>
      <c r="V338" s="149"/>
      <c r="W338" s="150"/>
      <c r="X338" s="151"/>
      <c r="Y338" s="44"/>
      <c r="Z338" s="44"/>
      <c r="AA338" s="152"/>
      <c r="AB338" s="152"/>
      <c r="AC338" s="152"/>
      <c r="AD338" s="152"/>
      <c r="AE338" s="152"/>
      <c r="AF338" s="152"/>
      <c r="AG338" s="152"/>
      <c r="AH338" s="44"/>
      <c r="AI338" s="44"/>
      <c r="AJ338" s="44"/>
      <c r="AK338" s="44"/>
      <c r="AL338" s="44"/>
      <c r="AM338" s="44"/>
      <c r="AN338" s="44"/>
    </row>
    <row r="339" spans="1:40">
      <c r="A339" s="44"/>
      <c r="B339" s="44"/>
      <c r="C339" s="44"/>
      <c r="D339" s="44"/>
      <c r="E339" s="44"/>
      <c r="F339" s="43"/>
      <c r="G339" s="44"/>
      <c r="H339" s="45"/>
      <c r="I339" s="44"/>
      <c r="J339" s="44"/>
      <c r="K339" s="143"/>
      <c r="L339" s="144"/>
      <c r="M339" s="143"/>
      <c r="N339" s="143"/>
      <c r="O339" s="44"/>
      <c r="P339" s="44"/>
      <c r="Q339" s="45"/>
      <c r="R339" s="147"/>
      <c r="S339" s="147"/>
      <c r="T339" s="147"/>
      <c r="U339" s="148"/>
      <c r="V339" s="149"/>
      <c r="W339" s="150"/>
      <c r="X339" s="151"/>
      <c r="Y339" s="44"/>
      <c r="Z339" s="44"/>
      <c r="AA339" s="152"/>
      <c r="AB339" s="152"/>
      <c r="AC339" s="152"/>
      <c r="AD339" s="152"/>
      <c r="AE339" s="152"/>
      <c r="AF339" s="152"/>
      <c r="AG339" s="152"/>
      <c r="AH339" s="44"/>
      <c r="AI339" s="44"/>
      <c r="AJ339" s="44"/>
      <c r="AK339" s="44"/>
      <c r="AL339" s="44"/>
      <c r="AM339" s="44"/>
      <c r="AN339" s="44"/>
    </row>
    <row r="340" spans="1:40">
      <c r="A340" s="44"/>
      <c r="B340" s="44"/>
      <c r="C340" s="44"/>
      <c r="D340" s="44"/>
      <c r="E340" s="44"/>
      <c r="F340" s="43"/>
      <c r="G340" s="44"/>
      <c r="H340" s="45"/>
      <c r="I340" s="44"/>
      <c r="J340" s="44"/>
      <c r="K340" s="143"/>
      <c r="L340" s="144"/>
      <c r="M340" s="143"/>
      <c r="N340" s="143"/>
      <c r="O340" s="44"/>
      <c r="P340" s="44"/>
      <c r="Q340" s="45"/>
      <c r="R340" s="147"/>
      <c r="S340" s="147"/>
      <c r="T340" s="147"/>
      <c r="U340" s="148"/>
      <c r="V340" s="149"/>
      <c r="W340" s="150"/>
      <c r="X340" s="151"/>
      <c r="Y340" s="44"/>
      <c r="Z340" s="44"/>
      <c r="AA340" s="152"/>
      <c r="AB340" s="152"/>
      <c r="AC340" s="152"/>
      <c r="AD340" s="152"/>
      <c r="AE340" s="152"/>
      <c r="AF340" s="152"/>
      <c r="AG340" s="152"/>
      <c r="AH340" s="44"/>
      <c r="AI340" s="44"/>
      <c r="AJ340" s="44"/>
      <c r="AK340" s="44"/>
      <c r="AL340" s="44"/>
      <c r="AM340" s="44"/>
      <c r="AN340" s="44"/>
    </row>
    <row r="341" spans="1:40">
      <c r="A341" s="44"/>
      <c r="B341" s="44"/>
      <c r="C341" s="44"/>
      <c r="D341" s="44"/>
      <c r="E341" s="44"/>
      <c r="F341" s="43"/>
      <c r="G341" s="44"/>
      <c r="H341" s="45"/>
      <c r="I341" s="44"/>
      <c r="J341" s="44"/>
      <c r="K341" s="143"/>
      <c r="L341" s="144"/>
      <c r="M341" s="143"/>
      <c r="N341" s="143"/>
      <c r="O341" s="44"/>
      <c r="P341" s="44"/>
      <c r="Q341" s="45"/>
      <c r="R341" s="147"/>
      <c r="S341" s="147"/>
      <c r="T341" s="147"/>
      <c r="U341" s="148"/>
      <c r="V341" s="149"/>
      <c r="W341" s="150"/>
      <c r="X341" s="151"/>
      <c r="Y341" s="44"/>
      <c r="Z341" s="44"/>
      <c r="AA341" s="152"/>
      <c r="AB341" s="152"/>
      <c r="AC341" s="152"/>
      <c r="AD341" s="152"/>
      <c r="AE341" s="152"/>
      <c r="AF341" s="152"/>
      <c r="AG341" s="152"/>
      <c r="AH341" s="44"/>
      <c r="AI341" s="44"/>
      <c r="AJ341" s="44"/>
      <c r="AK341" s="44"/>
      <c r="AL341" s="44"/>
      <c r="AM341" s="44"/>
      <c r="AN341" s="44"/>
    </row>
    <row r="342" spans="1:40">
      <c r="A342" s="44"/>
      <c r="B342" s="44"/>
      <c r="C342" s="44"/>
      <c r="D342" s="44"/>
      <c r="E342" s="44"/>
      <c r="F342" s="43"/>
      <c r="G342" s="44"/>
      <c r="H342" s="45"/>
      <c r="I342" s="44"/>
      <c r="J342" s="44"/>
      <c r="K342" s="143"/>
      <c r="L342" s="144"/>
      <c r="M342" s="143"/>
      <c r="N342" s="143"/>
      <c r="O342" s="44"/>
      <c r="P342" s="44"/>
      <c r="Q342" s="45"/>
      <c r="R342" s="147"/>
      <c r="S342" s="147"/>
      <c r="T342" s="147"/>
      <c r="U342" s="148"/>
      <c r="V342" s="149"/>
      <c r="W342" s="150"/>
      <c r="X342" s="151"/>
      <c r="Y342" s="44"/>
      <c r="Z342" s="44"/>
      <c r="AA342" s="152"/>
      <c r="AB342" s="152"/>
      <c r="AC342" s="152"/>
      <c r="AD342" s="152"/>
      <c r="AE342" s="152"/>
      <c r="AF342" s="152"/>
      <c r="AG342" s="152"/>
      <c r="AH342" s="44"/>
      <c r="AI342" s="44"/>
      <c r="AJ342" s="44"/>
      <c r="AK342" s="44"/>
      <c r="AL342" s="44"/>
      <c r="AM342" s="44"/>
      <c r="AN342" s="44"/>
    </row>
    <row r="343" spans="1:40">
      <c r="A343" s="44"/>
      <c r="B343" s="44"/>
      <c r="C343" s="44"/>
      <c r="D343" s="44"/>
      <c r="E343" s="44"/>
      <c r="F343" s="43"/>
      <c r="G343" s="44"/>
      <c r="H343" s="45"/>
      <c r="I343" s="44"/>
      <c r="J343" s="44"/>
      <c r="K343" s="143"/>
      <c r="L343" s="144"/>
      <c r="M343" s="143"/>
      <c r="N343" s="143"/>
      <c r="O343" s="44"/>
      <c r="P343" s="44"/>
      <c r="Q343" s="45"/>
      <c r="R343" s="147"/>
      <c r="S343" s="147"/>
      <c r="T343" s="147"/>
      <c r="U343" s="148"/>
      <c r="V343" s="149"/>
      <c r="W343" s="150"/>
      <c r="X343" s="151"/>
      <c r="Y343" s="44"/>
      <c r="Z343" s="44"/>
      <c r="AA343" s="152"/>
      <c r="AB343" s="152"/>
      <c r="AC343" s="152"/>
      <c r="AD343" s="152"/>
      <c r="AE343" s="152"/>
      <c r="AF343" s="152"/>
      <c r="AG343" s="152"/>
      <c r="AH343" s="44"/>
      <c r="AI343" s="44"/>
      <c r="AJ343" s="44"/>
      <c r="AK343" s="44"/>
      <c r="AL343" s="44"/>
      <c r="AM343" s="44"/>
      <c r="AN343" s="44"/>
    </row>
    <row r="344" spans="1:40">
      <c r="A344" s="44"/>
      <c r="B344" s="44"/>
      <c r="C344" s="44"/>
      <c r="D344" s="44"/>
      <c r="E344" s="44"/>
      <c r="F344" s="43"/>
      <c r="G344" s="44"/>
      <c r="H344" s="45"/>
      <c r="I344" s="44"/>
      <c r="J344" s="44"/>
      <c r="K344" s="143"/>
      <c r="L344" s="144"/>
      <c r="M344" s="143"/>
      <c r="N344" s="143"/>
      <c r="O344" s="44"/>
      <c r="P344" s="44"/>
      <c r="Q344" s="45"/>
      <c r="R344" s="147"/>
      <c r="S344" s="147"/>
      <c r="T344" s="147"/>
      <c r="U344" s="148"/>
      <c r="V344" s="149"/>
      <c r="W344" s="150"/>
      <c r="X344" s="151"/>
      <c r="Y344" s="44"/>
      <c r="Z344" s="44"/>
      <c r="AA344" s="152"/>
      <c r="AB344" s="152"/>
      <c r="AC344" s="152"/>
      <c r="AD344" s="152"/>
      <c r="AE344" s="152"/>
      <c r="AF344" s="152"/>
      <c r="AG344" s="152"/>
      <c r="AH344" s="44"/>
      <c r="AI344" s="44"/>
      <c r="AJ344" s="44"/>
      <c r="AK344" s="44"/>
      <c r="AL344" s="44"/>
      <c r="AM344" s="44"/>
      <c r="AN344" s="44"/>
    </row>
    <row r="345" spans="1:40">
      <c r="A345" s="44"/>
      <c r="B345" s="44"/>
      <c r="C345" s="44"/>
      <c r="D345" s="44"/>
      <c r="E345" s="44"/>
      <c r="F345" s="43"/>
      <c r="G345" s="44"/>
      <c r="H345" s="45"/>
      <c r="I345" s="44"/>
      <c r="J345" s="44"/>
      <c r="K345" s="143"/>
      <c r="L345" s="144"/>
      <c r="M345" s="143"/>
      <c r="N345" s="143"/>
      <c r="O345" s="44"/>
      <c r="P345" s="44"/>
      <c r="Q345" s="45"/>
      <c r="R345" s="147"/>
      <c r="S345" s="147"/>
      <c r="T345" s="147"/>
      <c r="U345" s="148"/>
      <c r="V345" s="149"/>
      <c r="W345" s="150"/>
      <c r="X345" s="151"/>
      <c r="Y345" s="44"/>
      <c r="Z345" s="44"/>
      <c r="AA345" s="152"/>
      <c r="AB345" s="152"/>
      <c r="AC345" s="152"/>
      <c r="AD345" s="152"/>
      <c r="AE345" s="152"/>
      <c r="AF345" s="152"/>
      <c r="AG345" s="152"/>
      <c r="AH345" s="44"/>
      <c r="AI345" s="44"/>
      <c r="AJ345" s="44"/>
      <c r="AK345" s="44"/>
      <c r="AL345" s="44"/>
      <c r="AM345" s="44"/>
      <c r="AN345" s="44"/>
    </row>
    <row r="346" spans="1:40">
      <c r="A346" s="44"/>
      <c r="B346" s="44"/>
      <c r="C346" s="44"/>
      <c r="D346" s="44"/>
      <c r="E346" s="44"/>
      <c r="F346" s="43"/>
      <c r="G346" s="44"/>
      <c r="H346" s="45"/>
      <c r="I346" s="44"/>
      <c r="J346" s="44"/>
      <c r="K346" s="143"/>
      <c r="L346" s="144"/>
      <c r="M346" s="143"/>
      <c r="N346" s="143"/>
      <c r="O346" s="44"/>
      <c r="P346" s="44"/>
      <c r="Q346" s="45"/>
      <c r="R346" s="147"/>
      <c r="S346" s="147"/>
      <c r="T346" s="147"/>
      <c r="U346" s="148"/>
      <c r="V346" s="149"/>
      <c r="W346" s="150"/>
      <c r="X346" s="151"/>
      <c r="Y346" s="44"/>
      <c r="Z346" s="44"/>
      <c r="AA346" s="152"/>
      <c r="AB346" s="152"/>
      <c r="AC346" s="152"/>
      <c r="AD346" s="152"/>
      <c r="AE346" s="152"/>
      <c r="AF346" s="152"/>
      <c r="AG346" s="152"/>
      <c r="AH346" s="44"/>
      <c r="AI346" s="44"/>
      <c r="AJ346" s="44"/>
      <c r="AK346" s="44"/>
      <c r="AL346" s="44"/>
      <c r="AM346" s="44"/>
      <c r="AN346" s="44"/>
    </row>
    <row r="347" spans="1:40">
      <c r="A347" s="44"/>
      <c r="B347" s="44"/>
      <c r="C347" s="44"/>
      <c r="D347" s="44"/>
      <c r="E347" s="44"/>
      <c r="F347" s="43"/>
      <c r="G347" s="44"/>
      <c r="H347" s="45"/>
      <c r="I347" s="44"/>
      <c r="J347" s="44"/>
      <c r="K347" s="143"/>
      <c r="L347" s="144"/>
      <c r="M347" s="143"/>
      <c r="N347" s="143"/>
      <c r="O347" s="44"/>
      <c r="P347" s="44"/>
      <c r="Q347" s="45"/>
      <c r="R347" s="147"/>
      <c r="S347" s="147"/>
      <c r="T347" s="147"/>
      <c r="U347" s="148"/>
      <c r="V347" s="149"/>
      <c r="W347" s="150"/>
      <c r="X347" s="151"/>
      <c r="Y347" s="44"/>
      <c r="Z347" s="44"/>
      <c r="AA347" s="152"/>
      <c r="AB347" s="152"/>
      <c r="AC347" s="152"/>
      <c r="AD347" s="152"/>
      <c r="AE347" s="152"/>
      <c r="AF347" s="152"/>
      <c r="AG347" s="152"/>
      <c r="AH347" s="44"/>
      <c r="AI347" s="44"/>
      <c r="AJ347" s="44"/>
      <c r="AK347" s="44"/>
      <c r="AL347" s="44"/>
      <c r="AM347" s="44"/>
      <c r="AN347" s="44"/>
    </row>
    <row r="348" spans="1:40">
      <c r="A348" s="44"/>
      <c r="B348" s="44"/>
      <c r="C348" s="44"/>
      <c r="D348" s="44"/>
      <c r="E348" s="44"/>
      <c r="F348" s="43"/>
      <c r="G348" s="44"/>
      <c r="H348" s="45"/>
      <c r="I348" s="44"/>
      <c r="J348" s="44"/>
      <c r="K348" s="143"/>
      <c r="L348" s="144"/>
      <c r="M348" s="143"/>
      <c r="N348" s="143"/>
      <c r="O348" s="44"/>
      <c r="P348" s="44"/>
      <c r="Q348" s="45"/>
      <c r="R348" s="147"/>
      <c r="S348" s="147"/>
      <c r="T348" s="147"/>
      <c r="U348" s="148"/>
      <c r="V348" s="149"/>
      <c r="W348" s="150"/>
      <c r="X348" s="151"/>
      <c r="Y348" s="44"/>
      <c r="Z348" s="44"/>
      <c r="AA348" s="152"/>
      <c r="AB348" s="152"/>
      <c r="AC348" s="152"/>
      <c r="AD348" s="152"/>
      <c r="AE348" s="152"/>
      <c r="AF348" s="152"/>
      <c r="AG348" s="152"/>
      <c r="AH348" s="44"/>
      <c r="AI348" s="44"/>
      <c r="AJ348" s="44"/>
      <c r="AK348" s="44"/>
      <c r="AL348" s="44"/>
      <c r="AM348" s="44"/>
      <c r="AN348" s="44"/>
    </row>
    <row r="349" spans="1:40">
      <c r="A349" s="44"/>
      <c r="B349" s="44"/>
      <c r="C349" s="44"/>
      <c r="D349" s="44"/>
      <c r="E349" s="44"/>
      <c r="F349" s="43"/>
      <c r="G349" s="44"/>
      <c r="H349" s="45"/>
      <c r="I349" s="44"/>
      <c r="J349" s="44"/>
      <c r="K349" s="143"/>
      <c r="L349" s="144"/>
      <c r="M349" s="143"/>
      <c r="N349" s="143"/>
      <c r="O349" s="44"/>
      <c r="P349" s="44"/>
      <c r="Q349" s="45"/>
      <c r="R349" s="147"/>
      <c r="S349" s="147"/>
      <c r="T349" s="147"/>
      <c r="U349" s="148"/>
      <c r="V349" s="149"/>
      <c r="W349" s="150"/>
      <c r="X349" s="151"/>
      <c r="Y349" s="44"/>
      <c r="Z349" s="44"/>
      <c r="AA349" s="152"/>
      <c r="AB349" s="152"/>
      <c r="AC349" s="152"/>
      <c r="AD349" s="152"/>
      <c r="AE349" s="152"/>
      <c r="AF349" s="152"/>
      <c r="AG349" s="152"/>
      <c r="AH349" s="44"/>
      <c r="AI349" s="44"/>
      <c r="AJ349" s="44"/>
      <c r="AK349" s="44"/>
      <c r="AL349" s="44"/>
      <c r="AM349" s="44"/>
      <c r="AN349" s="44"/>
    </row>
    <row r="350" spans="1:40">
      <c r="A350" s="44"/>
      <c r="B350" s="44"/>
      <c r="C350" s="44"/>
      <c r="D350" s="44"/>
      <c r="E350" s="44"/>
      <c r="F350" s="43"/>
      <c r="G350" s="44"/>
      <c r="H350" s="45"/>
      <c r="I350" s="44"/>
      <c r="J350" s="44"/>
      <c r="K350" s="143"/>
      <c r="L350" s="144"/>
      <c r="M350" s="143"/>
      <c r="N350" s="143"/>
      <c r="O350" s="44"/>
      <c r="P350" s="44"/>
      <c r="Q350" s="45"/>
      <c r="R350" s="147"/>
      <c r="S350" s="147"/>
      <c r="T350" s="147"/>
      <c r="U350" s="148"/>
      <c r="V350" s="149"/>
      <c r="W350" s="150"/>
      <c r="X350" s="151"/>
      <c r="Y350" s="44"/>
      <c r="Z350" s="44"/>
      <c r="AA350" s="152"/>
      <c r="AB350" s="152"/>
      <c r="AC350" s="152"/>
      <c r="AD350" s="152"/>
      <c r="AE350" s="152"/>
      <c r="AF350" s="152"/>
      <c r="AG350" s="152"/>
      <c r="AH350" s="44"/>
      <c r="AI350" s="44"/>
      <c r="AJ350" s="44"/>
      <c r="AK350" s="44"/>
      <c r="AL350" s="44"/>
      <c r="AM350" s="44"/>
      <c r="AN350" s="44"/>
    </row>
    <row r="351" spans="1:40">
      <c r="A351" s="44"/>
      <c r="B351" s="44"/>
      <c r="C351" s="44"/>
      <c r="D351" s="44"/>
      <c r="E351" s="44"/>
      <c r="F351" s="43"/>
      <c r="G351" s="44"/>
      <c r="H351" s="45"/>
      <c r="I351" s="44"/>
      <c r="J351" s="44"/>
      <c r="K351" s="143"/>
      <c r="L351" s="144"/>
      <c r="M351" s="143"/>
      <c r="N351" s="143"/>
      <c r="O351" s="44"/>
      <c r="P351" s="44"/>
      <c r="Q351" s="45"/>
      <c r="R351" s="147"/>
      <c r="S351" s="147"/>
      <c r="T351" s="147"/>
      <c r="U351" s="148"/>
      <c r="V351" s="149"/>
      <c r="W351" s="150"/>
      <c r="X351" s="151"/>
      <c r="Y351" s="44"/>
      <c r="Z351" s="44"/>
      <c r="AA351" s="152"/>
      <c r="AB351" s="152"/>
      <c r="AC351" s="152"/>
      <c r="AD351" s="152"/>
      <c r="AE351" s="152"/>
      <c r="AF351" s="152"/>
      <c r="AG351" s="152"/>
      <c r="AH351" s="44"/>
      <c r="AI351" s="44"/>
      <c r="AJ351" s="44"/>
      <c r="AK351" s="44"/>
      <c r="AL351" s="44"/>
      <c r="AM351" s="44"/>
      <c r="AN351" s="44"/>
    </row>
    <row r="352" spans="1:40">
      <c r="A352" s="44"/>
      <c r="B352" s="44"/>
      <c r="C352" s="44"/>
      <c r="D352" s="44"/>
      <c r="E352" s="44"/>
      <c r="F352" s="43"/>
      <c r="G352" s="44"/>
      <c r="H352" s="45"/>
      <c r="I352" s="44"/>
      <c r="J352" s="44"/>
      <c r="K352" s="143"/>
      <c r="L352" s="144"/>
      <c r="M352" s="143"/>
      <c r="N352" s="143"/>
      <c r="O352" s="44"/>
      <c r="P352" s="44"/>
      <c r="Q352" s="45"/>
      <c r="R352" s="147"/>
      <c r="S352" s="147"/>
      <c r="T352" s="147"/>
      <c r="U352" s="148"/>
      <c r="V352" s="149"/>
      <c r="W352" s="150"/>
      <c r="X352" s="151"/>
      <c r="Y352" s="44"/>
      <c r="Z352" s="44"/>
      <c r="AA352" s="152"/>
      <c r="AB352" s="152"/>
      <c r="AC352" s="152"/>
      <c r="AD352" s="152"/>
      <c r="AE352" s="152"/>
      <c r="AF352" s="152"/>
      <c r="AG352" s="152"/>
      <c r="AH352" s="44"/>
      <c r="AI352" s="44"/>
      <c r="AJ352" s="44"/>
      <c r="AK352" s="44"/>
      <c r="AL352" s="44"/>
      <c r="AM352" s="44"/>
      <c r="AN352" s="44"/>
    </row>
    <row r="353" spans="1:40">
      <c r="A353" s="44"/>
      <c r="B353" s="44"/>
      <c r="C353" s="44"/>
      <c r="D353" s="44"/>
      <c r="E353" s="44"/>
      <c r="F353" s="43"/>
      <c r="G353" s="44"/>
      <c r="H353" s="45"/>
      <c r="I353" s="44"/>
      <c r="J353" s="44"/>
      <c r="K353" s="143"/>
      <c r="L353" s="144"/>
      <c r="M353" s="143"/>
      <c r="N353" s="143"/>
      <c r="O353" s="44"/>
      <c r="P353" s="44"/>
      <c r="Q353" s="45"/>
      <c r="R353" s="147"/>
      <c r="S353" s="147"/>
      <c r="T353" s="147"/>
      <c r="U353" s="148"/>
      <c r="V353" s="149"/>
      <c r="W353" s="150"/>
      <c r="X353" s="151"/>
      <c r="Y353" s="44"/>
      <c r="Z353" s="44"/>
      <c r="AA353" s="152"/>
      <c r="AB353" s="152"/>
      <c r="AC353" s="152"/>
      <c r="AD353" s="152"/>
      <c r="AE353" s="152"/>
      <c r="AF353" s="152"/>
      <c r="AG353" s="152"/>
      <c r="AH353" s="44"/>
      <c r="AI353" s="44"/>
      <c r="AJ353" s="44"/>
      <c r="AK353" s="44"/>
      <c r="AL353" s="44"/>
      <c r="AM353" s="44"/>
      <c r="AN353" s="44"/>
    </row>
    <row r="354" spans="1:40">
      <c r="A354" s="44"/>
      <c r="B354" s="44"/>
      <c r="C354" s="44"/>
      <c r="D354" s="44"/>
      <c r="E354" s="44"/>
      <c r="F354" s="43"/>
      <c r="G354" s="44"/>
      <c r="H354" s="45"/>
      <c r="I354" s="44"/>
      <c r="J354" s="44"/>
      <c r="K354" s="143"/>
      <c r="L354" s="144"/>
      <c r="M354" s="143"/>
      <c r="N354" s="143"/>
      <c r="O354" s="44"/>
      <c r="P354" s="44"/>
      <c r="Q354" s="45"/>
      <c r="R354" s="147"/>
      <c r="S354" s="147"/>
      <c r="T354" s="147"/>
      <c r="U354" s="148"/>
      <c r="V354" s="149"/>
      <c r="W354" s="150"/>
      <c r="X354" s="151"/>
      <c r="Y354" s="44"/>
      <c r="Z354" s="44"/>
      <c r="AA354" s="152"/>
      <c r="AB354" s="152"/>
      <c r="AC354" s="152"/>
      <c r="AD354" s="152"/>
      <c r="AE354" s="152"/>
      <c r="AF354" s="152"/>
      <c r="AG354" s="152"/>
      <c r="AH354" s="44"/>
      <c r="AI354" s="44"/>
      <c r="AJ354" s="44"/>
      <c r="AK354" s="44"/>
      <c r="AL354" s="44"/>
      <c r="AM354" s="44"/>
      <c r="AN354" s="44"/>
    </row>
    <row r="355" spans="1:40">
      <c r="A355" s="44"/>
      <c r="B355" s="44"/>
      <c r="C355" s="44"/>
      <c r="D355" s="44"/>
      <c r="E355" s="44"/>
      <c r="F355" s="43"/>
      <c r="G355" s="44"/>
      <c r="H355" s="45"/>
      <c r="I355" s="44"/>
      <c r="J355" s="44"/>
      <c r="K355" s="143"/>
      <c r="L355" s="144"/>
      <c r="M355" s="143"/>
      <c r="N355" s="143"/>
      <c r="O355" s="44"/>
      <c r="P355" s="44"/>
      <c r="Q355" s="45"/>
      <c r="R355" s="147"/>
      <c r="S355" s="147"/>
      <c r="T355" s="147"/>
      <c r="U355" s="148"/>
      <c r="V355" s="149"/>
      <c r="W355" s="150"/>
      <c r="X355" s="151"/>
      <c r="Y355" s="44"/>
      <c r="Z355" s="44"/>
      <c r="AA355" s="152"/>
      <c r="AB355" s="152"/>
      <c r="AC355" s="152"/>
      <c r="AD355" s="152"/>
      <c r="AE355" s="152"/>
      <c r="AF355" s="152"/>
      <c r="AG355" s="152"/>
      <c r="AH355" s="44"/>
      <c r="AI355" s="44"/>
      <c r="AJ355" s="44"/>
      <c r="AK355" s="44"/>
      <c r="AL355" s="44"/>
      <c r="AM355" s="44"/>
      <c r="AN355" s="44"/>
    </row>
    <row r="356" spans="1:40">
      <c r="A356" s="44"/>
      <c r="B356" s="44"/>
      <c r="C356" s="44"/>
      <c r="D356" s="44"/>
      <c r="E356" s="44"/>
      <c r="F356" s="43"/>
      <c r="G356" s="44"/>
      <c r="H356" s="45"/>
      <c r="I356" s="44"/>
      <c r="J356" s="44"/>
      <c r="K356" s="143"/>
      <c r="L356" s="144"/>
      <c r="M356" s="143"/>
      <c r="N356" s="143"/>
      <c r="O356" s="44"/>
      <c r="P356" s="44"/>
      <c r="Q356" s="45"/>
      <c r="R356" s="147"/>
      <c r="S356" s="147"/>
      <c r="T356" s="147"/>
      <c r="U356" s="148"/>
      <c r="V356" s="149"/>
      <c r="W356" s="150"/>
      <c r="X356" s="151"/>
      <c r="Y356" s="44"/>
      <c r="Z356" s="44"/>
      <c r="AA356" s="152"/>
      <c r="AB356" s="152"/>
      <c r="AC356" s="152"/>
      <c r="AD356" s="152"/>
      <c r="AE356" s="152"/>
      <c r="AF356" s="152"/>
      <c r="AG356" s="152"/>
      <c r="AH356" s="44"/>
      <c r="AI356" s="44"/>
      <c r="AJ356" s="44"/>
      <c r="AK356" s="44"/>
      <c r="AL356" s="44"/>
      <c r="AM356" s="44"/>
      <c r="AN356" s="44"/>
    </row>
    <row r="357" spans="1:40">
      <c r="A357" s="44"/>
      <c r="B357" s="44"/>
      <c r="C357" s="44"/>
      <c r="D357" s="44"/>
      <c r="E357" s="44"/>
      <c r="F357" s="43"/>
      <c r="G357" s="44"/>
      <c r="H357" s="45"/>
      <c r="I357" s="44"/>
      <c r="J357" s="44"/>
      <c r="K357" s="143"/>
      <c r="L357" s="144"/>
      <c r="M357" s="143"/>
      <c r="N357" s="143"/>
      <c r="O357" s="44"/>
      <c r="P357" s="44"/>
      <c r="Q357" s="45"/>
      <c r="R357" s="147"/>
      <c r="S357" s="147"/>
      <c r="T357" s="147"/>
      <c r="U357" s="148"/>
      <c r="V357" s="149"/>
      <c r="W357" s="150"/>
      <c r="X357" s="151"/>
      <c r="Y357" s="44"/>
      <c r="Z357" s="44"/>
      <c r="AA357" s="152"/>
      <c r="AB357" s="152"/>
      <c r="AC357" s="152"/>
      <c r="AD357" s="152"/>
      <c r="AE357" s="152"/>
      <c r="AF357" s="152"/>
      <c r="AG357" s="152"/>
      <c r="AH357" s="44"/>
      <c r="AI357" s="44"/>
      <c r="AJ357" s="44"/>
      <c r="AK357" s="44"/>
      <c r="AL357" s="44"/>
      <c r="AM357" s="44"/>
      <c r="AN357" s="44"/>
    </row>
    <row r="358" spans="1:40">
      <c r="A358" s="44"/>
      <c r="B358" s="44"/>
      <c r="C358" s="44"/>
      <c r="D358" s="44"/>
      <c r="E358" s="44"/>
      <c r="F358" s="43"/>
      <c r="G358" s="44"/>
      <c r="H358" s="45"/>
      <c r="I358" s="44"/>
      <c r="J358" s="44"/>
      <c r="K358" s="143"/>
      <c r="L358" s="144"/>
      <c r="M358" s="143"/>
      <c r="N358" s="143"/>
      <c r="O358" s="44"/>
      <c r="P358" s="44"/>
      <c r="Q358" s="45"/>
      <c r="R358" s="147"/>
      <c r="S358" s="147"/>
      <c r="T358" s="147"/>
      <c r="U358" s="148"/>
      <c r="V358" s="149"/>
      <c r="W358" s="150"/>
      <c r="X358" s="151"/>
      <c r="Y358" s="44"/>
      <c r="Z358" s="44"/>
      <c r="AA358" s="152"/>
      <c r="AB358" s="152"/>
      <c r="AC358" s="152"/>
      <c r="AD358" s="152"/>
      <c r="AE358" s="152"/>
      <c r="AF358" s="152"/>
      <c r="AG358" s="152"/>
      <c r="AH358" s="44"/>
      <c r="AI358" s="44"/>
      <c r="AJ358" s="44"/>
      <c r="AK358" s="44"/>
      <c r="AL358" s="44"/>
      <c r="AM358" s="44"/>
      <c r="AN358" s="44"/>
    </row>
    <row r="359" spans="1:40">
      <c r="A359" s="44"/>
      <c r="B359" s="44"/>
      <c r="C359" s="44"/>
      <c r="D359" s="44"/>
      <c r="E359" s="44"/>
      <c r="F359" s="43"/>
      <c r="G359" s="44"/>
      <c r="H359" s="45"/>
      <c r="I359" s="44"/>
      <c r="J359" s="44"/>
      <c r="K359" s="143"/>
      <c r="L359" s="144"/>
      <c r="M359" s="143"/>
      <c r="N359" s="143"/>
      <c r="O359" s="44"/>
      <c r="P359" s="44"/>
      <c r="Q359" s="45"/>
      <c r="R359" s="147"/>
      <c r="S359" s="147"/>
      <c r="T359" s="147"/>
      <c r="U359" s="148"/>
      <c r="V359" s="149"/>
      <c r="W359" s="150"/>
      <c r="X359" s="151"/>
      <c r="Y359" s="44"/>
      <c r="Z359" s="44"/>
      <c r="AA359" s="152"/>
      <c r="AB359" s="152"/>
      <c r="AC359" s="152"/>
      <c r="AD359" s="152"/>
      <c r="AE359" s="152"/>
      <c r="AF359" s="152"/>
      <c r="AG359" s="152"/>
      <c r="AH359" s="44"/>
      <c r="AI359" s="44"/>
      <c r="AJ359" s="44"/>
      <c r="AK359" s="44"/>
      <c r="AL359" s="44"/>
      <c r="AM359" s="44"/>
      <c r="AN359" s="44"/>
    </row>
    <row r="360" spans="1:40">
      <c r="A360" s="44"/>
      <c r="B360" s="44"/>
      <c r="C360" s="44"/>
      <c r="D360" s="44"/>
      <c r="E360" s="44"/>
      <c r="F360" s="43"/>
      <c r="G360" s="44"/>
      <c r="H360" s="45"/>
      <c r="I360" s="44"/>
      <c r="J360" s="44"/>
      <c r="K360" s="143"/>
      <c r="L360" s="144"/>
      <c r="M360" s="143"/>
      <c r="N360" s="143"/>
      <c r="O360" s="44"/>
      <c r="P360" s="44"/>
      <c r="Q360" s="45"/>
      <c r="R360" s="147"/>
      <c r="S360" s="147"/>
      <c r="T360" s="147"/>
      <c r="U360" s="148"/>
      <c r="V360" s="149"/>
      <c r="W360" s="150"/>
      <c r="X360" s="151"/>
      <c r="Y360" s="44"/>
      <c r="Z360" s="44"/>
      <c r="AA360" s="152"/>
      <c r="AB360" s="152"/>
      <c r="AC360" s="152"/>
      <c r="AD360" s="152"/>
      <c r="AE360" s="152"/>
      <c r="AF360" s="152"/>
      <c r="AG360" s="152"/>
      <c r="AH360" s="44"/>
      <c r="AI360" s="44"/>
      <c r="AJ360" s="44"/>
      <c r="AK360" s="44"/>
      <c r="AL360" s="44"/>
      <c r="AM360" s="44"/>
      <c r="AN360" s="44"/>
    </row>
    <row r="361" spans="1:40">
      <c r="A361" s="44"/>
      <c r="B361" s="44"/>
      <c r="C361" s="44"/>
      <c r="D361" s="44"/>
      <c r="E361" s="44"/>
      <c r="F361" s="43"/>
      <c r="G361" s="44"/>
      <c r="H361" s="45"/>
      <c r="I361" s="44"/>
      <c r="J361" s="44"/>
      <c r="K361" s="143"/>
      <c r="L361" s="144"/>
      <c r="M361" s="143"/>
      <c r="N361" s="143"/>
      <c r="O361" s="44"/>
      <c r="P361" s="44"/>
      <c r="Q361" s="45"/>
      <c r="R361" s="147"/>
      <c r="S361" s="147"/>
      <c r="T361" s="147"/>
      <c r="U361" s="148"/>
      <c r="V361" s="149"/>
      <c r="W361" s="150"/>
      <c r="X361" s="151"/>
      <c r="Y361" s="44"/>
      <c r="Z361" s="44"/>
      <c r="AA361" s="152"/>
      <c r="AB361" s="152"/>
      <c r="AC361" s="152"/>
      <c r="AD361" s="152"/>
      <c r="AE361" s="152"/>
      <c r="AF361" s="152"/>
      <c r="AG361" s="152"/>
      <c r="AH361" s="44"/>
      <c r="AI361" s="44"/>
      <c r="AJ361" s="44"/>
      <c r="AK361" s="44"/>
      <c r="AL361" s="44"/>
      <c r="AM361" s="44"/>
      <c r="AN361" s="44"/>
    </row>
    <row r="362" spans="1:40">
      <c r="A362" s="44"/>
      <c r="B362" s="44"/>
      <c r="C362" s="44"/>
      <c r="D362" s="44"/>
      <c r="E362" s="44"/>
      <c r="F362" s="43"/>
      <c r="G362" s="44"/>
      <c r="H362" s="45"/>
      <c r="I362" s="44"/>
      <c r="J362" s="44"/>
      <c r="K362" s="143"/>
      <c r="L362" s="144"/>
      <c r="M362" s="143"/>
      <c r="N362" s="143"/>
      <c r="O362" s="44"/>
      <c r="P362" s="44"/>
      <c r="Q362" s="45"/>
      <c r="R362" s="147"/>
      <c r="S362" s="147"/>
      <c r="T362" s="147"/>
      <c r="U362" s="148"/>
      <c r="V362" s="149"/>
      <c r="W362" s="150"/>
      <c r="X362" s="151"/>
      <c r="Y362" s="44"/>
      <c r="Z362" s="44"/>
      <c r="AA362" s="152"/>
      <c r="AB362" s="152"/>
      <c r="AC362" s="152"/>
      <c r="AD362" s="152"/>
      <c r="AE362" s="152"/>
      <c r="AF362" s="152"/>
      <c r="AG362" s="152"/>
      <c r="AH362" s="44"/>
      <c r="AI362" s="44"/>
      <c r="AJ362" s="44"/>
      <c r="AK362" s="44"/>
      <c r="AL362" s="44"/>
      <c r="AM362" s="44"/>
      <c r="AN362" s="44"/>
    </row>
    <row r="363" spans="1:40">
      <c r="A363" s="44"/>
      <c r="B363" s="44"/>
      <c r="C363" s="44"/>
      <c r="D363" s="44"/>
      <c r="E363" s="44"/>
      <c r="F363" s="43"/>
      <c r="G363" s="44"/>
      <c r="H363" s="45"/>
      <c r="I363" s="44"/>
      <c r="J363" s="44"/>
      <c r="K363" s="143"/>
      <c r="L363" s="144"/>
      <c r="M363" s="143"/>
      <c r="N363" s="143"/>
      <c r="O363" s="44"/>
      <c r="P363" s="44"/>
      <c r="Q363" s="45"/>
      <c r="R363" s="147"/>
      <c r="S363" s="147"/>
      <c r="T363" s="147"/>
      <c r="U363" s="148"/>
      <c r="V363" s="149"/>
      <c r="W363" s="150"/>
      <c r="X363" s="151"/>
      <c r="Y363" s="44"/>
      <c r="Z363" s="44"/>
      <c r="AA363" s="152"/>
      <c r="AB363" s="152"/>
      <c r="AC363" s="152"/>
      <c r="AD363" s="152"/>
      <c r="AE363" s="152"/>
      <c r="AF363" s="152"/>
      <c r="AG363" s="152"/>
      <c r="AH363" s="44"/>
      <c r="AI363" s="44"/>
      <c r="AJ363" s="44"/>
      <c r="AK363" s="44"/>
      <c r="AL363" s="44"/>
      <c r="AM363" s="44"/>
      <c r="AN363" s="44"/>
    </row>
    <row r="364" spans="1:40">
      <c r="A364" s="44"/>
      <c r="B364" s="44"/>
      <c r="C364" s="44"/>
      <c r="D364" s="44"/>
      <c r="E364" s="44"/>
      <c r="F364" s="43"/>
      <c r="G364" s="44"/>
      <c r="H364" s="45"/>
      <c r="I364" s="44"/>
      <c r="J364" s="44"/>
      <c r="K364" s="143"/>
      <c r="L364" s="144"/>
      <c r="M364" s="143"/>
      <c r="N364" s="143"/>
      <c r="O364" s="44"/>
      <c r="P364" s="44"/>
      <c r="Q364" s="45"/>
      <c r="R364" s="147"/>
      <c r="S364" s="147"/>
      <c r="T364" s="147"/>
      <c r="U364" s="148"/>
      <c r="V364" s="149"/>
      <c r="W364" s="150"/>
      <c r="X364" s="151"/>
      <c r="Y364" s="44"/>
      <c r="Z364" s="44"/>
      <c r="AA364" s="152"/>
      <c r="AB364" s="152"/>
      <c r="AC364" s="152"/>
      <c r="AD364" s="152"/>
      <c r="AE364" s="152"/>
      <c r="AF364" s="152"/>
      <c r="AG364" s="152"/>
      <c r="AH364" s="44"/>
      <c r="AI364" s="44"/>
      <c r="AJ364" s="44"/>
      <c r="AK364" s="44"/>
      <c r="AL364" s="44"/>
      <c r="AM364" s="44"/>
      <c r="AN364" s="44"/>
    </row>
    <row r="365" spans="1:40">
      <c r="A365" s="44"/>
      <c r="B365" s="44"/>
      <c r="C365" s="44"/>
      <c r="D365" s="44"/>
      <c r="E365" s="44"/>
      <c r="F365" s="43"/>
      <c r="G365" s="44"/>
      <c r="H365" s="45"/>
      <c r="I365" s="44"/>
      <c r="J365" s="44"/>
      <c r="K365" s="143"/>
      <c r="L365" s="144"/>
      <c r="M365" s="143"/>
      <c r="N365" s="143"/>
      <c r="O365" s="44"/>
      <c r="P365" s="44"/>
      <c r="Q365" s="45"/>
      <c r="R365" s="147"/>
      <c r="S365" s="147"/>
      <c r="T365" s="147"/>
      <c r="U365" s="148"/>
      <c r="V365" s="149"/>
      <c r="W365" s="150"/>
      <c r="X365" s="151"/>
      <c r="Y365" s="44"/>
      <c r="Z365" s="44"/>
      <c r="AA365" s="152"/>
      <c r="AB365" s="152"/>
      <c r="AC365" s="152"/>
      <c r="AD365" s="152"/>
      <c r="AE365" s="152"/>
      <c r="AF365" s="152"/>
      <c r="AG365" s="152"/>
      <c r="AH365" s="44"/>
      <c r="AI365" s="44"/>
      <c r="AJ365" s="44"/>
      <c r="AK365" s="44"/>
      <c r="AL365" s="44"/>
      <c r="AM365" s="44"/>
      <c r="AN365" s="44"/>
    </row>
    <row r="366" spans="1:40">
      <c r="A366" s="44"/>
      <c r="B366" s="44"/>
      <c r="C366" s="44"/>
      <c r="D366" s="44"/>
      <c r="E366" s="44"/>
      <c r="F366" s="43"/>
      <c r="G366" s="44"/>
      <c r="H366" s="45"/>
      <c r="I366" s="44"/>
      <c r="J366" s="44"/>
      <c r="K366" s="143"/>
      <c r="L366" s="144"/>
      <c r="M366" s="143"/>
      <c r="N366" s="143"/>
      <c r="O366" s="44"/>
      <c r="P366" s="44"/>
      <c r="Q366" s="45"/>
      <c r="R366" s="147"/>
      <c r="S366" s="147"/>
      <c r="T366" s="147"/>
      <c r="U366" s="148"/>
      <c r="V366" s="149"/>
      <c r="W366" s="150"/>
      <c r="X366" s="151"/>
      <c r="Y366" s="44"/>
      <c r="Z366" s="44"/>
      <c r="AA366" s="152"/>
      <c r="AB366" s="152"/>
      <c r="AC366" s="152"/>
      <c r="AD366" s="152"/>
      <c r="AE366" s="152"/>
      <c r="AF366" s="152"/>
      <c r="AG366" s="152"/>
      <c r="AH366" s="44"/>
      <c r="AI366" s="44"/>
      <c r="AJ366" s="44"/>
      <c r="AK366" s="44"/>
      <c r="AL366" s="44"/>
      <c r="AM366" s="44"/>
      <c r="AN366" s="44"/>
    </row>
    <row r="367" spans="1:40">
      <c r="A367" s="44"/>
      <c r="B367" s="44"/>
      <c r="C367" s="44"/>
      <c r="D367" s="44"/>
      <c r="E367" s="44"/>
      <c r="F367" s="43"/>
      <c r="G367" s="44"/>
      <c r="H367" s="45"/>
      <c r="I367" s="44"/>
      <c r="J367" s="44"/>
      <c r="K367" s="143"/>
      <c r="L367" s="144"/>
      <c r="M367" s="143"/>
      <c r="N367" s="143"/>
      <c r="O367" s="44"/>
      <c r="P367" s="44"/>
      <c r="Q367" s="45"/>
      <c r="R367" s="147"/>
      <c r="S367" s="147"/>
      <c r="T367" s="147"/>
      <c r="U367" s="148"/>
      <c r="V367" s="149"/>
      <c r="W367" s="150"/>
      <c r="X367" s="151"/>
      <c r="Y367" s="44"/>
      <c r="Z367" s="44"/>
      <c r="AA367" s="152"/>
      <c r="AB367" s="152"/>
      <c r="AC367" s="152"/>
      <c r="AD367" s="152"/>
      <c r="AE367" s="152"/>
      <c r="AF367" s="152"/>
      <c r="AG367" s="152"/>
      <c r="AH367" s="44"/>
      <c r="AI367" s="44"/>
      <c r="AJ367" s="44"/>
      <c r="AK367" s="44"/>
      <c r="AL367" s="44"/>
      <c r="AM367" s="44"/>
      <c r="AN367" s="44"/>
    </row>
    <row r="368" spans="1:40">
      <c r="A368" s="44"/>
      <c r="B368" s="44"/>
      <c r="C368" s="44"/>
      <c r="D368" s="44"/>
      <c r="E368" s="44"/>
      <c r="F368" s="43"/>
      <c r="G368" s="44"/>
      <c r="H368" s="45"/>
      <c r="I368" s="44"/>
      <c r="J368" s="44"/>
      <c r="K368" s="143"/>
      <c r="L368" s="144"/>
      <c r="M368" s="143"/>
      <c r="N368" s="143"/>
      <c r="O368" s="44"/>
      <c r="P368" s="44"/>
      <c r="Q368" s="45"/>
      <c r="R368" s="147"/>
      <c r="S368" s="147"/>
      <c r="T368" s="147"/>
      <c r="U368" s="148"/>
      <c r="V368" s="149"/>
      <c r="W368" s="150"/>
      <c r="X368" s="151"/>
      <c r="Y368" s="44"/>
      <c r="Z368" s="44"/>
      <c r="AA368" s="152"/>
      <c r="AB368" s="152"/>
      <c r="AC368" s="152"/>
      <c r="AD368" s="152"/>
      <c r="AE368" s="152"/>
      <c r="AF368" s="152"/>
      <c r="AG368" s="152"/>
      <c r="AH368" s="44"/>
      <c r="AI368" s="44"/>
      <c r="AJ368" s="44"/>
      <c r="AK368" s="44"/>
      <c r="AL368" s="44"/>
      <c r="AM368" s="44"/>
      <c r="AN368" s="44"/>
    </row>
    <row r="369" spans="1:40">
      <c r="A369" s="44"/>
      <c r="B369" s="44"/>
      <c r="C369" s="44"/>
      <c r="D369" s="44"/>
      <c r="E369" s="44"/>
      <c r="F369" s="43"/>
      <c r="G369" s="44"/>
      <c r="H369" s="45"/>
      <c r="I369" s="44"/>
      <c r="J369" s="44"/>
      <c r="K369" s="143"/>
      <c r="L369" s="144"/>
      <c r="M369" s="143"/>
      <c r="N369" s="143"/>
      <c r="O369" s="44"/>
      <c r="P369" s="44"/>
      <c r="Q369" s="45"/>
      <c r="R369" s="147"/>
      <c r="S369" s="147"/>
      <c r="T369" s="147"/>
      <c r="U369" s="148"/>
      <c r="V369" s="149"/>
      <c r="W369" s="150"/>
      <c r="X369" s="151"/>
      <c r="Y369" s="44"/>
      <c r="Z369" s="44"/>
      <c r="AA369" s="152"/>
      <c r="AB369" s="152"/>
      <c r="AC369" s="152"/>
      <c r="AD369" s="152"/>
      <c r="AE369" s="152"/>
      <c r="AF369" s="152"/>
      <c r="AG369" s="152"/>
      <c r="AH369" s="44"/>
      <c r="AI369" s="44"/>
      <c r="AJ369" s="44"/>
      <c r="AK369" s="44"/>
      <c r="AL369" s="44"/>
      <c r="AM369" s="44"/>
      <c r="AN369" s="44"/>
    </row>
    <row r="370" spans="1:40">
      <c r="A370" s="44"/>
      <c r="B370" s="44"/>
      <c r="C370" s="44"/>
      <c r="D370" s="44"/>
      <c r="E370" s="44"/>
      <c r="F370" s="43"/>
      <c r="G370" s="44"/>
      <c r="H370" s="45"/>
      <c r="I370" s="44"/>
      <c r="J370" s="44"/>
      <c r="K370" s="143"/>
      <c r="L370" s="144"/>
      <c r="M370" s="143"/>
      <c r="N370" s="143"/>
      <c r="O370" s="44"/>
      <c r="P370" s="44"/>
      <c r="Q370" s="45"/>
      <c r="R370" s="147"/>
      <c r="S370" s="147"/>
      <c r="T370" s="147"/>
      <c r="U370" s="148"/>
      <c r="V370" s="149"/>
      <c r="W370" s="150"/>
      <c r="X370" s="151"/>
      <c r="Y370" s="44"/>
      <c r="Z370" s="44"/>
      <c r="AA370" s="152"/>
      <c r="AB370" s="152"/>
      <c r="AC370" s="152"/>
      <c r="AD370" s="152"/>
      <c r="AE370" s="152"/>
      <c r="AF370" s="152"/>
      <c r="AG370" s="152"/>
      <c r="AH370" s="44"/>
      <c r="AI370" s="44"/>
      <c r="AJ370" s="44"/>
      <c r="AK370" s="44"/>
      <c r="AL370" s="44"/>
      <c r="AM370" s="44"/>
      <c r="AN370" s="44"/>
    </row>
    <row r="371" spans="1:40">
      <c r="A371" s="44"/>
      <c r="B371" s="44"/>
      <c r="C371" s="44"/>
      <c r="D371" s="44"/>
      <c r="E371" s="44"/>
      <c r="F371" s="43"/>
      <c r="G371" s="44"/>
      <c r="H371" s="45"/>
      <c r="I371" s="44"/>
      <c r="J371" s="44"/>
      <c r="K371" s="143"/>
      <c r="L371" s="144"/>
      <c r="M371" s="143"/>
      <c r="N371" s="143"/>
      <c r="O371" s="44"/>
      <c r="P371" s="44"/>
      <c r="Q371" s="45"/>
      <c r="R371" s="147"/>
      <c r="S371" s="147"/>
      <c r="T371" s="147"/>
      <c r="U371" s="148"/>
      <c r="V371" s="149"/>
      <c r="W371" s="150"/>
      <c r="X371" s="151"/>
      <c r="Y371" s="44"/>
      <c r="Z371" s="44"/>
      <c r="AA371" s="152"/>
      <c r="AB371" s="152"/>
      <c r="AC371" s="152"/>
      <c r="AD371" s="152"/>
      <c r="AE371" s="152"/>
      <c r="AF371" s="152"/>
      <c r="AG371" s="152"/>
      <c r="AH371" s="44"/>
      <c r="AI371" s="44"/>
      <c r="AJ371" s="44"/>
      <c r="AK371" s="44"/>
      <c r="AL371" s="44"/>
      <c r="AM371" s="44"/>
      <c r="AN371" s="44"/>
    </row>
    <row r="372" spans="1:40">
      <c r="A372" s="44"/>
      <c r="B372" s="44"/>
      <c r="C372" s="44"/>
      <c r="D372" s="44"/>
      <c r="E372" s="44"/>
      <c r="F372" s="43"/>
      <c r="G372" s="44"/>
      <c r="H372" s="45"/>
      <c r="I372" s="44"/>
      <c r="J372" s="44"/>
      <c r="K372" s="143"/>
      <c r="L372" s="144"/>
      <c r="M372" s="143"/>
      <c r="N372" s="143"/>
      <c r="O372" s="44"/>
      <c r="P372" s="44"/>
      <c r="Q372" s="45"/>
      <c r="R372" s="147"/>
      <c r="S372" s="147"/>
      <c r="T372" s="147"/>
      <c r="U372" s="148"/>
      <c r="V372" s="149"/>
      <c r="W372" s="150"/>
      <c r="X372" s="151"/>
      <c r="Y372" s="44"/>
      <c r="Z372" s="44"/>
      <c r="AA372" s="152"/>
      <c r="AB372" s="152"/>
      <c r="AC372" s="152"/>
      <c r="AD372" s="152"/>
      <c r="AE372" s="152"/>
      <c r="AF372" s="152"/>
      <c r="AG372" s="152"/>
      <c r="AH372" s="44"/>
      <c r="AI372" s="44"/>
      <c r="AJ372" s="44"/>
      <c r="AK372" s="44"/>
      <c r="AL372" s="44"/>
      <c r="AM372" s="44"/>
      <c r="AN372" s="44"/>
    </row>
    <row r="373" spans="1:40">
      <c r="A373" s="44"/>
      <c r="B373" s="44"/>
      <c r="C373" s="44"/>
      <c r="D373" s="44"/>
      <c r="E373" s="44"/>
      <c r="F373" s="43"/>
      <c r="G373" s="44"/>
      <c r="H373" s="45"/>
      <c r="I373" s="44"/>
      <c r="J373" s="44"/>
      <c r="K373" s="143"/>
      <c r="L373" s="144"/>
      <c r="M373" s="143"/>
      <c r="N373" s="143"/>
      <c r="O373" s="44"/>
      <c r="P373" s="44"/>
      <c r="Q373" s="45"/>
      <c r="R373" s="147"/>
      <c r="S373" s="147"/>
      <c r="T373" s="147"/>
      <c r="U373" s="148"/>
      <c r="V373" s="149"/>
      <c r="W373" s="150"/>
      <c r="X373" s="151"/>
      <c r="Y373" s="44"/>
      <c r="Z373" s="44"/>
      <c r="AA373" s="152"/>
      <c r="AB373" s="152"/>
      <c r="AC373" s="152"/>
      <c r="AD373" s="152"/>
      <c r="AE373" s="152"/>
      <c r="AF373" s="152"/>
      <c r="AG373" s="152"/>
      <c r="AH373" s="44"/>
      <c r="AI373" s="44"/>
      <c r="AJ373" s="44"/>
      <c r="AK373" s="44"/>
      <c r="AL373" s="44"/>
      <c r="AM373" s="44"/>
      <c r="AN373" s="44"/>
    </row>
    <row r="374" spans="1:40">
      <c r="A374" s="44"/>
      <c r="B374" s="44"/>
      <c r="C374" s="44"/>
      <c r="D374" s="44"/>
      <c r="E374" s="44"/>
      <c r="F374" s="43"/>
      <c r="G374" s="44"/>
      <c r="H374" s="45"/>
      <c r="I374" s="44"/>
      <c r="J374" s="44"/>
      <c r="K374" s="143"/>
      <c r="L374" s="144"/>
      <c r="M374" s="143"/>
      <c r="N374" s="143"/>
      <c r="O374" s="44"/>
      <c r="P374" s="44"/>
      <c r="Q374" s="45"/>
      <c r="R374" s="147"/>
      <c r="S374" s="147"/>
      <c r="T374" s="147"/>
      <c r="U374" s="148"/>
      <c r="V374" s="149"/>
      <c r="W374" s="150"/>
      <c r="X374" s="151"/>
      <c r="Y374" s="44"/>
      <c r="Z374" s="44"/>
      <c r="AA374" s="152"/>
      <c r="AB374" s="152"/>
      <c r="AC374" s="152"/>
      <c r="AD374" s="152"/>
      <c r="AE374" s="152"/>
      <c r="AF374" s="152"/>
      <c r="AG374" s="152"/>
      <c r="AH374" s="44"/>
      <c r="AI374" s="44"/>
      <c r="AJ374" s="44"/>
      <c r="AK374" s="44"/>
      <c r="AL374" s="44"/>
      <c r="AM374" s="44"/>
      <c r="AN374" s="44"/>
    </row>
    <row r="375" spans="1:40">
      <c r="A375" s="44"/>
      <c r="B375" s="44"/>
      <c r="C375" s="44"/>
      <c r="D375" s="44"/>
      <c r="E375" s="44"/>
      <c r="F375" s="43"/>
      <c r="G375" s="44"/>
      <c r="H375" s="45"/>
      <c r="I375" s="44"/>
      <c r="J375" s="44"/>
      <c r="K375" s="143"/>
      <c r="L375" s="144"/>
      <c r="M375" s="143"/>
      <c r="N375" s="143"/>
      <c r="O375" s="44"/>
      <c r="P375" s="44"/>
      <c r="Q375" s="45"/>
      <c r="R375" s="147"/>
      <c r="S375" s="147"/>
      <c r="T375" s="147"/>
      <c r="U375" s="148"/>
      <c r="V375" s="149"/>
      <c r="W375" s="150"/>
      <c r="X375" s="151"/>
      <c r="Y375" s="44"/>
      <c r="Z375" s="44"/>
      <c r="AA375" s="152"/>
      <c r="AB375" s="152"/>
      <c r="AC375" s="152"/>
      <c r="AD375" s="152"/>
      <c r="AE375" s="152"/>
      <c r="AF375" s="152"/>
      <c r="AG375" s="152"/>
      <c r="AH375" s="44"/>
      <c r="AI375" s="44"/>
      <c r="AJ375" s="44"/>
      <c r="AK375" s="44"/>
      <c r="AL375" s="44"/>
      <c r="AM375" s="44"/>
      <c r="AN375" s="44"/>
    </row>
    <row r="376" spans="1:40">
      <c r="A376" s="44"/>
      <c r="B376" s="44"/>
      <c r="C376" s="44"/>
      <c r="D376" s="44"/>
      <c r="E376" s="44"/>
      <c r="F376" s="43"/>
      <c r="G376" s="44"/>
      <c r="H376" s="45"/>
      <c r="I376" s="44"/>
      <c r="J376" s="44"/>
      <c r="K376" s="143"/>
      <c r="L376" s="144"/>
      <c r="M376" s="143"/>
      <c r="N376" s="143"/>
      <c r="O376" s="44"/>
      <c r="P376" s="44"/>
      <c r="Q376" s="45"/>
      <c r="R376" s="147"/>
      <c r="S376" s="147"/>
      <c r="T376" s="147"/>
      <c r="U376" s="148"/>
      <c r="V376" s="149"/>
      <c r="W376" s="150"/>
      <c r="X376" s="151"/>
      <c r="Y376" s="44"/>
      <c r="Z376" s="44"/>
      <c r="AA376" s="152"/>
      <c r="AB376" s="152"/>
      <c r="AC376" s="152"/>
      <c r="AD376" s="152"/>
      <c r="AE376" s="152"/>
      <c r="AF376" s="152"/>
      <c r="AG376" s="152"/>
      <c r="AH376" s="44"/>
      <c r="AI376" s="44"/>
      <c r="AJ376" s="44"/>
      <c r="AK376" s="44"/>
      <c r="AL376" s="44"/>
      <c r="AM376" s="44"/>
      <c r="AN376" s="44"/>
    </row>
    <row r="377" spans="1:40">
      <c r="A377" s="44"/>
      <c r="B377" s="44"/>
      <c r="C377" s="44"/>
      <c r="D377" s="44"/>
      <c r="E377" s="44"/>
      <c r="F377" s="43"/>
      <c r="G377" s="44"/>
      <c r="H377" s="45"/>
      <c r="I377" s="44"/>
      <c r="J377" s="44"/>
      <c r="K377" s="143"/>
      <c r="L377" s="144"/>
      <c r="M377" s="143"/>
      <c r="N377" s="143"/>
      <c r="O377" s="44"/>
      <c r="P377" s="44"/>
      <c r="Q377" s="45"/>
      <c r="R377" s="147"/>
      <c r="S377" s="147"/>
      <c r="T377" s="147"/>
      <c r="U377" s="148"/>
      <c r="V377" s="149"/>
      <c r="W377" s="150"/>
      <c r="X377" s="151"/>
      <c r="Y377" s="44"/>
      <c r="Z377" s="44"/>
      <c r="AA377" s="152"/>
      <c r="AB377" s="152"/>
      <c r="AC377" s="152"/>
      <c r="AD377" s="152"/>
      <c r="AE377" s="152"/>
      <c r="AF377" s="152"/>
      <c r="AG377" s="152"/>
      <c r="AH377" s="44"/>
      <c r="AI377" s="44"/>
      <c r="AJ377" s="44"/>
      <c r="AK377" s="44"/>
      <c r="AL377" s="44"/>
      <c r="AM377" s="44"/>
      <c r="AN377" s="44"/>
    </row>
    <row r="378" spans="1:40">
      <c r="A378" s="44"/>
      <c r="B378" s="44"/>
      <c r="C378" s="44"/>
      <c r="D378" s="44"/>
      <c r="E378" s="44"/>
      <c r="F378" s="43"/>
      <c r="G378" s="44"/>
      <c r="H378" s="45"/>
      <c r="I378" s="44"/>
      <c r="J378" s="44"/>
      <c r="K378" s="143"/>
      <c r="L378" s="144"/>
      <c r="M378" s="143"/>
      <c r="N378" s="143"/>
      <c r="O378" s="44"/>
      <c r="P378" s="44"/>
      <c r="Q378" s="45"/>
      <c r="R378" s="147"/>
      <c r="S378" s="147"/>
      <c r="T378" s="147"/>
      <c r="U378" s="148"/>
      <c r="V378" s="149"/>
      <c r="W378" s="150"/>
      <c r="X378" s="151"/>
      <c r="Y378" s="44"/>
      <c r="Z378" s="44"/>
      <c r="AA378" s="152"/>
      <c r="AB378" s="152"/>
      <c r="AC378" s="152"/>
      <c r="AD378" s="152"/>
      <c r="AE378" s="152"/>
      <c r="AF378" s="152"/>
      <c r="AG378" s="152"/>
      <c r="AH378" s="44"/>
      <c r="AI378" s="44"/>
      <c r="AJ378" s="44"/>
      <c r="AK378" s="44"/>
      <c r="AL378" s="44"/>
      <c r="AM378" s="44"/>
      <c r="AN378" s="44"/>
    </row>
    <row r="379" spans="1:40">
      <c r="A379" s="44"/>
      <c r="B379" s="44"/>
      <c r="C379" s="44"/>
      <c r="D379" s="44"/>
      <c r="E379" s="44"/>
      <c r="F379" s="43"/>
      <c r="G379" s="44"/>
      <c r="H379" s="45"/>
      <c r="I379" s="44"/>
      <c r="J379" s="44"/>
      <c r="K379" s="143"/>
      <c r="L379" s="144"/>
      <c r="M379" s="143"/>
      <c r="N379" s="143"/>
      <c r="O379" s="44"/>
      <c r="P379" s="44"/>
      <c r="Q379" s="45"/>
      <c r="R379" s="147"/>
      <c r="S379" s="147"/>
      <c r="T379" s="147"/>
      <c r="U379" s="148"/>
      <c r="V379" s="149"/>
      <c r="W379" s="150"/>
      <c r="X379" s="151"/>
      <c r="Y379" s="44"/>
      <c r="Z379" s="44"/>
      <c r="AA379" s="152"/>
      <c r="AB379" s="152"/>
      <c r="AC379" s="152"/>
      <c r="AD379" s="152"/>
      <c r="AE379" s="152"/>
      <c r="AF379" s="152"/>
      <c r="AG379" s="152"/>
      <c r="AH379" s="44"/>
      <c r="AI379" s="44"/>
      <c r="AJ379" s="44"/>
      <c r="AK379" s="44"/>
      <c r="AL379" s="44"/>
      <c r="AM379" s="44"/>
      <c r="AN379" s="44"/>
    </row>
    <row r="380" spans="1:40">
      <c r="A380" s="44"/>
      <c r="B380" s="44"/>
      <c r="C380" s="44"/>
      <c r="D380" s="44"/>
      <c r="E380" s="44"/>
      <c r="F380" s="43"/>
      <c r="G380" s="44"/>
      <c r="H380" s="45"/>
      <c r="I380" s="44"/>
      <c r="J380" s="44"/>
      <c r="K380" s="143"/>
      <c r="L380" s="144"/>
      <c r="M380" s="143"/>
      <c r="N380" s="143"/>
      <c r="O380" s="44"/>
      <c r="P380" s="44"/>
      <c r="Q380" s="45"/>
      <c r="R380" s="147"/>
      <c r="S380" s="147"/>
      <c r="T380" s="147"/>
      <c r="U380" s="148"/>
      <c r="V380" s="149"/>
      <c r="W380" s="150"/>
      <c r="X380" s="151"/>
      <c r="Y380" s="44"/>
      <c r="Z380" s="44"/>
      <c r="AA380" s="152"/>
      <c r="AB380" s="152"/>
      <c r="AC380" s="152"/>
      <c r="AD380" s="152"/>
      <c r="AE380" s="152"/>
      <c r="AF380" s="152"/>
      <c r="AG380" s="152"/>
      <c r="AH380" s="44"/>
      <c r="AI380" s="44"/>
      <c r="AJ380" s="44"/>
      <c r="AK380" s="44"/>
      <c r="AL380" s="44"/>
      <c r="AM380" s="44"/>
      <c r="AN380" s="44"/>
    </row>
    <row r="381" spans="1:40">
      <c r="A381" s="44"/>
      <c r="B381" s="44"/>
      <c r="C381" s="44"/>
      <c r="D381" s="44"/>
      <c r="E381" s="44"/>
      <c r="F381" s="43"/>
      <c r="G381" s="44"/>
      <c r="H381" s="45"/>
      <c r="I381" s="44"/>
      <c r="J381" s="44"/>
      <c r="K381" s="143"/>
      <c r="L381" s="144"/>
      <c r="M381" s="143"/>
      <c r="N381" s="143"/>
      <c r="O381" s="44"/>
      <c r="P381" s="44"/>
      <c r="Q381" s="45"/>
      <c r="R381" s="147"/>
      <c r="S381" s="147"/>
      <c r="T381" s="147"/>
      <c r="U381" s="148"/>
      <c r="V381" s="149"/>
      <c r="W381" s="150"/>
      <c r="X381" s="151"/>
      <c r="Y381" s="44"/>
      <c r="Z381" s="44"/>
      <c r="AA381" s="152"/>
      <c r="AB381" s="152"/>
      <c r="AC381" s="152"/>
      <c r="AD381" s="152"/>
      <c r="AE381" s="152"/>
      <c r="AF381" s="152"/>
      <c r="AG381" s="152"/>
      <c r="AH381" s="44"/>
      <c r="AI381" s="44"/>
      <c r="AJ381" s="44"/>
      <c r="AK381" s="44"/>
      <c r="AL381" s="44"/>
      <c r="AM381" s="44"/>
      <c r="AN381" s="44"/>
    </row>
    <row r="382" spans="1:40">
      <c r="A382" s="44"/>
      <c r="B382" s="44"/>
      <c r="C382" s="44"/>
      <c r="D382" s="44"/>
      <c r="E382" s="44"/>
      <c r="F382" s="43"/>
      <c r="G382" s="44"/>
      <c r="H382" s="45"/>
      <c r="I382" s="44"/>
      <c r="J382" s="44"/>
      <c r="K382" s="143"/>
      <c r="L382" s="144"/>
      <c r="M382" s="143"/>
      <c r="N382" s="143"/>
      <c r="O382" s="44"/>
      <c r="P382" s="44"/>
      <c r="Q382" s="45"/>
      <c r="R382" s="147"/>
      <c r="S382" s="147"/>
      <c r="T382" s="147"/>
      <c r="U382" s="148"/>
      <c r="V382" s="149"/>
      <c r="W382" s="150"/>
      <c r="X382" s="151"/>
      <c r="Y382" s="44"/>
      <c r="Z382" s="44"/>
      <c r="AA382" s="152"/>
      <c r="AB382" s="152"/>
      <c r="AC382" s="152"/>
      <c r="AD382" s="152"/>
      <c r="AE382" s="152"/>
      <c r="AF382" s="152"/>
      <c r="AG382" s="152"/>
      <c r="AH382" s="44"/>
      <c r="AI382" s="44"/>
      <c r="AJ382" s="44"/>
      <c r="AK382" s="44"/>
      <c r="AL382" s="44"/>
      <c r="AM382" s="44"/>
      <c r="AN382" s="44"/>
    </row>
    <row r="383" spans="1:40">
      <c r="A383" s="44"/>
      <c r="B383" s="44"/>
      <c r="C383" s="44"/>
      <c r="D383" s="44"/>
      <c r="E383" s="44"/>
      <c r="F383" s="43"/>
      <c r="G383" s="44"/>
      <c r="H383" s="45"/>
      <c r="I383" s="44"/>
      <c r="J383" s="44"/>
      <c r="K383" s="143"/>
      <c r="L383" s="144"/>
      <c r="M383" s="143"/>
      <c r="N383" s="143"/>
      <c r="O383" s="44"/>
      <c r="P383" s="44"/>
      <c r="Q383" s="45"/>
      <c r="R383" s="147"/>
      <c r="S383" s="147"/>
      <c r="T383" s="147"/>
      <c r="U383" s="148"/>
      <c r="V383" s="149"/>
      <c r="W383" s="150"/>
      <c r="X383" s="151"/>
      <c r="Y383" s="44"/>
      <c r="Z383" s="44"/>
      <c r="AA383" s="152"/>
      <c r="AB383" s="152"/>
      <c r="AC383" s="152"/>
      <c r="AD383" s="152"/>
      <c r="AE383" s="152"/>
      <c r="AF383" s="152"/>
      <c r="AG383" s="152"/>
      <c r="AH383" s="44"/>
      <c r="AI383" s="44"/>
      <c r="AJ383" s="44"/>
      <c r="AK383" s="44"/>
      <c r="AL383" s="44"/>
      <c r="AM383" s="44"/>
      <c r="AN383" s="44"/>
    </row>
    <row r="384" spans="1:40">
      <c r="A384" s="44"/>
      <c r="B384" s="44"/>
      <c r="C384" s="44"/>
      <c r="D384" s="44"/>
      <c r="E384" s="44"/>
      <c r="F384" s="43"/>
      <c r="G384" s="44"/>
      <c r="H384" s="45"/>
      <c r="I384" s="44"/>
      <c r="J384" s="44"/>
      <c r="K384" s="143"/>
      <c r="L384" s="144"/>
      <c r="M384" s="143"/>
      <c r="N384" s="143"/>
      <c r="O384" s="44"/>
      <c r="P384" s="44"/>
      <c r="Q384" s="45"/>
      <c r="R384" s="147"/>
      <c r="S384" s="147"/>
      <c r="T384" s="147"/>
      <c r="U384" s="148"/>
      <c r="V384" s="149"/>
      <c r="W384" s="150"/>
      <c r="X384" s="151"/>
      <c r="Y384" s="44"/>
      <c r="Z384" s="44"/>
      <c r="AA384" s="152"/>
      <c r="AB384" s="152"/>
      <c r="AC384" s="152"/>
      <c r="AD384" s="152"/>
      <c r="AE384" s="152"/>
      <c r="AF384" s="152"/>
      <c r="AG384" s="152"/>
      <c r="AH384" s="44"/>
      <c r="AI384" s="44"/>
      <c r="AJ384" s="44"/>
      <c r="AK384" s="44"/>
      <c r="AL384" s="44"/>
      <c r="AM384" s="44"/>
      <c r="AN384" s="44"/>
    </row>
    <row r="385" spans="1:40">
      <c r="A385" s="44"/>
      <c r="B385" s="44"/>
      <c r="C385" s="44"/>
      <c r="D385" s="44"/>
      <c r="E385" s="44"/>
      <c r="F385" s="43"/>
      <c r="G385" s="44"/>
      <c r="H385" s="45"/>
      <c r="I385" s="44"/>
      <c r="J385" s="44"/>
      <c r="K385" s="143"/>
      <c r="L385" s="144"/>
      <c r="M385" s="143"/>
      <c r="N385" s="143"/>
      <c r="O385" s="44"/>
      <c r="P385" s="44"/>
      <c r="Q385" s="45"/>
      <c r="R385" s="147"/>
      <c r="S385" s="147"/>
      <c r="T385" s="147"/>
      <c r="U385" s="148"/>
      <c r="V385" s="149"/>
      <c r="W385" s="150"/>
      <c r="X385" s="151"/>
      <c r="Y385" s="44"/>
      <c r="Z385" s="44"/>
      <c r="AA385" s="152"/>
      <c r="AB385" s="152"/>
      <c r="AC385" s="152"/>
      <c r="AD385" s="152"/>
      <c r="AE385" s="152"/>
      <c r="AF385" s="152"/>
      <c r="AG385" s="152"/>
      <c r="AH385" s="44"/>
      <c r="AI385" s="44"/>
      <c r="AJ385" s="44"/>
      <c r="AK385" s="44"/>
      <c r="AL385" s="44"/>
      <c r="AM385" s="44"/>
      <c r="AN385" s="44"/>
    </row>
    <row r="386" spans="1:40">
      <c r="A386" s="44"/>
      <c r="B386" s="44"/>
      <c r="C386" s="44"/>
      <c r="D386" s="44"/>
      <c r="E386" s="44"/>
      <c r="F386" s="43"/>
      <c r="G386" s="44"/>
      <c r="H386" s="45"/>
      <c r="I386" s="44"/>
      <c r="J386" s="44"/>
      <c r="K386" s="143"/>
      <c r="L386" s="144"/>
      <c r="M386" s="143"/>
      <c r="N386" s="143"/>
      <c r="O386" s="44"/>
      <c r="P386" s="44"/>
      <c r="Q386" s="45"/>
      <c r="R386" s="147"/>
      <c r="S386" s="147"/>
      <c r="T386" s="147"/>
      <c r="U386" s="148"/>
      <c r="V386" s="149"/>
      <c r="W386" s="150"/>
      <c r="X386" s="151"/>
      <c r="Y386" s="44"/>
      <c r="Z386" s="44"/>
      <c r="AA386" s="152"/>
      <c r="AB386" s="152"/>
      <c r="AC386" s="152"/>
      <c r="AD386" s="152"/>
      <c r="AE386" s="152"/>
      <c r="AF386" s="152"/>
      <c r="AG386" s="152"/>
      <c r="AH386" s="44"/>
      <c r="AI386" s="44"/>
      <c r="AJ386" s="44"/>
      <c r="AK386" s="44"/>
      <c r="AL386" s="44"/>
      <c r="AM386" s="44"/>
      <c r="AN386" s="44"/>
    </row>
    <row r="387" spans="1:40">
      <c r="A387" s="44"/>
      <c r="B387" s="44"/>
      <c r="C387" s="44"/>
      <c r="D387" s="44"/>
      <c r="E387" s="44"/>
      <c r="F387" s="43"/>
      <c r="G387" s="44"/>
      <c r="H387" s="45"/>
      <c r="I387" s="44"/>
      <c r="J387" s="44"/>
      <c r="K387" s="143"/>
      <c r="L387" s="144"/>
      <c r="M387" s="143"/>
      <c r="N387" s="143"/>
      <c r="O387" s="44"/>
      <c r="P387" s="44"/>
      <c r="Q387" s="45"/>
      <c r="R387" s="147"/>
      <c r="S387" s="147"/>
      <c r="T387" s="147"/>
      <c r="U387" s="148"/>
      <c r="V387" s="149"/>
      <c r="W387" s="150"/>
      <c r="X387" s="151"/>
      <c r="Y387" s="44"/>
      <c r="Z387" s="44"/>
      <c r="AA387" s="152"/>
      <c r="AB387" s="152"/>
      <c r="AC387" s="152"/>
      <c r="AD387" s="152"/>
      <c r="AE387" s="152"/>
      <c r="AF387" s="152"/>
      <c r="AG387" s="152"/>
      <c r="AH387" s="44"/>
      <c r="AI387" s="44"/>
      <c r="AJ387" s="44"/>
      <c r="AK387" s="44"/>
      <c r="AL387" s="44"/>
      <c r="AM387" s="44"/>
      <c r="AN387" s="44"/>
    </row>
    <row r="388" spans="1:40">
      <c r="A388" s="44"/>
      <c r="B388" s="44"/>
      <c r="C388" s="44"/>
      <c r="D388" s="44"/>
      <c r="E388" s="44"/>
      <c r="F388" s="43"/>
      <c r="G388" s="44"/>
      <c r="H388" s="45"/>
      <c r="I388" s="44"/>
      <c r="J388" s="44"/>
      <c r="K388" s="143"/>
      <c r="L388" s="144"/>
      <c r="M388" s="143"/>
      <c r="N388" s="143"/>
      <c r="O388" s="44"/>
      <c r="P388" s="44"/>
      <c r="Q388" s="45"/>
      <c r="R388" s="147"/>
      <c r="S388" s="147"/>
      <c r="T388" s="147"/>
      <c r="U388" s="148"/>
      <c r="V388" s="149"/>
      <c r="W388" s="150"/>
      <c r="X388" s="151"/>
      <c r="Y388" s="44"/>
      <c r="Z388" s="44"/>
      <c r="AA388" s="152"/>
      <c r="AB388" s="152"/>
      <c r="AC388" s="152"/>
      <c r="AD388" s="152"/>
      <c r="AE388" s="152"/>
      <c r="AF388" s="152"/>
      <c r="AG388" s="152"/>
      <c r="AH388" s="44"/>
      <c r="AI388" s="44"/>
      <c r="AJ388" s="44"/>
      <c r="AK388" s="44"/>
      <c r="AL388" s="44"/>
      <c r="AM388" s="44"/>
      <c r="AN388" s="44"/>
    </row>
    <row r="389" spans="1:40">
      <c r="A389" s="44"/>
      <c r="B389" s="44"/>
      <c r="C389" s="44"/>
      <c r="D389" s="44"/>
      <c r="E389" s="44"/>
      <c r="F389" s="43"/>
      <c r="G389" s="44"/>
      <c r="H389" s="45"/>
      <c r="I389" s="44"/>
      <c r="J389" s="44"/>
      <c r="K389" s="143"/>
      <c r="L389" s="144"/>
      <c r="M389" s="143"/>
      <c r="N389" s="143"/>
      <c r="O389" s="44"/>
      <c r="P389" s="44"/>
      <c r="Q389" s="45"/>
      <c r="R389" s="147"/>
      <c r="S389" s="147"/>
      <c r="T389" s="147"/>
      <c r="U389" s="148"/>
      <c r="V389" s="149"/>
      <c r="W389" s="150"/>
      <c r="X389" s="151"/>
      <c r="Y389" s="44"/>
      <c r="Z389" s="44"/>
      <c r="AA389" s="152"/>
      <c r="AB389" s="152"/>
      <c r="AC389" s="152"/>
      <c r="AD389" s="152"/>
      <c r="AE389" s="152"/>
      <c r="AF389" s="152"/>
      <c r="AG389" s="152"/>
      <c r="AH389" s="44"/>
      <c r="AI389" s="44"/>
      <c r="AJ389" s="44"/>
      <c r="AK389" s="44"/>
      <c r="AL389" s="44"/>
      <c r="AM389" s="44"/>
      <c r="AN389" s="44"/>
    </row>
    <row r="390" spans="1:40">
      <c r="A390" s="44"/>
      <c r="B390" s="44"/>
      <c r="C390" s="44"/>
      <c r="D390" s="44"/>
      <c r="E390" s="44"/>
      <c r="F390" s="43"/>
      <c r="G390" s="44"/>
      <c r="H390" s="45"/>
      <c r="I390" s="44"/>
      <c r="J390" s="44"/>
      <c r="K390" s="143"/>
      <c r="L390" s="144"/>
      <c r="M390" s="143"/>
      <c r="N390" s="143"/>
      <c r="O390" s="44"/>
      <c r="P390" s="44"/>
      <c r="Q390" s="45"/>
      <c r="R390" s="147"/>
      <c r="S390" s="147"/>
      <c r="T390" s="147"/>
      <c r="U390" s="148"/>
      <c r="V390" s="149"/>
      <c r="W390" s="150"/>
      <c r="X390" s="151"/>
      <c r="Y390" s="44"/>
      <c r="Z390" s="44"/>
      <c r="AA390" s="152"/>
      <c r="AB390" s="152"/>
      <c r="AC390" s="152"/>
      <c r="AD390" s="152"/>
      <c r="AE390" s="152"/>
      <c r="AF390" s="152"/>
      <c r="AG390" s="152"/>
      <c r="AH390" s="44"/>
      <c r="AI390" s="44"/>
      <c r="AJ390" s="44"/>
      <c r="AK390" s="44"/>
      <c r="AL390" s="44"/>
      <c r="AM390" s="44"/>
      <c r="AN390" s="44"/>
    </row>
    <row r="391" spans="1:40">
      <c r="A391" s="44"/>
      <c r="B391" s="44"/>
      <c r="C391" s="44"/>
      <c r="D391" s="44"/>
      <c r="E391" s="44"/>
      <c r="F391" s="43"/>
      <c r="G391" s="44"/>
      <c r="H391" s="45"/>
      <c r="I391" s="44"/>
      <c r="J391" s="44"/>
      <c r="K391" s="143"/>
      <c r="L391" s="144"/>
      <c r="M391" s="143"/>
      <c r="N391" s="143"/>
      <c r="O391" s="44"/>
      <c r="P391" s="44"/>
      <c r="Q391" s="45"/>
      <c r="R391" s="147"/>
      <c r="S391" s="147"/>
      <c r="T391" s="147"/>
      <c r="U391" s="148"/>
      <c r="V391" s="149"/>
      <c r="W391" s="150"/>
      <c r="X391" s="151"/>
      <c r="Y391" s="44"/>
      <c r="Z391" s="44"/>
      <c r="AA391" s="152"/>
      <c r="AB391" s="152"/>
      <c r="AC391" s="152"/>
      <c r="AD391" s="152"/>
      <c r="AE391" s="152"/>
      <c r="AF391" s="152"/>
      <c r="AG391" s="152"/>
      <c r="AH391" s="44"/>
      <c r="AI391" s="44"/>
      <c r="AJ391" s="44"/>
      <c r="AK391" s="44"/>
      <c r="AL391" s="44"/>
      <c r="AM391" s="44"/>
      <c r="AN391" s="44"/>
    </row>
    <row r="392" spans="1:40">
      <c r="A392" s="44"/>
      <c r="B392" s="44"/>
      <c r="C392" s="44"/>
      <c r="D392" s="44"/>
      <c r="E392" s="44"/>
      <c r="F392" s="43"/>
      <c r="G392" s="44"/>
      <c r="H392" s="45"/>
      <c r="I392" s="44"/>
      <c r="J392" s="44"/>
      <c r="K392" s="143"/>
      <c r="L392" s="144"/>
      <c r="M392" s="143"/>
      <c r="N392" s="143"/>
      <c r="O392" s="44"/>
      <c r="P392" s="44"/>
      <c r="Q392" s="45"/>
      <c r="R392" s="147"/>
      <c r="S392" s="147"/>
      <c r="T392" s="147"/>
      <c r="U392" s="148"/>
      <c r="V392" s="149"/>
      <c r="W392" s="150"/>
      <c r="X392" s="151"/>
      <c r="Y392" s="44"/>
      <c r="Z392" s="44"/>
      <c r="AA392" s="152"/>
      <c r="AB392" s="152"/>
      <c r="AC392" s="152"/>
      <c r="AD392" s="152"/>
      <c r="AE392" s="152"/>
      <c r="AF392" s="152"/>
      <c r="AG392" s="152"/>
      <c r="AH392" s="44"/>
      <c r="AI392" s="44"/>
      <c r="AJ392" s="44"/>
      <c r="AK392" s="44"/>
      <c r="AL392" s="44"/>
      <c r="AM392" s="44"/>
      <c r="AN392" s="44"/>
    </row>
    <row r="393" spans="1:40">
      <c r="A393" s="44"/>
      <c r="B393" s="44"/>
      <c r="C393" s="44"/>
      <c r="D393" s="44"/>
      <c r="E393" s="44"/>
      <c r="F393" s="43"/>
      <c r="G393" s="44"/>
      <c r="H393" s="45"/>
      <c r="I393" s="44"/>
      <c r="J393" s="44"/>
      <c r="K393" s="143"/>
      <c r="L393" s="144"/>
      <c r="M393" s="143"/>
      <c r="N393" s="143"/>
      <c r="O393" s="44"/>
      <c r="P393" s="44"/>
      <c r="Q393" s="45"/>
      <c r="R393" s="147"/>
      <c r="S393" s="147"/>
      <c r="T393" s="147"/>
      <c r="U393" s="148"/>
      <c r="V393" s="149"/>
      <c r="W393" s="150"/>
      <c r="X393" s="151"/>
      <c r="Y393" s="44"/>
      <c r="Z393" s="44"/>
      <c r="AA393" s="152"/>
      <c r="AB393" s="152"/>
      <c r="AC393" s="152"/>
      <c r="AD393" s="152"/>
      <c r="AE393" s="152"/>
      <c r="AF393" s="152"/>
      <c r="AG393" s="152"/>
      <c r="AH393" s="44"/>
      <c r="AI393" s="44"/>
      <c r="AJ393" s="44"/>
      <c r="AK393" s="44"/>
      <c r="AL393" s="44"/>
      <c r="AM393" s="44"/>
      <c r="AN393" s="44"/>
    </row>
    <row r="394" spans="1:40">
      <c r="A394" s="44"/>
      <c r="B394" s="44"/>
      <c r="C394" s="44"/>
      <c r="D394" s="44"/>
      <c r="E394" s="44"/>
      <c r="F394" s="43"/>
      <c r="G394" s="44"/>
      <c r="H394" s="45"/>
      <c r="I394" s="44"/>
      <c r="J394" s="44"/>
      <c r="K394" s="143"/>
      <c r="L394" s="144"/>
      <c r="M394" s="143"/>
      <c r="N394" s="143"/>
      <c r="O394" s="44"/>
      <c r="P394" s="44"/>
      <c r="Q394" s="45"/>
      <c r="R394" s="147"/>
      <c r="S394" s="147"/>
      <c r="T394" s="147"/>
      <c r="U394" s="148"/>
      <c r="V394" s="149"/>
      <c r="W394" s="150"/>
      <c r="X394" s="151"/>
      <c r="Y394" s="44"/>
      <c r="Z394" s="44"/>
      <c r="AA394" s="152"/>
      <c r="AB394" s="152"/>
      <c r="AC394" s="152"/>
      <c r="AD394" s="152"/>
      <c r="AE394" s="152"/>
      <c r="AF394" s="152"/>
      <c r="AG394" s="152"/>
      <c r="AH394" s="44"/>
      <c r="AI394" s="44"/>
      <c r="AJ394" s="44"/>
      <c r="AK394" s="44"/>
      <c r="AL394" s="44"/>
      <c r="AM394" s="44"/>
      <c r="AN394" s="44"/>
    </row>
    <row r="395" spans="1:40">
      <c r="A395" s="44"/>
      <c r="B395" s="44"/>
      <c r="C395" s="44"/>
      <c r="D395" s="44"/>
      <c r="E395" s="44"/>
      <c r="F395" s="43"/>
      <c r="G395" s="44"/>
      <c r="H395" s="45"/>
      <c r="I395" s="44"/>
      <c r="J395" s="44"/>
      <c r="K395" s="143"/>
      <c r="L395" s="144"/>
      <c r="M395" s="143"/>
      <c r="N395" s="143"/>
      <c r="O395" s="44"/>
      <c r="P395" s="44"/>
      <c r="Q395" s="45"/>
      <c r="R395" s="147"/>
      <c r="S395" s="147"/>
      <c r="T395" s="147"/>
      <c r="U395" s="148"/>
      <c r="V395" s="149"/>
      <c r="W395" s="150"/>
      <c r="X395" s="151"/>
      <c r="Y395" s="44"/>
      <c r="Z395" s="44"/>
      <c r="AA395" s="152"/>
      <c r="AB395" s="152"/>
      <c r="AC395" s="152"/>
      <c r="AD395" s="152"/>
      <c r="AE395" s="152"/>
      <c r="AF395" s="152"/>
      <c r="AG395" s="152"/>
      <c r="AH395" s="44"/>
      <c r="AI395" s="44"/>
      <c r="AJ395" s="44"/>
      <c r="AK395" s="44"/>
      <c r="AL395" s="44"/>
      <c r="AM395" s="44"/>
      <c r="AN395" s="44"/>
    </row>
    <row r="396" spans="1:40">
      <c r="A396" s="44"/>
      <c r="B396" s="44"/>
      <c r="C396" s="44"/>
      <c r="D396" s="44"/>
      <c r="E396" s="44"/>
      <c r="F396" s="43"/>
      <c r="G396" s="44"/>
      <c r="H396" s="45"/>
      <c r="I396" s="44"/>
      <c r="J396" s="44"/>
      <c r="K396" s="143"/>
      <c r="L396" s="144"/>
      <c r="M396" s="143"/>
      <c r="N396" s="143"/>
      <c r="O396" s="44"/>
      <c r="P396" s="44"/>
      <c r="Q396" s="45"/>
      <c r="R396" s="147"/>
      <c r="S396" s="147"/>
      <c r="T396" s="147"/>
      <c r="U396" s="148"/>
      <c r="V396" s="149"/>
      <c r="W396" s="150"/>
      <c r="X396" s="151"/>
      <c r="Y396" s="44"/>
      <c r="Z396" s="44"/>
      <c r="AA396" s="152"/>
      <c r="AB396" s="152"/>
      <c r="AC396" s="152"/>
      <c r="AD396" s="152"/>
      <c r="AE396" s="152"/>
      <c r="AF396" s="152"/>
      <c r="AG396" s="152"/>
      <c r="AH396" s="44"/>
      <c r="AI396" s="44"/>
      <c r="AJ396" s="44"/>
      <c r="AK396" s="44"/>
      <c r="AL396" s="44"/>
      <c r="AM396" s="44"/>
      <c r="AN396" s="44"/>
    </row>
    <row r="397" spans="1:40">
      <c r="A397" s="44"/>
      <c r="B397" s="44"/>
      <c r="C397" s="44"/>
      <c r="D397" s="44"/>
      <c r="E397" s="44"/>
      <c r="F397" s="43"/>
      <c r="G397" s="44"/>
      <c r="H397" s="45"/>
      <c r="I397" s="44"/>
      <c r="J397" s="44"/>
      <c r="K397" s="143"/>
      <c r="L397" s="144"/>
      <c r="M397" s="143"/>
      <c r="N397" s="143"/>
      <c r="O397" s="44"/>
      <c r="P397" s="44"/>
      <c r="Q397" s="45"/>
      <c r="R397" s="147"/>
      <c r="S397" s="147"/>
      <c r="T397" s="147"/>
      <c r="U397" s="148"/>
      <c r="V397" s="149"/>
      <c r="W397" s="150"/>
      <c r="X397" s="151"/>
      <c r="Y397" s="44"/>
      <c r="Z397" s="44"/>
      <c r="AA397" s="152"/>
      <c r="AB397" s="152"/>
      <c r="AC397" s="152"/>
      <c r="AD397" s="152"/>
      <c r="AE397" s="152"/>
      <c r="AF397" s="152"/>
      <c r="AG397" s="152"/>
      <c r="AH397" s="44"/>
      <c r="AI397" s="44"/>
      <c r="AJ397" s="44"/>
      <c r="AK397" s="44"/>
      <c r="AL397" s="44"/>
      <c r="AM397" s="44"/>
      <c r="AN397" s="44"/>
    </row>
    <row r="398" spans="1:40">
      <c r="A398" s="44"/>
      <c r="B398" s="44"/>
      <c r="C398" s="44"/>
      <c r="D398" s="44"/>
      <c r="E398" s="44"/>
      <c r="F398" s="43"/>
      <c r="G398" s="44"/>
      <c r="H398" s="45"/>
      <c r="I398" s="44"/>
      <c r="J398" s="44"/>
      <c r="K398" s="143"/>
      <c r="L398" s="144"/>
      <c r="M398" s="143"/>
      <c r="N398" s="143"/>
      <c r="O398" s="44"/>
      <c r="P398" s="44"/>
      <c r="Q398" s="45"/>
      <c r="R398" s="147"/>
      <c r="S398" s="147"/>
      <c r="T398" s="147"/>
      <c r="U398" s="148"/>
      <c r="V398" s="149"/>
      <c r="W398" s="150"/>
      <c r="X398" s="151"/>
      <c r="Y398" s="44"/>
      <c r="Z398" s="44"/>
      <c r="AA398" s="152"/>
      <c r="AB398" s="152"/>
      <c r="AC398" s="152"/>
      <c r="AD398" s="152"/>
      <c r="AE398" s="152"/>
      <c r="AF398" s="152"/>
      <c r="AG398" s="152"/>
      <c r="AH398" s="44"/>
      <c r="AI398" s="44"/>
      <c r="AJ398" s="44"/>
      <c r="AK398" s="44"/>
      <c r="AL398" s="44"/>
      <c r="AM398" s="44"/>
      <c r="AN398" s="44"/>
    </row>
    <row r="399" spans="1:40">
      <c r="A399" s="44"/>
      <c r="B399" s="44"/>
      <c r="C399" s="44"/>
      <c r="D399" s="44"/>
      <c r="E399" s="44"/>
      <c r="F399" s="43"/>
      <c r="G399" s="44"/>
      <c r="H399" s="45"/>
      <c r="I399" s="44"/>
      <c r="J399" s="44"/>
      <c r="K399" s="143"/>
      <c r="L399" s="144"/>
      <c r="M399" s="143"/>
      <c r="N399" s="143"/>
      <c r="O399" s="44"/>
      <c r="P399" s="44"/>
      <c r="Q399" s="45"/>
      <c r="R399" s="147"/>
      <c r="S399" s="147"/>
      <c r="T399" s="147"/>
      <c r="U399" s="148"/>
      <c r="V399" s="149"/>
      <c r="W399" s="150"/>
      <c r="X399" s="151"/>
      <c r="Y399" s="44"/>
      <c r="Z399" s="44"/>
      <c r="AA399" s="152"/>
      <c r="AB399" s="152"/>
      <c r="AC399" s="152"/>
      <c r="AD399" s="152"/>
      <c r="AE399" s="152"/>
      <c r="AF399" s="152"/>
      <c r="AG399" s="152"/>
      <c r="AH399" s="44"/>
      <c r="AI399" s="44"/>
      <c r="AJ399" s="44"/>
      <c r="AK399" s="44"/>
      <c r="AL399" s="44"/>
      <c r="AM399" s="44"/>
      <c r="AN399" s="44"/>
    </row>
    <row r="400" spans="1:40">
      <c r="A400" s="44"/>
      <c r="B400" s="44"/>
      <c r="C400" s="44"/>
      <c r="D400" s="44"/>
      <c r="E400" s="44"/>
      <c r="F400" s="43"/>
      <c r="G400" s="44"/>
      <c r="H400" s="45"/>
      <c r="I400" s="44"/>
      <c r="J400" s="44"/>
      <c r="K400" s="143"/>
      <c r="L400" s="144"/>
      <c r="M400" s="143"/>
      <c r="N400" s="143"/>
      <c r="O400" s="44"/>
      <c r="P400" s="44"/>
      <c r="Q400" s="45"/>
      <c r="R400" s="147"/>
      <c r="S400" s="147"/>
      <c r="T400" s="147"/>
      <c r="U400" s="148"/>
      <c r="V400" s="149"/>
      <c r="W400" s="150"/>
      <c r="X400" s="151"/>
      <c r="Y400" s="44"/>
      <c r="Z400" s="44"/>
      <c r="AA400" s="152"/>
      <c r="AB400" s="152"/>
      <c r="AC400" s="152"/>
      <c r="AD400" s="152"/>
      <c r="AE400" s="152"/>
      <c r="AF400" s="152"/>
      <c r="AG400" s="152"/>
      <c r="AH400" s="44"/>
      <c r="AI400" s="44"/>
      <c r="AJ400" s="44"/>
      <c r="AK400" s="44"/>
      <c r="AL400" s="44"/>
      <c r="AM400" s="44"/>
      <c r="AN400" s="44"/>
    </row>
    <row r="401" spans="1:40">
      <c r="A401" s="44"/>
      <c r="B401" s="44"/>
      <c r="C401" s="44"/>
      <c r="D401" s="44"/>
      <c r="E401" s="44"/>
      <c r="F401" s="43"/>
      <c r="G401" s="44"/>
      <c r="H401" s="45"/>
      <c r="I401" s="44"/>
      <c r="J401" s="44"/>
      <c r="K401" s="143"/>
      <c r="L401" s="144"/>
      <c r="M401" s="143"/>
      <c r="N401" s="143"/>
      <c r="O401" s="44"/>
      <c r="P401" s="44"/>
      <c r="Q401" s="45"/>
      <c r="R401" s="147"/>
      <c r="S401" s="147"/>
      <c r="T401" s="147"/>
      <c r="U401" s="148"/>
      <c r="V401" s="149"/>
      <c r="W401" s="150"/>
      <c r="X401" s="151"/>
      <c r="Y401" s="44"/>
      <c r="Z401" s="44"/>
      <c r="AA401" s="152"/>
      <c r="AB401" s="152"/>
      <c r="AC401" s="152"/>
      <c r="AD401" s="152"/>
      <c r="AE401" s="152"/>
      <c r="AF401" s="152"/>
      <c r="AG401" s="152"/>
      <c r="AH401" s="44"/>
      <c r="AI401" s="44"/>
      <c r="AJ401" s="44"/>
      <c r="AK401" s="44"/>
      <c r="AL401" s="44"/>
      <c r="AM401" s="44"/>
      <c r="AN401" s="44"/>
    </row>
    <row r="402" spans="1:40">
      <c r="A402" s="44"/>
      <c r="B402" s="44"/>
      <c r="C402" s="44"/>
      <c r="D402" s="44"/>
      <c r="E402" s="44"/>
      <c r="F402" s="43"/>
      <c r="G402" s="44"/>
      <c r="H402" s="45"/>
      <c r="I402" s="44"/>
      <c r="J402" s="44"/>
      <c r="K402" s="143"/>
      <c r="L402" s="144"/>
      <c r="M402" s="143"/>
      <c r="N402" s="143"/>
      <c r="O402" s="44"/>
      <c r="P402" s="44"/>
      <c r="Q402" s="45"/>
      <c r="R402" s="147"/>
      <c r="S402" s="147"/>
      <c r="T402" s="147"/>
      <c r="U402" s="148"/>
      <c r="V402" s="149"/>
      <c r="W402" s="150"/>
      <c r="X402" s="151"/>
      <c r="Y402" s="44"/>
      <c r="Z402" s="44"/>
      <c r="AA402" s="152"/>
      <c r="AB402" s="152"/>
      <c r="AC402" s="152"/>
      <c r="AD402" s="152"/>
      <c r="AE402" s="152"/>
      <c r="AF402" s="152"/>
      <c r="AG402" s="152"/>
      <c r="AH402" s="44"/>
      <c r="AI402" s="44"/>
      <c r="AJ402" s="44"/>
      <c r="AK402" s="44"/>
      <c r="AL402" s="44"/>
      <c r="AM402" s="44"/>
      <c r="AN402" s="44"/>
    </row>
    <row r="403" spans="1:40">
      <c r="A403" s="44"/>
      <c r="B403" s="44"/>
      <c r="C403" s="44"/>
      <c r="D403" s="44"/>
      <c r="E403" s="44"/>
      <c r="F403" s="43"/>
      <c r="G403" s="44"/>
      <c r="H403" s="45"/>
      <c r="I403" s="44"/>
      <c r="J403" s="44"/>
      <c r="K403" s="143"/>
      <c r="L403" s="144"/>
      <c r="M403" s="143"/>
      <c r="N403" s="143"/>
      <c r="O403" s="44"/>
      <c r="P403" s="44"/>
      <c r="Q403" s="45"/>
      <c r="R403" s="147"/>
      <c r="S403" s="147"/>
      <c r="T403" s="147"/>
      <c r="U403" s="148"/>
      <c r="V403" s="149"/>
      <c r="W403" s="150"/>
      <c r="X403" s="151"/>
      <c r="Y403" s="44"/>
      <c r="Z403" s="44"/>
      <c r="AA403" s="152"/>
      <c r="AB403" s="152"/>
      <c r="AC403" s="152"/>
      <c r="AD403" s="152"/>
      <c r="AE403" s="152"/>
      <c r="AF403" s="152"/>
      <c r="AG403" s="152"/>
      <c r="AH403" s="44"/>
      <c r="AI403" s="44"/>
      <c r="AJ403" s="44"/>
      <c r="AK403" s="44"/>
      <c r="AL403" s="44"/>
      <c r="AM403" s="44"/>
      <c r="AN403" s="44"/>
    </row>
    <row r="404" spans="1:40">
      <c r="A404" s="44"/>
      <c r="B404" s="44"/>
      <c r="C404" s="44"/>
      <c r="D404" s="44"/>
      <c r="E404" s="44"/>
      <c r="F404" s="43"/>
      <c r="G404" s="44"/>
      <c r="H404" s="45"/>
      <c r="I404" s="44"/>
      <c r="J404" s="44"/>
      <c r="K404" s="143"/>
      <c r="L404" s="144"/>
      <c r="M404" s="143"/>
      <c r="N404" s="143"/>
      <c r="O404" s="44"/>
      <c r="P404" s="44"/>
      <c r="Q404" s="45"/>
      <c r="R404" s="147"/>
      <c r="S404" s="147"/>
      <c r="T404" s="147"/>
      <c r="U404" s="148"/>
      <c r="V404" s="149"/>
      <c r="W404" s="150"/>
      <c r="X404" s="151"/>
      <c r="Y404" s="44"/>
      <c r="Z404" s="44"/>
      <c r="AA404" s="152"/>
      <c r="AB404" s="152"/>
      <c r="AC404" s="152"/>
      <c r="AD404" s="152"/>
      <c r="AE404" s="152"/>
      <c r="AF404" s="152"/>
      <c r="AG404" s="152"/>
      <c r="AH404" s="44"/>
      <c r="AI404" s="44"/>
      <c r="AJ404" s="44"/>
      <c r="AK404" s="44"/>
      <c r="AL404" s="44"/>
      <c r="AM404" s="44"/>
      <c r="AN404" s="44"/>
    </row>
    <row r="405" spans="1:40">
      <c r="A405" s="44"/>
      <c r="B405" s="44"/>
      <c r="C405" s="44"/>
      <c r="D405" s="44"/>
      <c r="E405" s="44"/>
      <c r="F405" s="43"/>
      <c r="G405" s="44"/>
      <c r="H405" s="45"/>
      <c r="I405" s="44"/>
      <c r="J405" s="44"/>
      <c r="K405" s="143"/>
      <c r="L405" s="144"/>
      <c r="M405" s="143"/>
      <c r="N405" s="143"/>
      <c r="O405" s="44"/>
      <c r="P405" s="44"/>
      <c r="Q405" s="45"/>
      <c r="R405" s="147"/>
      <c r="S405" s="147"/>
      <c r="T405" s="147"/>
      <c r="U405" s="148"/>
      <c r="V405" s="149"/>
      <c r="W405" s="150"/>
      <c r="X405" s="151"/>
      <c r="Y405" s="44"/>
      <c r="Z405" s="44"/>
      <c r="AA405" s="152"/>
      <c r="AB405" s="152"/>
      <c r="AC405" s="152"/>
      <c r="AD405" s="152"/>
      <c r="AE405" s="152"/>
      <c r="AF405" s="152"/>
      <c r="AG405" s="152"/>
      <c r="AH405" s="44"/>
      <c r="AI405" s="44"/>
      <c r="AJ405" s="44"/>
      <c r="AK405" s="44"/>
      <c r="AL405" s="44"/>
      <c r="AM405" s="44"/>
      <c r="AN405" s="44"/>
    </row>
    <row r="406" spans="1:40">
      <c r="A406" s="44"/>
      <c r="B406" s="44"/>
      <c r="C406" s="44"/>
      <c r="D406" s="44"/>
      <c r="E406" s="44"/>
      <c r="F406" s="43"/>
      <c r="G406" s="44"/>
      <c r="H406" s="45"/>
      <c r="I406" s="44"/>
      <c r="J406" s="44"/>
      <c r="K406" s="143"/>
      <c r="L406" s="144"/>
      <c r="M406" s="143"/>
      <c r="N406" s="143"/>
      <c r="O406" s="44"/>
      <c r="P406" s="44"/>
      <c r="Q406" s="45"/>
      <c r="R406" s="147"/>
      <c r="S406" s="147"/>
      <c r="T406" s="147"/>
      <c r="U406" s="148"/>
      <c r="V406" s="149"/>
      <c r="W406" s="150"/>
      <c r="X406" s="151"/>
      <c r="Y406" s="44"/>
      <c r="Z406" s="44"/>
      <c r="AA406" s="152"/>
      <c r="AB406" s="152"/>
      <c r="AC406" s="152"/>
      <c r="AD406" s="152"/>
      <c r="AE406" s="152"/>
      <c r="AF406" s="152"/>
      <c r="AG406" s="152"/>
      <c r="AH406" s="44"/>
      <c r="AI406" s="44"/>
      <c r="AJ406" s="44"/>
      <c r="AK406" s="44"/>
      <c r="AL406" s="44"/>
      <c r="AM406" s="44"/>
      <c r="AN406" s="44"/>
    </row>
    <row r="407" spans="1:40">
      <c r="A407" s="44"/>
      <c r="B407" s="44"/>
      <c r="C407" s="44"/>
      <c r="D407" s="44"/>
      <c r="E407" s="44"/>
      <c r="F407" s="43"/>
      <c r="G407" s="44"/>
      <c r="H407" s="45"/>
      <c r="I407" s="44"/>
      <c r="J407" s="44"/>
      <c r="K407" s="143"/>
      <c r="L407" s="144"/>
      <c r="M407" s="143"/>
      <c r="N407" s="143"/>
      <c r="O407" s="44"/>
      <c r="P407" s="44"/>
      <c r="Q407" s="45"/>
      <c r="R407" s="147"/>
      <c r="S407" s="147"/>
      <c r="T407" s="147"/>
      <c r="U407" s="148"/>
      <c r="V407" s="149"/>
      <c r="W407" s="150"/>
      <c r="X407" s="151"/>
      <c r="Y407" s="44"/>
      <c r="Z407" s="44"/>
      <c r="AA407" s="152"/>
      <c r="AB407" s="152"/>
      <c r="AC407" s="152"/>
      <c r="AD407" s="152"/>
      <c r="AE407" s="152"/>
      <c r="AF407" s="152"/>
      <c r="AG407" s="152"/>
      <c r="AH407" s="44"/>
      <c r="AI407" s="44"/>
      <c r="AJ407" s="44"/>
      <c r="AK407" s="44"/>
      <c r="AL407" s="44"/>
      <c r="AM407" s="44"/>
      <c r="AN407" s="44"/>
    </row>
    <row r="408" spans="1:40">
      <c r="A408" s="44"/>
      <c r="B408" s="44"/>
      <c r="C408" s="44"/>
      <c r="D408" s="44"/>
      <c r="E408" s="44"/>
      <c r="F408" s="43"/>
      <c r="G408" s="44"/>
      <c r="H408" s="45"/>
      <c r="I408" s="44"/>
      <c r="J408" s="44"/>
      <c r="K408" s="143"/>
      <c r="L408" s="144"/>
      <c r="M408" s="143"/>
      <c r="N408" s="143"/>
      <c r="O408" s="44"/>
      <c r="P408" s="44"/>
      <c r="Q408" s="45"/>
      <c r="R408" s="147"/>
      <c r="S408" s="147"/>
      <c r="T408" s="147"/>
      <c r="U408" s="148"/>
      <c r="V408" s="149"/>
      <c r="W408" s="150"/>
      <c r="X408" s="151"/>
      <c r="Y408" s="44"/>
      <c r="Z408" s="44"/>
      <c r="AA408" s="152"/>
      <c r="AB408" s="152"/>
      <c r="AC408" s="152"/>
      <c r="AD408" s="152"/>
      <c r="AE408" s="152"/>
      <c r="AF408" s="152"/>
      <c r="AG408" s="152"/>
      <c r="AH408" s="44"/>
      <c r="AI408" s="44"/>
      <c r="AJ408" s="44"/>
      <c r="AK408" s="44"/>
      <c r="AL408" s="44"/>
      <c r="AM408" s="44"/>
      <c r="AN408" s="44"/>
    </row>
    <row r="409" spans="1:40">
      <c r="A409" s="44"/>
      <c r="B409" s="44"/>
      <c r="C409" s="44"/>
      <c r="D409" s="44"/>
      <c r="E409" s="44"/>
      <c r="F409" s="43"/>
      <c r="G409" s="44"/>
      <c r="H409" s="45"/>
      <c r="I409" s="44"/>
      <c r="J409" s="44"/>
      <c r="K409" s="143"/>
      <c r="L409" s="144"/>
      <c r="M409" s="143"/>
      <c r="N409" s="143"/>
      <c r="O409" s="44"/>
      <c r="P409" s="44"/>
      <c r="Q409" s="45"/>
      <c r="R409" s="147"/>
      <c r="S409" s="147"/>
      <c r="T409" s="147"/>
      <c r="U409" s="148"/>
      <c r="V409" s="149"/>
      <c r="W409" s="150"/>
      <c r="X409" s="151"/>
      <c r="Y409" s="44"/>
      <c r="Z409" s="44"/>
      <c r="AA409" s="152"/>
      <c r="AB409" s="152"/>
      <c r="AC409" s="152"/>
      <c r="AD409" s="152"/>
      <c r="AE409" s="152"/>
      <c r="AF409" s="152"/>
      <c r="AG409" s="152"/>
      <c r="AH409" s="44"/>
      <c r="AI409" s="44"/>
      <c r="AJ409" s="44"/>
      <c r="AK409" s="44"/>
      <c r="AL409" s="44"/>
      <c r="AM409" s="44"/>
      <c r="AN409" s="44"/>
    </row>
    <row r="410" spans="1:40">
      <c r="A410" s="44"/>
      <c r="B410" s="44"/>
      <c r="C410" s="44"/>
      <c r="D410" s="44"/>
      <c r="E410" s="44"/>
      <c r="F410" s="43"/>
      <c r="G410" s="44"/>
      <c r="H410" s="45"/>
      <c r="I410" s="44"/>
      <c r="J410" s="44"/>
      <c r="K410" s="143"/>
      <c r="L410" s="144"/>
      <c r="M410" s="143"/>
      <c r="N410" s="143"/>
      <c r="O410" s="44"/>
      <c r="P410" s="44"/>
      <c r="Q410" s="45"/>
      <c r="R410" s="147"/>
      <c r="S410" s="147"/>
      <c r="T410" s="147"/>
      <c r="U410" s="148"/>
      <c r="V410" s="149"/>
      <c r="W410" s="150"/>
      <c r="X410" s="151"/>
      <c r="Y410" s="44"/>
      <c r="Z410" s="44"/>
      <c r="AA410" s="152"/>
      <c r="AB410" s="152"/>
      <c r="AC410" s="152"/>
      <c r="AD410" s="152"/>
      <c r="AE410" s="152"/>
      <c r="AF410" s="152"/>
      <c r="AG410" s="152"/>
      <c r="AH410" s="44"/>
      <c r="AI410" s="44"/>
      <c r="AJ410" s="44"/>
      <c r="AK410" s="44"/>
      <c r="AL410" s="44"/>
      <c r="AM410" s="44"/>
      <c r="AN410" s="44"/>
    </row>
    <row r="411" spans="1:40">
      <c r="A411" s="44"/>
      <c r="B411" s="44"/>
      <c r="C411" s="44"/>
      <c r="D411" s="44"/>
      <c r="E411" s="44"/>
      <c r="F411" s="43"/>
      <c r="G411" s="44"/>
      <c r="H411" s="45"/>
      <c r="I411" s="44"/>
      <c r="J411" s="44"/>
      <c r="K411" s="143"/>
      <c r="L411" s="144"/>
      <c r="M411" s="143"/>
      <c r="N411" s="143"/>
      <c r="O411" s="44"/>
      <c r="P411" s="44"/>
      <c r="Q411" s="45"/>
      <c r="R411" s="147"/>
      <c r="S411" s="147"/>
      <c r="T411" s="147"/>
      <c r="U411" s="148"/>
      <c r="V411" s="149"/>
      <c r="W411" s="150"/>
      <c r="X411" s="151"/>
      <c r="Y411" s="44"/>
      <c r="Z411" s="44"/>
      <c r="AA411" s="152"/>
      <c r="AB411" s="152"/>
      <c r="AC411" s="152"/>
      <c r="AD411" s="152"/>
      <c r="AE411" s="152"/>
      <c r="AF411" s="152"/>
      <c r="AG411" s="152"/>
      <c r="AH411" s="44"/>
      <c r="AI411" s="44"/>
      <c r="AJ411" s="44"/>
      <c r="AK411" s="44"/>
      <c r="AL411" s="44"/>
      <c r="AM411" s="44"/>
      <c r="AN411" s="44"/>
    </row>
    <row r="412" spans="1:40">
      <c r="A412" s="44"/>
      <c r="B412" s="44"/>
      <c r="C412" s="44"/>
      <c r="D412" s="44"/>
      <c r="E412" s="44"/>
      <c r="F412" s="43"/>
      <c r="G412" s="44"/>
      <c r="H412" s="45"/>
      <c r="I412" s="44"/>
      <c r="J412" s="44"/>
      <c r="K412" s="143"/>
      <c r="L412" s="144"/>
      <c r="M412" s="143"/>
      <c r="N412" s="143"/>
      <c r="O412" s="44"/>
      <c r="P412" s="44"/>
      <c r="Q412" s="45"/>
      <c r="R412" s="147"/>
      <c r="S412" s="147"/>
      <c r="T412" s="147"/>
      <c r="U412" s="148"/>
      <c r="V412" s="149"/>
      <c r="W412" s="150"/>
      <c r="X412" s="151"/>
      <c r="Y412" s="44"/>
      <c r="Z412" s="44"/>
      <c r="AA412" s="152"/>
      <c r="AB412" s="152"/>
      <c r="AC412" s="152"/>
      <c r="AD412" s="152"/>
      <c r="AE412" s="152"/>
      <c r="AF412" s="152"/>
      <c r="AG412" s="152"/>
      <c r="AH412" s="44"/>
      <c r="AI412" s="44"/>
      <c r="AJ412" s="44"/>
      <c r="AK412" s="44"/>
      <c r="AL412" s="44"/>
      <c r="AM412" s="44"/>
      <c r="AN412" s="44"/>
    </row>
    <row r="413" spans="1:40">
      <c r="A413" s="44"/>
      <c r="B413" s="44"/>
      <c r="C413" s="44"/>
      <c r="D413" s="44"/>
      <c r="E413" s="44"/>
      <c r="F413" s="43"/>
      <c r="G413" s="44"/>
      <c r="H413" s="45"/>
      <c r="I413" s="44"/>
      <c r="J413" s="44"/>
      <c r="K413" s="143"/>
      <c r="L413" s="144"/>
      <c r="M413" s="143"/>
      <c r="N413" s="143"/>
      <c r="O413" s="44"/>
      <c r="P413" s="44"/>
      <c r="Q413" s="45"/>
      <c r="R413" s="147"/>
      <c r="S413" s="147"/>
      <c r="T413" s="147"/>
      <c r="U413" s="148"/>
      <c r="V413" s="149"/>
      <c r="W413" s="150"/>
      <c r="X413" s="151"/>
      <c r="Y413" s="44"/>
      <c r="Z413" s="44"/>
      <c r="AA413" s="152"/>
      <c r="AB413" s="152"/>
      <c r="AC413" s="152"/>
      <c r="AD413" s="152"/>
      <c r="AE413" s="152"/>
      <c r="AF413" s="152"/>
      <c r="AG413" s="152"/>
      <c r="AH413" s="44"/>
      <c r="AI413" s="44"/>
      <c r="AJ413" s="44"/>
      <c r="AK413" s="44"/>
      <c r="AL413" s="44"/>
      <c r="AM413" s="44"/>
      <c r="AN413" s="44"/>
    </row>
    <row r="414" spans="1:40">
      <c r="A414" s="44"/>
      <c r="B414" s="44"/>
      <c r="C414" s="44"/>
      <c r="D414" s="44"/>
      <c r="E414" s="44"/>
      <c r="F414" s="43"/>
      <c r="G414" s="44"/>
      <c r="H414" s="45"/>
      <c r="I414" s="44"/>
      <c r="J414" s="44"/>
      <c r="K414" s="143"/>
      <c r="L414" s="144"/>
      <c r="M414" s="143"/>
      <c r="N414" s="143"/>
      <c r="O414" s="44"/>
      <c r="P414" s="44"/>
      <c r="Q414" s="45"/>
      <c r="R414" s="147"/>
      <c r="S414" s="147"/>
      <c r="T414" s="147"/>
      <c r="U414" s="148"/>
      <c r="V414" s="149"/>
      <c r="W414" s="150"/>
      <c r="X414" s="151"/>
      <c r="Y414" s="44"/>
      <c r="Z414" s="44"/>
      <c r="AA414" s="152"/>
      <c r="AB414" s="152"/>
      <c r="AC414" s="152"/>
      <c r="AD414" s="152"/>
      <c r="AE414" s="152"/>
      <c r="AF414" s="152"/>
      <c r="AG414" s="152"/>
      <c r="AH414" s="44"/>
      <c r="AI414" s="44"/>
      <c r="AJ414" s="44"/>
      <c r="AK414" s="44"/>
      <c r="AL414" s="44"/>
      <c r="AM414" s="44"/>
      <c r="AN414" s="44"/>
    </row>
    <row r="415" spans="1:40">
      <c r="A415" s="44"/>
      <c r="B415" s="44"/>
      <c r="C415" s="44"/>
      <c r="D415" s="44"/>
      <c r="E415" s="44"/>
      <c r="F415" s="43"/>
      <c r="G415" s="44"/>
      <c r="H415" s="45"/>
      <c r="I415" s="44"/>
      <c r="J415" s="44"/>
      <c r="K415" s="143"/>
      <c r="L415" s="144"/>
      <c r="M415" s="143"/>
      <c r="N415" s="143"/>
      <c r="O415" s="44"/>
      <c r="P415" s="44"/>
      <c r="Q415" s="45"/>
      <c r="R415" s="147"/>
      <c r="S415" s="147"/>
      <c r="T415" s="147"/>
      <c r="U415" s="148"/>
      <c r="V415" s="149"/>
      <c r="W415" s="150"/>
      <c r="X415" s="151"/>
      <c r="Y415" s="44"/>
      <c r="Z415" s="44"/>
      <c r="AA415" s="152"/>
      <c r="AB415" s="152"/>
      <c r="AC415" s="152"/>
      <c r="AD415" s="152"/>
      <c r="AE415" s="152"/>
      <c r="AF415" s="152"/>
      <c r="AG415" s="152"/>
      <c r="AH415" s="44"/>
      <c r="AI415" s="44"/>
      <c r="AJ415" s="44"/>
      <c r="AK415" s="44"/>
      <c r="AL415" s="44"/>
      <c r="AM415" s="44"/>
      <c r="AN415" s="44"/>
    </row>
    <row r="416" spans="1:40">
      <c r="A416" s="44"/>
      <c r="B416" s="44"/>
      <c r="C416" s="44"/>
      <c r="D416" s="44"/>
      <c r="E416" s="44"/>
      <c r="F416" s="43"/>
      <c r="G416" s="44"/>
      <c r="H416" s="45"/>
      <c r="I416" s="44"/>
      <c r="J416" s="44"/>
      <c r="K416" s="143"/>
      <c r="L416" s="144"/>
      <c r="M416" s="143"/>
      <c r="N416" s="143"/>
      <c r="O416" s="44"/>
      <c r="P416" s="44"/>
      <c r="Q416" s="45"/>
      <c r="R416" s="147"/>
      <c r="S416" s="147"/>
      <c r="T416" s="147"/>
      <c r="U416" s="148"/>
      <c r="V416" s="149"/>
      <c r="W416" s="150"/>
      <c r="X416" s="151"/>
      <c r="Y416" s="44"/>
      <c r="Z416" s="44"/>
      <c r="AA416" s="152"/>
      <c r="AB416" s="152"/>
      <c r="AC416" s="152"/>
      <c r="AD416" s="152"/>
      <c r="AE416" s="152"/>
      <c r="AF416" s="152"/>
      <c r="AG416" s="152"/>
      <c r="AH416" s="44"/>
      <c r="AI416" s="44"/>
      <c r="AJ416" s="44"/>
      <c r="AK416" s="44"/>
      <c r="AL416" s="44"/>
      <c r="AM416" s="44"/>
      <c r="AN416" s="44"/>
    </row>
    <row r="417" spans="1:40">
      <c r="A417" s="44"/>
      <c r="B417" s="44"/>
      <c r="C417" s="44"/>
      <c r="D417" s="44"/>
      <c r="E417" s="44"/>
      <c r="F417" s="43"/>
      <c r="G417" s="44"/>
      <c r="H417" s="45"/>
      <c r="I417" s="44"/>
      <c r="J417" s="44"/>
      <c r="K417" s="143"/>
      <c r="L417" s="144"/>
      <c r="M417" s="143"/>
      <c r="N417" s="143"/>
      <c r="O417" s="44"/>
      <c r="P417" s="44"/>
      <c r="Q417" s="45"/>
      <c r="R417" s="147"/>
      <c r="S417" s="147"/>
      <c r="T417" s="147"/>
      <c r="U417" s="148"/>
      <c r="V417" s="149"/>
      <c r="W417" s="150"/>
      <c r="X417" s="151"/>
      <c r="Y417" s="44"/>
      <c r="Z417" s="44"/>
      <c r="AA417" s="152"/>
      <c r="AB417" s="152"/>
      <c r="AC417" s="152"/>
      <c r="AD417" s="152"/>
      <c r="AE417" s="152"/>
      <c r="AF417" s="152"/>
      <c r="AG417" s="152"/>
      <c r="AH417" s="44"/>
      <c r="AI417" s="44"/>
      <c r="AJ417" s="44"/>
      <c r="AK417" s="44"/>
      <c r="AL417" s="44"/>
      <c r="AM417" s="44"/>
      <c r="AN417" s="44"/>
    </row>
    <row r="418" spans="1:40">
      <c r="A418" s="44"/>
      <c r="B418" s="44"/>
      <c r="C418" s="44"/>
      <c r="D418" s="44"/>
      <c r="E418" s="44"/>
      <c r="F418" s="43"/>
      <c r="G418" s="44"/>
      <c r="H418" s="45"/>
      <c r="I418" s="44"/>
      <c r="J418" s="44"/>
      <c r="K418" s="143"/>
      <c r="L418" s="144"/>
      <c r="M418" s="143"/>
      <c r="N418" s="143"/>
      <c r="O418" s="44"/>
      <c r="P418" s="44"/>
      <c r="Q418" s="45"/>
      <c r="R418" s="147"/>
      <c r="S418" s="147"/>
      <c r="T418" s="147"/>
      <c r="U418" s="148"/>
      <c r="V418" s="149"/>
      <c r="W418" s="150"/>
      <c r="X418" s="151"/>
      <c r="Y418" s="44"/>
      <c r="Z418" s="44"/>
      <c r="AA418" s="152"/>
      <c r="AB418" s="152"/>
      <c r="AC418" s="152"/>
      <c r="AD418" s="152"/>
      <c r="AE418" s="152"/>
      <c r="AF418" s="152"/>
      <c r="AG418" s="152"/>
      <c r="AH418" s="44"/>
      <c r="AI418" s="44"/>
      <c r="AJ418" s="44"/>
      <c r="AK418" s="44"/>
      <c r="AL418" s="44"/>
      <c r="AM418" s="44"/>
      <c r="AN418" s="44"/>
    </row>
    <row r="419" spans="1:40">
      <c r="A419" s="44"/>
      <c r="B419" s="44"/>
      <c r="C419" s="44"/>
      <c r="D419" s="44"/>
      <c r="E419" s="44"/>
      <c r="F419" s="43"/>
      <c r="G419" s="44"/>
      <c r="H419" s="45"/>
      <c r="I419" s="44"/>
      <c r="J419" s="44"/>
      <c r="K419" s="143"/>
      <c r="L419" s="144"/>
      <c r="M419" s="143"/>
      <c r="N419" s="143"/>
      <c r="O419" s="44"/>
      <c r="P419" s="44"/>
      <c r="Q419" s="45"/>
      <c r="R419" s="147"/>
      <c r="S419" s="147"/>
      <c r="T419" s="147"/>
      <c r="U419" s="148"/>
      <c r="V419" s="149"/>
      <c r="W419" s="150"/>
      <c r="X419" s="151"/>
      <c r="Y419" s="44"/>
      <c r="Z419" s="44"/>
      <c r="AA419" s="152"/>
      <c r="AB419" s="152"/>
      <c r="AC419" s="152"/>
      <c r="AD419" s="152"/>
      <c r="AE419" s="152"/>
      <c r="AF419" s="152"/>
      <c r="AG419" s="152"/>
      <c r="AH419" s="44"/>
      <c r="AI419" s="44"/>
      <c r="AJ419" s="44"/>
      <c r="AK419" s="44"/>
      <c r="AL419" s="44"/>
      <c r="AM419" s="44"/>
      <c r="AN419" s="44"/>
    </row>
    <row r="420" spans="1:40">
      <c r="A420" s="44"/>
      <c r="B420" s="44"/>
      <c r="C420" s="44"/>
      <c r="D420" s="44"/>
      <c r="E420" s="44"/>
      <c r="F420" s="43"/>
      <c r="G420" s="44"/>
      <c r="H420" s="45"/>
      <c r="I420" s="44"/>
      <c r="J420" s="44"/>
      <c r="K420" s="143"/>
      <c r="L420" s="144"/>
      <c r="M420" s="143"/>
      <c r="N420" s="143"/>
      <c r="O420" s="44"/>
      <c r="P420" s="44"/>
      <c r="Q420" s="45"/>
      <c r="R420" s="147"/>
      <c r="S420" s="147"/>
      <c r="T420" s="147"/>
      <c r="U420" s="148"/>
      <c r="V420" s="149"/>
      <c r="W420" s="150"/>
      <c r="X420" s="151"/>
      <c r="Y420" s="44"/>
      <c r="Z420" s="44"/>
      <c r="AA420" s="152"/>
      <c r="AB420" s="152"/>
      <c r="AC420" s="152"/>
      <c r="AD420" s="152"/>
      <c r="AE420" s="152"/>
      <c r="AF420" s="152"/>
      <c r="AG420" s="152"/>
      <c r="AH420" s="44"/>
      <c r="AI420" s="44"/>
      <c r="AJ420" s="44"/>
      <c r="AK420" s="44"/>
      <c r="AL420" s="44"/>
      <c r="AM420" s="44"/>
      <c r="AN420" s="44"/>
    </row>
    <row r="421" spans="1:40">
      <c r="A421" s="44"/>
      <c r="B421" s="44"/>
      <c r="C421" s="44"/>
      <c r="D421" s="44"/>
      <c r="E421" s="44"/>
      <c r="F421" s="43"/>
      <c r="G421" s="44"/>
      <c r="H421" s="45"/>
      <c r="I421" s="44"/>
      <c r="J421" s="44"/>
      <c r="K421" s="143"/>
      <c r="L421" s="144"/>
      <c r="M421" s="143"/>
      <c r="N421" s="143"/>
      <c r="O421" s="44"/>
      <c r="P421" s="44"/>
      <c r="Q421" s="45"/>
      <c r="R421" s="147"/>
      <c r="S421" s="147"/>
      <c r="T421" s="147"/>
      <c r="U421" s="148"/>
      <c r="V421" s="149"/>
      <c r="W421" s="150"/>
      <c r="X421" s="151"/>
      <c r="Y421" s="44"/>
      <c r="Z421" s="44"/>
      <c r="AA421" s="152"/>
      <c r="AB421" s="152"/>
      <c r="AC421" s="152"/>
      <c r="AD421" s="152"/>
      <c r="AE421" s="152"/>
      <c r="AF421" s="152"/>
      <c r="AG421" s="152"/>
      <c r="AH421" s="44"/>
      <c r="AI421" s="44"/>
      <c r="AJ421" s="44"/>
      <c r="AK421" s="44"/>
      <c r="AL421" s="44"/>
      <c r="AM421" s="44"/>
      <c r="AN421" s="44"/>
    </row>
    <row r="422" spans="1:40">
      <c r="A422" s="44"/>
      <c r="B422" s="44"/>
      <c r="C422" s="44"/>
      <c r="D422" s="44"/>
      <c r="E422" s="44"/>
      <c r="F422" s="43"/>
      <c r="G422" s="44"/>
      <c r="H422" s="45"/>
      <c r="I422" s="44"/>
      <c r="J422" s="44"/>
      <c r="K422" s="143"/>
      <c r="L422" s="144"/>
      <c r="M422" s="143"/>
      <c r="N422" s="143"/>
      <c r="O422" s="44"/>
      <c r="P422" s="44"/>
      <c r="Q422" s="45"/>
      <c r="R422" s="147"/>
      <c r="S422" s="147"/>
      <c r="T422" s="147"/>
      <c r="U422" s="148"/>
      <c r="V422" s="149"/>
      <c r="W422" s="150"/>
      <c r="X422" s="151"/>
      <c r="Y422" s="44"/>
      <c r="Z422" s="44"/>
      <c r="AA422" s="152"/>
      <c r="AB422" s="152"/>
      <c r="AC422" s="152"/>
      <c r="AD422" s="152"/>
      <c r="AE422" s="152"/>
      <c r="AF422" s="152"/>
      <c r="AG422" s="152"/>
      <c r="AH422" s="44"/>
      <c r="AI422" s="44"/>
      <c r="AJ422" s="44"/>
      <c r="AK422" s="44"/>
      <c r="AL422" s="44"/>
      <c r="AM422" s="44"/>
      <c r="AN422" s="44"/>
    </row>
    <row r="423" spans="1:40">
      <c r="A423" s="44"/>
      <c r="B423" s="44"/>
      <c r="C423" s="44"/>
      <c r="D423" s="44"/>
      <c r="E423" s="44"/>
      <c r="F423" s="43"/>
      <c r="G423" s="44"/>
      <c r="H423" s="45"/>
      <c r="I423" s="44"/>
      <c r="J423" s="44"/>
      <c r="K423" s="143"/>
      <c r="L423" s="144"/>
      <c r="M423" s="143"/>
      <c r="N423" s="143"/>
      <c r="O423" s="44"/>
      <c r="P423" s="44"/>
      <c r="Q423" s="45"/>
      <c r="R423" s="147"/>
      <c r="S423" s="147"/>
      <c r="T423" s="147"/>
      <c r="U423" s="148"/>
      <c r="V423" s="149"/>
      <c r="W423" s="150"/>
      <c r="X423" s="151"/>
      <c r="Y423" s="44"/>
      <c r="Z423" s="44"/>
      <c r="AA423" s="152"/>
      <c r="AB423" s="152"/>
      <c r="AC423" s="152"/>
      <c r="AD423" s="152"/>
      <c r="AE423" s="152"/>
      <c r="AF423" s="152"/>
      <c r="AG423" s="152"/>
      <c r="AH423" s="44"/>
      <c r="AI423" s="44"/>
      <c r="AJ423" s="44"/>
      <c r="AK423" s="44"/>
      <c r="AL423" s="44"/>
      <c r="AM423" s="44"/>
      <c r="AN423" s="44"/>
    </row>
    <row r="424" spans="1:40">
      <c r="A424" s="44"/>
      <c r="B424" s="44"/>
      <c r="C424" s="44"/>
      <c r="D424" s="44"/>
      <c r="E424" s="44"/>
      <c r="F424" s="43"/>
      <c r="G424" s="44"/>
      <c r="H424" s="45"/>
      <c r="I424" s="44"/>
      <c r="J424" s="44"/>
      <c r="K424" s="143"/>
      <c r="L424" s="144"/>
      <c r="M424" s="143"/>
      <c r="N424" s="143"/>
      <c r="O424" s="44"/>
      <c r="P424" s="44"/>
      <c r="Q424" s="45"/>
      <c r="R424" s="147"/>
      <c r="S424" s="147"/>
      <c r="T424" s="147"/>
      <c r="U424" s="148"/>
      <c r="V424" s="149"/>
      <c r="W424" s="150"/>
      <c r="X424" s="151"/>
      <c r="Y424" s="44"/>
      <c r="Z424" s="44"/>
      <c r="AA424" s="152"/>
      <c r="AB424" s="152"/>
      <c r="AC424" s="152"/>
      <c r="AD424" s="152"/>
      <c r="AE424" s="152"/>
      <c r="AF424" s="152"/>
      <c r="AG424" s="152"/>
      <c r="AH424" s="44"/>
      <c r="AI424" s="44"/>
      <c r="AJ424" s="44"/>
      <c r="AK424" s="44"/>
      <c r="AL424" s="44"/>
      <c r="AM424" s="44"/>
      <c r="AN424" s="44"/>
    </row>
    <row r="425" spans="1:40">
      <c r="A425" s="44"/>
      <c r="B425" s="44"/>
      <c r="C425" s="44"/>
      <c r="D425" s="44"/>
      <c r="E425" s="44"/>
      <c r="F425" s="43"/>
      <c r="G425" s="44"/>
      <c r="H425" s="45"/>
      <c r="I425" s="44"/>
      <c r="J425" s="44"/>
      <c r="K425" s="143"/>
      <c r="L425" s="144"/>
      <c r="M425" s="143"/>
      <c r="N425" s="143"/>
      <c r="O425" s="44"/>
      <c r="P425" s="44"/>
      <c r="Q425" s="45"/>
      <c r="R425" s="147"/>
      <c r="S425" s="147"/>
      <c r="T425" s="147"/>
      <c r="U425" s="148"/>
      <c r="V425" s="149"/>
      <c r="W425" s="150"/>
      <c r="X425" s="151"/>
      <c r="Y425" s="44"/>
      <c r="Z425" s="44"/>
      <c r="AA425" s="152"/>
      <c r="AB425" s="152"/>
      <c r="AC425" s="152"/>
      <c r="AD425" s="152"/>
      <c r="AE425" s="152"/>
      <c r="AF425" s="152"/>
      <c r="AG425" s="152"/>
      <c r="AH425" s="44"/>
      <c r="AI425" s="44"/>
      <c r="AJ425" s="44"/>
      <c r="AK425" s="44"/>
      <c r="AL425" s="44"/>
      <c r="AM425" s="44"/>
      <c r="AN425" s="44"/>
    </row>
    <row r="426" spans="1:40">
      <c r="A426" s="44"/>
      <c r="B426" s="44"/>
      <c r="C426" s="44"/>
      <c r="D426" s="44"/>
      <c r="E426" s="44"/>
      <c r="F426" s="43"/>
      <c r="G426" s="44"/>
      <c r="H426" s="45"/>
      <c r="I426" s="44"/>
      <c r="J426" s="44"/>
      <c r="K426" s="143"/>
      <c r="L426" s="144"/>
      <c r="M426" s="143"/>
      <c r="N426" s="143"/>
      <c r="O426" s="44"/>
      <c r="P426" s="44"/>
      <c r="Q426" s="45"/>
      <c r="R426" s="147"/>
      <c r="S426" s="147"/>
      <c r="T426" s="147"/>
      <c r="U426" s="148"/>
      <c r="V426" s="149"/>
      <c r="W426" s="150"/>
      <c r="X426" s="151"/>
      <c r="Y426" s="44"/>
      <c r="Z426" s="44"/>
      <c r="AA426" s="152"/>
      <c r="AB426" s="152"/>
      <c r="AC426" s="152"/>
      <c r="AD426" s="152"/>
      <c r="AE426" s="152"/>
      <c r="AF426" s="152"/>
      <c r="AG426" s="152"/>
      <c r="AH426" s="44"/>
      <c r="AI426" s="44"/>
      <c r="AJ426" s="44"/>
      <c r="AK426" s="44"/>
      <c r="AL426" s="44"/>
      <c r="AM426" s="44"/>
      <c r="AN426" s="44"/>
    </row>
    <row r="427" spans="1:40">
      <c r="A427" s="44"/>
      <c r="B427" s="44"/>
      <c r="C427" s="44"/>
      <c r="D427" s="44"/>
      <c r="E427" s="44"/>
      <c r="F427" s="43"/>
      <c r="G427" s="44"/>
      <c r="H427" s="45"/>
      <c r="I427" s="44"/>
      <c r="J427" s="44"/>
      <c r="K427" s="143"/>
      <c r="L427" s="144"/>
      <c r="M427" s="143"/>
      <c r="N427" s="143"/>
      <c r="O427" s="44"/>
      <c r="P427" s="44"/>
      <c r="Q427" s="45"/>
      <c r="R427" s="147"/>
      <c r="S427" s="147"/>
      <c r="T427" s="147"/>
      <c r="U427" s="148"/>
      <c r="V427" s="149"/>
      <c r="W427" s="150"/>
      <c r="X427" s="151"/>
      <c r="Y427" s="44"/>
      <c r="Z427" s="44"/>
      <c r="AA427" s="152"/>
      <c r="AB427" s="152"/>
      <c r="AC427" s="152"/>
      <c r="AD427" s="152"/>
      <c r="AE427" s="152"/>
      <c r="AF427" s="152"/>
      <c r="AG427" s="152"/>
      <c r="AH427" s="44"/>
      <c r="AI427" s="44"/>
      <c r="AJ427" s="44"/>
      <c r="AK427" s="44"/>
      <c r="AL427" s="44"/>
      <c r="AM427" s="44"/>
      <c r="AN427" s="44"/>
    </row>
    <row r="428" spans="1:40">
      <c r="A428" s="44"/>
      <c r="B428" s="44"/>
      <c r="C428" s="44"/>
      <c r="D428" s="44"/>
      <c r="E428" s="44"/>
      <c r="F428" s="43"/>
      <c r="G428" s="44"/>
      <c r="H428" s="45"/>
      <c r="I428" s="44"/>
      <c r="J428" s="44"/>
      <c r="K428" s="143"/>
      <c r="L428" s="144"/>
      <c r="M428" s="143"/>
      <c r="N428" s="143"/>
      <c r="O428" s="44"/>
      <c r="P428" s="44"/>
      <c r="Q428" s="45"/>
      <c r="R428" s="147"/>
      <c r="S428" s="147"/>
      <c r="T428" s="147"/>
      <c r="U428" s="148"/>
      <c r="V428" s="149"/>
      <c r="W428" s="150"/>
      <c r="X428" s="151"/>
      <c r="Y428" s="44"/>
      <c r="Z428" s="44"/>
      <c r="AA428" s="152"/>
      <c r="AB428" s="152"/>
      <c r="AC428" s="152"/>
      <c r="AD428" s="152"/>
      <c r="AE428" s="152"/>
      <c r="AF428" s="152"/>
      <c r="AG428" s="152"/>
      <c r="AH428" s="44"/>
      <c r="AI428" s="44"/>
      <c r="AJ428" s="44"/>
      <c r="AK428" s="44"/>
      <c r="AL428" s="44"/>
      <c r="AM428" s="44"/>
      <c r="AN428" s="44"/>
    </row>
    <row r="429" spans="1:40">
      <c r="A429" s="44"/>
      <c r="B429" s="44"/>
      <c r="C429" s="44"/>
      <c r="D429" s="44"/>
      <c r="E429" s="44"/>
      <c r="F429" s="43"/>
      <c r="G429" s="44"/>
      <c r="H429" s="45"/>
      <c r="I429" s="44"/>
      <c r="J429" s="44"/>
      <c r="K429" s="143"/>
      <c r="L429" s="144"/>
      <c r="M429" s="143"/>
      <c r="N429" s="143"/>
      <c r="O429" s="44"/>
      <c r="P429" s="44"/>
      <c r="Q429" s="45"/>
      <c r="R429" s="147"/>
      <c r="S429" s="147"/>
      <c r="T429" s="147"/>
      <c r="U429" s="148"/>
      <c r="V429" s="149"/>
      <c r="W429" s="150"/>
      <c r="X429" s="151"/>
      <c r="Y429" s="44"/>
      <c r="Z429" s="44"/>
      <c r="AA429" s="152"/>
      <c r="AB429" s="152"/>
      <c r="AC429" s="152"/>
      <c r="AD429" s="152"/>
      <c r="AE429" s="152"/>
      <c r="AF429" s="152"/>
      <c r="AG429" s="152"/>
      <c r="AH429" s="44"/>
      <c r="AI429" s="44"/>
      <c r="AJ429" s="44"/>
      <c r="AK429" s="44"/>
      <c r="AL429" s="44"/>
      <c r="AM429" s="44"/>
      <c r="AN429" s="44"/>
    </row>
    <row r="430" spans="1:40">
      <c r="A430" s="44"/>
      <c r="B430" s="44"/>
      <c r="C430" s="44"/>
      <c r="D430" s="44"/>
      <c r="E430" s="44"/>
      <c r="F430" s="43"/>
      <c r="G430" s="44"/>
      <c r="H430" s="45"/>
      <c r="I430" s="44"/>
      <c r="J430" s="44"/>
      <c r="K430" s="143"/>
      <c r="L430" s="144"/>
      <c r="M430" s="143"/>
      <c r="N430" s="143"/>
      <c r="O430" s="44"/>
      <c r="P430" s="44"/>
      <c r="Q430" s="45"/>
      <c r="R430" s="147"/>
      <c r="S430" s="147"/>
      <c r="T430" s="147"/>
      <c r="U430" s="148"/>
      <c r="V430" s="149"/>
      <c r="W430" s="150"/>
      <c r="X430" s="151"/>
      <c r="Y430" s="44"/>
      <c r="Z430" s="44"/>
      <c r="AA430" s="152"/>
      <c r="AB430" s="152"/>
      <c r="AC430" s="152"/>
      <c r="AD430" s="152"/>
      <c r="AE430" s="152"/>
      <c r="AF430" s="152"/>
      <c r="AG430" s="152"/>
      <c r="AH430" s="44"/>
      <c r="AI430" s="44"/>
      <c r="AJ430" s="44"/>
      <c r="AK430" s="44"/>
      <c r="AL430" s="44"/>
      <c r="AM430" s="44"/>
      <c r="AN430" s="44"/>
    </row>
    <row r="431" spans="1:40">
      <c r="A431" s="44"/>
      <c r="B431" s="44"/>
      <c r="C431" s="44"/>
      <c r="D431" s="44"/>
      <c r="E431" s="44"/>
      <c r="F431" s="43"/>
      <c r="G431" s="44"/>
      <c r="H431" s="45"/>
      <c r="I431" s="44"/>
      <c r="J431" s="44"/>
      <c r="K431" s="143"/>
      <c r="L431" s="144"/>
      <c r="M431" s="143"/>
      <c r="N431" s="143"/>
      <c r="O431" s="44"/>
      <c r="P431" s="44"/>
      <c r="Q431" s="45"/>
      <c r="R431" s="147"/>
      <c r="S431" s="147"/>
      <c r="T431" s="147"/>
      <c r="U431" s="148"/>
      <c r="V431" s="149"/>
      <c r="W431" s="150"/>
      <c r="X431" s="151"/>
      <c r="Y431" s="44"/>
      <c r="Z431" s="44"/>
      <c r="AA431" s="152"/>
      <c r="AB431" s="152"/>
      <c r="AC431" s="152"/>
      <c r="AD431" s="152"/>
      <c r="AE431" s="152"/>
      <c r="AF431" s="152"/>
      <c r="AG431" s="152"/>
      <c r="AH431" s="44"/>
      <c r="AI431" s="44"/>
      <c r="AJ431" s="44"/>
      <c r="AK431" s="44"/>
      <c r="AL431" s="44"/>
      <c r="AM431" s="44"/>
      <c r="AN431" s="44"/>
    </row>
    <row r="432" spans="1:40">
      <c r="A432" s="44"/>
      <c r="B432" s="44"/>
      <c r="C432" s="44"/>
      <c r="D432" s="44"/>
      <c r="E432" s="44"/>
      <c r="F432" s="43"/>
      <c r="G432" s="44"/>
      <c r="H432" s="45"/>
      <c r="I432" s="44"/>
      <c r="J432" s="44"/>
      <c r="K432" s="143"/>
      <c r="L432" s="144"/>
      <c r="M432" s="143"/>
      <c r="N432" s="143"/>
      <c r="O432" s="44"/>
      <c r="P432" s="44"/>
      <c r="Q432" s="45"/>
      <c r="R432" s="147"/>
      <c r="S432" s="147"/>
      <c r="T432" s="147"/>
      <c r="U432" s="148"/>
      <c r="V432" s="149"/>
      <c r="W432" s="150"/>
      <c r="X432" s="151"/>
      <c r="Y432" s="44"/>
      <c r="Z432" s="44"/>
      <c r="AA432" s="152"/>
      <c r="AB432" s="152"/>
      <c r="AC432" s="152"/>
      <c r="AD432" s="152"/>
      <c r="AE432" s="152"/>
      <c r="AF432" s="152"/>
      <c r="AG432" s="152"/>
      <c r="AH432" s="44"/>
      <c r="AI432" s="44"/>
      <c r="AJ432" s="44"/>
      <c r="AK432" s="44"/>
      <c r="AL432" s="44"/>
      <c r="AM432" s="44"/>
      <c r="AN432" s="44"/>
    </row>
    <row r="433" spans="1:40">
      <c r="A433" s="44"/>
      <c r="B433" s="44"/>
      <c r="C433" s="44"/>
      <c r="D433" s="44"/>
      <c r="E433" s="44"/>
      <c r="F433" s="43"/>
      <c r="G433" s="44"/>
      <c r="H433" s="45"/>
      <c r="I433" s="44"/>
      <c r="J433" s="44"/>
      <c r="K433" s="143"/>
      <c r="L433" s="144"/>
      <c r="M433" s="143"/>
      <c r="N433" s="143"/>
      <c r="O433" s="44"/>
      <c r="P433" s="44"/>
      <c r="Q433" s="45"/>
      <c r="R433" s="147"/>
      <c r="S433" s="147"/>
      <c r="T433" s="147"/>
      <c r="U433" s="148"/>
      <c r="V433" s="149"/>
      <c r="W433" s="150"/>
      <c r="X433" s="151"/>
      <c r="Y433" s="44"/>
      <c r="Z433" s="44"/>
      <c r="AA433" s="152"/>
      <c r="AB433" s="152"/>
      <c r="AC433" s="152"/>
      <c r="AD433" s="152"/>
      <c r="AE433" s="152"/>
      <c r="AF433" s="152"/>
      <c r="AG433" s="152"/>
      <c r="AH433" s="44"/>
      <c r="AI433" s="44"/>
      <c r="AJ433" s="44"/>
      <c r="AK433" s="44"/>
      <c r="AL433" s="44"/>
      <c r="AM433" s="44"/>
      <c r="AN433" s="44"/>
    </row>
    <row r="434" spans="1:40">
      <c r="A434" s="44"/>
      <c r="B434" s="44"/>
      <c r="C434" s="44"/>
      <c r="D434" s="44"/>
      <c r="E434" s="44"/>
      <c r="F434" s="43"/>
      <c r="G434" s="44"/>
      <c r="H434" s="45"/>
      <c r="I434" s="44"/>
      <c r="J434" s="44"/>
      <c r="K434" s="143"/>
      <c r="L434" s="144"/>
      <c r="M434" s="143"/>
      <c r="N434" s="143"/>
      <c r="O434" s="44"/>
      <c r="P434" s="44"/>
      <c r="Q434" s="45"/>
      <c r="R434" s="147"/>
      <c r="S434" s="147"/>
      <c r="T434" s="147"/>
      <c r="U434" s="148"/>
      <c r="V434" s="149"/>
      <c r="W434" s="150"/>
      <c r="X434" s="151"/>
      <c r="Y434" s="44"/>
      <c r="Z434" s="44"/>
      <c r="AA434" s="152"/>
      <c r="AB434" s="152"/>
      <c r="AC434" s="152"/>
      <c r="AD434" s="152"/>
      <c r="AE434" s="152"/>
      <c r="AF434" s="152"/>
      <c r="AG434" s="152"/>
      <c r="AH434" s="44"/>
      <c r="AI434" s="44"/>
      <c r="AJ434" s="44"/>
      <c r="AK434" s="44"/>
      <c r="AL434" s="44"/>
      <c r="AM434" s="44"/>
      <c r="AN434" s="44"/>
    </row>
    <row r="435" spans="1:40">
      <c r="A435" s="44"/>
      <c r="B435" s="44"/>
      <c r="C435" s="44"/>
      <c r="D435" s="44"/>
      <c r="E435" s="44"/>
      <c r="F435" s="43"/>
      <c r="G435" s="44"/>
      <c r="H435" s="45"/>
      <c r="I435" s="44"/>
      <c r="J435" s="44"/>
      <c r="K435" s="143"/>
      <c r="L435" s="144"/>
      <c r="M435" s="143"/>
      <c r="N435" s="143"/>
      <c r="O435" s="44"/>
      <c r="P435" s="44"/>
      <c r="Q435" s="45"/>
      <c r="R435" s="147"/>
      <c r="S435" s="147"/>
      <c r="T435" s="147"/>
      <c r="U435" s="148"/>
      <c r="V435" s="149"/>
      <c r="W435" s="150"/>
      <c r="X435" s="151"/>
      <c r="Y435" s="44"/>
      <c r="Z435" s="44"/>
      <c r="AA435" s="152"/>
      <c r="AB435" s="152"/>
      <c r="AC435" s="152"/>
      <c r="AD435" s="152"/>
      <c r="AE435" s="152"/>
      <c r="AF435" s="152"/>
      <c r="AG435" s="152"/>
      <c r="AH435" s="44"/>
      <c r="AI435" s="44"/>
      <c r="AJ435" s="44"/>
      <c r="AK435" s="44"/>
      <c r="AL435" s="44"/>
      <c r="AM435" s="44"/>
      <c r="AN435" s="44"/>
    </row>
    <row r="436" spans="1:40">
      <c r="A436" s="44"/>
      <c r="B436" s="44"/>
      <c r="C436" s="44"/>
      <c r="D436" s="44"/>
      <c r="E436" s="44"/>
      <c r="F436" s="43"/>
      <c r="G436" s="44"/>
      <c r="H436" s="45"/>
      <c r="I436" s="44"/>
      <c r="J436" s="44"/>
      <c r="K436" s="143"/>
      <c r="L436" s="144"/>
      <c r="M436" s="143"/>
      <c r="N436" s="143"/>
      <c r="O436" s="44"/>
      <c r="P436" s="44"/>
      <c r="Q436" s="45"/>
      <c r="R436" s="147"/>
      <c r="S436" s="147"/>
      <c r="T436" s="147"/>
      <c r="U436" s="148"/>
      <c r="V436" s="149"/>
      <c r="W436" s="150"/>
      <c r="X436" s="151"/>
      <c r="Y436" s="44"/>
      <c r="Z436" s="44"/>
      <c r="AA436" s="152"/>
      <c r="AB436" s="152"/>
      <c r="AC436" s="152"/>
      <c r="AD436" s="152"/>
      <c r="AE436" s="152"/>
      <c r="AF436" s="152"/>
      <c r="AG436" s="152"/>
      <c r="AH436" s="44"/>
      <c r="AI436" s="44"/>
      <c r="AJ436" s="44"/>
      <c r="AK436" s="44"/>
      <c r="AL436" s="44"/>
      <c r="AM436" s="44"/>
      <c r="AN436" s="44"/>
    </row>
    <row r="437" spans="1:40">
      <c r="A437" s="44"/>
      <c r="B437" s="44"/>
      <c r="C437" s="44"/>
      <c r="D437" s="44"/>
      <c r="E437" s="44"/>
      <c r="F437" s="43"/>
      <c r="G437" s="44"/>
      <c r="H437" s="45"/>
      <c r="I437" s="44"/>
      <c r="J437" s="44"/>
      <c r="K437" s="143"/>
      <c r="L437" s="144"/>
      <c r="M437" s="143"/>
      <c r="N437" s="143"/>
      <c r="O437" s="44"/>
      <c r="P437" s="44"/>
      <c r="Q437" s="45"/>
      <c r="R437" s="147"/>
      <c r="S437" s="147"/>
      <c r="T437" s="147"/>
      <c r="U437" s="148"/>
      <c r="V437" s="149"/>
      <c r="W437" s="150"/>
      <c r="X437" s="151"/>
      <c r="Y437" s="44"/>
      <c r="Z437" s="44"/>
      <c r="AA437" s="152"/>
      <c r="AB437" s="152"/>
      <c r="AC437" s="152"/>
      <c r="AD437" s="152"/>
      <c r="AE437" s="152"/>
      <c r="AF437" s="152"/>
      <c r="AG437" s="152"/>
      <c r="AH437" s="44"/>
      <c r="AI437" s="44"/>
      <c r="AJ437" s="44"/>
      <c r="AK437" s="44"/>
      <c r="AL437" s="44"/>
      <c r="AM437" s="44"/>
      <c r="AN437" s="44"/>
    </row>
    <row r="438" spans="1:40">
      <c r="A438" s="44"/>
      <c r="B438" s="44"/>
      <c r="C438" s="44"/>
      <c r="D438" s="44"/>
      <c r="E438" s="44"/>
      <c r="F438" s="43"/>
      <c r="G438" s="44"/>
      <c r="H438" s="45"/>
      <c r="I438" s="44"/>
      <c r="J438" s="44"/>
      <c r="K438" s="143"/>
      <c r="L438" s="144"/>
      <c r="M438" s="143"/>
      <c r="N438" s="143"/>
      <c r="O438" s="44"/>
      <c r="P438" s="44"/>
      <c r="Q438" s="45"/>
      <c r="R438" s="147"/>
      <c r="S438" s="147"/>
      <c r="T438" s="147"/>
      <c r="U438" s="148"/>
      <c r="V438" s="149"/>
      <c r="W438" s="150"/>
      <c r="X438" s="151"/>
      <c r="Y438" s="44"/>
      <c r="Z438" s="44"/>
      <c r="AA438" s="152"/>
      <c r="AB438" s="152"/>
      <c r="AC438" s="152"/>
      <c r="AD438" s="152"/>
      <c r="AE438" s="152"/>
      <c r="AF438" s="152"/>
      <c r="AG438" s="152"/>
      <c r="AH438" s="44"/>
      <c r="AI438" s="44"/>
      <c r="AJ438" s="44"/>
      <c r="AK438" s="44"/>
      <c r="AL438" s="44"/>
      <c r="AM438" s="44"/>
      <c r="AN438" s="44"/>
    </row>
    <row r="439" spans="1:40">
      <c r="A439" s="44"/>
      <c r="B439" s="44"/>
      <c r="C439" s="44"/>
      <c r="D439" s="44"/>
      <c r="E439" s="44"/>
      <c r="F439" s="43"/>
      <c r="G439" s="44"/>
      <c r="H439" s="45"/>
      <c r="I439" s="44"/>
      <c r="J439" s="44"/>
      <c r="K439" s="143"/>
      <c r="L439" s="144"/>
      <c r="M439" s="143"/>
      <c r="N439" s="143"/>
      <c r="O439" s="44"/>
      <c r="P439" s="44"/>
      <c r="Q439" s="45"/>
      <c r="R439" s="147"/>
      <c r="S439" s="147"/>
      <c r="T439" s="147"/>
      <c r="U439" s="148"/>
      <c r="V439" s="149"/>
      <c r="W439" s="150"/>
      <c r="X439" s="151"/>
      <c r="Y439" s="44"/>
      <c r="Z439" s="44"/>
      <c r="AA439" s="152"/>
      <c r="AB439" s="152"/>
      <c r="AC439" s="152"/>
      <c r="AD439" s="152"/>
      <c r="AE439" s="152"/>
      <c r="AF439" s="152"/>
      <c r="AG439" s="152"/>
      <c r="AH439" s="44"/>
      <c r="AI439" s="44"/>
      <c r="AJ439" s="44"/>
      <c r="AK439" s="44"/>
      <c r="AL439" s="44"/>
      <c r="AM439" s="44"/>
      <c r="AN439" s="44"/>
    </row>
    <row r="440" spans="1:40">
      <c r="A440" s="44"/>
      <c r="B440" s="44"/>
      <c r="C440" s="44"/>
      <c r="D440" s="44"/>
      <c r="E440" s="44"/>
      <c r="F440" s="43"/>
      <c r="G440" s="44"/>
      <c r="H440" s="45"/>
      <c r="I440" s="44"/>
      <c r="J440" s="44"/>
      <c r="K440" s="143"/>
      <c r="L440" s="144"/>
      <c r="M440" s="143"/>
      <c r="N440" s="143"/>
      <c r="O440" s="44"/>
      <c r="P440" s="44"/>
      <c r="Q440" s="45"/>
      <c r="R440" s="147"/>
      <c r="S440" s="147"/>
      <c r="T440" s="147"/>
      <c r="U440" s="148"/>
      <c r="V440" s="149"/>
      <c r="W440" s="150"/>
      <c r="X440" s="151"/>
      <c r="Y440" s="44"/>
      <c r="Z440" s="44"/>
      <c r="AA440" s="152"/>
      <c r="AB440" s="152"/>
      <c r="AC440" s="152"/>
      <c r="AD440" s="152"/>
      <c r="AE440" s="152"/>
      <c r="AF440" s="152"/>
      <c r="AG440" s="152"/>
      <c r="AH440" s="44"/>
      <c r="AI440" s="44"/>
      <c r="AJ440" s="44"/>
      <c r="AK440" s="44"/>
      <c r="AL440" s="44"/>
      <c r="AM440" s="44"/>
      <c r="AN440" s="44"/>
    </row>
    <row r="441" spans="1:40">
      <c r="A441" s="44"/>
      <c r="B441" s="44"/>
      <c r="C441" s="44"/>
      <c r="D441" s="44"/>
      <c r="E441" s="44"/>
      <c r="F441" s="43"/>
      <c r="G441" s="44"/>
      <c r="H441" s="45"/>
      <c r="I441" s="44"/>
      <c r="J441" s="44"/>
      <c r="K441" s="143"/>
      <c r="L441" s="144"/>
      <c r="M441" s="143"/>
      <c r="N441" s="143"/>
      <c r="O441" s="44"/>
      <c r="P441" s="44"/>
      <c r="Q441" s="45"/>
      <c r="R441" s="147"/>
      <c r="S441" s="147"/>
      <c r="T441" s="147"/>
      <c r="U441" s="148"/>
      <c r="V441" s="149"/>
      <c r="W441" s="150"/>
      <c r="X441" s="151"/>
      <c r="Y441" s="44"/>
      <c r="Z441" s="44"/>
      <c r="AA441" s="152"/>
      <c r="AB441" s="152"/>
      <c r="AC441" s="152"/>
      <c r="AD441" s="152"/>
      <c r="AE441" s="152"/>
      <c r="AF441" s="152"/>
      <c r="AG441" s="152"/>
      <c r="AH441" s="44"/>
      <c r="AI441" s="44"/>
      <c r="AJ441" s="44"/>
      <c r="AK441" s="44"/>
      <c r="AL441" s="44"/>
      <c r="AM441" s="44"/>
      <c r="AN441" s="44"/>
    </row>
    <row r="442" spans="1:40">
      <c r="A442" s="44"/>
      <c r="B442" s="44"/>
      <c r="C442" s="44"/>
      <c r="D442" s="44"/>
      <c r="E442" s="44"/>
      <c r="F442" s="43"/>
      <c r="G442" s="44"/>
      <c r="H442" s="45"/>
      <c r="I442" s="44"/>
      <c r="J442" s="44"/>
      <c r="K442" s="143"/>
      <c r="L442" s="144"/>
      <c r="M442" s="143"/>
      <c r="N442" s="143"/>
      <c r="O442" s="44"/>
      <c r="P442" s="44"/>
      <c r="Q442" s="45"/>
      <c r="R442" s="147"/>
      <c r="S442" s="147"/>
      <c r="T442" s="147"/>
      <c r="U442" s="148"/>
      <c r="V442" s="149"/>
      <c r="W442" s="150"/>
      <c r="X442" s="151"/>
      <c r="Y442" s="44"/>
      <c r="Z442" s="44"/>
      <c r="AA442" s="152"/>
      <c r="AB442" s="152"/>
      <c r="AC442" s="152"/>
      <c r="AD442" s="152"/>
      <c r="AE442" s="152"/>
      <c r="AF442" s="152"/>
      <c r="AG442" s="152"/>
      <c r="AH442" s="44"/>
      <c r="AI442" s="44"/>
      <c r="AJ442" s="44"/>
      <c r="AK442" s="44"/>
      <c r="AL442" s="44"/>
      <c r="AM442" s="44"/>
      <c r="AN442" s="44"/>
    </row>
    <row r="443" spans="1:40">
      <c r="A443" s="44"/>
      <c r="B443" s="44"/>
      <c r="C443" s="44"/>
      <c r="D443" s="44"/>
      <c r="E443" s="44"/>
      <c r="F443" s="43"/>
      <c r="G443" s="44"/>
      <c r="H443" s="45"/>
      <c r="I443" s="44"/>
      <c r="J443" s="44"/>
      <c r="K443" s="143"/>
      <c r="L443" s="144"/>
      <c r="M443" s="143"/>
      <c r="N443" s="143"/>
      <c r="O443" s="44"/>
      <c r="P443" s="44"/>
      <c r="Q443" s="45"/>
      <c r="R443" s="147"/>
      <c r="S443" s="147"/>
      <c r="T443" s="147"/>
      <c r="U443" s="148"/>
      <c r="V443" s="149"/>
      <c r="W443" s="150"/>
      <c r="X443" s="151"/>
      <c r="Y443" s="44"/>
      <c r="Z443" s="44"/>
      <c r="AA443" s="152"/>
      <c r="AB443" s="152"/>
      <c r="AC443" s="152"/>
      <c r="AD443" s="152"/>
      <c r="AE443" s="152"/>
      <c r="AF443" s="152"/>
      <c r="AG443" s="152"/>
      <c r="AH443" s="44"/>
      <c r="AI443" s="44"/>
      <c r="AJ443" s="44"/>
      <c r="AK443" s="44"/>
      <c r="AL443" s="44"/>
      <c r="AM443" s="44"/>
      <c r="AN443" s="44"/>
    </row>
    <row r="444" spans="1:40">
      <c r="A444" s="44"/>
      <c r="B444" s="44"/>
      <c r="C444" s="44"/>
      <c r="D444" s="44"/>
      <c r="E444" s="44"/>
      <c r="F444" s="43"/>
      <c r="G444" s="44"/>
      <c r="H444" s="45"/>
      <c r="I444" s="44"/>
      <c r="J444" s="44"/>
      <c r="K444" s="143"/>
      <c r="L444" s="144"/>
      <c r="M444" s="143"/>
      <c r="N444" s="143"/>
      <c r="O444" s="44"/>
      <c r="P444" s="44"/>
      <c r="Q444" s="45"/>
      <c r="R444" s="147"/>
      <c r="S444" s="147"/>
      <c r="T444" s="147"/>
      <c r="U444" s="148"/>
      <c r="V444" s="149"/>
      <c r="W444" s="150"/>
      <c r="X444" s="151"/>
      <c r="Y444" s="44"/>
      <c r="Z444" s="44"/>
      <c r="AA444" s="152"/>
      <c r="AB444" s="152"/>
      <c r="AC444" s="152"/>
      <c r="AD444" s="152"/>
      <c r="AE444" s="152"/>
      <c r="AF444" s="152"/>
      <c r="AG444" s="152"/>
      <c r="AH444" s="44"/>
      <c r="AI444" s="44"/>
      <c r="AJ444" s="44"/>
      <c r="AK444" s="44"/>
      <c r="AL444" s="44"/>
      <c r="AM444" s="44"/>
      <c r="AN444" s="44"/>
    </row>
    <row r="445" spans="1:40">
      <c r="A445" s="44"/>
      <c r="B445" s="44"/>
      <c r="C445" s="44"/>
      <c r="D445" s="44"/>
      <c r="E445" s="44"/>
      <c r="F445" s="43"/>
      <c r="G445" s="44"/>
      <c r="H445" s="45"/>
      <c r="I445" s="44"/>
      <c r="J445" s="44"/>
      <c r="K445" s="143"/>
      <c r="L445" s="144"/>
      <c r="M445" s="143"/>
      <c r="N445" s="143"/>
      <c r="O445" s="44"/>
      <c r="P445" s="44"/>
      <c r="Q445" s="45"/>
      <c r="R445" s="147"/>
      <c r="S445" s="147"/>
      <c r="T445" s="147"/>
      <c r="U445" s="148"/>
      <c r="V445" s="149"/>
      <c r="W445" s="150"/>
      <c r="X445" s="151"/>
      <c r="Y445" s="44"/>
      <c r="Z445" s="44"/>
      <c r="AA445" s="152"/>
      <c r="AB445" s="152"/>
      <c r="AC445" s="152"/>
      <c r="AD445" s="152"/>
      <c r="AE445" s="152"/>
      <c r="AF445" s="152"/>
      <c r="AG445" s="152"/>
      <c r="AH445" s="44"/>
      <c r="AI445" s="44"/>
      <c r="AJ445" s="44"/>
      <c r="AK445" s="44"/>
      <c r="AL445" s="44"/>
      <c r="AM445" s="44"/>
      <c r="AN445" s="44"/>
    </row>
    <row r="446" spans="1:40">
      <c r="A446" s="44"/>
      <c r="B446" s="44"/>
      <c r="C446" s="44"/>
      <c r="D446" s="44"/>
      <c r="E446" s="44"/>
      <c r="F446" s="43"/>
      <c r="G446" s="44"/>
      <c r="H446" s="45"/>
      <c r="I446" s="44"/>
      <c r="J446" s="44"/>
      <c r="K446" s="143"/>
      <c r="L446" s="144"/>
      <c r="M446" s="143"/>
      <c r="N446" s="143"/>
      <c r="O446" s="44"/>
      <c r="P446" s="44"/>
      <c r="Q446" s="45"/>
      <c r="R446" s="147"/>
      <c r="S446" s="147"/>
      <c r="T446" s="147"/>
      <c r="U446" s="148"/>
      <c r="V446" s="149"/>
      <c r="W446" s="150"/>
      <c r="X446" s="151"/>
      <c r="Y446" s="44"/>
      <c r="Z446" s="44"/>
      <c r="AA446" s="152"/>
      <c r="AB446" s="152"/>
      <c r="AC446" s="152"/>
      <c r="AD446" s="152"/>
      <c r="AE446" s="152"/>
      <c r="AF446" s="152"/>
      <c r="AG446" s="152"/>
      <c r="AH446" s="44"/>
      <c r="AI446" s="44"/>
      <c r="AJ446" s="44"/>
      <c r="AK446" s="44"/>
      <c r="AL446" s="44"/>
      <c r="AM446" s="44"/>
      <c r="AN446" s="44"/>
    </row>
    <row r="447" spans="1:40">
      <c r="A447" s="44"/>
      <c r="B447" s="44"/>
      <c r="C447" s="44"/>
      <c r="D447" s="44"/>
      <c r="E447" s="44"/>
      <c r="F447" s="43"/>
      <c r="G447" s="44"/>
      <c r="H447" s="45"/>
      <c r="I447" s="44"/>
      <c r="J447" s="44"/>
      <c r="K447" s="143"/>
      <c r="L447" s="144"/>
      <c r="M447" s="143"/>
      <c r="N447" s="143"/>
      <c r="O447" s="44"/>
      <c r="P447" s="44"/>
      <c r="Q447" s="45"/>
      <c r="R447" s="147"/>
      <c r="S447" s="147"/>
      <c r="T447" s="147"/>
      <c r="U447" s="148"/>
      <c r="V447" s="149"/>
      <c r="W447" s="150"/>
      <c r="X447" s="151"/>
      <c r="Y447" s="44"/>
      <c r="Z447" s="44"/>
      <c r="AA447" s="152"/>
      <c r="AB447" s="152"/>
      <c r="AC447" s="152"/>
      <c r="AD447" s="152"/>
      <c r="AE447" s="152"/>
      <c r="AF447" s="152"/>
      <c r="AG447" s="152"/>
      <c r="AH447" s="44"/>
      <c r="AI447" s="44"/>
      <c r="AJ447" s="44"/>
      <c r="AK447" s="44"/>
      <c r="AL447" s="44"/>
      <c r="AM447" s="44"/>
      <c r="AN447" s="44"/>
    </row>
    <row r="448" spans="1:40">
      <c r="A448" s="44"/>
      <c r="B448" s="44"/>
      <c r="C448" s="44"/>
      <c r="D448" s="44"/>
      <c r="E448" s="44"/>
      <c r="F448" s="43"/>
      <c r="G448" s="44"/>
      <c r="H448" s="45"/>
      <c r="I448" s="44"/>
      <c r="J448" s="44"/>
      <c r="K448" s="143"/>
      <c r="L448" s="144"/>
      <c r="M448" s="143"/>
      <c r="N448" s="143"/>
      <c r="O448" s="44"/>
      <c r="P448" s="44"/>
      <c r="Q448" s="45"/>
      <c r="R448" s="147"/>
      <c r="S448" s="147"/>
      <c r="T448" s="147"/>
      <c r="U448" s="148"/>
      <c r="V448" s="149"/>
      <c r="W448" s="150"/>
      <c r="X448" s="151"/>
      <c r="Y448" s="44"/>
      <c r="Z448" s="44"/>
      <c r="AA448" s="152"/>
      <c r="AB448" s="152"/>
      <c r="AC448" s="152"/>
      <c r="AD448" s="152"/>
      <c r="AE448" s="152"/>
      <c r="AF448" s="152"/>
      <c r="AG448" s="152"/>
      <c r="AH448" s="44"/>
      <c r="AI448" s="44"/>
      <c r="AJ448" s="44"/>
      <c r="AK448" s="44"/>
      <c r="AL448" s="44"/>
      <c r="AM448" s="44"/>
      <c r="AN448" s="44"/>
    </row>
    <row r="449" spans="1:40">
      <c r="A449" s="44"/>
      <c r="B449" s="44"/>
      <c r="C449" s="44"/>
      <c r="D449" s="44"/>
      <c r="E449" s="44"/>
      <c r="F449" s="43"/>
      <c r="G449" s="44"/>
      <c r="H449" s="45"/>
      <c r="I449" s="44"/>
      <c r="J449" s="44"/>
      <c r="K449" s="143"/>
      <c r="L449" s="144"/>
      <c r="M449" s="143"/>
      <c r="N449" s="143"/>
      <c r="O449" s="44"/>
      <c r="P449" s="44"/>
      <c r="Q449" s="45"/>
      <c r="R449" s="147"/>
      <c r="S449" s="147"/>
      <c r="T449" s="147"/>
      <c r="U449" s="148"/>
      <c r="V449" s="149"/>
      <c r="W449" s="150"/>
      <c r="X449" s="151"/>
      <c r="Y449" s="44"/>
      <c r="Z449" s="44"/>
      <c r="AA449" s="152"/>
      <c r="AB449" s="152"/>
      <c r="AC449" s="152"/>
      <c r="AD449" s="152"/>
      <c r="AE449" s="152"/>
      <c r="AF449" s="152"/>
      <c r="AG449" s="152"/>
      <c r="AH449" s="44"/>
      <c r="AI449" s="44"/>
      <c r="AJ449" s="44"/>
      <c r="AK449" s="44"/>
      <c r="AL449" s="44"/>
      <c r="AM449" s="44"/>
      <c r="AN449" s="44"/>
    </row>
    <row r="450" spans="1:40">
      <c r="A450" s="44"/>
      <c r="B450" s="44"/>
      <c r="C450" s="44"/>
      <c r="D450" s="44"/>
      <c r="E450" s="44"/>
      <c r="F450" s="43"/>
      <c r="G450" s="44"/>
      <c r="H450" s="45"/>
      <c r="I450" s="44"/>
      <c r="J450" s="44"/>
      <c r="K450" s="143"/>
      <c r="L450" s="144"/>
      <c r="M450" s="143"/>
      <c r="N450" s="143"/>
      <c r="O450" s="44"/>
      <c r="P450" s="44"/>
      <c r="Q450" s="45"/>
      <c r="R450" s="147"/>
      <c r="S450" s="147"/>
      <c r="T450" s="147"/>
      <c r="U450" s="148"/>
      <c r="V450" s="149"/>
      <c r="W450" s="150"/>
      <c r="X450" s="151"/>
      <c r="Y450" s="44"/>
      <c r="Z450" s="44"/>
      <c r="AA450" s="152"/>
      <c r="AB450" s="152"/>
      <c r="AC450" s="152"/>
      <c r="AD450" s="152"/>
      <c r="AE450" s="152"/>
      <c r="AF450" s="152"/>
      <c r="AG450" s="152"/>
      <c r="AH450" s="44"/>
      <c r="AI450" s="44"/>
      <c r="AJ450" s="44"/>
      <c r="AK450" s="44"/>
      <c r="AL450" s="44"/>
      <c r="AM450" s="44"/>
      <c r="AN450" s="44"/>
    </row>
    <row r="451" spans="1:40">
      <c r="A451" s="44"/>
      <c r="B451" s="44"/>
      <c r="C451" s="44"/>
      <c r="D451" s="44"/>
      <c r="E451" s="44"/>
      <c r="F451" s="43"/>
      <c r="G451" s="44"/>
      <c r="H451" s="45"/>
      <c r="I451" s="44"/>
      <c r="J451" s="44"/>
      <c r="K451" s="143"/>
      <c r="L451" s="144"/>
      <c r="M451" s="143"/>
      <c r="N451" s="143"/>
      <c r="O451" s="44"/>
      <c r="P451" s="44"/>
      <c r="Q451" s="45"/>
      <c r="R451" s="147"/>
      <c r="S451" s="147"/>
      <c r="T451" s="147"/>
      <c r="U451" s="148"/>
      <c r="V451" s="149"/>
      <c r="W451" s="150"/>
      <c r="X451" s="151"/>
      <c r="Y451" s="44"/>
      <c r="Z451" s="44"/>
      <c r="AA451" s="152"/>
      <c r="AB451" s="152"/>
      <c r="AC451" s="152"/>
      <c r="AD451" s="152"/>
      <c r="AE451" s="152"/>
      <c r="AF451" s="152"/>
      <c r="AG451" s="152"/>
      <c r="AH451" s="44"/>
      <c r="AI451" s="44"/>
      <c r="AJ451" s="44"/>
      <c r="AK451" s="44"/>
      <c r="AL451" s="44"/>
      <c r="AM451" s="44"/>
      <c r="AN451" s="44"/>
    </row>
    <row r="452" spans="1:40">
      <c r="A452" s="44"/>
      <c r="B452" s="44"/>
      <c r="C452" s="44"/>
      <c r="D452" s="44"/>
      <c r="E452" s="44"/>
      <c r="F452" s="43"/>
      <c r="G452" s="44"/>
      <c r="H452" s="45"/>
      <c r="I452" s="44"/>
      <c r="J452" s="44"/>
      <c r="K452" s="143"/>
      <c r="L452" s="144"/>
      <c r="M452" s="143"/>
      <c r="N452" s="143"/>
      <c r="O452" s="44"/>
      <c r="P452" s="44"/>
      <c r="Q452" s="45"/>
      <c r="R452" s="147"/>
      <c r="S452" s="147"/>
      <c r="T452" s="147"/>
      <c r="U452" s="148"/>
      <c r="V452" s="149"/>
      <c r="W452" s="150"/>
      <c r="X452" s="151"/>
      <c r="Y452" s="44"/>
      <c r="Z452" s="44"/>
      <c r="AA452" s="152"/>
      <c r="AB452" s="152"/>
      <c r="AC452" s="152"/>
      <c r="AD452" s="152"/>
      <c r="AE452" s="152"/>
      <c r="AF452" s="152"/>
      <c r="AG452" s="152"/>
      <c r="AH452" s="44"/>
      <c r="AI452" s="44"/>
      <c r="AJ452" s="44"/>
      <c r="AK452" s="44"/>
      <c r="AL452" s="44"/>
      <c r="AM452" s="44"/>
      <c r="AN452" s="44"/>
    </row>
    <row r="453" spans="1:40">
      <c r="A453" s="44"/>
      <c r="B453" s="44"/>
      <c r="C453" s="44"/>
      <c r="D453" s="44"/>
      <c r="E453" s="44"/>
      <c r="F453" s="43"/>
      <c r="G453" s="44"/>
      <c r="H453" s="45"/>
      <c r="I453" s="44"/>
      <c r="J453" s="44"/>
      <c r="K453" s="143"/>
      <c r="L453" s="144"/>
      <c r="M453" s="143"/>
      <c r="N453" s="143"/>
      <c r="O453" s="44"/>
      <c r="P453" s="44"/>
      <c r="Q453" s="45"/>
      <c r="R453" s="147"/>
      <c r="S453" s="147"/>
      <c r="T453" s="147"/>
      <c r="U453" s="148"/>
      <c r="V453" s="149"/>
      <c r="W453" s="150"/>
      <c r="X453" s="151"/>
      <c r="Y453" s="44"/>
      <c r="Z453" s="44"/>
      <c r="AA453" s="152"/>
      <c r="AB453" s="152"/>
      <c r="AC453" s="152"/>
      <c r="AD453" s="152"/>
      <c r="AE453" s="152"/>
      <c r="AF453" s="152"/>
      <c r="AG453" s="152"/>
      <c r="AH453" s="44"/>
      <c r="AI453" s="44"/>
      <c r="AJ453" s="44"/>
      <c r="AK453" s="44"/>
      <c r="AL453" s="44"/>
      <c r="AM453" s="44"/>
      <c r="AN453" s="44"/>
    </row>
    <row r="454" spans="1:40">
      <c r="A454" s="44"/>
      <c r="B454" s="44"/>
      <c r="C454" s="44"/>
      <c r="D454" s="44"/>
      <c r="E454" s="44"/>
      <c r="F454" s="43"/>
      <c r="G454" s="44"/>
      <c r="H454" s="45"/>
      <c r="I454" s="44"/>
      <c r="J454" s="44"/>
      <c r="K454" s="143"/>
      <c r="L454" s="144"/>
      <c r="M454" s="143"/>
      <c r="N454" s="143"/>
      <c r="O454" s="44"/>
      <c r="P454" s="44"/>
      <c r="Q454" s="45"/>
      <c r="R454" s="147"/>
      <c r="S454" s="147"/>
      <c r="T454" s="147"/>
      <c r="U454" s="148"/>
      <c r="V454" s="149"/>
      <c r="W454" s="150"/>
      <c r="X454" s="151"/>
      <c r="Y454" s="44"/>
      <c r="Z454" s="44"/>
      <c r="AA454" s="152"/>
      <c r="AB454" s="152"/>
      <c r="AC454" s="152"/>
      <c r="AD454" s="152"/>
      <c r="AE454" s="152"/>
      <c r="AF454" s="152"/>
      <c r="AG454" s="152"/>
      <c r="AH454" s="44"/>
      <c r="AI454" s="44"/>
      <c r="AJ454" s="44"/>
      <c r="AK454" s="44"/>
      <c r="AL454" s="44"/>
      <c r="AM454" s="44"/>
      <c r="AN454" s="44"/>
    </row>
    <row r="455" spans="1:40">
      <c r="A455" s="44"/>
      <c r="B455" s="44"/>
      <c r="C455" s="44"/>
      <c r="D455" s="44"/>
      <c r="E455" s="44"/>
      <c r="F455" s="43"/>
      <c r="G455" s="44"/>
      <c r="H455" s="45"/>
      <c r="I455" s="44"/>
      <c r="J455" s="44"/>
      <c r="K455" s="143"/>
      <c r="L455" s="144"/>
      <c r="M455" s="143"/>
      <c r="N455" s="143"/>
      <c r="O455" s="44"/>
      <c r="P455" s="44"/>
      <c r="Q455" s="45"/>
      <c r="R455" s="147"/>
      <c r="S455" s="147"/>
      <c r="T455" s="147"/>
      <c r="U455" s="148"/>
      <c r="V455" s="149"/>
      <c r="W455" s="150"/>
      <c r="X455" s="151"/>
      <c r="Y455" s="44"/>
      <c r="Z455" s="44"/>
      <c r="AA455" s="152"/>
      <c r="AB455" s="152"/>
      <c r="AC455" s="152"/>
      <c r="AD455" s="152"/>
      <c r="AE455" s="152"/>
      <c r="AF455" s="152"/>
      <c r="AG455" s="152"/>
      <c r="AH455" s="44"/>
      <c r="AI455" s="44"/>
      <c r="AJ455" s="44"/>
      <c r="AK455" s="44"/>
      <c r="AL455" s="44"/>
      <c r="AM455" s="44"/>
      <c r="AN455" s="44"/>
    </row>
    <row r="456" spans="1:40">
      <c r="A456" s="44"/>
      <c r="B456" s="44"/>
      <c r="C456" s="44"/>
      <c r="D456" s="44"/>
      <c r="E456" s="44"/>
      <c r="F456" s="43"/>
      <c r="G456" s="44"/>
      <c r="H456" s="45"/>
      <c r="I456" s="44"/>
      <c r="J456" s="44"/>
      <c r="K456" s="143"/>
      <c r="L456" s="144"/>
      <c r="M456" s="143"/>
      <c r="N456" s="143"/>
      <c r="O456" s="44"/>
      <c r="P456" s="44"/>
      <c r="Q456" s="45"/>
      <c r="R456" s="147"/>
      <c r="S456" s="147"/>
      <c r="T456" s="147"/>
      <c r="U456" s="148"/>
      <c r="V456" s="149"/>
      <c r="W456" s="150"/>
      <c r="X456" s="151"/>
      <c r="Y456" s="44"/>
      <c r="Z456" s="44"/>
      <c r="AA456" s="152"/>
      <c r="AB456" s="152"/>
      <c r="AC456" s="152"/>
      <c r="AD456" s="152"/>
      <c r="AE456" s="152"/>
      <c r="AF456" s="152"/>
      <c r="AG456" s="152"/>
      <c r="AH456" s="44"/>
      <c r="AI456" s="44"/>
      <c r="AJ456" s="44"/>
      <c r="AK456" s="44"/>
      <c r="AL456" s="44"/>
      <c r="AM456" s="44"/>
      <c r="AN456" s="44"/>
    </row>
    <row r="457" spans="1:40">
      <c r="A457" s="44"/>
      <c r="B457" s="44"/>
      <c r="C457" s="44"/>
      <c r="D457" s="44"/>
      <c r="E457" s="44"/>
      <c r="F457" s="43"/>
      <c r="G457" s="44"/>
      <c r="H457" s="45"/>
      <c r="I457" s="44"/>
      <c r="J457" s="44"/>
      <c r="K457" s="143"/>
      <c r="L457" s="144"/>
      <c r="M457" s="143"/>
      <c r="N457" s="143"/>
      <c r="O457" s="44"/>
      <c r="P457" s="44"/>
      <c r="Q457" s="45"/>
      <c r="R457" s="147"/>
      <c r="S457" s="147"/>
      <c r="T457" s="147"/>
      <c r="U457" s="148"/>
      <c r="V457" s="149"/>
      <c r="W457" s="150"/>
      <c r="X457" s="151"/>
      <c r="Y457" s="44"/>
      <c r="Z457" s="44"/>
      <c r="AA457" s="152"/>
      <c r="AB457" s="152"/>
      <c r="AC457" s="152"/>
      <c r="AD457" s="152"/>
      <c r="AE457" s="152"/>
      <c r="AF457" s="152"/>
      <c r="AG457" s="152"/>
      <c r="AH457" s="44"/>
      <c r="AI457" s="44"/>
      <c r="AJ457" s="44"/>
      <c r="AK457" s="44"/>
      <c r="AL457" s="44"/>
      <c r="AM457" s="44"/>
      <c r="AN457" s="44"/>
    </row>
    <row r="458" spans="1:40">
      <c r="A458" s="44"/>
      <c r="B458" s="44"/>
      <c r="C458" s="44"/>
      <c r="D458" s="44"/>
      <c r="E458" s="44"/>
      <c r="F458" s="43"/>
      <c r="G458" s="44"/>
      <c r="H458" s="45"/>
      <c r="I458" s="44"/>
      <c r="J458" s="44"/>
      <c r="K458" s="143"/>
      <c r="L458" s="144"/>
      <c r="M458" s="143"/>
      <c r="N458" s="143"/>
      <c r="O458" s="44"/>
      <c r="P458" s="44"/>
      <c r="Q458" s="45"/>
      <c r="R458" s="147"/>
      <c r="S458" s="147"/>
      <c r="T458" s="147"/>
      <c r="U458" s="148"/>
      <c r="V458" s="149"/>
      <c r="W458" s="150"/>
      <c r="X458" s="151"/>
      <c r="Y458" s="44"/>
      <c r="Z458" s="44"/>
      <c r="AA458" s="152"/>
      <c r="AB458" s="152"/>
      <c r="AC458" s="152"/>
      <c r="AD458" s="152"/>
      <c r="AE458" s="152"/>
      <c r="AF458" s="152"/>
      <c r="AG458" s="152"/>
      <c r="AH458" s="44"/>
      <c r="AI458" s="44"/>
      <c r="AJ458" s="44"/>
      <c r="AK458" s="44"/>
      <c r="AL458" s="44"/>
      <c r="AM458" s="44"/>
      <c r="AN458" s="44"/>
    </row>
    <row r="459" spans="1:40">
      <c r="A459" s="44"/>
      <c r="B459" s="44"/>
      <c r="C459" s="44"/>
      <c r="D459" s="44"/>
      <c r="E459" s="44"/>
      <c r="F459" s="43"/>
      <c r="G459" s="44"/>
      <c r="H459" s="45"/>
      <c r="I459" s="44"/>
      <c r="J459" s="44"/>
      <c r="K459" s="143"/>
      <c r="L459" s="144"/>
      <c r="M459" s="143"/>
      <c r="N459" s="143"/>
      <c r="O459" s="44"/>
      <c r="P459" s="44"/>
      <c r="Q459" s="45"/>
      <c r="R459" s="147"/>
      <c r="S459" s="147"/>
      <c r="T459" s="147"/>
      <c r="U459" s="148"/>
      <c r="V459" s="149"/>
      <c r="W459" s="150"/>
      <c r="X459" s="151"/>
      <c r="Y459" s="44"/>
      <c r="Z459" s="44"/>
      <c r="AA459" s="152"/>
      <c r="AB459" s="152"/>
      <c r="AC459" s="152"/>
      <c r="AD459" s="152"/>
      <c r="AE459" s="152"/>
      <c r="AF459" s="152"/>
      <c r="AG459" s="152"/>
      <c r="AH459" s="44"/>
      <c r="AI459" s="44"/>
      <c r="AJ459" s="44"/>
      <c r="AK459" s="44"/>
      <c r="AL459" s="44"/>
      <c r="AM459" s="44"/>
      <c r="AN459" s="44"/>
    </row>
    <row r="460" spans="1:40">
      <c r="A460" s="44"/>
      <c r="B460" s="44"/>
      <c r="C460" s="44"/>
      <c r="D460" s="44"/>
      <c r="E460" s="44"/>
      <c r="F460" s="43"/>
      <c r="G460" s="44"/>
      <c r="H460" s="45"/>
      <c r="I460" s="44"/>
      <c r="J460" s="44"/>
      <c r="K460" s="143"/>
      <c r="L460" s="144"/>
      <c r="M460" s="143"/>
      <c r="N460" s="143"/>
      <c r="O460" s="44"/>
      <c r="P460" s="44"/>
      <c r="Q460" s="45"/>
      <c r="R460" s="147"/>
      <c r="S460" s="147"/>
      <c r="T460" s="147"/>
      <c r="U460" s="148"/>
      <c r="V460" s="149"/>
      <c r="W460" s="150"/>
      <c r="X460" s="151"/>
      <c r="Y460" s="44"/>
      <c r="Z460" s="44"/>
      <c r="AA460" s="152"/>
      <c r="AB460" s="152"/>
      <c r="AC460" s="152"/>
      <c r="AD460" s="152"/>
      <c r="AE460" s="152"/>
      <c r="AF460" s="152"/>
      <c r="AG460" s="152"/>
      <c r="AH460" s="44"/>
      <c r="AI460" s="44"/>
      <c r="AJ460" s="44"/>
      <c r="AK460" s="44"/>
      <c r="AL460" s="44"/>
      <c r="AM460" s="44"/>
      <c r="AN460" s="44"/>
    </row>
    <row r="461" spans="1:40">
      <c r="A461" s="44"/>
      <c r="B461" s="44"/>
      <c r="C461" s="44"/>
      <c r="D461" s="44"/>
      <c r="E461" s="44"/>
      <c r="F461" s="43"/>
      <c r="G461" s="44"/>
      <c r="H461" s="45"/>
      <c r="I461" s="44"/>
      <c r="J461" s="44"/>
      <c r="K461" s="143"/>
      <c r="L461" s="144"/>
      <c r="M461" s="143"/>
      <c r="N461" s="143"/>
      <c r="O461" s="44"/>
      <c r="P461" s="44"/>
      <c r="Q461" s="45"/>
      <c r="R461" s="147"/>
      <c r="S461" s="147"/>
      <c r="T461" s="147"/>
      <c r="U461" s="148"/>
      <c r="V461" s="149"/>
      <c r="W461" s="150"/>
      <c r="X461" s="151"/>
      <c r="Y461" s="44"/>
      <c r="Z461" s="44"/>
      <c r="AA461" s="152"/>
      <c r="AB461" s="152"/>
      <c r="AC461" s="152"/>
      <c r="AD461" s="152"/>
      <c r="AE461" s="152"/>
      <c r="AF461" s="152"/>
      <c r="AG461" s="152"/>
      <c r="AH461" s="44"/>
      <c r="AI461" s="44"/>
      <c r="AJ461" s="44"/>
      <c r="AK461" s="44"/>
      <c r="AL461" s="44"/>
      <c r="AM461" s="44"/>
      <c r="AN461" s="44"/>
    </row>
    <row r="462" spans="1:40">
      <c r="A462" s="44"/>
      <c r="B462" s="44"/>
      <c r="C462" s="44"/>
      <c r="D462" s="44"/>
      <c r="E462" s="44"/>
      <c r="F462" s="43"/>
      <c r="G462" s="44"/>
      <c r="H462" s="45"/>
      <c r="I462" s="44"/>
      <c r="J462" s="44"/>
      <c r="K462" s="143"/>
      <c r="L462" s="144"/>
      <c r="M462" s="143"/>
      <c r="N462" s="143"/>
      <c r="O462" s="44"/>
      <c r="P462" s="44"/>
      <c r="Q462" s="45"/>
      <c r="R462" s="147"/>
      <c r="S462" s="147"/>
      <c r="T462" s="147"/>
      <c r="U462" s="148"/>
      <c r="V462" s="149"/>
      <c r="W462" s="150"/>
      <c r="X462" s="151"/>
      <c r="Y462" s="44"/>
      <c r="Z462" s="44"/>
      <c r="AA462" s="152"/>
      <c r="AB462" s="152"/>
      <c r="AC462" s="152"/>
      <c r="AD462" s="152"/>
      <c r="AE462" s="152"/>
      <c r="AF462" s="152"/>
      <c r="AG462" s="152"/>
      <c r="AH462" s="44"/>
      <c r="AI462" s="44"/>
      <c r="AJ462" s="44"/>
      <c r="AK462" s="44"/>
      <c r="AL462" s="44"/>
      <c r="AM462" s="44"/>
      <c r="AN462" s="44"/>
    </row>
    <row r="463" spans="1:40">
      <c r="A463" s="44"/>
      <c r="B463" s="44"/>
      <c r="C463" s="44"/>
      <c r="D463" s="44"/>
      <c r="E463" s="44"/>
      <c r="F463" s="43"/>
      <c r="G463" s="44"/>
      <c r="H463" s="45"/>
      <c r="I463" s="44"/>
      <c r="J463" s="44"/>
      <c r="K463" s="143"/>
      <c r="L463" s="144"/>
      <c r="M463" s="143"/>
      <c r="N463" s="143"/>
      <c r="O463" s="44"/>
      <c r="P463" s="44"/>
      <c r="Q463" s="45"/>
      <c r="R463" s="147"/>
      <c r="S463" s="147"/>
      <c r="T463" s="147"/>
      <c r="U463" s="148"/>
      <c r="V463" s="149"/>
      <c r="W463" s="150"/>
      <c r="X463" s="151"/>
      <c r="Y463" s="44"/>
      <c r="Z463" s="44"/>
      <c r="AA463" s="152"/>
      <c r="AB463" s="152"/>
      <c r="AC463" s="152"/>
      <c r="AD463" s="152"/>
      <c r="AE463" s="152"/>
      <c r="AF463" s="152"/>
      <c r="AG463" s="152"/>
      <c r="AH463" s="44"/>
      <c r="AI463" s="44"/>
      <c r="AJ463" s="44"/>
      <c r="AK463" s="44"/>
      <c r="AL463" s="44"/>
      <c r="AM463" s="44"/>
      <c r="AN463" s="44"/>
    </row>
    <row r="464" spans="1:40">
      <c r="A464" s="44"/>
      <c r="B464" s="44"/>
      <c r="C464" s="44"/>
      <c r="D464" s="44"/>
      <c r="E464" s="44"/>
      <c r="F464" s="43"/>
      <c r="G464" s="44"/>
      <c r="H464" s="45"/>
      <c r="I464" s="44"/>
      <c r="J464" s="44"/>
      <c r="K464" s="143"/>
      <c r="L464" s="144"/>
      <c r="M464" s="143"/>
      <c r="N464" s="143"/>
      <c r="O464" s="44"/>
      <c r="P464" s="44"/>
      <c r="Q464" s="45"/>
      <c r="R464" s="147"/>
      <c r="S464" s="147"/>
      <c r="T464" s="147"/>
      <c r="U464" s="148"/>
      <c r="V464" s="149"/>
      <c r="W464" s="150"/>
      <c r="X464" s="151"/>
      <c r="Y464" s="44"/>
      <c r="Z464" s="44"/>
      <c r="AA464" s="152"/>
      <c r="AB464" s="152"/>
      <c r="AC464" s="152"/>
      <c r="AD464" s="152"/>
      <c r="AE464" s="152"/>
      <c r="AF464" s="152"/>
      <c r="AG464" s="152"/>
      <c r="AH464" s="44"/>
      <c r="AI464" s="44"/>
      <c r="AJ464" s="44"/>
      <c r="AK464" s="44"/>
      <c r="AL464" s="44"/>
      <c r="AM464" s="44"/>
      <c r="AN464" s="44"/>
    </row>
    <row r="465" spans="1:40">
      <c r="A465" s="44"/>
      <c r="B465" s="44"/>
      <c r="C465" s="44"/>
      <c r="D465" s="44"/>
      <c r="E465" s="44"/>
      <c r="F465" s="43"/>
      <c r="G465" s="44"/>
      <c r="H465" s="45"/>
      <c r="I465" s="44"/>
      <c r="J465" s="44"/>
      <c r="K465" s="143"/>
      <c r="L465" s="144"/>
      <c r="M465" s="143"/>
      <c r="N465" s="143"/>
      <c r="O465" s="44"/>
      <c r="P465" s="44"/>
      <c r="Q465" s="45"/>
      <c r="R465" s="147"/>
      <c r="S465" s="147"/>
      <c r="T465" s="147"/>
      <c r="U465" s="148"/>
      <c r="V465" s="149"/>
      <c r="W465" s="150"/>
      <c r="X465" s="151"/>
      <c r="Y465" s="44"/>
      <c r="Z465" s="44"/>
      <c r="AA465" s="152"/>
      <c r="AB465" s="152"/>
      <c r="AC465" s="152"/>
      <c r="AD465" s="152"/>
      <c r="AE465" s="152"/>
      <c r="AF465" s="152"/>
      <c r="AG465" s="152"/>
      <c r="AH465" s="44"/>
      <c r="AI465" s="44"/>
      <c r="AJ465" s="44"/>
      <c r="AK465" s="44"/>
      <c r="AL465" s="44"/>
      <c r="AM465" s="44"/>
      <c r="AN465" s="44"/>
    </row>
    <row r="466" spans="1:40">
      <c r="A466" s="44"/>
      <c r="B466" s="44"/>
      <c r="C466" s="44"/>
      <c r="D466" s="44"/>
      <c r="E466" s="44"/>
      <c r="F466" s="43"/>
      <c r="G466" s="44"/>
      <c r="H466" s="45"/>
      <c r="I466" s="44"/>
      <c r="J466" s="44"/>
      <c r="K466" s="143"/>
      <c r="L466" s="144"/>
      <c r="M466" s="143"/>
      <c r="N466" s="143"/>
      <c r="O466" s="44"/>
      <c r="P466" s="44"/>
      <c r="Q466" s="45"/>
      <c r="R466" s="147"/>
      <c r="S466" s="147"/>
      <c r="T466" s="147"/>
      <c r="U466" s="148"/>
      <c r="V466" s="149"/>
      <c r="W466" s="150"/>
      <c r="X466" s="151"/>
      <c r="Y466" s="44"/>
      <c r="Z466" s="44"/>
      <c r="AA466" s="152"/>
      <c r="AB466" s="152"/>
      <c r="AC466" s="152"/>
      <c r="AD466" s="152"/>
      <c r="AE466" s="152"/>
      <c r="AF466" s="152"/>
      <c r="AG466" s="152"/>
      <c r="AH466" s="44"/>
      <c r="AI466" s="44"/>
      <c r="AJ466" s="44"/>
      <c r="AK466" s="44"/>
      <c r="AL466" s="44"/>
      <c r="AM466" s="44"/>
      <c r="AN466" s="44"/>
    </row>
    <row r="467" spans="1:40">
      <c r="A467" s="44"/>
      <c r="B467" s="44"/>
      <c r="C467" s="44"/>
      <c r="D467" s="44"/>
      <c r="E467" s="44"/>
      <c r="F467" s="43"/>
      <c r="G467" s="44"/>
      <c r="H467" s="45"/>
      <c r="I467" s="44"/>
      <c r="J467" s="44"/>
      <c r="K467" s="143"/>
      <c r="L467" s="144"/>
      <c r="M467" s="143"/>
      <c r="N467" s="143"/>
      <c r="O467" s="44"/>
      <c r="P467" s="44"/>
      <c r="Q467" s="45"/>
      <c r="R467" s="147"/>
      <c r="S467" s="147"/>
      <c r="T467" s="147"/>
      <c r="U467" s="148"/>
      <c r="V467" s="149"/>
      <c r="W467" s="150"/>
      <c r="X467" s="151"/>
      <c r="Y467" s="44"/>
      <c r="Z467" s="44"/>
      <c r="AA467" s="152"/>
      <c r="AB467" s="152"/>
      <c r="AC467" s="152"/>
      <c r="AD467" s="152"/>
      <c r="AE467" s="152"/>
      <c r="AF467" s="152"/>
      <c r="AG467" s="152"/>
      <c r="AH467" s="44"/>
      <c r="AI467" s="44"/>
      <c r="AJ467" s="44"/>
      <c r="AK467" s="44"/>
      <c r="AL467" s="44"/>
      <c r="AM467" s="44"/>
      <c r="AN467" s="44"/>
    </row>
    <row r="468" spans="1:40">
      <c r="A468" s="44"/>
      <c r="B468" s="44"/>
      <c r="C468" s="44"/>
      <c r="D468" s="44"/>
      <c r="E468" s="44"/>
      <c r="F468" s="43"/>
      <c r="G468" s="44"/>
      <c r="H468" s="45"/>
      <c r="I468" s="44"/>
      <c r="J468" s="44"/>
      <c r="K468" s="143"/>
      <c r="L468" s="144"/>
      <c r="M468" s="143"/>
      <c r="N468" s="143"/>
      <c r="O468" s="44"/>
      <c r="P468" s="44"/>
      <c r="Q468" s="45"/>
      <c r="R468" s="147"/>
      <c r="S468" s="147"/>
      <c r="T468" s="147"/>
      <c r="U468" s="148"/>
      <c r="V468" s="149"/>
      <c r="W468" s="150"/>
      <c r="X468" s="151"/>
      <c r="Y468" s="44"/>
      <c r="Z468" s="44"/>
      <c r="AA468" s="152"/>
      <c r="AB468" s="152"/>
      <c r="AC468" s="152"/>
      <c r="AD468" s="152"/>
      <c r="AE468" s="152"/>
      <c r="AF468" s="152"/>
      <c r="AG468" s="152"/>
      <c r="AH468" s="44"/>
      <c r="AI468" s="44"/>
      <c r="AJ468" s="44"/>
      <c r="AK468" s="44"/>
      <c r="AL468" s="44"/>
      <c r="AM468" s="44"/>
      <c r="AN468" s="44"/>
    </row>
    <row r="469" spans="1:40">
      <c r="A469" s="44"/>
      <c r="B469" s="44"/>
      <c r="C469" s="44"/>
      <c r="D469" s="44"/>
      <c r="E469" s="44"/>
      <c r="F469" s="43"/>
      <c r="G469" s="44"/>
      <c r="H469" s="45"/>
      <c r="I469" s="44"/>
      <c r="J469" s="44"/>
      <c r="K469" s="143"/>
      <c r="L469" s="144"/>
      <c r="M469" s="143"/>
      <c r="N469" s="143"/>
      <c r="O469" s="44"/>
      <c r="P469" s="44"/>
      <c r="Q469" s="45"/>
      <c r="R469" s="147"/>
      <c r="S469" s="147"/>
      <c r="T469" s="147"/>
      <c r="U469" s="148"/>
      <c r="V469" s="149"/>
      <c r="W469" s="150"/>
      <c r="X469" s="151"/>
      <c r="Y469" s="44"/>
      <c r="Z469" s="44"/>
      <c r="AA469" s="152"/>
      <c r="AB469" s="152"/>
      <c r="AC469" s="152"/>
      <c r="AD469" s="152"/>
      <c r="AE469" s="152"/>
      <c r="AF469" s="152"/>
      <c r="AG469" s="152"/>
      <c r="AH469" s="44"/>
      <c r="AI469" s="44"/>
      <c r="AJ469" s="44"/>
      <c r="AK469" s="44"/>
      <c r="AL469" s="44"/>
      <c r="AM469" s="44"/>
      <c r="AN469" s="44"/>
    </row>
    <row r="470" spans="1:40">
      <c r="A470" s="44"/>
      <c r="B470" s="44"/>
      <c r="C470" s="44"/>
      <c r="D470" s="44"/>
      <c r="E470" s="44"/>
      <c r="F470" s="43"/>
      <c r="G470" s="44"/>
      <c r="H470" s="45"/>
      <c r="I470" s="44"/>
      <c r="J470" s="44"/>
      <c r="K470" s="143"/>
      <c r="L470" s="144"/>
      <c r="M470" s="143"/>
      <c r="N470" s="143"/>
      <c r="O470" s="44"/>
      <c r="P470" s="44"/>
      <c r="Q470" s="45"/>
      <c r="R470" s="147"/>
      <c r="S470" s="147"/>
      <c r="T470" s="147"/>
      <c r="U470" s="148"/>
      <c r="V470" s="149"/>
      <c r="W470" s="150"/>
      <c r="X470" s="151"/>
      <c r="Y470" s="44"/>
      <c r="Z470" s="44"/>
      <c r="AA470" s="152"/>
      <c r="AB470" s="152"/>
      <c r="AC470" s="152"/>
      <c r="AD470" s="152"/>
      <c r="AE470" s="152"/>
      <c r="AF470" s="152"/>
      <c r="AG470" s="152"/>
      <c r="AH470" s="44"/>
      <c r="AI470" s="44"/>
      <c r="AJ470" s="44"/>
      <c r="AK470" s="44"/>
      <c r="AL470" s="44"/>
      <c r="AM470" s="44"/>
      <c r="AN470" s="44"/>
    </row>
    <row r="471" spans="1:40">
      <c r="A471" s="44"/>
      <c r="B471" s="44"/>
      <c r="C471" s="44"/>
      <c r="D471" s="44"/>
      <c r="E471" s="44"/>
      <c r="F471" s="43"/>
      <c r="G471" s="44"/>
      <c r="H471" s="45"/>
      <c r="I471" s="44"/>
      <c r="J471" s="44"/>
      <c r="K471" s="143"/>
      <c r="L471" s="144"/>
      <c r="M471" s="143"/>
      <c r="N471" s="143"/>
      <c r="O471" s="44"/>
      <c r="P471" s="44"/>
      <c r="Q471" s="45"/>
      <c r="R471" s="147"/>
      <c r="S471" s="147"/>
      <c r="T471" s="147"/>
      <c r="U471" s="148"/>
      <c r="V471" s="149"/>
      <c r="W471" s="150"/>
      <c r="X471" s="151"/>
      <c r="Y471" s="44"/>
      <c r="Z471" s="44"/>
      <c r="AA471" s="152"/>
      <c r="AB471" s="152"/>
      <c r="AC471" s="152"/>
      <c r="AD471" s="152"/>
      <c r="AE471" s="152"/>
      <c r="AF471" s="152"/>
      <c r="AG471" s="152"/>
      <c r="AH471" s="44"/>
      <c r="AI471" s="44"/>
      <c r="AJ471" s="44"/>
      <c r="AK471" s="44"/>
      <c r="AL471" s="44"/>
      <c r="AM471" s="44"/>
      <c r="AN471" s="44"/>
    </row>
    <row r="472" spans="1:40">
      <c r="A472" s="44"/>
      <c r="B472" s="44"/>
      <c r="C472" s="44"/>
      <c r="D472" s="44"/>
      <c r="E472" s="44"/>
      <c r="F472" s="43"/>
      <c r="G472" s="44"/>
      <c r="H472" s="45"/>
      <c r="I472" s="44"/>
      <c r="J472" s="44"/>
      <c r="K472" s="143"/>
      <c r="L472" s="144"/>
      <c r="M472" s="143"/>
      <c r="N472" s="143"/>
      <c r="O472" s="44"/>
      <c r="P472" s="44"/>
      <c r="Q472" s="45"/>
      <c r="R472" s="147"/>
      <c r="S472" s="147"/>
      <c r="T472" s="147"/>
      <c r="U472" s="148"/>
      <c r="V472" s="149"/>
      <c r="W472" s="150"/>
      <c r="X472" s="151"/>
      <c r="Y472" s="44"/>
      <c r="Z472" s="44"/>
      <c r="AA472" s="152"/>
      <c r="AB472" s="152"/>
      <c r="AC472" s="152"/>
      <c r="AD472" s="152"/>
      <c r="AE472" s="152"/>
      <c r="AF472" s="152"/>
      <c r="AG472" s="152"/>
      <c r="AH472" s="44"/>
      <c r="AI472" s="44"/>
      <c r="AJ472" s="44"/>
      <c r="AK472" s="44"/>
      <c r="AL472" s="44"/>
      <c r="AM472" s="44"/>
      <c r="AN472" s="44"/>
    </row>
    <row r="473" spans="1:40">
      <c r="A473" s="44"/>
      <c r="B473" s="44"/>
      <c r="C473" s="44"/>
      <c r="D473" s="44"/>
      <c r="E473" s="44"/>
      <c r="F473" s="43"/>
      <c r="G473" s="44"/>
      <c r="H473" s="45"/>
      <c r="I473" s="44"/>
      <c r="J473" s="44"/>
      <c r="K473" s="143"/>
      <c r="L473" s="144"/>
      <c r="M473" s="143"/>
      <c r="N473" s="143"/>
      <c r="O473" s="44"/>
      <c r="P473" s="44"/>
      <c r="Q473" s="45"/>
      <c r="R473" s="147"/>
      <c r="S473" s="147"/>
      <c r="T473" s="147"/>
      <c r="U473" s="148"/>
      <c r="V473" s="149"/>
      <c r="W473" s="150"/>
      <c r="X473" s="151"/>
      <c r="Y473" s="44"/>
      <c r="Z473" s="44"/>
      <c r="AA473" s="152"/>
      <c r="AB473" s="152"/>
      <c r="AC473" s="152"/>
      <c r="AD473" s="152"/>
      <c r="AE473" s="152"/>
      <c r="AF473" s="152"/>
      <c r="AG473" s="152"/>
      <c r="AH473" s="44"/>
      <c r="AI473" s="44"/>
      <c r="AJ473" s="44"/>
      <c r="AK473" s="44"/>
      <c r="AL473" s="44"/>
      <c r="AM473" s="44"/>
      <c r="AN473" s="44"/>
    </row>
    <row r="474" spans="1:40">
      <c r="A474" s="44"/>
      <c r="B474" s="44"/>
      <c r="C474" s="44"/>
      <c r="D474" s="44"/>
      <c r="E474" s="44"/>
      <c r="F474" s="43"/>
      <c r="G474" s="44"/>
      <c r="H474" s="45"/>
      <c r="I474" s="44"/>
      <c r="J474" s="44"/>
      <c r="K474" s="143"/>
      <c r="L474" s="144"/>
      <c r="M474" s="143"/>
      <c r="N474" s="143"/>
      <c r="O474" s="44"/>
      <c r="P474" s="44"/>
      <c r="Q474" s="45"/>
      <c r="R474" s="147"/>
      <c r="S474" s="147"/>
      <c r="T474" s="147"/>
      <c r="U474" s="148"/>
      <c r="V474" s="149"/>
      <c r="W474" s="150"/>
      <c r="X474" s="151"/>
      <c r="Y474" s="44"/>
      <c r="Z474" s="44"/>
      <c r="AA474" s="152"/>
      <c r="AB474" s="152"/>
      <c r="AC474" s="152"/>
      <c r="AD474" s="152"/>
      <c r="AE474" s="152"/>
      <c r="AF474" s="152"/>
      <c r="AG474" s="152"/>
      <c r="AH474" s="44"/>
      <c r="AI474" s="44"/>
      <c r="AJ474" s="44"/>
      <c r="AK474" s="44"/>
      <c r="AL474" s="44"/>
      <c r="AM474" s="44"/>
      <c r="AN474" s="44"/>
    </row>
    <row r="475" spans="1:40">
      <c r="A475" s="44"/>
      <c r="B475" s="44"/>
      <c r="C475" s="44"/>
      <c r="D475" s="44"/>
      <c r="E475" s="44"/>
      <c r="F475" s="43"/>
      <c r="G475" s="44"/>
      <c r="H475" s="45"/>
      <c r="I475" s="44"/>
      <c r="J475" s="44"/>
      <c r="K475" s="143"/>
      <c r="L475" s="144"/>
      <c r="M475" s="143"/>
      <c r="N475" s="143"/>
      <c r="O475" s="44"/>
      <c r="P475" s="44"/>
      <c r="Q475" s="45"/>
      <c r="R475" s="147"/>
      <c r="S475" s="147"/>
      <c r="T475" s="147"/>
      <c r="U475" s="148"/>
      <c r="V475" s="149"/>
      <c r="W475" s="150"/>
      <c r="X475" s="151"/>
      <c r="Y475" s="44"/>
      <c r="Z475" s="44"/>
      <c r="AA475" s="152"/>
      <c r="AB475" s="152"/>
      <c r="AC475" s="152"/>
      <c r="AD475" s="152"/>
      <c r="AE475" s="152"/>
      <c r="AF475" s="152"/>
      <c r="AG475" s="152"/>
      <c r="AH475" s="44"/>
      <c r="AI475" s="44"/>
      <c r="AJ475" s="44"/>
      <c r="AK475" s="44"/>
      <c r="AL475" s="44"/>
      <c r="AM475" s="44"/>
      <c r="AN475" s="44"/>
    </row>
    <row r="476" spans="1:40">
      <c r="A476" s="44"/>
      <c r="B476" s="44"/>
      <c r="C476" s="44"/>
      <c r="D476" s="44"/>
      <c r="E476" s="44"/>
      <c r="F476" s="43"/>
      <c r="G476" s="44"/>
      <c r="H476" s="45"/>
      <c r="I476" s="44"/>
      <c r="J476" s="44"/>
      <c r="K476" s="143"/>
      <c r="L476" s="144"/>
      <c r="M476" s="143"/>
      <c r="N476" s="143"/>
      <c r="O476" s="44"/>
      <c r="P476" s="44"/>
      <c r="Q476" s="45"/>
      <c r="R476" s="147"/>
      <c r="S476" s="147"/>
      <c r="T476" s="147"/>
      <c r="U476" s="148"/>
      <c r="V476" s="149"/>
      <c r="W476" s="150"/>
      <c r="X476" s="151"/>
      <c r="Y476" s="44"/>
      <c r="Z476" s="44"/>
      <c r="AA476" s="152"/>
      <c r="AB476" s="152"/>
      <c r="AC476" s="152"/>
      <c r="AD476" s="152"/>
      <c r="AE476" s="152"/>
      <c r="AF476" s="152"/>
      <c r="AG476" s="152"/>
      <c r="AH476" s="44"/>
      <c r="AI476" s="44"/>
      <c r="AJ476" s="44"/>
      <c r="AK476" s="44"/>
      <c r="AL476" s="44"/>
      <c r="AM476" s="44"/>
      <c r="AN476" s="44"/>
    </row>
    <row r="477" spans="1:40">
      <c r="A477" s="44"/>
      <c r="B477" s="44"/>
      <c r="C477" s="44"/>
      <c r="D477" s="44"/>
      <c r="E477" s="44"/>
      <c r="F477" s="43"/>
      <c r="G477" s="44"/>
      <c r="H477" s="45"/>
      <c r="I477" s="44"/>
      <c r="J477" s="44"/>
      <c r="K477" s="143"/>
      <c r="L477" s="144"/>
      <c r="M477" s="143"/>
      <c r="N477" s="143"/>
      <c r="O477" s="44"/>
      <c r="P477" s="44"/>
      <c r="Q477" s="45"/>
      <c r="R477" s="147"/>
      <c r="S477" s="147"/>
      <c r="T477" s="147"/>
      <c r="U477" s="148"/>
      <c r="V477" s="149"/>
      <c r="W477" s="150"/>
      <c r="X477" s="151"/>
      <c r="Y477" s="44"/>
      <c r="Z477" s="44"/>
      <c r="AA477" s="152"/>
      <c r="AB477" s="152"/>
      <c r="AC477" s="152"/>
      <c r="AD477" s="152"/>
      <c r="AE477" s="152"/>
      <c r="AF477" s="152"/>
      <c r="AG477" s="152"/>
      <c r="AH477" s="44"/>
      <c r="AI477" s="44"/>
      <c r="AJ477" s="44"/>
      <c r="AK477" s="44"/>
      <c r="AL477" s="44"/>
      <c r="AM477" s="44"/>
      <c r="AN477" s="44"/>
    </row>
    <row r="478" spans="1:40">
      <c r="A478" s="44"/>
      <c r="B478" s="44"/>
      <c r="C478" s="44"/>
      <c r="D478" s="44"/>
      <c r="E478" s="44"/>
      <c r="F478" s="43"/>
      <c r="G478" s="44"/>
      <c r="H478" s="45"/>
      <c r="I478" s="44"/>
      <c r="J478" s="44"/>
      <c r="K478" s="143"/>
      <c r="L478" s="144"/>
      <c r="M478" s="143"/>
      <c r="N478" s="143"/>
      <c r="O478" s="44"/>
      <c r="P478" s="44"/>
      <c r="Q478" s="45"/>
      <c r="R478" s="147"/>
      <c r="S478" s="147"/>
      <c r="T478" s="147"/>
      <c r="U478" s="148"/>
      <c r="V478" s="149"/>
      <c r="W478" s="150"/>
      <c r="X478" s="151"/>
      <c r="Y478" s="44"/>
      <c r="Z478" s="44"/>
      <c r="AA478" s="152"/>
      <c r="AB478" s="152"/>
      <c r="AC478" s="152"/>
      <c r="AD478" s="152"/>
      <c r="AE478" s="152"/>
      <c r="AF478" s="152"/>
      <c r="AG478" s="152"/>
      <c r="AH478" s="44"/>
      <c r="AI478" s="44"/>
      <c r="AJ478" s="44"/>
      <c r="AK478" s="44"/>
      <c r="AL478" s="44"/>
      <c r="AM478" s="44"/>
      <c r="AN478" s="44"/>
    </row>
    <row r="479" spans="1:40">
      <c r="A479" s="44"/>
      <c r="B479" s="44"/>
      <c r="C479" s="44"/>
      <c r="D479" s="44"/>
      <c r="E479" s="44"/>
      <c r="F479" s="43"/>
      <c r="G479" s="44"/>
      <c r="H479" s="45"/>
      <c r="I479" s="44"/>
      <c r="J479" s="44"/>
      <c r="K479" s="143"/>
      <c r="L479" s="144"/>
      <c r="M479" s="143"/>
      <c r="N479" s="143"/>
      <c r="O479" s="44"/>
      <c r="P479" s="44"/>
      <c r="Q479" s="45"/>
      <c r="R479" s="147"/>
      <c r="S479" s="147"/>
      <c r="T479" s="147"/>
      <c r="U479" s="148"/>
      <c r="V479" s="149"/>
      <c r="W479" s="150"/>
      <c r="X479" s="151"/>
      <c r="Y479" s="44"/>
      <c r="Z479" s="44"/>
      <c r="AA479" s="152"/>
      <c r="AB479" s="152"/>
      <c r="AC479" s="152"/>
      <c r="AD479" s="152"/>
      <c r="AE479" s="152"/>
      <c r="AF479" s="152"/>
      <c r="AG479" s="152"/>
      <c r="AH479" s="44"/>
      <c r="AI479" s="44"/>
      <c r="AJ479" s="44"/>
      <c r="AK479" s="44"/>
      <c r="AL479" s="44"/>
      <c r="AM479" s="44"/>
      <c r="AN479" s="44"/>
    </row>
    <row r="480" spans="1:40">
      <c r="A480" s="44"/>
      <c r="B480" s="44"/>
      <c r="C480" s="44"/>
      <c r="D480" s="44"/>
      <c r="E480" s="44"/>
      <c r="F480" s="43"/>
      <c r="G480" s="44"/>
      <c r="H480" s="45"/>
      <c r="I480" s="44"/>
      <c r="J480" s="44"/>
      <c r="K480" s="143"/>
      <c r="L480" s="144"/>
      <c r="M480" s="143"/>
      <c r="N480" s="143"/>
      <c r="O480" s="44"/>
      <c r="P480" s="44"/>
      <c r="Q480" s="45"/>
      <c r="R480" s="147"/>
      <c r="S480" s="147"/>
      <c r="T480" s="147"/>
      <c r="U480" s="148"/>
      <c r="V480" s="149"/>
      <c r="W480" s="150"/>
      <c r="X480" s="151"/>
      <c r="Y480" s="44"/>
      <c r="Z480" s="44"/>
      <c r="AA480" s="152"/>
      <c r="AB480" s="152"/>
      <c r="AC480" s="152"/>
      <c r="AD480" s="152"/>
      <c r="AE480" s="152"/>
      <c r="AF480" s="152"/>
      <c r="AG480" s="152"/>
      <c r="AH480" s="44"/>
      <c r="AI480" s="44"/>
      <c r="AJ480" s="44"/>
      <c r="AK480" s="44"/>
      <c r="AL480" s="44"/>
      <c r="AM480" s="44"/>
      <c r="AN480" s="44"/>
    </row>
    <row r="481" spans="1:40">
      <c r="A481" s="44"/>
      <c r="B481" s="44"/>
      <c r="C481" s="44"/>
      <c r="D481" s="44"/>
      <c r="E481" s="44"/>
      <c r="F481" s="43"/>
      <c r="G481" s="44"/>
      <c r="H481" s="45"/>
      <c r="I481" s="44"/>
      <c r="J481" s="44"/>
      <c r="K481" s="143"/>
      <c r="L481" s="144"/>
      <c r="M481" s="143"/>
      <c r="N481" s="143"/>
      <c r="O481" s="44"/>
      <c r="P481" s="44"/>
      <c r="Q481" s="45"/>
      <c r="R481" s="147"/>
      <c r="S481" s="147"/>
      <c r="T481" s="147"/>
      <c r="U481" s="148"/>
      <c r="V481" s="149"/>
      <c r="W481" s="150"/>
      <c r="X481" s="151"/>
      <c r="Y481" s="44"/>
      <c r="Z481" s="44"/>
      <c r="AA481" s="152"/>
      <c r="AB481" s="152"/>
      <c r="AC481" s="152"/>
      <c r="AD481" s="152"/>
      <c r="AE481" s="152"/>
      <c r="AF481" s="152"/>
      <c r="AG481" s="152"/>
      <c r="AH481" s="44"/>
      <c r="AI481" s="44"/>
      <c r="AJ481" s="44"/>
      <c r="AK481" s="44"/>
      <c r="AL481" s="44"/>
      <c r="AM481" s="44"/>
      <c r="AN481" s="44"/>
    </row>
    <row r="482" spans="1:40">
      <c r="A482" s="44"/>
      <c r="B482" s="44"/>
      <c r="C482" s="44"/>
      <c r="D482" s="44"/>
      <c r="E482" s="44"/>
      <c r="F482" s="43"/>
      <c r="G482" s="44"/>
      <c r="H482" s="45"/>
      <c r="I482" s="44"/>
      <c r="J482" s="44"/>
      <c r="K482" s="143"/>
      <c r="L482" s="144"/>
      <c r="M482" s="143"/>
      <c r="N482" s="143"/>
      <c r="O482" s="44"/>
      <c r="P482" s="44"/>
      <c r="Q482" s="45"/>
      <c r="R482" s="147"/>
      <c r="S482" s="147"/>
      <c r="T482" s="147"/>
      <c r="U482" s="148"/>
      <c r="V482" s="149"/>
      <c r="W482" s="150"/>
      <c r="X482" s="151"/>
      <c r="Y482" s="44"/>
      <c r="Z482" s="44"/>
      <c r="AA482" s="152"/>
      <c r="AB482" s="152"/>
      <c r="AC482" s="152"/>
      <c r="AD482" s="152"/>
      <c r="AE482" s="152"/>
      <c r="AF482" s="152"/>
      <c r="AG482" s="152"/>
      <c r="AH482" s="44"/>
      <c r="AI482" s="44"/>
      <c r="AJ482" s="44"/>
      <c r="AK482" s="44"/>
      <c r="AL482" s="44"/>
      <c r="AM482" s="44"/>
      <c r="AN482" s="44"/>
    </row>
    <row r="483" spans="1:40">
      <c r="A483" s="44"/>
      <c r="B483" s="44"/>
      <c r="C483" s="44"/>
      <c r="D483" s="44"/>
      <c r="E483" s="44"/>
      <c r="F483" s="43"/>
      <c r="G483" s="44"/>
      <c r="H483" s="45"/>
      <c r="I483" s="44"/>
      <c r="J483" s="44"/>
      <c r="K483" s="143"/>
      <c r="L483" s="144"/>
      <c r="M483" s="143"/>
      <c r="N483" s="143"/>
      <c r="O483" s="44"/>
      <c r="P483" s="44"/>
      <c r="Q483" s="45"/>
      <c r="R483" s="147"/>
      <c r="S483" s="147"/>
      <c r="T483" s="147"/>
      <c r="U483" s="148"/>
      <c r="V483" s="149"/>
      <c r="W483" s="150"/>
      <c r="X483" s="151"/>
      <c r="Y483" s="44"/>
      <c r="Z483" s="44"/>
      <c r="AA483" s="152"/>
      <c r="AB483" s="152"/>
      <c r="AC483" s="152"/>
      <c r="AD483" s="152"/>
      <c r="AE483" s="152"/>
      <c r="AF483" s="152"/>
      <c r="AG483" s="152"/>
      <c r="AH483" s="44"/>
      <c r="AI483" s="44"/>
      <c r="AJ483" s="44"/>
      <c r="AK483" s="44"/>
      <c r="AL483" s="44"/>
      <c r="AM483" s="44"/>
      <c r="AN483" s="44"/>
    </row>
    <row r="484" spans="1:40">
      <c r="A484" s="44"/>
      <c r="B484" s="44"/>
      <c r="C484" s="44"/>
      <c r="D484" s="44"/>
      <c r="E484" s="44"/>
      <c r="F484" s="43"/>
      <c r="G484" s="44"/>
      <c r="H484" s="45"/>
      <c r="I484" s="44"/>
      <c r="J484" s="44"/>
      <c r="K484" s="143"/>
      <c r="L484" s="144"/>
      <c r="M484" s="143"/>
      <c r="N484" s="143"/>
      <c r="O484" s="44"/>
      <c r="P484" s="44"/>
      <c r="Q484" s="45"/>
      <c r="R484" s="147"/>
      <c r="S484" s="147"/>
      <c r="T484" s="147"/>
      <c r="U484" s="148"/>
      <c r="V484" s="149"/>
      <c r="W484" s="150"/>
      <c r="X484" s="151"/>
      <c r="Y484" s="44"/>
      <c r="Z484" s="44"/>
      <c r="AA484" s="152"/>
      <c r="AB484" s="152"/>
      <c r="AC484" s="152"/>
      <c r="AD484" s="152"/>
      <c r="AE484" s="152"/>
      <c r="AF484" s="152"/>
      <c r="AG484" s="152"/>
      <c r="AH484" s="44"/>
      <c r="AI484" s="44"/>
      <c r="AJ484" s="44"/>
      <c r="AK484" s="44"/>
      <c r="AL484" s="44"/>
      <c r="AM484" s="44"/>
      <c r="AN484" s="44"/>
    </row>
    <row r="485" spans="1:40">
      <c r="A485" s="44"/>
      <c r="B485" s="44"/>
      <c r="C485" s="44"/>
      <c r="D485" s="44"/>
      <c r="E485" s="44"/>
      <c r="F485" s="43"/>
      <c r="G485" s="44"/>
      <c r="H485" s="45"/>
      <c r="I485" s="44"/>
      <c r="J485" s="44"/>
      <c r="K485" s="143"/>
      <c r="L485" s="144"/>
      <c r="M485" s="143"/>
      <c r="N485" s="143"/>
      <c r="O485" s="44"/>
      <c r="P485" s="44"/>
      <c r="Q485" s="45"/>
      <c r="R485" s="147"/>
      <c r="S485" s="147"/>
      <c r="T485" s="147"/>
      <c r="U485" s="148"/>
      <c r="V485" s="149"/>
      <c r="W485" s="150"/>
      <c r="X485" s="151"/>
      <c r="Y485" s="44"/>
      <c r="Z485" s="44"/>
      <c r="AA485" s="152"/>
      <c r="AB485" s="152"/>
      <c r="AC485" s="152"/>
      <c r="AD485" s="152"/>
      <c r="AE485" s="152"/>
      <c r="AF485" s="152"/>
      <c r="AG485" s="152"/>
      <c r="AH485" s="44"/>
      <c r="AI485" s="44"/>
      <c r="AJ485" s="44"/>
      <c r="AK485" s="44"/>
      <c r="AL485" s="44"/>
      <c r="AM485" s="44"/>
      <c r="AN485" s="44"/>
    </row>
    <row r="486" spans="1:40">
      <c r="A486" s="44"/>
      <c r="B486" s="44"/>
      <c r="C486" s="44"/>
      <c r="D486" s="44"/>
      <c r="E486" s="44"/>
      <c r="F486" s="43"/>
      <c r="G486" s="44"/>
      <c r="H486" s="45"/>
      <c r="I486" s="44"/>
      <c r="J486" s="44"/>
      <c r="K486" s="143"/>
      <c r="L486" s="144"/>
      <c r="M486" s="143"/>
      <c r="N486" s="143"/>
      <c r="O486" s="44"/>
      <c r="P486" s="44"/>
      <c r="Q486" s="45"/>
      <c r="R486" s="147"/>
      <c r="S486" s="147"/>
      <c r="T486" s="147"/>
      <c r="U486" s="148"/>
      <c r="V486" s="149"/>
      <c r="W486" s="150"/>
      <c r="X486" s="151"/>
      <c r="Y486" s="44"/>
      <c r="Z486" s="44"/>
      <c r="AA486" s="152"/>
      <c r="AB486" s="152"/>
      <c r="AC486" s="152"/>
      <c r="AD486" s="152"/>
      <c r="AE486" s="152"/>
      <c r="AF486" s="152"/>
      <c r="AG486" s="152"/>
      <c r="AH486" s="44"/>
      <c r="AI486" s="44"/>
      <c r="AJ486" s="44"/>
      <c r="AK486" s="44"/>
      <c r="AL486" s="44"/>
      <c r="AM486" s="44"/>
      <c r="AN486" s="44"/>
    </row>
    <row r="487" spans="1:40">
      <c r="A487" s="44"/>
      <c r="B487" s="44"/>
      <c r="C487" s="44"/>
      <c r="D487" s="44"/>
      <c r="E487" s="44"/>
      <c r="F487" s="43"/>
      <c r="G487" s="44"/>
      <c r="H487" s="45"/>
      <c r="I487" s="44"/>
      <c r="J487" s="44"/>
      <c r="K487" s="143"/>
      <c r="L487" s="144"/>
      <c r="M487" s="143"/>
      <c r="N487" s="143"/>
      <c r="O487" s="44"/>
      <c r="P487" s="44"/>
      <c r="Q487" s="45"/>
      <c r="R487" s="147"/>
      <c r="S487" s="147"/>
      <c r="T487" s="147"/>
      <c r="U487" s="148"/>
      <c r="V487" s="149"/>
      <c r="W487" s="150"/>
      <c r="X487" s="151"/>
      <c r="Y487" s="44"/>
      <c r="Z487" s="44"/>
      <c r="AA487" s="152"/>
      <c r="AB487" s="152"/>
      <c r="AC487" s="152"/>
      <c r="AD487" s="152"/>
      <c r="AE487" s="152"/>
      <c r="AF487" s="152"/>
      <c r="AG487" s="152"/>
      <c r="AH487" s="44"/>
      <c r="AI487" s="44"/>
      <c r="AJ487" s="44"/>
      <c r="AK487" s="44"/>
      <c r="AL487" s="44"/>
      <c r="AM487" s="44"/>
      <c r="AN487" s="44"/>
    </row>
    <row r="488" spans="1:40">
      <c r="A488" s="44"/>
      <c r="B488" s="44"/>
      <c r="C488" s="44"/>
      <c r="D488" s="44"/>
      <c r="E488" s="44"/>
      <c r="F488" s="43"/>
      <c r="G488" s="44"/>
      <c r="H488" s="45"/>
      <c r="I488" s="44"/>
      <c r="J488" s="44"/>
      <c r="K488" s="143"/>
      <c r="L488" s="144"/>
      <c r="M488" s="143"/>
      <c r="N488" s="143"/>
      <c r="O488" s="44"/>
      <c r="P488" s="44"/>
      <c r="Q488" s="45"/>
      <c r="R488" s="147"/>
      <c r="S488" s="147"/>
      <c r="T488" s="147"/>
      <c r="U488" s="148"/>
      <c r="V488" s="149"/>
      <c r="W488" s="150"/>
      <c r="X488" s="151"/>
      <c r="Y488" s="44"/>
      <c r="Z488" s="44"/>
      <c r="AA488" s="152"/>
      <c r="AB488" s="152"/>
      <c r="AC488" s="152"/>
      <c r="AD488" s="152"/>
      <c r="AE488" s="152"/>
      <c r="AF488" s="152"/>
      <c r="AG488" s="152"/>
      <c r="AH488" s="44"/>
      <c r="AI488" s="44"/>
      <c r="AJ488" s="44"/>
      <c r="AK488" s="44"/>
      <c r="AL488" s="44"/>
      <c r="AM488" s="44"/>
      <c r="AN488" s="44"/>
    </row>
    <row r="489" spans="1:40">
      <c r="A489" s="44"/>
      <c r="B489" s="44"/>
      <c r="C489" s="44"/>
      <c r="D489" s="44"/>
      <c r="E489" s="44"/>
      <c r="F489" s="43"/>
      <c r="G489" s="44"/>
      <c r="H489" s="45"/>
      <c r="I489" s="44"/>
      <c r="J489" s="44"/>
      <c r="K489" s="143"/>
      <c r="L489" s="144"/>
      <c r="M489" s="143"/>
      <c r="N489" s="143"/>
      <c r="O489" s="44"/>
      <c r="P489" s="44"/>
      <c r="Q489" s="45"/>
      <c r="R489" s="147"/>
      <c r="S489" s="147"/>
      <c r="T489" s="147"/>
      <c r="U489" s="148"/>
      <c r="V489" s="149"/>
      <c r="W489" s="150"/>
      <c r="X489" s="151"/>
      <c r="Y489" s="44"/>
      <c r="Z489" s="44"/>
      <c r="AA489" s="152"/>
      <c r="AB489" s="152"/>
      <c r="AC489" s="152"/>
      <c r="AD489" s="152"/>
      <c r="AE489" s="152"/>
      <c r="AF489" s="152"/>
      <c r="AG489" s="152"/>
      <c r="AH489" s="44"/>
      <c r="AI489" s="44"/>
      <c r="AJ489" s="44"/>
      <c r="AK489" s="44"/>
      <c r="AL489" s="44"/>
      <c r="AM489" s="44"/>
      <c r="AN489" s="44"/>
    </row>
    <row r="490" spans="1:40">
      <c r="A490" s="44"/>
      <c r="B490" s="44"/>
      <c r="C490" s="44"/>
      <c r="D490" s="44"/>
      <c r="E490" s="44"/>
      <c r="F490" s="43"/>
      <c r="G490" s="44"/>
      <c r="H490" s="45"/>
      <c r="I490" s="44"/>
      <c r="J490" s="44"/>
      <c r="K490" s="143"/>
      <c r="L490" s="144"/>
      <c r="M490" s="143"/>
      <c r="N490" s="143"/>
      <c r="O490" s="44"/>
      <c r="P490" s="44"/>
      <c r="Q490" s="45"/>
      <c r="R490" s="147"/>
      <c r="S490" s="147"/>
      <c r="T490" s="147"/>
      <c r="U490" s="148"/>
      <c r="V490" s="149"/>
      <c r="W490" s="150"/>
      <c r="X490" s="151"/>
      <c r="Y490" s="44"/>
      <c r="Z490" s="44"/>
      <c r="AA490" s="152"/>
      <c r="AB490" s="152"/>
      <c r="AC490" s="152"/>
      <c r="AD490" s="152"/>
      <c r="AE490" s="152"/>
      <c r="AF490" s="152"/>
      <c r="AG490" s="152"/>
      <c r="AH490" s="44"/>
      <c r="AI490" s="44"/>
      <c r="AJ490" s="44"/>
      <c r="AK490" s="44"/>
      <c r="AL490" s="44"/>
      <c r="AM490" s="44"/>
      <c r="AN490" s="44"/>
    </row>
    <row r="491" spans="1:40">
      <c r="A491" s="44"/>
      <c r="B491" s="44"/>
      <c r="C491" s="44"/>
      <c r="D491" s="44"/>
      <c r="E491" s="44"/>
      <c r="F491" s="43"/>
      <c r="G491" s="44"/>
      <c r="H491" s="45"/>
      <c r="I491" s="44"/>
      <c r="J491" s="44"/>
      <c r="K491" s="143"/>
      <c r="L491" s="144"/>
      <c r="M491" s="143"/>
      <c r="N491" s="143"/>
      <c r="O491" s="44"/>
      <c r="P491" s="44"/>
      <c r="Q491" s="45"/>
      <c r="R491" s="147"/>
      <c r="S491" s="147"/>
      <c r="T491" s="147"/>
      <c r="U491" s="148"/>
      <c r="V491" s="149"/>
      <c r="W491" s="150"/>
      <c r="X491" s="151"/>
      <c r="Y491" s="44"/>
      <c r="Z491" s="44"/>
      <c r="AA491" s="152"/>
      <c r="AB491" s="152"/>
      <c r="AC491" s="152"/>
      <c r="AD491" s="152"/>
      <c r="AE491" s="152"/>
      <c r="AF491" s="152"/>
      <c r="AG491" s="152"/>
      <c r="AH491" s="44"/>
      <c r="AI491" s="44"/>
      <c r="AJ491" s="44"/>
      <c r="AK491" s="44"/>
      <c r="AL491" s="44"/>
      <c r="AM491" s="44"/>
      <c r="AN491" s="44"/>
    </row>
    <row r="492" spans="1:40">
      <c r="A492" s="44"/>
      <c r="B492" s="44"/>
      <c r="C492" s="44"/>
      <c r="D492" s="44"/>
      <c r="E492" s="44"/>
      <c r="F492" s="43"/>
      <c r="G492" s="44"/>
      <c r="H492" s="45"/>
      <c r="I492" s="44"/>
      <c r="J492" s="44"/>
      <c r="K492" s="143"/>
      <c r="L492" s="144"/>
      <c r="M492" s="143"/>
      <c r="N492" s="143"/>
      <c r="O492" s="44"/>
      <c r="P492" s="44"/>
      <c r="Q492" s="45"/>
      <c r="R492" s="147"/>
      <c r="S492" s="147"/>
      <c r="T492" s="147"/>
      <c r="U492" s="148"/>
      <c r="V492" s="149"/>
      <c r="W492" s="150"/>
      <c r="X492" s="151"/>
      <c r="Y492" s="44"/>
      <c r="Z492" s="44"/>
      <c r="AA492" s="152"/>
      <c r="AB492" s="152"/>
      <c r="AC492" s="152"/>
      <c r="AD492" s="152"/>
      <c r="AE492" s="152"/>
      <c r="AF492" s="152"/>
      <c r="AG492" s="152"/>
      <c r="AH492" s="44"/>
      <c r="AI492" s="44"/>
      <c r="AJ492" s="44"/>
      <c r="AK492" s="44"/>
      <c r="AL492" s="44"/>
      <c r="AM492" s="44"/>
      <c r="AN492" s="44"/>
    </row>
    <row r="493" spans="1:40">
      <c r="A493" s="44"/>
      <c r="B493" s="44"/>
      <c r="C493" s="44"/>
      <c r="D493" s="44"/>
      <c r="E493" s="44"/>
      <c r="F493" s="43"/>
      <c r="G493" s="44"/>
      <c r="H493" s="45"/>
      <c r="I493" s="44"/>
      <c r="J493" s="44"/>
      <c r="K493" s="143"/>
      <c r="L493" s="144"/>
      <c r="M493" s="143"/>
      <c r="N493" s="143"/>
      <c r="O493" s="44"/>
      <c r="P493" s="44"/>
      <c r="Q493" s="45"/>
      <c r="R493" s="147"/>
      <c r="S493" s="147"/>
      <c r="T493" s="147"/>
      <c r="U493" s="148"/>
      <c r="V493" s="149"/>
      <c r="W493" s="150"/>
      <c r="X493" s="151"/>
      <c r="Y493" s="44"/>
      <c r="Z493" s="44"/>
      <c r="AA493" s="152"/>
      <c r="AB493" s="152"/>
      <c r="AC493" s="152"/>
      <c r="AD493" s="152"/>
      <c r="AE493" s="152"/>
      <c r="AF493" s="152"/>
      <c r="AG493" s="152"/>
      <c r="AH493" s="44"/>
      <c r="AI493" s="44"/>
      <c r="AJ493" s="44"/>
      <c r="AK493" s="44"/>
      <c r="AL493" s="44"/>
      <c r="AM493" s="44"/>
      <c r="AN493" s="44"/>
    </row>
    <row r="494" spans="1:40">
      <c r="A494" s="44"/>
      <c r="B494" s="44"/>
      <c r="C494" s="44"/>
      <c r="D494" s="44"/>
      <c r="E494" s="44"/>
      <c r="F494" s="43"/>
      <c r="G494" s="44"/>
      <c r="H494" s="45"/>
      <c r="I494" s="44"/>
      <c r="J494" s="44"/>
      <c r="K494" s="143"/>
      <c r="L494" s="144"/>
      <c r="M494" s="143"/>
      <c r="N494" s="143"/>
      <c r="O494" s="44"/>
      <c r="P494" s="44"/>
      <c r="Q494" s="45"/>
      <c r="R494" s="147"/>
      <c r="S494" s="147"/>
      <c r="T494" s="147"/>
      <c r="U494" s="148"/>
      <c r="V494" s="149"/>
      <c r="W494" s="150"/>
      <c r="X494" s="151"/>
      <c r="Y494" s="44"/>
      <c r="Z494" s="44"/>
      <c r="AA494" s="152"/>
      <c r="AB494" s="152"/>
      <c r="AC494" s="152"/>
      <c r="AD494" s="152"/>
      <c r="AE494" s="152"/>
      <c r="AF494" s="152"/>
      <c r="AG494" s="152"/>
      <c r="AH494" s="44"/>
      <c r="AI494" s="44"/>
      <c r="AJ494" s="44"/>
      <c r="AK494" s="44"/>
      <c r="AL494" s="44"/>
      <c r="AM494" s="44"/>
      <c r="AN494" s="44"/>
    </row>
    <row r="495" spans="1:40">
      <c r="A495" s="44"/>
      <c r="B495" s="44"/>
      <c r="C495" s="44"/>
      <c r="D495" s="44"/>
      <c r="E495" s="44"/>
      <c r="F495" s="43"/>
      <c r="G495" s="44"/>
      <c r="H495" s="45"/>
      <c r="I495" s="44"/>
      <c r="J495" s="44"/>
      <c r="K495" s="143"/>
      <c r="L495" s="144"/>
      <c r="M495" s="143"/>
      <c r="N495" s="143"/>
      <c r="O495" s="44"/>
      <c r="P495" s="44"/>
      <c r="Q495" s="45"/>
      <c r="R495" s="147"/>
      <c r="S495" s="147"/>
      <c r="T495" s="147"/>
      <c r="U495" s="148"/>
      <c r="V495" s="149"/>
      <c r="W495" s="150"/>
      <c r="X495" s="151"/>
      <c r="Y495" s="44"/>
      <c r="Z495" s="44"/>
      <c r="AA495" s="152"/>
      <c r="AB495" s="152"/>
      <c r="AC495" s="152"/>
      <c r="AD495" s="152"/>
      <c r="AE495" s="152"/>
      <c r="AF495" s="152"/>
      <c r="AG495" s="152"/>
      <c r="AH495" s="44"/>
      <c r="AI495" s="44"/>
      <c r="AJ495" s="44"/>
      <c r="AK495" s="44"/>
      <c r="AL495" s="44"/>
      <c r="AM495" s="44"/>
      <c r="AN495" s="44"/>
    </row>
    <row r="496" spans="1:40">
      <c r="A496" s="44"/>
      <c r="B496" s="44"/>
      <c r="C496" s="44"/>
      <c r="D496" s="44"/>
      <c r="E496" s="44"/>
      <c r="F496" s="43"/>
      <c r="G496" s="44"/>
      <c r="H496" s="45"/>
      <c r="I496" s="44"/>
      <c r="J496" s="44"/>
      <c r="K496" s="143"/>
      <c r="L496" s="144"/>
      <c r="M496" s="143"/>
      <c r="N496" s="143"/>
      <c r="O496" s="44"/>
      <c r="P496" s="44"/>
      <c r="Q496" s="45"/>
      <c r="R496" s="147"/>
      <c r="S496" s="147"/>
      <c r="T496" s="147"/>
      <c r="U496" s="148"/>
      <c r="V496" s="149"/>
      <c r="W496" s="150"/>
      <c r="X496" s="151"/>
      <c r="Y496" s="44"/>
      <c r="Z496" s="44"/>
      <c r="AA496" s="152"/>
      <c r="AB496" s="152"/>
      <c r="AC496" s="152"/>
      <c r="AD496" s="152"/>
      <c r="AE496" s="152"/>
      <c r="AF496" s="152"/>
      <c r="AG496" s="152"/>
      <c r="AH496" s="44"/>
      <c r="AI496" s="44"/>
      <c r="AJ496" s="44"/>
      <c r="AK496" s="44"/>
      <c r="AL496" s="44"/>
      <c r="AM496" s="44"/>
      <c r="AN496" s="44"/>
    </row>
    <row r="497" spans="1:40">
      <c r="A497" s="44"/>
      <c r="B497" s="44"/>
      <c r="C497" s="44"/>
      <c r="D497" s="44"/>
      <c r="E497" s="44"/>
      <c r="F497" s="43"/>
      <c r="G497" s="44"/>
      <c r="H497" s="45"/>
      <c r="I497" s="44"/>
      <c r="J497" s="44"/>
      <c r="K497" s="143"/>
      <c r="L497" s="144"/>
      <c r="M497" s="143"/>
      <c r="N497" s="143"/>
      <c r="O497" s="44"/>
      <c r="P497" s="44"/>
      <c r="Q497" s="45"/>
      <c r="R497" s="147"/>
      <c r="S497" s="147"/>
      <c r="T497" s="147"/>
      <c r="U497" s="148"/>
      <c r="V497" s="149"/>
      <c r="W497" s="150"/>
      <c r="X497" s="151"/>
      <c r="Y497" s="44"/>
      <c r="Z497" s="44"/>
      <c r="AA497" s="152"/>
      <c r="AB497" s="152"/>
      <c r="AC497" s="152"/>
      <c r="AD497" s="152"/>
      <c r="AE497" s="152"/>
      <c r="AF497" s="152"/>
      <c r="AG497" s="152"/>
      <c r="AH497" s="44"/>
      <c r="AI497" s="44"/>
      <c r="AJ497" s="44"/>
      <c r="AK497" s="44"/>
      <c r="AL497" s="44"/>
      <c r="AM497" s="44"/>
      <c r="AN497" s="44"/>
    </row>
    <row r="498" spans="1:40">
      <c r="A498" s="44"/>
      <c r="B498" s="44"/>
      <c r="C498" s="44"/>
      <c r="D498" s="44"/>
      <c r="E498" s="44"/>
      <c r="F498" s="43"/>
      <c r="G498" s="44"/>
      <c r="H498" s="45"/>
      <c r="I498" s="44"/>
      <c r="J498" s="44"/>
      <c r="K498" s="143"/>
      <c r="L498" s="144"/>
      <c r="M498" s="143"/>
      <c r="N498" s="143"/>
      <c r="O498" s="44"/>
      <c r="P498" s="44"/>
      <c r="Q498" s="45"/>
      <c r="R498" s="147"/>
      <c r="S498" s="147"/>
      <c r="T498" s="147"/>
      <c r="U498" s="148"/>
      <c r="V498" s="149"/>
      <c r="W498" s="150"/>
      <c r="X498" s="151"/>
      <c r="Y498" s="44"/>
      <c r="Z498" s="44"/>
      <c r="AA498" s="152"/>
      <c r="AB498" s="152"/>
      <c r="AC498" s="152"/>
      <c r="AD498" s="152"/>
      <c r="AE498" s="152"/>
      <c r="AF498" s="152"/>
      <c r="AG498" s="152"/>
      <c r="AH498" s="44"/>
      <c r="AI498" s="44"/>
      <c r="AJ498" s="44"/>
      <c r="AK498" s="44"/>
      <c r="AL498" s="44"/>
      <c r="AM498" s="44"/>
      <c r="AN498" s="44"/>
    </row>
    <row r="499" spans="1:40">
      <c r="A499" s="44"/>
      <c r="B499" s="44"/>
      <c r="C499" s="44"/>
      <c r="D499" s="44"/>
      <c r="E499" s="44"/>
      <c r="F499" s="43"/>
      <c r="G499" s="44"/>
      <c r="H499" s="45"/>
      <c r="I499" s="44"/>
      <c r="J499" s="44"/>
      <c r="K499" s="143"/>
      <c r="L499" s="144"/>
      <c r="M499" s="143"/>
      <c r="N499" s="143"/>
      <c r="O499" s="44"/>
      <c r="P499" s="44"/>
      <c r="Q499" s="45"/>
      <c r="R499" s="147"/>
      <c r="S499" s="147"/>
      <c r="T499" s="147"/>
      <c r="U499" s="148"/>
      <c r="V499" s="149"/>
      <c r="W499" s="150"/>
      <c r="X499" s="151"/>
      <c r="Y499" s="44"/>
      <c r="Z499" s="44"/>
      <c r="AA499" s="152"/>
      <c r="AB499" s="152"/>
      <c r="AC499" s="152"/>
      <c r="AD499" s="152"/>
      <c r="AE499" s="152"/>
      <c r="AF499" s="152"/>
      <c r="AG499" s="152"/>
      <c r="AH499" s="44"/>
      <c r="AI499" s="44"/>
      <c r="AJ499" s="44"/>
      <c r="AK499" s="44"/>
      <c r="AL499" s="44"/>
      <c r="AM499" s="44"/>
      <c r="AN499" s="44"/>
    </row>
    <row r="500" spans="1:40">
      <c r="A500" s="44"/>
      <c r="B500" s="44"/>
      <c r="C500" s="44"/>
      <c r="D500" s="44"/>
      <c r="E500" s="44"/>
      <c r="F500" s="43"/>
      <c r="G500" s="44"/>
      <c r="H500" s="45"/>
      <c r="I500" s="44"/>
      <c r="J500" s="44"/>
      <c r="K500" s="143"/>
      <c r="L500" s="144"/>
      <c r="M500" s="143"/>
      <c r="N500" s="143"/>
      <c r="O500" s="44"/>
      <c r="P500" s="44"/>
      <c r="Q500" s="45"/>
      <c r="R500" s="147"/>
      <c r="S500" s="147"/>
      <c r="T500" s="147"/>
      <c r="U500" s="148"/>
      <c r="V500" s="149"/>
      <c r="W500" s="150"/>
      <c r="X500" s="151"/>
      <c r="Y500" s="44"/>
      <c r="Z500" s="44"/>
      <c r="AA500" s="152"/>
      <c r="AB500" s="152"/>
      <c r="AC500" s="152"/>
      <c r="AD500" s="152"/>
      <c r="AE500" s="152"/>
      <c r="AF500" s="152"/>
      <c r="AG500" s="152"/>
      <c r="AH500" s="44"/>
      <c r="AI500" s="44"/>
      <c r="AJ500" s="44"/>
      <c r="AK500" s="44"/>
      <c r="AL500" s="44"/>
      <c r="AM500" s="44"/>
      <c r="AN500" s="44"/>
    </row>
    <row r="501" spans="1:40">
      <c r="A501" s="44"/>
      <c r="B501" s="44"/>
      <c r="C501" s="44"/>
      <c r="D501" s="44"/>
      <c r="E501" s="44"/>
      <c r="F501" s="43"/>
      <c r="G501" s="44"/>
      <c r="H501" s="45"/>
      <c r="I501" s="44"/>
      <c r="J501" s="44"/>
      <c r="K501" s="143"/>
      <c r="L501" s="144"/>
      <c r="M501" s="143"/>
      <c r="N501" s="143"/>
      <c r="O501" s="44"/>
      <c r="P501" s="44"/>
      <c r="Q501" s="45"/>
      <c r="R501" s="147"/>
      <c r="S501" s="147"/>
      <c r="T501" s="147"/>
      <c r="U501" s="148"/>
      <c r="V501" s="149"/>
      <c r="W501" s="150"/>
      <c r="X501" s="151"/>
      <c r="Y501" s="44"/>
      <c r="Z501" s="44"/>
      <c r="AA501" s="152"/>
      <c r="AB501" s="152"/>
      <c r="AC501" s="152"/>
      <c r="AD501" s="152"/>
      <c r="AE501" s="152"/>
      <c r="AF501" s="152"/>
      <c r="AG501" s="152"/>
      <c r="AH501" s="44"/>
      <c r="AI501" s="44"/>
      <c r="AJ501" s="44"/>
      <c r="AK501" s="44"/>
      <c r="AL501" s="44"/>
      <c r="AM501" s="44"/>
      <c r="AN501" s="44"/>
    </row>
    <row r="502" spans="1:40">
      <c r="A502" s="44"/>
      <c r="B502" s="44"/>
      <c r="C502" s="44"/>
      <c r="D502" s="44"/>
      <c r="E502" s="44"/>
      <c r="F502" s="43"/>
      <c r="G502" s="44"/>
      <c r="H502" s="45"/>
      <c r="I502" s="44"/>
      <c r="J502" s="44"/>
      <c r="K502" s="143"/>
      <c r="L502" s="144"/>
      <c r="M502" s="143"/>
      <c r="N502" s="143"/>
      <c r="O502" s="44"/>
      <c r="P502" s="44"/>
      <c r="Q502" s="45"/>
      <c r="R502" s="147"/>
      <c r="S502" s="147"/>
      <c r="T502" s="147"/>
      <c r="U502" s="148"/>
      <c r="V502" s="149"/>
      <c r="W502" s="150"/>
      <c r="X502" s="151"/>
      <c r="Y502" s="44"/>
      <c r="Z502" s="44"/>
      <c r="AA502" s="152"/>
      <c r="AB502" s="152"/>
      <c r="AC502" s="152"/>
      <c r="AD502" s="152"/>
      <c r="AE502" s="152"/>
      <c r="AF502" s="152"/>
      <c r="AG502" s="152"/>
      <c r="AH502" s="44"/>
      <c r="AI502" s="44"/>
      <c r="AJ502" s="44"/>
      <c r="AK502" s="44"/>
      <c r="AL502" s="44"/>
      <c r="AM502" s="44"/>
      <c r="AN502" s="44"/>
    </row>
    <row r="503" spans="1:40">
      <c r="A503" s="44"/>
      <c r="B503" s="44"/>
      <c r="C503" s="44"/>
      <c r="D503" s="44"/>
      <c r="E503" s="44"/>
      <c r="F503" s="43"/>
      <c r="G503" s="44"/>
      <c r="H503" s="45"/>
      <c r="I503" s="44"/>
      <c r="J503" s="44"/>
      <c r="K503" s="143"/>
      <c r="L503" s="144"/>
      <c r="M503" s="143"/>
      <c r="N503" s="143"/>
      <c r="O503" s="44"/>
      <c r="P503" s="44"/>
      <c r="Q503" s="45"/>
      <c r="R503" s="147"/>
      <c r="S503" s="147"/>
      <c r="T503" s="147"/>
      <c r="U503" s="148"/>
      <c r="V503" s="149"/>
      <c r="W503" s="150"/>
      <c r="X503" s="151"/>
      <c r="Y503" s="44"/>
      <c r="Z503" s="44"/>
      <c r="AA503" s="152"/>
      <c r="AB503" s="152"/>
      <c r="AC503" s="152"/>
      <c r="AD503" s="152"/>
      <c r="AE503" s="152"/>
      <c r="AF503" s="152"/>
      <c r="AG503" s="152"/>
      <c r="AH503" s="44"/>
      <c r="AI503" s="44"/>
      <c r="AJ503" s="44"/>
      <c r="AK503" s="44"/>
      <c r="AL503" s="44"/>
      <c r="AM503" s="44"/>
      <c r="AN503" s="44"/>
    </row>
    <row r="504" spans="1:40">
      <c r="A504" s="44"/>
      <c r="B504" s="44"/>
      <c r="C504" s="44"/>
      <c r="D504" s="44"/>
      <c r="E504" s="44"/>
      <c r="F504" s="43"/>
      <c r="G504" s="44"/>
      <c r="H504" s="45"/>
      <c r="I504" s="44"/>
      <c r="J504" s="44"/>
      <c r="K504" s="143"/>
      <c r="L504" s="144"/>
      <c r="M504" s="143"/>
      <c r="N504" s="143"/>
      <c r="O504" s="44"/>
      <c r="P504" s="44"/>
      <c r="Q504" s="45"/>
      <c r="R504" s="147"/>
      <c r="S504" s="147"/>
      <c r="T504" s="147"/>
      <c r="U504" s="148"/>
      <c r="V504" s="149"/>
      <c r="W504" s="150"/>
      <c r="X504" s="151"/>
      <c r="Y504" s="44"/>
      <c r="Z504" s="44"/>
      <c r="AA504" s="152"/>
      <c r="AB504" s="152"/>
      <c r="AC504" s="152"/>
      <c r="AD504" s="152"/>
      <c r="AE504" s="152"/>
      <c r="AF504" s="152"/>
      <c r="AG504" s="152"/>
      <c r="AH504" s="44"/>
      <c r="AI504" s="44"/>
      <c r="AJ504" s="44"/>
      <c r="AK504" s="44"/>
      <c r="AL504" s="44"/>
      <c r="AM504" s="44"/>
      <c r="AN504" s="44"/>
    </row>
    <row r="505" spans="1:40">
      <c r="A505" s="44"/>
      <c r="B505" s="44"/>
      <c r="C505" s="44"/>
      <c r="D505" s="44"/>
      <c r="E505" s="44"/>
      <c r="F505" s="43"/>
      <c r="G505" s="44"/>
      <c r="H505" s="45"/>
      <c r="I505" s="44"/>
      <c r="J505" s="44"/>
      <c r="K505" s="143"/>
      <c r="L505" s="144"/>
      <c r="M505" s="143"/>
      <c r="N505" s="143"/>
      <c r="O505" s="44"/>
      <c r="P505" s="44"/>
      <c r="Q505" s="45"/>
      <c r="R505" s="147"/>
      <c r="S505" s="147"/>
      <c r="T505" s="147"/>
      <c r="U505" s="148"/>
      <c r="V505" s="149"/>
      <c r="W505" s="150"/>
      <c r="X505" s="151"/>
      <c r="Y505" s="44"/>
      <c r="Z505" s="44"/>
      <c r="AA505" s="152"/>
      <c r="AB505" s="152"/>
      <c r="AC505" s="152"/>
      <c r="AD505" s="152"/>
      <c r="AE505" s="152"/>
      <c r="AF505" s="152"/>
      <c r="AG505" s="152"/>
      <c r="AH505" s="44"/>
      <c r="AI505" s="44"/>
      <c r="AJ505" s="44"/>
      <c r="AK505" s="44"/>
      <c r="AL505" s="44"/>
      <c r="AM505" s="44"/>
      <c r="AN505" s="44"/>
    </row>
    <row r="506" spans="1:40">
      <c r="A506" s="44"/>
      <c r="B506" s="44"/>
      <c r="C506" s="44"/>
      <c r="D506" s="44"/>
      <c r="E506" s="44"/>
      <c r="F506" s="43"/>
      <c r="G506" s="44"/>
      <c r="H506" s="45"/>
      <c r="I506" s="44"/>
      <c r="J506" s="44"/>
      <c r="K506" s="143"/>
      <c r="L506" s="144"/>
      <c r="M506" s="143"/>
      <c r="N506" s="143"/>
      <c r="O506" s="44"/>
      <c r="P506" s="44"/>
      <c r="Q506" s="45"/>
      <c r="R506" s="147"/>
      <c r="S506" s="147"/>
      <c r="T506" s="147"/>
      <c r="U506" s="148"/>
      <c r="V506" s="149"/>
      <c r="W506" s="150"/>
      <c r="X506" s="151"/>
      <c r="Y506" s="44"/>
      <c r="Z506" s="44"/>
      <c r="AA506" s="152"/>
      <c r="AB506" s="152"/>
      <c r="AC506" s="152"/>
      <c r="AD506" s="152"/>
      <c r="AE506" s="152"/>
      <c r="AF506" s="152"/>
      <c r="AG506" s="152"/>
      <c r="AH506" s="44"/>
      <c r="AI506" s="44"/>
      <c r="AJ506" s="44"/>
      <c r="AK506" s="44"/>
      <c r="AL506" s="44"/>
      <c r="AM506" s="44"/>
      <c r="AN506" s="44"/>
    </row>
    <row r="507" spans="1:40">
      <c r="A507" s="44"/>
      <c r="B507" s="44"/>
      <c r="C507" s="44"/>
      <c r="D507" s="44"/>
      <c r="E507" s="44"/>
      <c r="F507" s="43"/>
      <c r="G507" s="44"/>
      <c r="H507" s="45"/>
      <c r="I507" s="44"/>
      <c r="J507" s="44"/>
      <c r="K507" s="143"/>
      <c r="L507" s="144"/>
      <c r="M507" s="143"/>
      <c r="N507" s="143"/>
      <c r="O507" s="44"/>
      <c r="P507" s="44"/>
      <c r="Q507" s="45"/>
      <c r="R507" s="147"/>
      <c r="S507" s="147"/>
      <c r="T507" s="147"/>
      <c r="U507" s="148"/>
      <c r="V507" s="149"/>
      <c r="W507" s="150"/>
      <c r="X507" s="151"/>
      <c r="Y507" s="44"/>
      <c r="Z507" s="44"/>
      <c r="AA507" s="152"/>
      <c r="AB507" s="152"/>
      <c r="AC507" s="152"/>
      <c r="AD507" s="152"/>
      <c r="AE507" s="152"/>
      <c r="AF507" s="152"/>
      <c r="AG507" s="152"/>
      <c r="AH507" s="44"/>
      <c r="AI507" s="44"/>
      <c r="AJ507" s="44"/>
      <c r="AK507" s="44"/>
      <c r="AL507" s="44"/>
      <c r="AM507" s="44"/>
      <c r="AN507" s="44"/>
    </row>
    <row r="508" spans="1:40">
      <c r="A508" s="44"/>
      <c r="B508" s="44"/>
      <c r="C508" s="44"/>
      <c r="D508" s="44"/>
      <c r="E508" s="44"/>
      <c r="F508" s="43"/>
      <c r="G508" s="44"/>
      <c r="H508" s="45"/>
      <c r="I508" s="44"/>
      <c r="J508" s="44"/>
      <c r="K508" s="143"/>
      <c r="L508" s="144"/>
      <c r="M508" s="143"/>
      <c r="N508" s="143"/>
      <c r="O508" s="44"/>
      <c r="P508" s="44"/>
      <c r="Q508" s="45"/>
      <c r="R508" s="147"/>
      <c r="S508" s="147"/>
      <c r="T508" s="147"/>
      <c r="U508" s="148"/>
      <c r="V508" s="149"/>
      <c r="W508" s="150"/>
      <c r="X508" s="151"/>
      <c r="Y508" s="44"/>
      <c r="Z508" s="44"/>
      <c r="AA508" s="152"/>
      <c r="AB508" s="152"/>
      <c r="AC508" s="152"/>
      <c r="AD508" s="152"/>
      <c r="AE508" s="152"/>
      <c r="AF508" s="152"/>
      <c r="AG508" s="152"/>
      <c r="AH508" s="44"/>
      <c r="AI508" s="44"/>
      <c r="AJ508" s="44"/>
      <c r="AK508" s="44"/>
      <c r="AL508" s="44"/>
      <c r="AM508" s="44"/>
      <c r="AN508" s="44"/>
    </row>
    <row r="509" spans="1:40">
      <c r="A509" s="44"/>
      <c r="B509" s="44"/>
      <c r="C509" s="44"/>
      <c r="D509" s="44"/>
      <c r="E509" s="44"/>
      <c r="F509" s="43"/>
      <c r="G509" s="44"/>
      <c r="H509" s="45"/>
      <c r="I509" s="44"/>
      <c r="J509" s="44"/>
      <c r="K509" s="143"/>
      <c r="L509" s="144"/>
      <c r="M509" s="143"/>
      <c r="N509" s="143"/>
      <c r="O509" s="44"/>
      <c r="P509" s="44"/>
      <c r="Q509" s="45"/>
      <c r="R509" s="147"/>
      <c r="S509" s="147"/>
      <c r="T509" s="147"/>
      <c r="U509" s="148"/>
      <c r="V509" s="149"/>
      <c r="W509" s="150"/>
      <c r="X509" s="151"/>
      <c r="Y509" s="44"/>
      <c r="Z509" s="44"/>
      <c r="AA509" s="152"/>
      <c r="AB509" s="152"/>
      <c r="AC509" s="152"/>
      <c r="AD509" s="152"/>
      <c r="AE509" s="152"/>
      <c r="AF509" s="152"/>
      <c r="AG509" s="152"/>
      <c r="AH509" s="44"/>
      <c r="AI509" s="44"/>
      <c r="AJ509" s="44"/>
      <c r="AK509" s="44"/>
      <c r="AL509" s="44"/>
      <c r="AM509" s="44"/>
      <c r="AN509" s="44"/>
    </row>
    <row r="510" spans="1:40">
      <c r="A510" s="44"/>
      <c r="B510" s="44"/>
      <c r="C510" s="44"/>
      <c r="D510" s="44"/>
      <c r="E510" s="44"/>
      <c r="F510" s="43"/>
      <c r="G510" s="44"/>
      <c r="H510" s="45"/>
      <c r="I510" s="44"/>
      <c r="J510" s="44"/>
      <c r="K510" s="143"/>
      <c r="L510" s="144"/>
      <c r="M510" s="143"/>
      <c r="N510" s="143"/>
      <c r="O510" s="44"/>
      <c r="P510" s="44"/>
      <c r="Q510" s="45"/>
      <c r="R510" s="147"/>
      <c r="S510" s="147"/>
      <c r="T510" s="147"/>
      <c r="U510" s="148"/>
      <c r="V510" s="149"/>
      <c r="W510" s="150"/>
      <c r="X510" s="151"/>
      <c r="Y510" s="44"/>
      <c r="Z510" s="44"/>
      <c r="AA510" s="152"/>
      <c r="AB510" s="152"/>
      <c r="AC510" s="152"/>
      <c r="AD510" s="152"/>
      <c r="AE510" s="152"/>
      <c r="AF510" s="152"/>
      <c r="AG510" s="152"/>
      <c r="AH510" s="44"/>
      <c r="AI510" s="44"/>
      <c r="AJ510" s="44"/>
      <c r="AK510" s="44"/>
      <c r="AL510" s="44"/>
      <c r="AM510" s="44"/>
      <c r="AN510" s="44"/>
    </row>
    <row r="511" spans="1:40">
      <c r="A511" s="44"/>
      <c r="B511" s="44"/>
      <c r="C511" s="44"/>
      <c r="D511" s="44"/>
      <c r="E511" s="44"/>
      <c r="F511" s="43"/>
      <c r="G511" s="44"/>
      <c r="H511" s="45"/>
      <c r="I511" s="44"/>
      <c r="J511" s="44"/>
      <c r="K511" s="143"/>
      <c r="L511" s="144"/>
      <c r="M511" s="143"/>
      <c r="N511" s="143"/>
      <c r="O511" s="44"/>
      <c r="P511" s="44"/>
      <c r="Q511" s="45"/>
      <c r="R511" s="147"/>
      <c r="S511" s="147"/>
      <c r="T511" s="147"/>
      <c r="U511" s="148"/>
      <c r="V511" s="149"/>
      <c r="W511" s="150"/>
      <c r="X511" s="151"/>
      <c r="Y511" s="44"/>
      <c r="Z511" s="44"/>
      <c r="AA511" s="152"/>
      <c r="AB511" s="152"/>
      <c r="AC511" s="152"/>
      <c r="AD511" s="152"/>
      <c r="AE511" s="152"/>
      <c r="AF511" s="152"/>
      <c r="AG511" s="152"/>
      <c r="AH511" s="44"/>
      <c r="AI511" s="44"/>
      <c r="AJ511" s="44"/>
      <c r="AK511" s="44"/>
      <c r="AL511" s="44"/>
      <c r="AM511" s="44"/>
      <c r="AN511" s="44"/>
    </row>
    <row r="512" spans="1:40">
      <c r="A512" s="44"/>
      <c r="B512" s="44"/>
      <c r="C512" s="44"/>
      <c r="D512" s="44"/>
      <c r="E512" s="44"/>
      <c r="F512" s="43"/>
      <c r="G512" s="44"/>
      <c r="H512" s="45"/>
      <c r="I512" s="44"/>
      <c r="J512" s="44"/>
      <c r="K512" s="143"/>
      <c r="L512" s="144"/>
      <c r="M512" s="143"/>
      <c r="N512" s="143"/>
      <c r="O512" s="44"/>
      <c r="P512" s="44"/>
      <c r="Q512" s="45"/>
      <c r="R512" s="147"/>
      <c r="S512" s="147"/>
      <c r="T512" s="147"/>
      <c r="U512" s="148"/>
      <c r="V512" s="149"/>
      <c r="W512" s="150"/>
      <c r="X512" s="151"/>
      <c r="Y512" s="44"/>
      <c r="Z512" s="44"/>
      <c r="AA512" s="152"/>
      <c r="AB512" s="152"/>
      <c r="AC512" s="152"/>
      <c r="AD512" s="152"/>
      <c r="AE512" s="152"/>
      <c r="AF512" s="152"/>
      <c r="AG512" s="152"/>
      <c r="AH512" s="44"/>
      <c r="AI512" s="44"/>
      <c r="AJ512" s="44"/>
      <c r="AK512" s="44"/>
      <c r="AL512" s="44"/>
      <c r="AM512" s="44"/>
      <c r="AN512" s="44"/>
    </row>
    <row r="513" spans="1:40">
      <c r="A513" s="44"/>
      <c r="B513" s="44"/>
      <c r="C513" s="44"/>
      <c r="D513" s="44"/>
      <c r="E513" s="44"/>
      <c r="F513" s="43"/>
      <c r="G513" s="44"/>
      <c r="H513" s="45"/>
      <c r="I513" s="44"/>
      <c r="J513" s="44"/>
      <c r="K513" s="143"/>
      <c r="L513" s="144"/>
      <c r="M513" s="143"/>
      <c r="N513" s="143"/>
      <c r="O513" s="44"/>
      <c r="P513" s="44"/>
      <c r="Q513" s="45"/>
      <c r="R513" s="147"/>
      <c r="S513" s="147"/>
      <c r="T513" s="147"/>
      <c r="U513" s="148"/>
      <c r="V513" s="149"/>
      <c r="W513" s="150"/>
      <c r="X513" s="151"/>
      <c r="Y513" s="44"/>
      <c r="Z513" s="44"/>
      <c r="AA513" s="152"/>
      <c r="AB513" s="152"/>
      <c r="AC513" s="152"/>
      <c r="AD513" s="152"/>
      <c r="AE513" s="152"/>
      <c r="AF513" s="152"/>
      <c r="AG513" s="152"/>
      <c r="AH513" s="44"/>
      <c r="AI513" s="44"/>
      <c r="AJ513" s="44"/>
      <c r="AK513" s="44"/>
      <c r="AL513" s="44"/>
      <c r="AM513" s="44"/>
      <c r="AN513" s="44"/>
    </row>
    <row r="514" spans="1:40">
      <c r="A514" s="44"/>
      <c r="B514" s="44"/>
      <c r="C514" s="44"/>
      <c r="D514" s="44"/>
      <c r="E514" s="44"/>
      <c r="F514" s="43"/>
      <c r="G514" s="44"/>
      <c r="H514" s="45"/>
      <c r="I514" s="44"/>
      <c r="J514" s="44"/>
      <c r="K514" s="143"/>
      <c r="L514" s="144"/>
      <c r="M514" s="143"/>
      <c r="N514" s="143"/>
      <c r="O514" s="44"/>
      <c r="P514" s="44"/>
      <c r="Q514" s="45"/>
      <c r="R514" s="147"/>
      <c r="S514" s="147"/>
      <c r="T514" s="147"/>
      <c r="U514" s="148"/>
      <c r="V514" s="149"/>
      <c r="W514" s="150"/>
      <c r="X514" s="151"/>
      <c r="Y514" s="44"/>
      <c r="Z514" s="44"/>
      <c r="AA514" s="152"/>
      <c r="AB514" s="152"/>
      <c r="AC514" s="152"/>
      <c r="AD514" s="152"/>
      <c r="AE514" s="152"/>
      <c r="AF514" s="152"/>
      <c r="AG514" s="152"/>
      <c r="AH514" s="44"/>
      <c r="AI514" s="44"/>
      <c r="AJ514" s="44"/>
      <c r="AK514" s="44"/>
      <c r="AL514" s="44"/>
      <c r="AM514" s="44"/>
      <c r="AN514" s="44"/>
    </row>
    <row r="515" spans="1:40">
      <c r="A515" s="44"/>
      <c r="B515" s="44"/>
      <c r="C515" s="44"/>
      <c r="D515" s="44"/>
      <c r="E515" s="44"/>
      <c r="F515" s="43"/>
      <c r="G515" s="44"/>
      <c r="H515" s="45"/>
      <c r="I515" s="44"/>
      <c r="J515" s="44"/>
      <c r="K515" s="143"/>
      <c r="L515" s="144"/>
      <c r="M515" s="143"/>
      <c r="N515" s="143"/>
      <c r="O515" s="44"/>
      <c r="P515" s="44"/>
      <c r="Q515" s="45"/>
      <c r="R515" s="147"/>
      <c r="S515" s="147"/>
      <c r="T515" s="147"/>
      <c r="U515" s="148"/>
      <c r="V515" s="149"/>
      <c r="W515" s="150"/>
      <c r="X515" s="151"/>
      <c r="Y515" s="44"/>
      <c r="Z515" s="44"/>
      <c r="AA515" s="152"/>
      <c r="AB515" s="152"/>
      <c r="AC515" s="152"/>
      <c r="AD515" s="152"/>
      <c r="AE515" s="152"/>
      <c r="AF515" s="152"/>
      <c r="AG515" s="152"/>
      <c r="AH515" s="44"/>
      <c r="AI515" s="44"/>
      <c r="AJ515" s="44"/>
      <c r="AK515" s="44"/>
      <c r="AL515" s="44"/>
      <c r="AM515" s="44"/>
      <c r="AN515" s="44"/>
    </row>
    <row r="516" spans="1:40">
      <c r="A516" s="44"/>
      <c r="B516" s="44"/>
      <c r="C516" s="44"/>
      <c r="D516" s="44"/>
      <c r="E516" s="44"/>
      <c r="F516" s="43"/>
      <c r="G516" s="44"/>
      <c r="H516" s="45"/>
      <c r="I516" s="44"/>
      <c r="J516" s="44"/>
      <c r="K516" s="143"/>
      <c r="L516" s="144"/>
      <c r="M516" s="143"/>
      <c r="N516" s="143"/>
      <c r="O516" s="44"/>
      <c r="P516" s="44"/>
      <c r="Q516" s="45"/>
      <c r="R516" s="147"/>
      <c r="S516" s="147"/>
      <c r="T516" s="147"/>
      <c r="U516" s="148"/>
      <c r="V516" s="149"/>
      <c r="W516" s="150"/>
      <c r="X516" s="151"/>
      <c r="Y516" s="44"/>
      <c r="Z516" s="44"/>
      <c r="AA516" s="152"/>
      <c r="AB516" s="152"/>
      <c r="AC516" s="152"/>
      <c r="AD516" s="152"/>
      <c r="AE516" s="152"/>
      <c r="AF516" s="152"/>
      <c r="AG516" s="152"/>
      <c r="AH516" s="44"/>
      <c r="AI516" s="44"/>
      <c r="AJ516" s="44"/>
      <c r="AK516" s="44"/>
      <c r="AL516" s="44"/>
      <c r="AM516" s="44"/>
      <c r="AN516" s="44"/>
    </row>
    <row r="517" spans="1:40">
      <c r="A517" s="44"/>
      <c r="B517" s="44"/>
      <c r="C517" s="44"/>
      <c r="D517" s="44"/>
      <c r="E517" s="44"/>
      <c r="F517" s="43"/>
      <c r="G517" s="44"/>
      <c r="H517" s="45"/>
      <c r="I517" s="44"/>
      <c r="J517" s="44"/>
      <c r="K517" s="143"/>
      <c r="L517" s="144"/>
      <c r="M517" s="143"/>
      <c r="N517" s="143"/>
      <c r="O517" s="44"/>
      <c r="P517" s="44"/>
      <c r="Q517" s="45"/>
      <c r="R517" s="147"/>
      <c r="S517" s="147"/>
      <c r="T517" s="147"/>
      <c r="U517" s="148"/>
      <c r="V517" s="149"/>
      <c r="W517" s="150"/>
      <c r="X517" s="151"/>
      <c r="Y517" s="44"/>
      <c r="Z517" s="44"/>
      <c r="AA517" s="152"/>
      <c r="AB517" s="152"/>
      <c r="AC517" s="152"/>
      <c r="AD517" s="152"/>
      <c r="AE517" s="152"/>
      <c r="AF517" s="152"/>
      <c r="AG517" s="152"/>
      <c r="AH517" s="44"/>
      <c r="AI517" s="44"/>
      <c r="AJ517" s="44"/>
      <c r="AK517" s="44"/>
      <c r="AL517" s="44"/>
      <c r="AM517" s="44"/>
      <c r="AN517" s="44"/>
    </row>
    <row r="518" spans="1:40">
      <c r="A518" s="44"/>
      <c r="B518" s="44"/>
      <c r="C518" s="44"/>
      <c r="D518" s="44"/>
      <c r="E518" s="44"/>
      <c r="F518" s="43"/>
      <c r="G518" s="44"/>
      <c r="H518" s="45"/>
      <c r="I518" s="44"/>
      <c r="J518" s="44"/>
      <c r="K518" s="143"/>
      <c r="L518" s="144"/>
      <c r="M518" s="143"/>
      <c r="N518" s="143"/>
      <c r="O518" s="44"/>
      <c r="P518" s="44"/>
      <c r="Q518" s="45"/>
      <c r="R518" s="147"/>
      <c r="S518" s="147"/>
      <c r="T518" s="147"/>
      <c r="U518" s="148"/>
      <c r="V518" s="149"/>
      <c r="W518" s="150"/>
      <c r="X518" s="151"/>
      <c r="Y518" s="44"/>
      <c r="Z518" s="44"/>
      <c r="AA518" s="152"/>
      <c r="AB518" s="152"/>
      <c r="AC518" s="152"/>
      <c r="AD518" s="152"/>
      <c r="AE518" s="152"/>
      <c r="AF518" s="152"/>
      <c r="AG518" s="152"/>
      <c r="AH518" s="44"/>
      <c r="AI518" s="44"/>
      <c r="AJ518" s="44"/>
      <c r="AK518" s="44"/>
      <c r="AL518" s="44"/>
      <c r="AM518" s="44"/>
      <c r="AN518" s="44"/>
    </row>
    <row r="519" spans="1:40">
      <c r="A519" s="44"/>
      <c r="B519" s="44"/>
      <c r="C519" s="44"/>
      <c r="D519" s="44"/>
      <c r="E519" s="44"/>
      <c r="F519" s="43"/>
      <c r="G519" s="44"/>
      <c r="H519" s="45"/>
      <c r="I519" s="44"/>
      <c r="J519" s="44"/>
      <c r="K519" s="143"/>
      <c r="L519" s="144"/>
      <c r="M519" s="143"/>
      <c r="N519" s="143"/>
      <c r="O519" s="44"/>
      <c r="P519" s="44"/>
      <c r="Q519" s="45"/>
      <c r="R519" s="147"/>
      <c r="S519" s="147"/>
      <c r="T519" s="147"/>
      <c r="U519" s="148"/>
      <c r="V519" s="149"/>
      <c r="W519" s="150"/>
      <c r="X519" s="151"/>
      <c r="Y519" s="44"/>
      <c r="Z519" s="44"/>
      <c r="AA519" s="152"/>
      <c r="AB519" s="152"/>
      <c r="AC519" s="152"/>
      <c r="AD519" s="152"/>
      <c r="AE519" s="152"/>
      <c r="AF519" s="152"/>
      <c r="AG519" s="152"/>
      <c r="AH519" s="44"/>
      <c r="AI519" s="44"/>
      <c r="AJ519" s="44"/>
      <c r="AK519" s="44"/>
      <c r="AL519" s="44"/>
      <c r="AM519" s="44"/>
      <c r="AN519" s="44"/>
    </row>
    <row r="520" spans="1:40">
      <c r="A520" s="44"/>
      <c r="B520" s="44"/>
      <c r="C520" s="44"/>
      <c r="D520" s="44"/>
      <c r="E520" s="44"/>
      <c r="F520" s="43"/>
      <c r="G520" s="44"/>
      <c r="H520" s="45"/>
      <c r="I520" s="44"/>
      <c r="J520" s="44"/>
      <c r="K520" s="143"/>
      <c r="L520" s="144"/>
      <c r="M520" s="143"/>
      <c r="N520" s="143"/>
      <c r="O520" s="44"/>
      <c r="P520" s="44"/>
      <c r="Q520" s="45"/>
      <c r="R520" s="147"/>
      <c r="S520" s="147"/>
      <c r="T520" s="147"/>
      <c r="U520" s="148"/>
      <c r="V520" s="149"/>
      <c r="W520" s="150"/>
      <c r="X520" s="151"/>
      <c r="Y520" s="44"/>
      <c r="Z520" s="44"/>
      <c r="AA520" s="152"/>
      <c r="AB520" s="152"/>
      <c r="AC520" s="152"/>
      <c r="AD520" s="152"/>
      <c r="AE520" s="152"/>
      <c r="AF520" s="152"/>
      <c r="AG520" s="152"/>
      <c r="AH520" s="44"/>
      <c r="AI520" s="44"/>
      <c r="AJ520" s="44"/>
      <c r="AK520" s="44"/>
      <c r="AL520" s="44"/>
      <c r="AM520" s="44"/>
      <c r="AN520" s="44"/>
    </row>
    <row r="521" spans="1:40">
      <c r="A521" s="44"/>
      <c r="B521" s="44"/>
      <c r="C521" s="44"/>
      <c r="D521" s="44"/>
      <c r="E521" s="44"/>
      <c r="F521" s="43"/>
      <c r="G521" s="44"/>
      <c r="H521" s="45"/>
      <c r="I521" s="44"/>
      <c r="J521" s="44"/>
      <c r="K521" s="143"/>
      <c r="L521" s="144"/>
      <c r="M521" s="143"/>
      <c r="N521" s="143"/>
      <c r="O521" s="44"/>
      <c r="P521" s="44"/>
      <c r="Q521" s="45"/>
      <c r="R521" s="147"/>
      <c r="S521" s="147"/>
      <c r="T521" s="147"/>
      <c r="U521" s="148"/>
      <c r="V521" s="149"/>
      <c r="W521" s="150"/>
      <c r="X521" s="151"/>
      <c r="Y521" s="44"/>
      <c r="Z521" s="44"/>
      <c r="AA521" s="152"/>
      <c r="AB521" s="152"/>
      <c r="AC521" s="152"/>
      <c r="AD521" s="152"/>
      <c r="AE521" s="152"/>
      <c r="AF521" s="152"/>
      <c r="AG521" s="152"/>
      <c r="AH521" s="44"/>
      <c r="AI521" s="44"/>
      <c r="AJ521" s="44"/>
      <c r="AK521" s="44"/>
      <c r="AL521" s="44"/>
      <c r="AM521" s="44"/>
      <c r="AN521" s="44"/>
    </row>
    <row r="522" spans="1:40">
      <c r="A522" s="44"/>
      <c r="B522" s="44"/>
      <c r="C522" s="44"/>
      <c r="D522" s="44"/>
      <c r="E522" s="44"/>
      <c r="F522" s="43"/>
      <c r="G522" s="44"/>
      <c r="H522" s="45"/>
      <c r="I522" s="44"/>
      <c r="J522" s="44"/>
      <c r="K522" s="143"/>
      <c r="L522" s="144"/>
      <c r="M522" s="143"/>
      <c r="N522" s="143"/>
      <c r="O522" s="44"/>
      <c r="P522" s="44"/>
      <c r="Q522" s="45"/>
      <c r="R522" s="147"/>
      <c r="S522" s="147"/>
      <c r="T522" s="147"/>
      <c r="U522" s="148"/>
      <c r="V522" s="149"/>
      <c r="W522" s="150"/>
      <c r="X522" s="151"/>
      <c r="Y522" s="44"/>
      <c r="Z522" s="44"/>
      <c r="AA522" s="152"/>
      <c r="AB522" s="152"/>
      <c r="AC522" s="152"/>
      <c r="AD522" s="152"/>
      <c r="AE522" s="152"/>
      <c r="AF522" s="152"/>
      <c r="AG522" s="152"/>
      <c r="AH522" s="44"/>
      <c r="AI522" s="44"/>
      <c r="AJ522" s="44"/>
      <c r="AK522" s="44"/>
      <c r="AL522" s="44"/>
      <c r="AM522" s="44"/>
      <c r="AN522" s="44"/>
    </row>
    <row r="523" spans="1:40">
      <c r="A523" s="44"/>
      <c r="B523" s="44"/>
      <c r="C523" s="44"/>
      <c r="D523" s="44"/>
      <c r="E523" s="44"/>
      <c r="F523" s="43"/>
      <c r="G523" s="44"/>
      <c r="H523" s="45"/>
      <c r="I523" s="44"/>
      <c r="J523" s="44"/>
      <c r="K523" s="143"/>
      <c r="L523" s="144"/>
      <c r="M523" s="143"/>
      <c r="N523" s="143"/>
      <c r="O523" s="44"/>
      <c r="P523" s="44"/>
      <c r="Q523" s="45"/>
      <c r="R523" s="147"/>
      <c r="S523" s="147"/>
      <c r="T523" s="147"/>
      <c r="U523" s="148"/>
      <c r="V523" s="149"/>
      <c r="W523" s="150"/>
      <c r="X523" s="151"/>
      <c r="Y523" s="44"/>
      <c r="Z523" s="44"/>
      <c r="AA523" s="152"/>
      <c r="AB523" s="152"/>
      <c r="AC523" s="152"/>
      <c r="AD523" s="152"/>
      <c r="AE523" s="152"/>
      <c r="AF523" s="152"/>
      <c r="AG523" s="152"/>
      <c r="AH523" s="44"/>
      <c r="AI523" s="44"/>
      <c r="AJ523" s="44"/>
      <c r="AK523" s="44"/>
      <c r="AL523" s="44"/>
      <c r="AM523" s="44"/>
      <c r="AN523" s="44"/>
    </row>
    <row r="524" spans="1:40">
      <c r="A524" s="44"/>
      <c r="B524" s="44"/>
      <c r="C524" s="44"/>
      <c r="D524" s="44"/>
      <c r="E524" s="44"/>
      <c r="F524" s="43"/>
      <c r="G524" s="44"/>
      <c r="H524" s="45"/>
      <c r="I524" s="44"/>
      <c r="J524" s="44"/>
      <c r="K524" s="143"/>
      <c r="L524" s="144"/>
      <c r="M524" s="143"/>
      <c r="N524" s="143"/>
      <c r="O524" s="44"/>
      <c r="P524" s="44"/>
      <c r="Q524" s="45"/>
      <c r="R524" s="147"/>
      <c r="S524" s="147"/>
      <c r="T524" s="147"/>
      <c r="U524" s="148"/>
      <c r="V524" s="149"/>
      <c r="W524" s="150"/>
      <c r="X524" s="151"/>
      <c r="Y524" s="44"/>
      <c r="Z524" s="44"/>
      <c r="AA524" s="152"/>
      <c r="AB524" s="152"/>
      <c r="AC524" s="152"/>
      <c r="AD524" s="152"/>
      <c r="AE524" s="152"/>
      <c r="AF524" s="152"/>
      <c r="AG524" s="152"/>
      <c r="AH524" s="44"/>
      <c r="AI524" s="44"/>
      <c r="AJ524" s="44"/>
      <c r="AK524" s="44"/>
      <c r="AL524" s="44"/>
      <c r="AM524" s="44"/>
      <c r="AN524" s="44"/>
    </row>
    <row r="525" spans="1:40">
      <c r="A525" s="44"/>
      <c r="B525" s="44"/>
      <c r="C525" s="44"/>
      <c r="D525" s="44"/>
      <c r="E525" s="44"/>
      <c r="F525" s="43"/>
      <c r="G525" s="44"/>
      <c r="H525" s="45"/>
      <c r="I525" s="44"/>
      <c r="J525" s="44"/>
      <c r="K525" s="143"/>
      <c r="L525" s="144"/>
      <c r="M525" s="143"/>
      <c r="N525" s="143"/>
      <c r="O525" s="44"/>
      <c r="P525" s="44"/>
      <c r="Q525" s="45"/>
      <c r="R525" s="147"/>
      <c r="S525" s="147"/>
      <c r="T525" s="147"/>
      <c r="U525" s="148"/>
      <c r="V525" s="149"/>
      <c r="W525" s="150"/>
      <c r="X525" s="151"/>
      <c r="Y525" s="44"/>
      <c r="Z525" s="44"/>
      <c r="AA525" s="152"/>
      <c r="AB525" s="152"/>
      <c r="AC525" s="152"/>
      <c r="AD525" s="152"/>
      <c r="AE525" s="152"/>
      <c r="AF525" s="152"/>
      <c r="AG525" s="152"/>
      <c r="AH525" s="44"/>
      <c r="AI525" s="44"/>
      <c r="AJ525" s="44"/>
      <c r="AK525" s="44"/>
      <c r="AL525" s="44"/>
      <c r="AM525" s="44"/>
      <c r="AN525" s="44"/>
    </row>
    <row r="526" spans="1:40">
      <c r="A526" s="44"/>
      <c r="B526" s="44"/>
      <c r="C526" s="44"/>
      <c r="D526" s="44"/>
      <c r="E526" s="44"/>
      <c r="F526" s="43"/>
      <c r="G526" s="44"/>
      <c r="H526" s="45"/>
      <c r="I526" s="44"/>
      <c r="J526" s="44"/>
      <c r="K526" s="143"/>
      <c r="L526" s="144"/>
      <c r="M526" s="143"/>
      <c r="N526" s="143"/>
      <c r="O526" s="44"/>
      <c r="P526" s="44"/>
      <c r="Q526" s="45"/>
      <c r="R526" s="147"/>
      <c r="S526" s="147"/>
      <c r="T526" s="147"/>
      <c r="U526" s="148"/>
      <c r="V526" s="149"/>
      <c r="W526" s="150"/>
      <c r="X526" s="151"/>
      <c r="Y526" s="44"/>
      <c r="Z526" s="44"/>
      <c r="AA526" s="152"/>
      <c r="AB526" s="152"/>
      <c r="AC526" s="152"/>
      <c r="AD526" s="152"/>
      <c r="AE526" s="152"/>
      <c r="AF526" s="152"/>
      <c r="AG526" s="152"/>
      <c r="AH526" s="44"/>
      <c r="AI526" s="44"/>
      <c r="AJ526" s="44"/>
      <c r="AK526" s="44"/>
      <c r="AL526" s="44"/>
      <c r="AM526" s="44"/>
      <c r="AN526" s="44"/>
    </row>
    <row r="527" spans="1:40">
      <c r="A527" s="44"/>
      <c r="B527" s="44"/>
      <c r="C527" s="44"/>
      <c r="D527" s="44"/>
      <c r="E527" s="44"/>
      <c r="F527" s="43"/>
      <c r="G527" s="44"/>
      <c r="H527" s="45"/>
      <c r="I527" s="44"/>
      <c r="J527" s="44"/>
      <c r="K527" s="143"/>
      <c r="L527" s="144"/>
      <c r="M527" s="143"/>
      <c r="N527" s="143"/>
      <c r="O527" s="44"/>
      <c r="P527" s="44"/>
      <c r="Q527" s="45"/>
      <c r="R527" s="147"/>
      <c r="S527" s="147"/>
      <c r="T527" s="147"/>
      <c r="U527" s="148"/>
      <c r="V527" s="149"/>
      <c r="W527" s="150"/>
      <c r="X527" s="151"/>
      <c r="Y527" s="44"/>
      <c r="Z527" s="44"/>
      <c r="AA527" s="152"/>
      <c r="AB527" s="152"/>
      <c r="AC527" s="152"/>
      <c r="AD527" s="152"/>
      <c r="AE527" s="152"/>
      <c r="AF527" s="152"/>
      <c r="AG527" s="152"/>
      <c r="AH527" s="44"/>
      <c r="AI527" s="44"/>
      <c r="AJ527" s="44"/>
      <c r="AK527" s="44"/>
      <c r="AL527" s="44"/>
      <c r="AM527" s="44"/>
      <c r="AN527" s="44"/>
    </row>
    <row r="528" spans="1:40">
      <c r="A528" s="44"/>
      <c r="B528" s="44"/>
      <c r="C528" s="44"/>
      <c r="D528" s="44"/>
      <c r="E528" s="44"/>
      <c r="F528" s="43"/>
      <c r="G528" s="44"/>
      <c r="H528" s="45"/>
      <c r="I528" s="44"/>
      <c r="J528" s="44"/>
      <c r="K528" s="143"/>
      <c r="L528" s="144"/>
      <c r="M528" s="143"/>
      <c r="N528" s="143"/>
      <c r="O528" s="44"/>
      <c r="P528" s="44"/>
      <c r="Q528" s="45"/>
      <c r="R528" s="147"/>
      <c r="S528" s="147"/>
      <c r="T528" s="147"/>
      <c r="U528" s="148"/>
      <c r="V528" s="149"/>
      <c r="W528" s="150"/>
      <c r="X528" s="151"/>
      <c r="Y528" s="44"/>
      <c r="Z528" s="44"/>
      <c r="AA528" s="152"/>
      <c r="AB528" s="152"/>
      <c r="AC528" s="152"/>
      <c r="AD528" s="152"/>
      <c r="AE528" s="152"/>
      <c r="AF528" s="152"/>
      <c r="AG528" s="152"/>
      <c r="AH528" s="44"/>
      <c r="AI528" s="44"/>
      <c r="AJ528" s="44"/>
      <c r="AK528" s="44"/>
      <c r="AL528" s="44"/>
      <c r="AM528" s="44"/>
      <c r="AN528" s="44"/>
    </row>
    <row r="529" spans="1:40">
      <c r="A529" s="44"/>
      <c r="B529" s="44"/>
      <c r="C529" s="44"/>
      <c r="D529" s="44"/>
      <c r="E529" s="44"/>
      <c r="F529" s="43"/>
      <c r="G529" s="44"/>
      <c r="H529" s="45"/>
      <c r="I529" s="44"/>
      <c r="J529" s="44"/>
      <c r="K529" s="143"/>
      <c r="L529" s="144"/>
      <c r="M529" s="143"/>
      <c r="N529" s="143"/>
      <c r="O529" s="44"/>
      <c r="P529" s="44"/>
      <c r="Q529" s="45"/>
      <c r="R529" s="147"/>
      <c r="S529" s="147"/>
      <c r="T529" s="147"/>
      <c r="U529" s="148"/>
      <c r="V529" s="149"/>
      <c r="W529" s="150"/>
      <c r="X529" s="151"/>
      <c r="Y529" s="44"/>
      <c r="Z529" s="44"/>
      <c r="AA529" s="152"/>
      <c r="AB529" s="152"/>
      <c r="AC529" s="152"/>
      <c r="AD529" s="152"/>
      <c r="AE529" s="152"/>
      <c r="AF529" s="152"/>
      <c r="AG529" s="152"/>
      <c r="AH529" s="44"/>
      <c r="AI529" s="44"/>
      <c r="AJ529" s="44"/>
      <c r="AK529" s="44"/>
      <c r="AL529" s="44"/>
      <c r="AM529" s="44"/>
      <c r="AN529" s="44"/>
    </row>
    <row r="530" spans="1:40">
      <c r="A530" s="44"/>
      <c r="B530" s="44"/>
      <c r="C530" s="44"/>
      <c r="D530" s="44"/>
      <c r="E530" s="44"/>
      <c r="F530" s="43"/>
      <c r="G530" s="44"/>
      <c r="H530" s="45"/>
      <c r="I530" s="44"/>
      <c r="J530" s="44"/>
      <c r="K530" s="143"/>
      <c r="L530" s="144"/>
      <c r="M530" s="143"/>
      <c r="N530" s="143"/>
      <c r="O530" s="44"/>
      <c r="P530" s="44"/>
      <c r="Q530" s="45"/>
      <c r="R530" s="147"/>
      <c r="S530" s="147"/>
      <c r="T530" s="147"/>
      <c r="U530" s="148"/>
      <c r="V530" s="149"/>
      <c r="W530" s="150"/>
      <c r="X530" s="151"/>
      <c r="Y530" s="44"/>
      <c r="Z530" s="44"/>
      <c r="AA530" s="152"/>
      <c r="AB530" s="152"/>
      <c r="AC530" s="152"/>
      <c r="AD530" s="152"/>
      <c r="AE530" s="152"/>
      <c r="AF530" s="152"/>
      <c r="AG530" s="152"/>
      <c r="AH530" s="44"/>
      <c r="AI530" s="44"/>
      <c r="AJ530" s="44"/>
      <c r="AK530" s="44"/>
      <c r="AL530" s="44"/>
      <c r="AM530" s="44"/>
      <c r="AN530" s="44"/>
    </row>
    <row r="531" spans="1:40">
      <c r="A531" s="44"/>
      <c r="B531" s="44"/>
      <c r="C531" s="44"/>
      <c r="D531" s="44"/>
      <c r="E531" s="44"/>
      <c r="F531" s="43"/>
      <c r="G531" s="44"/>
      <c r="H531" s="45"/>
      <c r="I531" s="44"/>
      <c r="J531" s="44"/>
      <c r="K531" s="143"/>
      <c r="L531" s="144"/>
      <c r="M531" s="143"/>
      <c r="N531" s="143"/>
      <c r="O531" s="44"/>
      <c r="P531" s="44"/>
      <c r="Q531" s="45"/>
      <c r="R531" s="147"/>
      <c r="S531" s="147"/>
      <c r="T531" s="147"/>
      <c r="U531" s="148"/>
      <c r="V531" s="149"/>
      <c r="W531" s="150"/>
      <c r="X531" s="151"/>
      <c r="Y531" s="44"/>
      <c r="Z531" s="44"/>
      <c r="AA531" s="152"/>
      <c r="AB531" s="152"/>
      <c r="AC531" s="152"/>
      <c r="AD531" s="152"/>
      <c r="AE531" s="152"/>
      <c r="AF531" s="152"/>
      <c r="AG531" s="152"/>
      <c r="AH531" s="44"/>
      <c r="AI531" s="44"/>
      <c r="AJ531" s="44"/>
      <c r="AK531" s="44"/>
      <c r="AL531" s="44"/>
      <c r="AM531" s="44"/>
      <c r="AN531" s="44"/>
    </row>
    <row r="532" spans="1:40">
      <c r="A532" s="44"/>
      <c r="B532" s="44"/>
      <c r="C532" s="44"/>
      <c r="D532" s="44"/>
      <c r="E532" s="44"/>
      <c r="F532" s="43"/>
      <c r="G532" s="44"/>
      <c r="H532" s="45"/>
      <c r="I532" s="44"/>
      <c r="J532" s="44"/>
      <c r="K532" s="143"/>
      <c r="L532" s="144"/>
      <c r="M532" s="143"/>
      <c r="N532" s="143"/>
      <c r="O532" s="44"/>
      <c r="P532" s="44"/>
      <c r="Q532" s="45"/>
      <c r="R532" s="147"/>
      <c r="S532" s="147"/>
      <c r="T532" s="147"/>
      <c r="U532" s="148"/>
      <c r="V532" s="149"/>
      <c r="W532" s="150"/>
      <c r="X532" s="151"/>
      <c r="Y532" s="44"/>
      <c r="Z532" s="44"/>
      <c r="AA532" s="152"/>
      <c r="AB532" s="152"/>
      <c r="AC532" s="152"/>
      <c r="AD532" s="152"/>
      <c r="AE532" s="152"/>
      <c r="AF532" s="152"/>
      <c r="AG532" s="152"/>
      <c r="AH532" s="44"/>
      <c r="AI532" s="44"/>
      <c r="AJ532" s="44"/>
      <c r="AK532" s="44"/>
      <c r="AL532" s="44"/>
      <c r="AM532" s="44"/>
      <c r="AN532" s="44"/>
    </row>
    <row r="533" spans="1:40">
      <c r="A533" s="44"/>
      <c r="B533" s="44"/>
      <c r="C533" s="44"/>
      <c r="D533" s="44"/>
      <c r="E533" s="44"/>
      <c r="F533" s="43"/>
      <c r="G533" s="44"/>
      <c r="H533" s="45"/>
      <c r="I533" s="44"/>
      <c r="J533" s="44"/>
      <c r="K533" s="143"/>
      <c r="L533" s="144"/>
      <c r="M533" s="143"/>
      <c r="N533" s="143"/>
      <c r="O533" s="44"/>
      <c r="P533" s="44"/>
      <c r="Q533" s="45"/>
      <c r="R533" s="147"/>
      <c r="S533" s="147"/>
      <c r="T533" s="147"/>
      <c r="U533" s="148"/>
      <c r="V533" s="149"/>
      <c r="W533" s="150"/>
      <c r="X533" s="151"/>
      <c r="Y533" s="44"/>
      <c r="Z533" s="44"/>
      <c r="AA533" s="152"/>
      <c r="AB533" s="152"/>
      <c r="AC533" s="152"/>
      <c r="AD533" s="152"/>
      <c r="AE533" s="152"/>
      <c r="AF533" s="152"/>
      <c r="AG533" s="152"/>
      <c r="AH533" s="44"/>
      <c r="AI533" s="44"/>
      <c r="AJ533" s="44"/>
      <c r="AK533" s="44"/>
      <c r="AL533" s="44"/>
      <c r="AM533" s="44"/>
      <c r="AN533" s="44"/>
    </row>
    <row r="534" spans="1:40">
      <c r="A534" s="44"/>
      <c r="B534" s="44"/>
      <c r="C534" s="44"/>
      <c r="D534" s="44"/>
      <c r="E534" s="44"/>
      <c r="F534" s="43"/>
      <c r="G534" s="44"/>
      <c r="H534" s="45"/>
      <c r="I534" s="44"/>
      <c r="J534" s="44"/>
      <c r="K534" s="143"/>
      <c r="L534" s="144"/>
      <c r="M534" s="143"/>
      <c r="N534" s="143"/>
      <c r="O534" s="44"/>
      <c r="P534" s="44"/>
      <c r="Q534" s="45"/>
      <c r="R534" s="147"/>
      <c r="S534" s="147"/>
      <c r="T534" s="147"/>
      <c r="U534" s="148"/>
      <c r="V534" s="149"/>
      <c r="W534" s="150"/>
      <c r="X534" s="151"/>
      <c r="Y534" s="44"/>
      <c r="Z534" s="44"/>
      <c r="AA534" s="152"/>
      <c r="AB534" s="152"/>
      <c r="AC534" s="152"/>
      <c r="AD534" s="152"/>
      <c r="AE534" s="152"/>
      <c r="AF534" s="152"/>
      <c r="AG534" s="152"/>
      <c r="AH534" s="44"/>
      <c r="AI534" s="44"/>
      <c r="AJ534" s="44"/>
      <c r="AK534" s="44"/>
      <c r="AL534" s="44"/>
      <c r="AM534" s="44"/>
      <c r="AN534" s="44"/>
    </row>
    <row r="535" spans="1:40">
      <c r="A535" s="44"/>
      <c r="B535" s="44"/>
      <c r="C535" s="44"/>
      <c r="D535" s="44"/>
      <c r="E535" s="44"/>
      <c r="F535" s="43"/>
      <c r="G535" s="44"/>
      <c r="H535" s="45"/>
      <c r="I535" s="44"/>
      <c r="J535" s="44"/>
      <c r="K535" s="143"/>
      <c r="L535" s="144"/>
      <c r="M535" s="143"/>
      <c r="N535" s="143"/>
      <c r="O535" s="44"/>
      <c r="P535" s="44"/>
      <c r="Q535" s="45"/>
      <c r="R535" s="147"/>
      <c r="S535" s="147"/>
      <c r="T535" s="147"/>
      <c r="U535" s="148"/>
      <c r="V535" s="149"/>
      <c r="W535" s="150"/>
      <c r="X535" s="151"/>
      <c r="Y535" s="44"/>
      <c r="Z535" s="44"/>
      <c r="AA535" s="152"/>
      <c r="AB535" s="152"/>
      <c r="AC535" s="152"/>
      <c r="AD535" s="152"/>
      <c r="AE535" s="152"/>
      <c r="AF535" s="152"/>
      <c r="AG535" s="152"/>
      <c r="AH535" s="44"/>
      <c r="AI535" s="44"/>
      <c r="AJ535" s="44"/>
      <c r="AK535" s="44"/>
      <c r="AL535" s="44"/>
      <c r="AM535" s="44"/>
      <c r="AN535" s="44"/>
    </row>
    <row r="536" spans="1:40">
      <c r="A536" s="44"/>
      <c r="B536" s="44"/>
      <c r="C536" s="44"/>
      <c r="D536" s="44"/>
      <c r="E536" s="44"/>
      <c r="F536" s="43"/>
      <c r="G536" s="44"/>
      <c r="H536" s="45"/>
      <c r="I536" s="44"/>
      <c r="J536" s="44"/>
      <c r="K536" s="143"/>
      <c r="L536" s="144"/>
      <c r="M536" s="143"/>
      <c r="N536" s="143"/>
      <c r="O536" s="44"/>
      <c r="P536" s="44"/>
      <c r="Q536" s="45"/>
      <c r="R536" s="147"/>
      <c r="S536" s="147"/>
      <c r="T536" s="147"/>
      <c r="U536" s="148"/>
      <c r="V536" s="149"/>
      <c r="W536" s="150"/>
      <c r="X536" s="151"/>
      <c r="Y536" s="44"/>
      <c r="Z536" s="44"/>
      <c r="AA536" s="152"/>
      <c r="AB536" s="152"/>
      <c r="AC536" s="152"/>
      <c r="AD536" s="152"/>
      <c r="AE536" s="152"/>
      <c r="AF536" s="152"/>
      <c r="AG536" s="152"/>
      <c r="AH536" s="44"/>
      <c r="AI536" s="44"/>
      <c r="AJ536" s="44"/>
      <c r="AK536" s="44"/>
      <c r="AL536" s="44"/>
      <c r="AM536" s="44"/>
      <c r="AN536" s="44"/>
    </row>
    <row r="537" spans="1:40">
      <c r="A537" s="44"/>
      <c r="B537" s="44"/>
      <c r="C537" s="44"/>
      <c r="D537" s="44"/>
      <c r="E537" s="44"/>
      <c r="F537" s="43"/>
      <c r="G537" s="44"/>
      <c r="H537" s="45"/>
      <c r="I537" s="44"/>
      <c r="J537" s="44"/>
      <c r="K537" s="143"/>
      <c r="L537" s="144"/>
      <c r="M537" s="143"/>
      <c r="N537" s="143"/>
      <c r="O537" s="44"/>
      <c r="P537" s="44"/>
      <c r="Q537" s="45"/>
      <c r="R537" s="147"/>
      <c r="S537" s="147"/>
      <c r="T537" s="147"/>
      <c r="U537" s="148"/>
      <c r="V537" s="149"/>
      <c r="W537" s="150"/>
      <c r="X537" s="151"/>
      <c r="Y537" s="44"/>
      <c r="Z537" s="44"/>
      <c r="AA537" s="152"/>
      <c r="AB537" s="152"/>
      <c r="AC537" s="152"/>
      <c r="AD537" s="152"/>
      <c r="AE537" s="152"/>
      <c r="AF537" s="152"/>
      <c r="AG537" s="152"/>
      <c r="AH537" s="44"/>
      <c r="AI537" s="44"/>
      <c r="AJ537" s="44"/>
      <c r="AK537" s="44"/>
      <c r="AL537" s="44"/>
      <c r="AM537" s="44"/>
      <c r="AN537" s="44"/>
    </row>
    <row r="538" spans="1:40">
      <c r="A538" s="44"/>
      <c r="B538" s="44"/>
      <c r="C538" s="44"/>
      <c r="D538" s="44"/>
      <c r="E538" s="44"/>
      <c r="F538" s="43"/>
      <c r="G538" s="44"/>
      <c r="H538" s="45"/>
      <c r="I538" s="44"/>
      <c r="J538" s="44"/>
      <c r="K538" s="143"/>
      <c r="L538" s="144"/>
      <c r="M538" s="143"/>
      <c r="N538" s="143"/>
      <c r="O538" s="44"/>
      <c r="P538" s="44"/>
      <c r="Q538" s="45"/>
      <c r="R538" s="147"/>
      <c r="S538" s="147"/>
      <c r="T538" s="147"/>
      <c r="U538" s="148"/>
      <c r="V538" s="149"/>
      <c r="W538" s="150"/>
      <c r="X538" s="151"/>
      <c r="Y538" s="44"/>
      <c r="Z538" s="44"/>
      <c r="AA538" s="152"/>
      <c r="AB538" s="152"/>
      <c r="AC538" s="152"/>
      <c r="AD538" s="152"/>
      <c r="AE538" s="152"/>
      <c r="AF538" s="152"/>
      <c r="AG538" s="152"/>
      <c r="AH538" s="44"/>
      <c r="AI538" s="44"/>
      <c r="AJ538" s="44"/>
      <c r="AK538" s="44"/>
      <c r="AL538" s="44"/>
      <c r="AM538" s="44"/>
      <c r="AN538" s="44"/>
    </row>
    <row r="539" spans="1:40">
      <c r="A539" s="44"/>
      <c r="B539" s="44"/>
      <c r="C539" s="44"/>
      <c r="D539" s="44"/>
      <c r="E539" s="44"/>
      <c r="F539" s="43"/>
      <c r="G539" s="44"/>
      <c r="H539" s="45"/>
      <c r="I539" s="44"/>
      <c r="J539" s="44"/>
      <c r="K539" s="143"/>
      <c r="L539" s="144"/>
      <c r="M539" s="143"/>
      <c r="N539" s="143"/>
      <c r="O539" s="44"/>
      <c r="P539" s="44"/>
      <c r="Q539" s="45"/>
      <c r="R539" s="147"/>
      <c r="S539" s="147"/>
      <c r="T539" s="147"/>
      <c r="U539" s="148"/>
      <c r="V539" s="149"/>
      <c r="W539" s="150"/>
      <c r="X539" s="151"/>
      <c r="Y539" s="44"/>
      <c r="Z539" s="44"/>
      <c r="AA539" s="152"/>
      <c r="AB539" s="152"/>
      <c r="AC539" s="152"/>
      <c r="AD539" s="152"/>
      <c r="AE539" s="152"/>
      <c r="AF539" s="152"/>
      <c r="AG539" s="152"/>
      <c r="AH539" s="44"/>
      <c r="AI539" s="44"/>
      <c r="AJ539" s="44"/>
      <c r="AK539" s="44"/>
      <c r="AL539" s="44"/>
      <c r="AM539" s="44"/>
      <c r="AN539" s="44"/>
    </row>
    <row r="540" spans="1:40">
      <c r="A540" s="44"/>
      <c r="B540" s="44"/>
      <c r="C540" s="44"/>
      <c r="D540" s="44"/>
      <c r="E540" s="44"/>
      <c r="F540" s="43"/>
      <c r="G540" s="44"/>
      <c r="H540" s="45"/>
      <c r="I540" s="44"/>
      <c r="J540" s="44"/>
      <c r="K540" s="143"/>
      <c r="L540" s="144"/>
      <c r="M540" s="143"/>
      <c r="N540" s="143"/>
      <c r="O540" s="44"/>
      <c r="P540" s="44"/>
      <c r="Q540" s="45"/>
      <c r="R540" s="147"/>
      <c r="S540" s="147"/>
      <c r="T540" s="147"/>
      <c r="U540" s="148"/>
      <c r="V540" s="149"/>
      <c r="W540" s="150"/>
      <c r="X540" s="151"/>
      <c r="Y540" s="44"/>
      <c r="Z540" s="44"/>
      <c r="AA540" s="152"/>
      <c r="AB540" s="152"/>
      <c r="AC540" s="152"/>
      <c r="AD540" s="152"/>
      <c r="AE540" s="152"/>
      <c r="AF540" s="152"/>
      <c r="AG540" s="152"/>
      <c r="AH540" s="44"/>
      <c r="AI540" s="44"/>
      <c r="AJ540" s="44"/>
      <c r="AK540" s="44"/>
      <c r="AL540" s="44"/>
      <c r="AM540" s="44"/>
      <c r="AN540" s="44"/>
    </row>
    <row r="541" spans="1:40">
      <c r="A541" s="44"/>
      <c r="B541" s="44"/>
      <c r="C541" s="44"/>
      <c r="D541" s="44"/>
      <c r="E541" s="44"/>
      <c r="F541" s="43"/>
      <c r="G541" s="44"/>
      <c r="H541" s="45"/>
      <c r="I541" s="44"/>
      <c r="J541" s="44"/>
      <c r="K541" s="143"/>
      <c r="L541" s="144"/>
      <c r="M541" s="143"/>
      <c r="N541" s="143"/>
      <c r="O541" s="44"/>
      <c r="P541" s="44"/>
      <c r="Q541" s="45"/>
      <c r="R541" s="147"/>
      <c r="S541" s="147"/>
      <c r="T541" s="147"/>
      <c r="U541" s="148"/>
      <c r="V541" s="149"/>
      <c r="W541" s="150"/>
      <c r="X541" s="151"/>
      <c r="Y541" s="44"/>
      <c r="Z541" s="44"/>
      <c r="AA541" s="152"/>
      <c r="AB541" s="152"/>
      <c r="AC541" s="152"/>
      <c r="AD541" s="152"/>
      <c r="AE541" s="152"/>
      <c r="AF541" s="152"/>
      <c r="AG541" s="152"/>
      <c r="AH541" s="44"/>
      <c r="AI541" s="44"/>
      <c r="AJ541" s="44"/>
      <c r="AK541" s="44"/>
      <c r="AL541" s="44"/>
      <c r="AM541" s="44"/>
      <c r="AN541" s="44"/>
    </row>
    <row r="542" spans="1:40">
      <c r="A542" s="44"/>
      <c r="B542" s="44"/>
      <c r="C542" s="44"/>
      <c r="D542" s="44"/>
      <c r="E542" s="44"/>
      <c r="F542" s="43"/>
      <c r="G542" s="44"/>
      <c r="H542" s="45"/>
      <c r="I542" s="44"/>
      <c r="J542" s="44"/>
      <c r="K542" s="143"/>
      <c r="L542" s="144"/>
      <c r="M542" s="143"/>
      <c r="N542" s="143"/>
      <c r="O542" s="44"/>
      <c r="P542" s="44"/>
      <c r="Q542" s="45"/>
      <c r="R542" s="147"/>
      <c r="S542" s="147"/>
      <c r="T542" s="147"/>
      <c r="U542" s="148"/>
      <c r="V542" s="149"/>
      <c r="W542" s="150"/>
      <c r="X542" s="151"/>
      <c r="Y542" s="44"/>
      <c r="Z542" s="44"/>
      <c r="AA542" s="152"/>
      <c r="AB542" s="152"/>
      <c r="AC542" s="152"/>
      <c r="AD542" s="152"/>
      <c r="AE542" s="152"/>
      <c r="AF542" s="152"/>
      <c r="AG542" s="152"/>
      <c r="AH542" s="44"/>
      <c r="AI542" s="44"/>
      <c r="AJ542" s="44"/>
      <c r="AK542" s="44"/>
      <c r="AL542" s="44"/>
      <c r="AM542" s="44"/>
      <c r="AN542" s="44"/>
    </row>
    <row r="543" spans="1:40">
      <c r="A543" s="44"/>
      <c r="B543" s="44"/>
      <c r="C543" s="44"/>
      <c r="D543" s="44"/>
      <c r="E543" s="44"/>
      <c r="F543" s="43"/>
      <c r="G543" s="44"/>
      <c r="H543" s="45"/>
      <c r="I543" s="44"/>
      <c r="J543" s="44"/>
      <c r="K543" s="143"/>
      <c r="L543" s="144"/>
      <c r="M543" s="143"/>
      <c r="N543" s="143"/>
      <c r="O543" s="44"/>
      <c r="P543" s="44"/>
      <c r="Q543" s="45"/>
      <c r="R543" s="147"/>
      <c r="S543" s="147"/>
      <c r="T543" s="147"/>
      <c r="U543" s="148"/>
      <c r="V543" s="149"/>
      <c r="W543" s="150"/>
      <c r="X543" s="151"/>
      <c r="Y543" s="44"/>
      <c r="Z543" s="44"/>
      <c r="AA543" s="152"/>
      <c r="AB543" s="152"/>
      <c r="AC543" s="152"/>
      <c r="AD543" s="152"/>
      <c r="AE543" s="152"/>
      <c r="AF543" s="152"/>
      <c r="AG543" s="152"/>
      <c r="AH543" s="44"/>
      <c r="AI543" s="44"/>
      <c r="AJ543" s="44"/>
      <c r="AK543" s="44"/>
      <c r="AL543" s="44"/>
      <c r="AM543" s="44"/>
      <c r="AN543" s="44"/>
    </row>
    <row r="544" spans="1:40">
      <c r="A544" s="44"/>
      <c r="B544" s="44"/>
      <c r="C544" s="44"/>
      <c r="D544" s="44"/>
      <c r="E544" s="44"/>
      <c r="F544" s="43"/>
      <c r="G544" s="44"/>
      <c r="H544" s="45"/>
      <c r="I544" s="44"/>
      <c r="J544" s="44"/>
      <c r="K544" s="143"/>
      <c r="L544" s="144"/>
      <c r="M544" s="143"/>
      <c r="N544" s="143"/>
      <c r="O544" s="44"/>
      <c r="P544" s="44"/>
      <c r="Q544" s="45"/>
      <c r="R544" s="147"/>
      <c r="S544" s="147"/>
      <c r="T544" s="147"/>
      <c r="U544" s="148"/>
      <c r="V544" s="149"/>
      <c r="W544" s="150"/>
      <c r="X544" s="151"/>
      <c r="Y544" s="44"/>
      <c r="Z544" s="44"/>
      <c r="AA544" s="152"/>
      <c r="AB544" s="152"/>
      <c r="AC544" s="152"/>
      <c r="AD544" s="152"/>
      <c r="AE544" s="152"/>
      <c r="AF544" s="152"/>
      <c r="AG544" s="152"/>
      <c r="AH544" s="44"/>
      <c r="AI544" s="44"/>
      <c r="AJ544" s="44"/>
      <c r="AK544" s="44"/>
      <c r="AL544" s="44"/>
      <c r="AM544" s="44"/>
      <c r="AN544" s="44"/>
    </row>
    <row r="545" spans="1:40">
      <c r="A545" s="44"/>
      <c r="B545" s="44"/>
      <c r="C545" s="44"/>
      <c r="D545" s="44"/>
      <c r="E545" s="44"/>
      <c r="F545" s="43"/>
      <c r="G545" s="44"/>
      <c r="H545" s="45"/>
      <c r="I545" s="44"/>
      <c r="J545" s="44"/>
      <c r="K545" s="143"/>
      <c r="L545" s="144"/>
      <c r="M545" s="143"/>
      <c r="N545" s="143"/>
      <c r="O545" s="44"/>
      <c r="P545" s="44"/>
      <c r="Q545" s="45"/>
      <c r="R545" s="147"/>
      <c r="S545" s="147"/>
      <c r="T545" s="147"/>
      <c r="U545" s="148"/>
      <c r="V545" s="149"/>
      <c r="W545" s="150"/>
      <c r="X545" s="151"/>
      <c r="Y545" s="44"/>
      <c r="Z545" s="44"/>
      <c r="AA545" s="152"/>
      <c r="AB545" s="152"/>
      <c r="AC545" s="152"/>
      <c r="AD545" s="152"/>
      <c r="AE545" s="152"/>
      <c r="AF545" s="152"/>
      <c r="AG545" s="152"/>
      <c r="AH545" s="44"/>
      <c r="AI545" s="44"/>
      <c r="AJ545" s="44"/>
      <c r="AK545" s="44"/>
      <c r="AL545" s="44"/>
      <c r="AM545" s="44"/>
      <c r="AN545" s="44"/>
    </row>
    <row r="546" spans="1:40">
      <c r="A546" s="44"/>
      <c r="B546" s="44"/>
      <c r="C546" s="44"/>
      <c r="D546" s="44"/>
      <c r="E546" s="44"/>
      <c r="F546" s="43"/>
      <c r="G546" s="44"/>
      <c r="H546" s="45"/>
      <c r="I546" s="44"/>
      <c r="J546" s="44"/>
      <c r="K546" s="143"/>
      <c r="L546" s="144"/>
      <c r="M546" s="143"/>
      <c r="N546" s="143"/>
      <c r="O546" s="44"/>
      <c r="P546" s="44"/>
      <c r="Q546" s="45"/>
      <c r="R546" s="147"/>
      <c r="S546" s="147"/>
      <c r="T546" s="147"/>
      <c r="U546" s="148"/>
      <c r="V546" s="149"/>
      <c r="W546" s="150"/>
      <c r="X546" s="151"/>
      <c r="Y546" s="44"/>
      <c r="Z546" s="44"/>
      <c r="AA546" s="152"/>
      <c r="AB546" s="152"/>
      <c r="AC546" s="152"/>
      <c r="AD546" s="152"/>
      <c r="AE546" s="152"/>
      <c r="AF546" s="152"/>
      <c r="AG546" s="152"/>
      <c r="AH546" s="44"/>
      <c r="AI546" s="44"/>
      <c r="AJ546" s="44"/>
      <c r="AK546" s="44"/>
      <c r="AL546" s="44"/>
      <c r="AM546" s="44"/>
      <c r="AN546" s="44"/>
    </row>
    <row r="547" spans="1:40">
      <c r="A547" s="44"/>
      <c r="B547" s="44"/>
      <c r="C547" s="44"/>
      <c r="D547" s="44"/>
      <c r="E547" s="44"/>
      <c r="F547" s="43"/>
      <c r="G547" s="44"/>
      <c r="H547" s="45"/>
      <c r="I547" s="44"/>
      <c r="J547" s="44"/>
      <c r="K547" s="143"/>
      <c r="L547" s="144"/>
      <c r="M547" s="143"/>
      <c r="N547" s="143"/>
      <c r="O547" s="44"/>
      <c r="P547" s="44"/>
      <c r="Q547" s="45"/>
      <c r="R547" s="147"/>
      <c r="S547" s="147"/>
      <c r="T547" s="147"/>
      <c r="U547" s="148"/>
      <c r="V547" s="149"/>
      <c r="W547" s="150"/>
      <c r="X547" s="151"/>
      <c r="Y547" s="44"/>
      <c r="Z547" s="44"/>
      <c r="AA547" s="152"/>
      <c r="AB547" s="152"/>
      <c r="AC547" s="152"/>
      <c r="AD547" s="152"/>
      <c r="AE547" s="152"/>
      <c r="AF547" s="152"/>
      <c r="AG547" s="152"/>
      <c r="AH547" s="44"/>
      <c r="AI547" s="44"/>
      <c r="AJ547" s="44"/>
      <c r="AK547" s="44"/>
      <c r="AL547" s="44"/>
      <c r="AM547" s="44"/>
      <c r="AN547" s="44"/>
    </row>
    <row r="548" spans="1:40">
      <c r="A548" s="44"/>
      <c r="B548" s="44"/>
      <c r="C548" s="44"/>
      <c r="D548" s="44"/>
      <c r="E548" s="44"/>
      <c r="F548" s="43"/>
      <c r="G548" s="44"/>
      <c r="H548" s="45"/>
      <c r="I548" s="44"/>
      <c r="J548" s="44"/>
      <c r="K548" s="143"/>
      <c r="L548" s="144"/>
      <c r="M548" s="143"/>
      <c r="N548" s="143"/>
      <c r="O548" s="44"/>
      <c r="P548" s="44"/>
      <c r="Q548" s="45"/>
      <c r="R548" s="147"/>
      <c r="S548" s="147"/>
      <c r="T548" s="147"/>
      <c r="U548" s="148"/>
      <c r="V548" s="149"/>
      <c r="W548" s="150"/>
      <c r="X548" s="151"/>
      <c r="Y548" s="44"/>
      <c r="Z548" s="44"/>
      <c r="AA548" s="152"/>
      <c r="AB548" s="152"/>
      <c r="AC548" s="152"/>
      <c r="AD548" s="152"/>
      <c r="AE548" s="152"/>
      <c r="AF548" s="152"/>
      <c r="AG548" s="152"/>
      <c r="AH548" s="44"/>
      <c r="AI548" s="44"/>
      <c r="AJ548" s="44"/>
      <c r="AK548" s="44"/>
      <c r="AL548" s="44"/>
      <c r="AM548" s="44"/>
      <c r="AN548" s="44"/>
    </row>
    <row r="549" spans="1:40">
      <c r="A549" s="44"/>
      <c r="B549" s="44"/>
      <c r="C549" s="44"/>
      <c r="D549" s="44"/>
      <c r="E549" s="44"/>
      <c r="F549" s="43"/>
      <c r="G549" s="44"/>
      <c r="H549" s="45"/>
      <c r="I549" s="44"/>
      <c r="J549" s="44"/>
      <c r="K549" s="143"/>
      <c r="L549" s="144"/>
      <c r="M549" s="143"/>
      <c r="N549" s="143"/>
      <c r="O549" s="44"/>
      <c r="P549" s="44"/>
      <c r="Q549" s="45"/>
      <c r="R549" s="147"/>
      <c r="S549" s="147"/>
      <c r="T549" s="147"/>
      <c r="U549" s="148"/>
      <c r="V549" s="149"/>
      <c r="W549" s="150"/>
      <c r="X549" s="151"/>
      <c r="Y549" s="44"/>
      <c r="Z549" s="44"/>
      <c r="AA549" s="152"/>
      <c r="AB549" s="152"/>
      <c r="AC549" s="152"/>
      <c r="AD549" s="152"/>
      <c r="AE549" s="152"/>
      <c r="AF549" s="152"/>
      <c r="AG549" s="152"/>
      <c r="AH549" s="44"/>
      <c r="AI549" s="44"/>
      <c r="AJ549" s="44"/>
      <c r="AK549" s="44"/>
      <c r="AL549" s="44"/>
      <c r="AM549" s="44"/>
      <c r="AN549" s="44"/>
    </row>
    <row r="550" spans="1:40">
      <c r="A550" s="44"/>
      <c r="B550" s="44"/>
      <c r="C550" s="44"/>
      <c r="D550" s="44"/>
      <c r="E550" s="44"/>
      <c r="F550" s="43"/>
      <c r="G550" s="44"/>
      <c r="H550" s="45"/>
      <c r="I550" s="44"/>
      <c r="J550" s="44"/>
      <c r="K550" s="143"/>
      <c r="L550" s="144"/>
      <c r="M550" s="143"/>
      <c r="N550" s="143"/>
      <c r="O550" s="44"/>
      <c r="P550" s="44"/>
      <c r="Q550" s="45"/>
      <c r="R550" s="147"/>
      <c r="S550" s="147"/>
      <c r="T550" s="147"/>
      <c r="U550" s="148"/>
      <c r="V550" s="149"/>
      <c r="W550" s="150"/>
      <c r="X550" s="151"/>
      <c r="Y550" s="44"/>
      <c r="Z550" s="44"/>
      <c r="AA550" s="152"/>
      <c r="AB550" s="152"/>
      <c r="AC550" s="152"/>
      <c r="AD550" s="152"/>
      <c r="AE550" s="152"/>
      <c r="AF550" s="152"/>
      <c r="AG550" s="152"/>
      <c r="AH550" s="44"/>
      <c r="AI550" s="44"/>
      <c r="AJ550" s="44"/>
      <c r="AK550" s="44"/>
      <c r="AL550" s="44"/>
      <c r="AM550" s="44"/>
      <c r="AN550" s="44"/>
    </row>
    <row r="551" spans="1:40">
      <c r="A551" s="44"/>
      <c r="B551" s="44"/>
      <c r="C551" s="44"/>
      <c r="D551" s="44"/>
      <c r="E551" s="44"/>
      <c r="F551" s="43"/>
      <c r="G551" s="44"/>
      <c r="H551" s="45"/>
      <c r="I551" s="44"/>
      <c r="J551" s="44"/>
      <c r="K551" s="143"/>
      <c r="L551" s="144"/>
      <c r="M551" s="143"/>
      <c r="N551" s="143"/>
      <c r="O551" s="44"/>
      <c r="P551" s="44"/>
      <c r="Q551" s="45"/>
      <c r="R551" s="147"/>
      <c r="S551" s="147"/>
      <c r="T551" s="147"/>
      <c r="U551" s="148"/>
      <c r="V551" s="149"/>
      <c r="W551" s="150"/>
      <c r="X551" s="151"/>
      <c r="Y551" s="44"/>
      <c r="Z551" s="44"/>
      <c r="AA551" s="152"/>
      <c r="AB551" s="152"/>
      <c r="AC551" s="152"/>
      <c r="AD551" s="152"/>
      <c r="AE551" s="152"/>
      <c r="AF551" s="152"/>
      <c r="AG551" s="152"/>
      <c r="AH551" s="44"/>
      <c r="AI551" s="44"/>
      <c r="AJ551" s="44"/>
      <c r="AK551" s="44"/>
      <c r="AL551" s="44"/>
      <c r="AM551" s="44"/>
      <c r="AN551" s="44"/>
    </row>
    <row r="552" spans="1:40">
      <c r="A552" s="44"/>
      <c r="B552" s="44"/>
      <c r="C552" s="44"/>
      <c r="D552" s="44"/>
      <c r="E552" s="44"/>
      <c r="F552" s="43"/>
      <c r="G552" s="44"/>
      <c r="H552" s="45"/>
      <c r="I552" s="44"/>
      <c r="J552" s="44"/>
      <c r="K552" s="143"/>
      <c r="L552" s="144"/>
      <c r="M552" s="143"/>
      <c r="N552" s="143"/>
      <c r="O552" s="44"/>
      <c r="P552" s="44"/>
      <c r="Q552" s="45"/>
      <c r="R552" s="147"/>
      <c r="S552" s="147"/>
      <c r="T552" s="147"/>
      <c r="U552" s="148"/>
      <c r="V552" s="149"/>
      <c r="W552" s="150"/>
      <c r="X552" s="151"/>
      <c r="Y552" s="44"/>
      <c r="Z552" s="44"/>
      <c r="AA552" s="152"/>
      <c r="AB552" s="152"/>
      <c r="AC552" s="152"/>
      <c r="AD552" s="152"/>
      <c r="AE552" s="152"/>
      <c r="AF552" s="152"/>
      <c r="AG552" s="152"/>
      <c r="AH552" s="44"/>
      <c r="AI552" s="44"/>
      <c r="AJ552" s="44"/>
      <c r="AK552" s="44"/>
      <c r="AL552" s="44"/>
      <c r="AM552" s="44"/>
      <c r="AN552" s="44"/>
    </row>
    <row r="553" spans="1:40">
      <c r="A553" s="44"/>
      <c r="B553" s="44"/>
      <c r="C553" s="44"/>
      <c r="D553" s="44"/>
      <c r="E553" s="44"/>
      <c r="F553" s="43"/>
      <c r="G553" s="44"/>
      <c r="H553" s="45"/>
      <c r="I553" s="44"/>
      <c r="J553" s="44"/>
      <c r="K553" s="143"/>
      <c r="L553" s="144"/>
      <c r="M553" s="143"/>
      <c r="N553" s="143"/>
      <c r="O553" s="44"/>
      <c r="P553" s="44"/>
      <c r="Q553" s="45"/>
      <c r="R553" s="147"/>
      <c r="S553" s="147"/>
      <c r="T553" s="147"/>
      <c r="U553" s="148"/>
      <c r="V553" s="149"/>
      <c r="W553" s="150"/>
      <c r="X553" s="151"/>
      <c r="Y553" s="44"/>
      <c r="Z553" s="44"/>
      <c r="AA553" s="152"/>
      <c r="AB553" s="152"/>
      <c r="AC553" s="152"/>
      <c r="AD553" s="152"/>
      <c r="AE553" s="152"/>
      <c r="AF553" s="152"/>
      <c r="AG553" s="152"/>
      <c r="AH553" s="44"/>
      <c r="AI553" s="44"/>
      <c r="AJ553" s="44"/>
      <c r="AK553" s="44"/>
      <c r="AL553" s="44"/>
      <c r="AM553" s="44"/>
      <c r="AN553" s="44"/>
    </row>
    <row r="554" spans="1:40">
      <c r="A554" s="44"/>
      <c r="B554" s="44"/>
      <c r="C554" s="44"/>
      <c r="D554" s="44"/>
      <c r="E554" s="44"/>
      <c r="F554" s="43"/>
      <c r="G554" s="44"/>
      <c r="H554" s="45"/>
      <c r="I554" s="44"/>
      <c r="J554" s="44"/>
      <c r="K554" s="143"/>
      <c r="L554" s="144"/>
      <c r="M554" s="143"/>
      <c r="N554" s="143"/>
      <c r="O554" s="44"/>
      <c r="P554" s="44"/>
      <c r="Q554" s="45"/>
      <c r="R554" s="147"/>
      <c r="S554" s="147"/>
      <c r="T554" s="147"/>
      <c r="U554" s="148"/>
      <c r="V554" s="149"/>
      <c r="W554" s="150"/>
      <c r="X554" s="151"/>
      <c r="Y554" s="44"/>
      <c r="Z554" s="44"/>
      <c r="AA554" s="152"/>
      <c r="AB554" s="152"/>
      <c r="AC554" s="152"/>
      <c r="AD554" s="152"/>
      <c r="AE554" s="152"/>
      <c r="AF554" s="152"/>
      <c r="AG554" s="152"/>
      <c r="AH554" s="44"/>
      <c r="AI554" s="44"/>
      <c r="AJ554" s="44"/>
      <c r="AK554" s="44"/>
      <c r="AL554" s="44"/>
      <c r="AM554" s="44"/>
      <c r="AN554" s="44"/>
    </row>
    <row r="555" spans="1:40">
      <c r="A555" s="44"/>
      <c r="B555" s="44"/>
      <c r="C555" s="44"/>
      <c r="D555" s="44"/>
      <c r="E555" s="44"/>
      <c r="F555" s="43"/>
      <c r="G555" s="44"/>
      <c r="H555" s="45"/>
      <c r="I555" s="44"/>
      <c r="J555" s="44"/>
      <c r="K555" s="143"/>
      <c r="L555" s="144"/>
      <c r="M555" s="143"/>
      <c r="N555" s="143"/>
      <c r="O555" s="44"/>
      <c r="P555" s="44"/>
      <c r="Q555" s="45"/>
      <c r="R555" s="147"/>
      <c r="S555" s="147"/>
      <c r="T555" s="147"/>
      <c r="U555" s="148"/>
      <c r="V555" s="149"/>
      <c r="W555" s="150"/>
      <c r="X555" s="151"/>
      <c r="Y555" s="44"/>
      <c r="Z555" s="44"/>
      <c r="AA555" s="152"/>
      <c r="AB555" s="152"/>
      <c r="AC555" s="152"/>
      <c r="AD555" s="152"/>
      <c r="AE555" s="152"/>
      <c r="AF555" s="152"/>
      <c r="AG555" s="152"/>
      <c r="AH555" s="44"/>
      <c r="AI555" s="44"/>
      <c r="AJ555" s="44"/>
      <c r="AK555" s="44"/>
      <c r="AL555" s="44"/>
      <c r="AM555" s="44"/>
      <c r="AN555" s="44"/>
    </row>
    <row r="556" spans="1:40">
      <c r="A556" s="44"/>
      <c r="B556" s="44"/>
      <c r="C556" s="44"/>
      <c r="D556" s="44"/>
      <c r="E556" s="44"/>
      <c r="F556" s="43"/>
      <c r="G556" s="44"/>
      <c r="H556" s="45"/>
      <c r="I556" s="44"/>
      <c r="J556" s="44"/>
      <c r="K556" s="143"/>
      <c r="L556" s="144"/>
      <c r="M556" s="143"/>
      <c r="N556" s="143"/>
      <c r="O556" s="44"/>
      <c r="P556" s="44"/>
      <c r="Q556" s="45"/>
      <c r="R556" s="147"/>
      <c r="S556" s="147"/>
      <c r="T556" s="147"/>
      <c r="U556" s="148"/>
      <c r="V556" s="149"/>
      <c r="W556" s="150"/>
      <c r="X556" s="151"/>
      <c r="Y556" s="44"/>
      <c r="Z556" s="44"/>
      <c r="AA556" s="152"/>
      <c r="AB556" s="152"/>
      <c r="AC556" s="152"/>
      <c r="AD556" s="152"/>
      <c r="AE556" s="152"/>
      <c r="AF556" s="152"/>
      <c r="AG556" s="152"/>
      <c r="AH556" s="44"/>
      <c r="AI556" s="44"/>
      <c r="AJ556" s="44"/>
      <c r="AK556" s="44"/>
      <c r="AL556" s="44"/>
      <c r="AM556" s="44"/>
      <c r="AN556" s="44"/>
    </row>
    <row r="557" spans="1:40">
      <c r="A557" s="44"/>
      <c r="B557" s="44"/>
      <c r="C557" s="44"/>
      <c r="D557" s="44"/>
      <c r="E557" s="44"/>
      <c r="F557" s="43"/>
      <c r="G557" s="44"/>
      <c r="H557" s="45"/>
      <c r="I557" s="44"/>
      <c r="J557" s="44"/>
      <c r="K557" s="143"/>
      <c r="L557" s="144"/>
      <c r="M557" s="143"/>
      <c r="N557" s="143"/>
      <c r="O557" s="44"/>
      <c r="P557" s="44"/>
      <c r="Q557" s="45"/>
      <c r="R557" s="147"/>
      <c r="S557" s="147"/>
      <c r="T557" s="147"/>
      <c r="U557" s="148"/>
      <c r="V557" s="149"/>
      <c r="W557" s="150"/>
      <c r="X557" s="151"/>
      <c r="Y557" s="44"/>
      <c r="Z557" s="44"/>
      <c r="AA557" s="152"/>
      <c r="AB557" s="152"/>
      <c r="AC557" s="152"/>
      <c r="AD557" s="152"/>
      <c r="AE557" s="152"/>
      <c r="AF557" s="152"/>
      <c r="AG557" s="152"/>
      <c r="AH557" s="44"/>
      <c r="AI557" s="44"/>
      <c r="AJ557" s="44"/>
      <c r="AK557" s="44"/>
      <c r="AL557" s="44"/>
      <c r="AM557" s="44"/>
      <c r="AN557" s="44"/>
    </row>
    <row r="558" spans="1:40">
      <c r="A558" s="44"/>
      <c r="B558" s="44"/>
      <c r="C558" s="44"/>
      <c r="D558" s="44"/>
      <c r="E558" s="44"/>
      <c r="F558" s="43"/>
      <c r="G558" s="44"/>
      <c r="H558" s="45"/>
      <c r="I558" s="44"/>
      <c r="J558" s="44"/>
      <c r="K558" s="143"/>
      <c r="L558" s="144"/>
      <c r="M558" s="143"/>
      <c r="N558" s="143"/>
      <c r="O558" s="44"/>
      <c r="P558" s="44"/>
      <c r="Q558" s="45"/>
      <c r="R558" s="147"/>
      <c r="S558" s="147"/>
      <c r="T558" s="147"/>
      <c r="U558" s="148"/>
      <c r="V558" s="149"/>
      <c r="W558" s="150"/>
      <c r="X558" s="151"/>
      <c r="Y558" s="44"/>
      <c r="Z558" s="44"/>
      <c r="AA558" s="152"/>
      <c r="AB558" s="152"/>
      <c r="AC558" s="152"/>
      <c r="AD558" s="152"/>
      <c r="AE558" s="152"/>
      <c r="AF558" s="152"/>
      <c r="AG558" s="152"/>
      <c r="AH558" s="44"/>
      <c r="AI558" s="44"/>
      <c r="AJ558" s="44"/>
      <c r="AK558" s="44"/>
      <c r="AL558" s="44"/>
      <c r="AM558" s="44"/>
      <c r="AN558" s="44"/>
    </row>
    <row r="559" spans="1:40">
      <c r="A559" s="44"/>
      <c r="B559" s="44"/>
      <c r="C559" s="44"/>
      <c r="D559" s="44"/>
      <c r="E559" s="44"/>
      <c r="F559" s="43"/>
      <c r="G559" s="44"/>
      <c r="H559" s="45"/>
      <c r="I559" s="44"/>
      <c r="J559" s="44"/>
      <c r="K559" s="143"/>
      <c r="L559" s="144"/>
      <c r="M559" s="143"/>
      <c r="N559" s="143"/>
      <c r="O559" s="44"/>
      <c r="P559" s="44"/>
      <c r="Q559" s="45"/>
      <c r="R559" s="147"/>
      <c r="S559" s="147"/>
      <c r="T559" s="147"/>
      <c r="U559" s="148"/>
      <c r="V559" s="149"/>
      <c r="W559" s="150"/>
      <c r="X559" s="151"/>
      <c r="Y559" s="44"/>
      <c r="Z559" s="44"/>
      <c r="AA559" s="152"/>
      <c r="AB559" s="152"/>
      <c r="AC559" s="152"/>
      <c r="AD559" s="152"/>
      <c r="AE559" s="152"/>
      <c r="AF559" s="152"/>
      <c r="AG559" s="152"/>
      <c r="AH559" s="44"/>
      <c r="AI559" s="44"/>
      <c r="AJ559" s="44"/>
      <c r="AK559" s="44"/>
      <c r="AL559" s="44"/>
      <c r="AM559" s="44"/>
      <c r="AN559" s="44"/>
    </row>
    <row r="560" spans="1:40">
      <c r="A560" s="44"/>
      <c r="B560" s="44"/>
      <c r="C560" s="44"/>
      <c r="D560" s="44"/>
      <c r="E560" s="44"/>
      <c r="F560" s="43"/>
      <c r="G560" s="44"/>
      <c r="H560" s="45"/>
      <c r="I560" s="44"/>
      <c r="J560" s="44"/>
      <c r="K560" s="143"/>
      <c r="L560" s="144"/>
      <c r="M560" s="143"/>
      <c r="N560" s="143"/>
      <c r="O560" s="44"/>
      <c r="P560" s="44"/>
      <c r="Q560" s="45"/>
      <c r="R560" s="147"/>
      <c r="S560" s="147"/>
      <c r="T560" s="147"/>
      <c r="U560" s="148"/>
      <c r="V560" s="149"/>
      <c r="W560" s="150"/>
      <c r="X560" s="151"/>
      <c r="Y560" s="44"/>
      <c r="Z560" s="44"/>
      <c r="AA560" s="152"/>
      <c r="AB560" s="152"/>
      <c r="AC560" s="152"/>
      <c r="AD560" s="152"/>
      <c r="AE560" s="152"/>
      <c r="AF560" s="152"/>
      <c r="AG560" s="152"/>
      <c r="AH560" s="44"/>
      <c r="AI560" s="44"/>
      <c r="AJ560" s="44"/>
      <c r="AK560" s="44"/>
      <c r="AL560" s="44"/>
      <c r="AM560" s="44"/>
      <c r="AN560" s="44"/>
    </row>
    <row r="561" spans="1:40">
      <c r="A561" s="44"/>
      <c r="B561" s="44"/>
      <c r="C561" s="44"/>
      <c r="D561" s="44"/>
      <c r="E561" s="44"/>
      <c r="F561" s="43"/>
      <c r="G561" s="44"/>
      <c r="H561" s="45"/>
      <c r="I561" s="44"/>
      <c r="J561" s="44"/>
      <c r="K561" s="143"/>
      <c r="L561" s="144"/>
      <c r="M561" s="143"/>
      <c r="N561" s="143"/>
      <c r="O561" s="44"/>
      <c r="P561" s="44"/>
      <c r="Q561" s="45"/>
      <c r="R561" s="147"/>
      <c r="S561" s="147"/>
      <c r="T561" s="147"/>
      <c r="U561" s="148"/>
      <c r="V561" s="149"/>
      <c r="W561" s="150"/>
      <c r="X561" s="151"/>
      <c r="Y561" s="44"/>
      <c r="Z561" s="44"/>
      <c r="AA561" s="152"/>
      <c r="AB561" s="152"/>
      <c r="AC561" s="152"/>
      <c r="AD561" s="152"/>
      <c r="AE561" s="152"/>
      <c r="AF561" s="152"/>
      <c r="AG561" s="152"/>
      <c r="AH561" s="44"/>
      <c r="AI561" s="44"/>
      <c r="AJ561" s="44"/>
      <c r="AK561" s="44"/>
      <c r="AL561" s="44"/>
      <c r="AM561" s="44"/>
      <c r="AN561" s="44"/>
    </row>
    <row r="562" spans="1:40">
      <c r="A562" s="44"/>
      <c r="B562" s="44"/>
      <c r="C562" s="44"/>
      <c r="D562" s="44"/>
      <c r="E562" s="44"/>
      <c r="F562" s="43"/>
      <c r="G562" s="44"/>
      <c r="H562" s="45"/>
      <c r="I562" s="44"/>
      <c r="J562" s="44"/>
      <c r="K562" s="143"/>
      <c r="L562" s="144"/>
      <c r="M562" s="143"/>
      <c r="N562" s="143"/>
      <c r="O562" s="44"/>
      <c r="P562" s="44"/>
      <c r="Q562" s="45"/>
      <c r="R562" s="147"/>
      <c r="S562" s="147"/>
      <c r="T562" s="147"/>
      <c r="U562" s="148"/>
      <c r="V562" s="149"/>
      <c r="W562" s="150"/>
      <c r="X562" s="151"/>
      <c r="Y562" s="44"/>
      <c r="Z562" s="44"/>
      <c r="AA562" s="152"/>
      <c r="AB562" s="152"/>
      <c r="AC562" s="152"/>
      <c r="AD562" s="152"/>
      <c r="AE562" s="152"/>
      <c r="AF562" s="152"/>
      <c r="AG562" s="152"/>
      <c r="AH562" s="44"/>
      <c r="AI562" s="44"/>
      <c r="AJ562" s="44"/>
      <c r="AK562" s="44"/>
      <c r="AL562" s="44"/>
      <c r="AM562" s="44"/>
      <c r="AN562" s="44"/>
    </row>
    <row r="563" spans="1:40">
      <c r="A563" s="44"/>
      <c r="B563" s="44"/>
      <c r="C563" s="44"/>
      <c r="D563" s="44"/>
      <c r="E563" s="44"/>
      <c r="F563" s="43"/>
      <c r="G563" s="44"/>
      <c r="H563" s="45"/>
      <c r="I563" s="44"/>
      <c r="J563" s="44"/>
      <c r="K563" s="143"/>
      <c r="L563" s="144"/>
      <c r="M563" s="143"/>
      <c r="N563" s="143"/>
      <c r="O563" s="44"/>
      <c r="P563" s="44"/>
      <c r="Q563" s="45"/>
      <c r="R563" s="147"/>
      <c r="S563" s="147"/>
      <c r="T563" s="147"/>
      <c r="U563" s="148"/>
      <c r="V563" s="149"/>
      <c r="W563" s="150"/>
      <c r="X563" s="151"/>
      <c r="Y563" s="44"/>
      <c r="Z563" s="44"/>
      <c r="AA563" s="152"/>
      <c r="AB563" s="152"/>
      <c r="AC563" s="152"/>
      <c r="AD563" s="152"/>
      <c r="AE563" s="152"/>
      <c r="AF563" s="152"/>
      <c r="AG563" s="152"/>
      <c r="AH563" s="44"/>
      <c r="AI563" s="44"/>
      <c r="AJ563" s="44"/>
      <c r="AK563" s="44"/>
      <c r="AL563" s="44"/>
      <c r="AM563" s="44"/>
      <c r="AN563" s="44"/>
    </row>
    <row r="564" spans="1:40">
      <c r="A564" s="44"/>
      <c r="B564" s="44"/>
      <c r="C564" s="44"/>
      <c r="D564" s="44"/>
      <c r="E564" s="44"/>
      <c r="F564" s="43"/>
      <c r="G564" s="44"/>
      <c r="H564" s="45"/>
      <c r="I564" s="44"/>
      <c r="J564" s="44"/>
      <c r="K564" s="143"/>
      <c r="L564" s="144"/>
      <c r="M564" s="143"/>
      <c r="N564" s="143"/>
      <c r="O564" s="44"/>
      <c r="P564" s="44"/>
      <c r="Q564" s="45"/>
      <c r="R564" s="147"/>
      <c r="S564" s="147"/>
      <c r="T564" s="147"/>
      <c r="U564" s="148"/>
      <c r="V564" s="149"/>
      <c r="W564" s="150"/>
      <c r="X564" s="151"/>
      <c r="Y564" s="44"/>
      <c r="Z564" s="44"/>
      <c r="AA564" s="152"/>
      <c r="AB564" s="152"/>
      <c r="AC564" s="152"/>
      <c r="AD564" s="152"/>
      <c r="AE564" s="152"/>
      <c r="AF564" s="152"/>
      <c r="AG564" s="152"/>
      <c r="AH564" s="44"/>
      <c r="AI564" s="44"/>
      <c r="AJ564" s="44"/>
      <c r="AK564" s="44"/>
      <c r="AL564" s="44"/>
      <c r="AM564" s="44"/>
      <c r="AN564" s="44"/>
    </row>
    <row r="565" spans="1:40">
      <c r="A565" s="44"/>
      <c r="B565" s="44"/>
      <c r="C565" s="44"/>
      <c r="D565" s="44"/>
      <c r="E565" s="44"/>
      <c r="F565" s="43"/>
      <c r="G565" s="44"/>
      <c r="H565" s="45"/>
      <c r="I565" s="44"/>
      <c r="J565" s="44"/>
      <c r="K565" s="143"/>
      <c r="L565" s="144"/>
      <c r="M565" s="143"/>
      <c r="N565" s="143"/>
      <c r="O565" s="44"/>
      <c r="P565" s="44"/>
      <c r="Q565" s="45"/>
      <c r="R565" s="147"/>
      <c r="S565" s="147"/>
      <c r="T565" s="147"/>
      <c r="U565" s="148"/>
      <c r="V565" s="149"/>
      <c r="W565" s="150"/>
      <c r="X565" s="151"/>
      <c r="Y565" s="44"/>
      <c r="Z565" s="44"/>
      <c r="AA565" s="152"/>
      <c r="AB565" s="152"/>
      <c r="AC565" s="152"/>
      <c r="AD565" s="152"/>
      <c r="AE565" s="152"/>
      <c r="AF565" s="152"/>
      <c r="AG565" s="152"/>
      <c r="AH565" s="44"/>
      <c r="AI565" s="44"/>
      <c r="AJ565" s="44"/>
      <c r="AK565" s="44"/>
      <c r="AL565" s="44"/>
      <c r="AM565" s="44"/>
      <c r="AN565" s="44"/>
    </row>
    <row r="566" spans="1:40">
      <c r="A566" s="44"/>
      <c r="B566" s="44"/>
      <c r="C566" s="44"/>
      <c r="D566" s="44"/>
      <c r="E566" s="44"/>
      <c r="F566" s="43"/>
      <c r="G566" s="44"/>
      <c r="H566" s="45"/>
      <c r="I566" s="44"/>
      <c r="J566" s="44"/>
      <c r="K566" s="143"/>
      <c r="L566" s="144"/>
      <c r="M566" s="143"/>
      <c r="N566" s="143"/>
      <c r="O566" s="44"/>
      <c r="P566" s="44"/>
      <c r="Q566" s="45"/>
      <c r="R566" s="147"/>
      <c r="S566" s="147"/>
      <c r="T566" s="147"/>
      <c r="U566" s="148"/>
      <c r="V566" s="149"/>
      <c r="W566" s="150"/>
      <c r="X566" s="151"/>
      <c r="Y566" s="44"/>
      <c r="Z566" s="44"/>
      <c r="AA566" s="152"/>
      <c r="AB566" s="152"/>
      <c r="AC566" s="152"/>
      <c r="AD566" s="152"/>
      <c r="AE566" s="152"/>
      <c r="AF566" s="152"/>
      <c r="AG566" s="152"/>
      <c r="AH566" s="44"/>
      <c r="AI566" s="44"/>
      <c r="AJ566" s="44"/>
      <c r="AK566" s="44"/>
      <c r="AL566" s="44"/>
      <c r="AM566" s="44"/>
      <c r="AN566" s="44"/>
    </row>
    <row r="567" spans="1:40">
      <c r="A567" s="44"/>
      <c r="B567" s="44"/>
      <c r="C567" s="44"/>
      <c r="D567" s="44"/>
      <c r="E567" s="44"/>
      <c r="F567" s="43"/>
      <c r="G567" s="44"/>
      <c r="H567" s="45"/>
      <c r="I567" s="44"/>
      <c r="J567" s="44"/>
      <c r="K567" s="143"/>
      <c r="L567" s="144"/>
      <c r="M567" s="143"/>
      <c r="N567" s="143"/>
      <c r="O567" s="44"/>
      <c r="P567" s="44"/>
      <c r="Q567" s="45"/>
      <c r="R567" s="147"/>
      <c r="S567" s="147"/>
      <c r="T567" s="147"/>
      <c r="U567" s="148"/>
      <c r="V567" s="149"/>
      <c r="W567" s="150"/>
      <c r="X567" s="151"/>
      <c r="Y567" s="44"/>
      <c r="Z567" s="44"/>
      <c r="AA567" s="152"/>
      <c r="AB567" s="152"/>
      <c r="AC567" s="152"/>
      <c r="AD567" s="152"/>
      <c r="AE567" s="152"/>
      <c r="AF567" s="152"/>
      <c r="AG567" s="152"/>
      <c r="AH567" s="44"/>
      <c r="AI567" s="44"/>
      <c r="AJ567" s="44"/>
      <c r="AK567" s="44"/>
      <c r="AL567" s="44"/>
      <c r="AM567" s="44"/>
      <c r="AN567" s="44"/>
    </row>
    <row r="568" spans="1:40">
      <c r="A568" s="44"/>
      <c r="B568" s="44"/>
      <c r="C568" s="44"/>
      <c r="D568" s="44"/>
      <c r="E568" s="44"/>
      <c r="F568" s="43"/>
      <c r="G568" s="44"/>
      <c r="H568" s="45"/>
      <c r="I568" s="44"/>
      <c r="J568" s="44"/>
      <c r="K568" s="143"/>
      <c r="L568" s="144"/>
      <c r="M568" s="143"/>
      <c r="N568" s="143"/>
      <c r="O568" s="44"/>
      <c r="P568" s="44"/>
      <c r="Q568" s="45"/>
      <c r="R568" s="147"/>
      <c r="S568" s="147"/>
      <c r="T568" s="147"/>
      <c r="U568" s="148"/>
      <c r="V568" s="149"/>
      <c r="W568" s="150"/>
      <c r="X568" s="151"/>
      <c r="Y568" s="44"/>
      <c r="Z568" s="44"/>
      <c r="AA568" s="152"/>
      <c r="AB568" s="152"/>
      <c r="AC568" s="152"/>
      <c r="AD568" s="152"/>
      <c r="AE568" s="152"/>
      <c r="AF568" s="152"/>
      <c r="AG568" s="152"/>
      <c r="AH568" s="44"/>
      <c r="AI568" s="44"/>
      <c r="AJ568" s="44"/>
      <c r="AK568" s="44"/>
      <c r="AL568" s="44"/>
      <c r="AM568" s="44"/>
      <c r="AN568" s="44"/>
    </row>
    <row r="569" spans="1:40">
      <c r="A569" s="44"/>
      <c r="B569" s="44"/>
      <c r="C569" s="44"/>
      <c r="D569" s="44"/>
      <c r="E569" s="44"/>
      <c r="F569" s="43"/>
      <c r="G569" s="44"/>
      <c r="H569" s="45"/>
      <c r="I569" s="44"/>
      <c r="J569" s="44"/>
      <c r="K569" s="143"/>
      <c r="L569" s="144"/>
      <c r="M569" s="143"/>
      <c r="N569" s="143"/>
      <c r="O569" s="44"/>
      <c r="P569" s="44"/>
      <c r="Q569" s="45"/>
      <c r="R569" s="147"/>
      <c r="S569" s="147"/>
      <c r="T569" s="147"/>
      <c r="U569" s="148"/>
      <c r="V569" s="149"/>
      <c r="W569" s="150"/>
      <c r="X569" s="151"/>
      <c r="Y569" s="44"/>
      <c r="Z569" s="44"/>
      <c r="AA569" s="152"/>
      <c r="AB569" s="152"/>
      <c r="AC569" s="152"/>
      <c r="AD569" s="152"/>
      <c r="AE569" s="152"/>
      <c r="AF569" s="152"/>
      <c r="AG569" s="152"/>
      <c r="AH569" s="44"/>
      <c r="AI569" s="44"/>
      <c r="AJ569" s="44"/>
      <c r="AK569" s="44"/>
      <c r="AL569" s="44"/>
      <c r="AM569" s="44"/>
      <c r="AN569" s="44"/>
    </row>
    <row r="570" spans="1:40">
      <c r="A570" s="44"/>
      <c r="B570" s="44"/>
      <c r="C570" s="44"/>
      <c r="D570" s="44"/>
      <c r="E570" s="44"/>
      <c r="F570" s="43"/>
      <c r="G570" s="44"/>
      <c r="H570" s="45"/>
      <c r="I570" s="44"/>
      <c r="J570" s="44"/>
      <c r="K570" s="143"/>
      <c r="L570" s="144"/>
      <c r="M570" s="143"/>
      <c r="N570" s="143"/>
      <c r="O570" s="44"/>
      <c r="P570" s="44"/>
      <c r="Q570" s="45"/>
      <c r="R570" s="147"/>
      <c r="S570" s="147"/>
      <c r="T570" s="147"/>
      <c r="U570" s="148"/>
      <c r="V570" s="149"/>
      <c r="W570" s="150"/>
      <c r="X570" s="151"/>
      <c r="Y570" s="44"/>
      <c r="Z570" s="44"/>
      <c r="AA570" s="152"/>
      <c r="AB570" s="152"/>
      <c r="AC570" s="152"/>
      <c r="AD570" s="152"/>
      <c r="AE570" s="152"/>
      <c r="AF570" s="152"/>
      <c r="AG570" s="152"/>
      <c r="AH570" s="44"/>
      <c r="AI570" s="44"/>
      <c r="AJ570" s="44"/>
      <c r="AK570" s="44"/>
      <c r="AL570" s="44"/>
      <c r="AM570" s="44"/>
      <c r="AN570" s="44"/>
    </row>
    <row r="571" spans="1:40">
      <c r="A571" s="44"/>
      <c r="B571" s="44"/>
      <c r="C571" s="44"/>
      <c r="D571" s="44"/>
      <c r="E571" s="44"/>
      <c r="F571" s="43"/>
      <c r="G571" s="44"/>
      <c r="H571" s="45"/>
      <c r="I571" s="44"/>
      <c r="J571" s="44"/>
      <c r="K571" s="143"/>
      <c r="L571" s="144"/>
      <c r="M571" s="143"/>
      <c r="N571" s="143"/>
      <c r="O571" s="44"/>
      <c r="P571" s="44"/>
      <c r="Q571" s="45"/>
      <c r="R571" s="147"/>
      <c r="S571" s="147"/>
      <c r="T571" s="147"/>
      <c r="U571" s="148"/>
      <c r="V571" s="149"/>
      <c r="W571" s="150"/>
      <c r="X571" s="151"/>
      <c r="Y571" s="44"/>
      <c r="Z571" s="44"/>
      <c r="AA571" s="152"/>
      <c r="AB571" s="152"/>
      <c r="AC571" s="152"/>
      <c r="AD571" s="152"/>
      <c r="AE571" s="152"/>
      <c r="AF571" s="152"/>
      <c r="AG571" s="152"/>
      <c r="AH571" s="44"/>
      <c r="AI571" s="44"/>
      <c r="AJ571" s="44"/>
      <c r="AK571" s="44"/>
      <c r="AL571" s="44"/>
      <c r="AM571" s="44"/>
      <c r="AN571" s="44"/>
    </row>
    <row r="572" spans="1:40">
      <c r="A572" s="44"/>
      <c r="B572" s="44"/>
      <c r="C572" s="44"/>
      <c r="D572" s="44"/>
      <c r="E572" s="44"/>
      <c r="F572" s="43"/>
      <c r="G572" s="44"/>
      <c r="H572" s="45"/>
      <c r="I572" s="44"/>
      <c r="J572" s="44"/>
      <c r="K572" s="143"/>
      <c r="L572" s="144"/>
      <c r="M572" s="143"/>
      <c r="N572" s="143"/>
      <c r="O572" s="44"/>
      <c r="P572" s="44"/>
      <c r="Q572" s="45"/>
      <c r="R572" s="147"/>
      <c r="S572" s="147"/>
      <c r="T572" s="147"/>
      <c r="U572" s="148"/>
      <c r="V572" s="149"/>
      <c r="W572" s="150"/>
      <c r="X572" s="151"/>
      <c r="Y572" s="44"/>
      <c r="Z572" s="44"/>
      <c r="AA572" s="152"/>
      <c r="AB572" s="152"/>
      <c r="AC572" s="152"/>
      <c r="AD572" s="152"/>
      <c r="AE572" s="152"/>
      <c r="AF572" s="152"/>
      <c r="AG572" s="152"/>
      <c r="AH572" s="44"/>
      <c r="AI572" s="44"/>
      <c r="AJ572" s="44"/>
      <c r="AK572" s="44"/>
      <c r="AL572" s="44"/>
      <c r="AM572" s="44"/>
      <c r="AN572" s="44"/>
    </row>
    <row r="573" spans="1:40">
      <c r="A573" s="44"/>
      <c r="B573" s="44"/>
      <c r="C573" s="44"/>
      <c r="D573" s="44"/>
      <c r="E573" s="44"/>
      <c r="F573" s="43"/>
      <c r="G573" s="44"/>
      <c r="H573" s="45"/>
      <c r="I573" s="44"/>
      <c r="J573" s="44"/>
      <c r="K573" s="143"/>
      <c r="L573" s="144"/>
      <c r="M573" s="143"/>
      <c r="N573" s="143"/>
      <c r="O573" s="44"/>
      <c r="P573" s="44"/>
      <c r="Q573" s="45"/>
      <c r="R573" s="147"/>
      <c r="S573" s="147"/>
      <c r="T573" s="147"/>
      <c r="U573" s="148"/>
      <c r="V573" s="149"/>
      <c r="W573" s="150"/>
      <c r="X573" s="151"/>
      <c r="Y573" s="44"/>
      <c r="Z573" s="44"/>
      <c r="AA573" s="152"/>
      <c r="AB573" s="152"/>
      <c r="AC573" s="152"/>
      <c r="AD573" s="152"/>
      <c r="AE573" s="152"/>
      <c r="AF573" s="152"/>
      <c r="AG573" s="152"/>
      <c r="AH573" s="44"/>
      <c r="AI573" s="44"/>
      <c r="AJ573" s="44"/>
      <c r="AK573" s="44"/>
      <c r="AL573" s="44"/>
      <c r="AM573" s="44"/>
      <c r="AN573" s="44"/>
    </row>
    <row r="574" spans="1:40">
      <c r="A574" s="44"/>
      <c r="B574" s="44"/>
      <c r="C574" s="44"/>
      <c r="D574" s="44"/>
      <c r="E574" s="44"/>
      <c r="F574" s="43"/>
      <c r="G574" s="44"/>
      <c r="H574" s="45"/>
      <c r="I574" s="44"/>
      <c r="J574" s="44"/>
      <c r="K574" s="143"/>
      <c r="L574" s="144"/>
      <c r="M574" s="143"/>
      <c r="N574" s="143"/>
      <c r="O574" s="44"/>
      <c r="P574" s="44"/>
      <c r="Q574" s="45"/>
      <c r="R574" s="147"/>
      <c r="S574" s="147"/>
      <c r="T574" s="147"/>
      <c r="U574" s="148"/>
      <c r="V574" s="149"/>
      <c r="W574" s="150"/>
      <c r="X574" s="151"/>
      <c r="Y574" s="44"/>
      <c r="Z574" s="44"/>
      <c r="AA574" s="152"/>
      <c r="AB574" s="152"/>
      <c r="AC574" s="152"/>
      <c r="AD574" s="152"/>
      <c r="AE574" s="152"/>
      <c r="AF574" s="152"/>
      <c r="AG574" s="152"/>
      <c r="AH574" s="44"/>
      <c r="AI574" s="44"/>
      <c r="AJ574" s="44"/>
      <c r="AK574" s="44"/>
      <c r="AL574" s="44"/>
      <c r="AM574" s="44"/>
      <c r="AN574" s="44"/>
    </row>
    <row r="575" spans="1:40">
      <c r="A575" s="44"/>
      <c r="B575" s="44"/>
      <c r="C575" s="44"/>
      <c r="D575" s="44"/>
      <c r="E575" s="44"/>
      <c r="F575" s="43"/>
      <c r="G575" s="44"/>
      <c r="H575" s="45"/>
      <c r="I575" s="44"/>
      <c r="J575" s="44"/>
      <c r="K575" s="143"/>
      <c r="L575" s="144"/>
      <c r="M575" s="143"/>
      <c r="N575" s="143"/>
      <c r="O575" s="44"/>
      <c r="P575" s="44"/>
      <c r="Q575" s="45"/>
      <c r="R575" s="147"/>
      <c r="S575" s="147"/>
      <c r="T575" s="147"/>
      <c r="U575" s="148"/>
      <c r="V575" s="149"/>
      <c r="W575" s="150"/>
      <c r="X575" s="151"/>
      <c r="Y575" s="44"/>
      <c r="Z575" s="44"/>
      <c r="AA575" s="152"/>
      <c r="AB575" s="152"/>
      <c r="AC575" s="152"/>
      <c r="AD575" s="152"/>
      <c r="AE575" s="152"/>
      <c r="AF575" s="152"/>
      <c r="AG575" s="152"/>
      <c r="AH575" s="44"/>
      <c r="AI575" s="44"/>
      <c r="AJ575" s="44"/>
      <c r="AK575" s="44"/>
      <c r="AL575" s="44"/>
      <c r="AM575" s="44"/>
      <c r="AN575" s="44"/>
    </row>
    <row r="576" spans="1:40">
      <c r="A576" s="44"/>
      <c r="B576" s="44"/>
      <c r="C576" s="44"/>
      <c r="D576" s="44"/>
      <c r="E576" s="44"/>
      <c r="F576" s="43"/>
      <c r="G576" s="44"/>
      <c r="H576" s="45"/>
      <c r="I576" s="44"/>
      <c r="J576" s="44"/>
      <c r="K576" s="143"/>
      <c r="L576" s="144"/>
      <c r="M576" s="143"/>
      <c r="N576" s="143"/>
      <c r="O576" s="44"/>
      <c r="P576" s="44"/>
      <c r="Q576" s="45"/>
      <c r="R576" s="147"/>
      <c r="S576" s="147"/>
      <c r="T576" s="147"/>
      <c r="U576" s="148"/>
      <c r="V576" s="149"/>
      <c r="W576" s="150"/>
      <c r="X576" s="151"/>
      <c r="Y576" s="44"/>
      <c r="Z576" s="44"/>
      <c r="AA576" s="152"/>
      <c r="AB576" s="152"/>
      <c r="AC576" s="152"/>
      <c r="AD576" s="152"/>
      <c r="AE576" s="152"/>
      <c r="AF576" s="152"/>
      <c r="AG576" s="152"/>
      <c r="AH576" s="44"/>
      <c r="AI576" s="44"/>
      <c r="AJ576" s="44"/>
      <c r="AK576" s="44"/>
      <c r="AL576" s="44"/>
      <c r="AM576" s="44"/>
      <c r="AN576" s="44"/>
    </row>
    <row r="577" spans="1:40">
      <c r="A577" s="44"/>
      <c r="B577" s="44"/>
      <c r="C577" s="44"/>
      <c r="D577" s="44"/>
      <c r="E577" s="44"/>
      <c r="F577" s="43"/>
      <c r="G577" s="44"/>
      <c r="H577" s="45"/>
      <c r="I577" s="44"/>
      <c r="J577" s="44"/>
      <c r="K577" s="143"/>
      <c r="L577" s="144"/>
      <c r="M577" s="143"/>
      <c r="N577" s="143"/>
      <c r="O577" s="44"/>
      <c r="P577" s="44"/>
      <c r="Q577" s="45"/>
      <c r="R577" s="147"/>
      <c r="S577" s="147"/>
      <c r="T577" s="147"/>
      <c r="U577" s="148"/>
      <c r="V577" s="149"/>
      <c r="W577" s="150"/>
      <c r="X577" s="151"/>
      <c r="Y577" s="44"/>
      <c r="Z577" s="44"/>
      <c r="AA577" s="152"/>
      <c r="AB577" s="152"/>
      <c r="AC577" s="152"/>
      <c r="AD577" s="152"/>
      <c r="AE577" s="152"/>
      <c r="AF577" s="152"/>
      <c r="AG577" s="152"/>
      <c r="AH577" s="44"/>
      <c r="AI577" s="44"/>
      <c r="AJ577" s="44"/>
      <c r="AK577" s="44"/>
      <c r="AL577" s="44"/>
      <c r="AM577" s="44"/>
      <c r="AN577" s="44"/>
    </row>
    <row r="578" spans="1:40">
      <c r="A578" s="44"/>
      <c r="B578" s="44"/>
      <c r="C578" s="44"/>
      <c r="D578" s="44"/>
      <c r="E578" s="44"/>
      <c r="F578" s="43"/>
      <c r="G578" s="44"/>
      <c r="H578" s="45"/>
      <c r="I578" s="44"/>
      <c r="J578" s="44"/>
      <c r="K578" s="143"/>
      <c r="L578" s="144"/>
      <c r="M578" s="143"/>
      <c r="N578" s="143"/>
      <c r="O578" s="44"/>
      <c r="P578" s="44"/>
      <c r="Q578" s="45"/>
      <c r="R578" s="147"/>
      <c r="S578" s="147"/>
      <c r="T578" s="147"/>
      <c r="U578" s="148"/>
      <c r="V578" s="149"/>
      <c r="W578" s="150"/>
      <c r="X578" s="151"/>
      <c r="Y578" s="44"/>
      <c r="Z578" s="44"/>
      <c r="AA578" s="152"/>
      <c r="AB578" s="152"/>
      <c r="AC578" s="152"/>
      <c r="AD578" s="152"/>
      <c r="AE578" s="152"/>
      <c r="AF578" s="152"/>
      <c r="AG578" s="152"/>
      <c r="AH578" s="44"/>
      <c r="AI578" s="44"/>
      <c r="AJ578" s="44"/>
      <c r="AK578" s="44"/>
      <c r="AL578" s="44"/>
      <c r="AM578" s="44"/>
      <c r="AN578" s="44"/>
    </row>
    <row r="579" spans="1:40">
      <c r="A579" s="44"/>
      <c r="B579" s="44"/>
      <c r="C579" s="44"/>
      <c r="D579" s="44"/>
      <c r="E579" s="44"/>
      <c r="F579" s="43"/>
      <c r="G579" s="44"/>
      <c r="H579" s="45"/>
      <c r="I579" s="44"/>
      <c r="J579" s="44"/>
      <c r="K579" s="143"/>
      <c r="L579" s="144"/>
      <c r="M579" s="143"/>
      <c r="N579" s="143"/>
      <c r="O579" s="44"/>
      <c r="P579" s="44"/>
      <c r="Q579" s="45"/>
      <c r="R579" s="147"/>
      <c r="S579" s="147"/>
      <c r="T579" s="147"/>
      <c r="U579" s="148"/>
      <c r="V579" s="149"/>
      <c r="W579" s="150"/>
      <c r="X579" s="151"/>
      <c r="Y579" s="44"/>
      <c r="Z579" s="44"/>
      <c r="AA579" s="152"/>
      <c r="AB579" s="152"/>
      <c r="AC579" s="152"/>
      <c r="AD579" s="152"/>
      <c r="AE579" s="152"/>
      <c r="AF579" s="152"/>
      <c r="AG579" s="152"/>
      <c r="AH579" s="44"/>
      <c r="AI579" s="44"/>
      <c r="AJ579" s="44"/>
      <c r="AK579" s="44"/>
      <c r="AL579" s="44"/>
      <c r="AM579" s="44"/>
      <c r="AN579" s="44"/>
    </row>
    <row r="580" spans="1:40">
      <c r="A580" s="44"/>
      <c r="B580" s="44"/>
      <c r="C580" s="44"/>
      <c r="D580" s="44"/>
      <c r="E580" s="44"/>
      <c r="F580" s="43"/>
      <c r="G580" s="44"/>
      <c r="H580" s="45"/>
      <c r="I580" s="44"/>
      <c r="J580" s="44"/>
      <c r="K580" s="143"/>
      <c r="L580" s="144"/>
      <c r="M580" s="143"/>
      <c r="N580" s="143"/>
      <c r="O580" s="44"/>
      <c r="P580" s="44"/>
      <c r="Q580" s="45"/>
      <c r="R580" s="147"/>
      <c r="S580" s="147"/>
      <c r="T580" s="147"/>
      <c r="U580" s="148"/>
      <c r="V580" s="149"/>
      <c r="W580" s="150"/>
      <c r="X580" s="151"/>
      <c r="Y580" s="44"/>
      <c r="Z580" s="44"/>
      <c r="AA580" s="152"/>
      <c r="AB580" s="152"/>
      <c r="AC580" s="152"/>
      <c r="AD580" s="152"/>
      <c r="AE580" s="152"/>
      <c r="AF580" s="152"/>
      <c r="AG580" s="152"/>
      <c r="AH580" s="44"/>
      <c r="AI580" s="44"/>
      <c r="AJ580" s="44"/>
      <c r="AK580" s="44"/>
      <c r="AL580" s="44"/>
      <c r="AM580" s="44"/>
      <c r="AN580" s="44"/>
    </row>
    <row r="581" spans="1:40">
      <c r="A581" s="44"/>
      <c r="B581" s="44"/>
      <c r="C581" s="44"/>
      <c r="D581" s="44"/>
      <c r="E581" s="44"/>
      <c r="F581" s="43"/>
      <c r="G581" s="44"/>
      <c r="H581" s="45"/>
      <c r="I581" s="44"/>
      <c r="J581" s="44"/>
      <c r="K581" s="143"/>
      <c r="L581" s="144"/>
      <c r="M581" s="143"/>
      <c r="N581" s="143"/>
      <c r="O581" s="44"/>
      <c r="P581" s="44"/>
      <c r="Q581" s="45"/>
      <c r="R581" s="147"/>
      <c r="S581" s="147"/>
      <c r="T581" s="147"/>
      <c r="U581" s="148"/>
      <c r="V581" s="149"/>
      <c r="W581" s="150"/>
      <c r="X581" s="151"/>
      <c r="Y581" s="44"/>
      <c r="Z581" s="44"/>
      <c r="AA581" s="152"/>
      <c r="AB581" s="152"/>
      <c r="AC581" s="152"/>
      <c r="AD581" s="152"/>
      <c r="AE581" s="152"/>
      <c r="AF581" s="152"/>
      <c r="AG581" s="152"/>
      <c r="AH581" s="44"/>
      <c r="AI581" s="44"/>
      <c r="AJ581" s="44"/>
      <c r="AK581" s="44"/>
      <c r="AL581" s="44"/>
      <c r="AM581" s="44"/>
      <c r="AN581" s="44"/>
    </row>
    <row r="582" spans="1:40">
      <c r="A582" s="44"/>
      <c r="B582" s="44"/>
      <c r="C582" s="44"/>
      <c r="D582" s="44"/>
      <c r="E582" s="44"/>
      <c r="F582" s="43"/>
      <c r="G582" s="44"/>
      <c r="H582" s="45"/>
      <c r="I582" s="44"/>
      <c r="J582" s="44"/>
      <c r="K582" s="143"/>
      <c r="L582" s="144"/>
      <c r="M582" s="143"/>
      <c r="N582" s="143"/>
      <c r="O582" s="44"/>
      <c r="P582" s="44"/>
      <c r="Q582" s="45"/>
      <c r="R582" s="147"/>
      <c r="S582" s="147"/>
      <c r="T582" s="147"/>
      <c r="U582" s="148"/>
      <c r="V582" s="149"/>
      <c r="W582" s="150"/>
      <c r="X582" s="151"/>
      <c r="Y582" s="44"/>
      <c r="Z582" s="44"/>
      <c r="AA582" s="152"/>
      <c r="AB582" s="152"/>
      <c r="AC582" s="152"/>
      <c r="AD582" s="152"/>
      <c r="AE582" s="152"/>
      <c r="AF582" s="152"/>
      <c r="AG582" s="152"/>
      <c r="AH582" s="44"/>
      <c r="AI582" s="44"/>
      <c r="AJ582" s="44"/>
      <c r="AK582" s="44"/>
      <c r="AL582" s="44"/>
      <c r="AM582" s="44"/>
      <c r="AN582" s="44"/>
    </row>
    <row r="583" spans="1:40">
      <c r="A583" s="44"/>
      <c r="B583" s="44"/>
      <c r="C583" s="44"/>
      <c r="D583" s="44"/>
      <c r="E583" s="44"/>
      <c r="F583" s="43"/>
      <c r="G583" s="44"/>
      <c r="H583" s="45"/>
      <c r="I583" s="44"/>
      <c r="J583" s="44"/>
      <c r="K583" s="143"/>
      <c r="L583" s="144"/>
      <c r="M583" s="143"/>
      <c r="N583" s="143"/>
      <c r="O583" s="44"/>
      <c r="P583" s="44"/>
      <c r="Q583" s="45"/>
      <c r="R583" s="147"/>
      <c r="S583" s="147"/>
      <c r="T583" s="147"/>
      <c r="U583" s="148"/>
      <c r="V583" s="149"/>
      <c r="W583" s="150"/>
      <c r="X583" s="151"/>
      <c r="Y583" s="44"/>
      <c r="Z583" s="44"/>
      <c r="AA583" s="152"/>
      <c r="AB583" s="152"/>
      <c r="AC583" s="152"/>
      <c r="AD583" s="152"/>
      <c r="AE583" s="152"/>
      <c r="AF583" s="152"/>
      <c r="AG583" s="152"/>
      <c r="AH583" s="44"/>
      <c r="AI583" s="44"/>
      <c r="AJ583" s="44"/>
      <c r="AK583" s="44"/>
      <c r="AL583" s="44"/>
      <c r="AM583" s="44"/>
      <c r="AN583" s="44"/>
    </row>
    <row r="584" spans="1:40">
      <c r="A584" s="44"/>
      <c r="B584" s="44"/>
      <c r="C584" s="44"/>
      <c r="D584" s="44"/>
      <c r="E584" s="44"/>
      <c r="F584" s="43"/>
      <c r="G584" s="44"/>
      <c r="H584" s="45"/>
      <c r="I584" s="44"/>
      <c r="J584" s="44"/>
      <c r="K584" s="143"/>
      <c r="L584" s="144"/>
      <c r="M584" s="143"/>
      <c r="N584" s="143"/>
      <c r="O584" s="44"/>
      <c r="P584" s="44"/>
      <c r="Q584" s="45"/>
      <c r="R584" s="147"/>
      <c r="S584" s="147"/>
      <c r="T584" s="147"/>
      <c r="U584" s="148"/>
      <c r="V584" s="149"/>
      <c r="W584" s="150"/>
      <c r="X584" s="151"/>
      <c r="Y584" s="44"/>
      <c r="Z584" s="44"/>
      <c r="AA584" s="152"/>
      <c r="AB584" s="152"/>
      <c r="AC584" s="152"/>
      <c r="AD584" s="152"/>
      <c r="AE584" s="152"/>
      <c r="AF584" s="152"/>
      <c r="AG584" s="152"/>
      <c r="AH584" s="44"/>
      <c r="AI584" s="44"/>
      <c r="AJ584" s="44"/>
      <c r="AK584" s="44"/>
      <c r="AL584" s="44"/>
      <c r="AM584" s="44"/>
      <c r="AN584" s="44"/>
    </row>
    <row r="585" spans="1:40">
      <c r="A585" s="44"/>
      <c r="B585" s="44"/>
      <c r="C585" s="44"/>
      <c r="D585" s="44"/>
      <c r="E585" s="44"/>
      <c r="F585" s="43"/>
      <c r="G585" s="44"/>
      <c r="H585" s="45"/>
      <c r="I585" s="44"/>
      <c r="J585" s="44"/>
      <c r="K585" s="143"/>
      <c r="L585" s="144"/>
      <c r="M585" s="143"/>
      <c r="N585" s="143"/>
      <c r="O585" s="44"/>
      <c r="P585" s="44"/>
      <c r="Q585" s="45"/>
      <c r="R585" s="147"/>
      <c r="S585" s="147"/>
      <c r="T585" s="147"/>
      <c r="U585" s="148"/>
      <c r="V585" s="149"/>
      <c r="W585" s="150"/>
      <c r="X585" s="151"/>
      <c r="Y585" s="44"/>
      <c r="Z585" s="44"/>
      <c r="AA585" s="152"/>
      <c r="AB585" s="152"/>
      <c r="AC585" s="152"/>
      <c r="AD585" s="152"/>
      <c r="AE585" s="152"/>
      <c r="AF585" s="152"/>
      <c r="AG585" s="152"/>
      <c r="AH585" s="44"/>
      <c r="AI585" s="44"/>
      <c r="AJ585" s="44"/>
      <c r="AK585" s="44"/>
      <c r="AL585" s="44"/>
      <c r="AM585" s="44"/>
      <c r="AN585" s="44"/>
    </row>
    <row r="586" spans="1:40">
      <c r="A586" s="44"/>
      <c r="B586" s="44"/>
      <c r="C586" s="44"/>
      <c r="D586" s="44"/>
      <c r="E586" s="44"/>
      <c r="F586" s="43"/>
      <c r="G586" s="44"/>
      <c r="H586" s="45"/>
      <c r="I586" s="44"/>
      <c r="J586" s="44"/>
      <c r="K586" s="143"/>
      <c r="L586" s="144"/>
      <c r="M586" s="143"/>
      <c r="N586" s="143"/>
      <c r="O586" s="44"/>
      <c r="P586" s="44"/>
      <c r="Q586" s="45"/>
      <c r="R586" s="147"/>
      <c r="S586" s="147"/>
      <c r="T586" s="147"/>
      <c r="U586" s="148"/>
      <c r="V586" s="149"/>
      <c r="W586" s="150"/>
      <c r="X586" s="151"/>
      <c r="Y586" s="44"/>
      <c r="Z586" s="44"/>
      <c r="AA586" s="152"/>
      <c r="AB586" s="152"/>
      <c r="AC586" s="152"/>
      <c r="AD586" s="152"/>
      <c r="AE586" s="152"/>
      <c r="AF586" s="152"/>
      <c r="AG586" s="152"/>
      <c r="AH586" s="44"/>
      <c r="AI586" s="44"/>
      <c r="AJ586" s="44"/>
      <c r="AK586" s="44"/>
      <c r="AL586" s="44"/>
      <c r="AM586" s="44"/>
      <c r="AN586" s="44"/>
    </row>
    <row r="587" spans="1:40">
      <c r="A587" s="44"/>
      <c r="B587" s="44"/>
      <c r="C587" s="44"/>
      <c r="D587" s="44"/>
      <c r="E587" s="44"/>
      <c r="F587" s="43"/>
      <c r="G587" s="44"/>
      <c r="H587" s="45"/>
      <c r="I587" s="44"/>
      <c r="J587" s="44"/>
      <c r="K587" s="143"/>
      <c r="L587" s="144"/>
      <c r="M587" s="143"/>
      <c r="N587" s="143"/>
      <c r="O587" s="44"/>
      <c r="P587" s="44"/>
      <c r="Q587" s="45"/>
      <c r="R587" s="147"/>
      <c r="S587" s="147"/>
      <c r="T587" s="147"/>
      <c r="U587" s="148"/>
      <c r="V587" s="149"/>
      <c r="W587" s="150"/>
      <c r="X587" s="151"/>
      <c r="Y587" s="44"/>
      <c r="Z587" s="44"/>
      <c r="AA587" s="152"/>
      <c r="AB587" s="152"/>
      <c r="AC587" s="152"/>
      <c r="AD587" s="152"/>
      <c r="AE587" s="152"/>
      <c r="AF587" s="152"/>
      <c r="AG587" s="152"/>
      <c r="AH587" s="44"/>
      <c r="AI587" s="44"/>
      <c r="AJ587" s="44"/>
      <c r="AK587" s="44"/>
      <c r="AL587" s="44"/>
      <c r="AM587" s="44"/>
      <c r="AN587" s="44"/>
    </row>
    <row r="588" spans="1:40">
      <c r="A588" s="44"/>
      <c r="B588" s="44"/>
      <c r="C588" s="44"/>
      <c r="D588" s="44"/>
      <c r="E588" s="44"/>
      <c r="F588" s="43"/>
      <c r="G588" s="44"/>
      <c r="H588" s="45"/>
      <c r="I588" s="44"/>
      <c r="J588" s="44"/>
      <c r="K588" s="143"/>
      <c r="L588" s="144"/>
      <c r="M588" s="143"/>
      <c r="N588" s="143"/>
      <c r="O588" s="44"/>
      <c r="P588" s="44"/>
      <c r="Q588" s="45"/>
      <c r="R588" s="147"/>
      <c r="S588" s="147"/>
      <c r="T588" s="147"/>
      <c r="U588" s="148"/>
      <c r="V588" s="149"/>
      <c r="W588" s="150"/>
      <c r="X588" s="151"/>
      <c r="Y588" s="44"/>
      <c r="Z588" s="44"/>
      <c r="AA588" s="152"/>
      <c r="AB588" s="152"/>
      <c r="AC588" s="152"/>
      <c r="AD588" s="152"/>
      <c r="AE588" s="152"/>
      <c r="AF588" s="152"/>
      <c r="AG588" s="152"/>
      <c r="AH588" s="44"/>
      <c r="AI588" s="44"/>
      <c r="AJ588" s="44"/>
      <c r="AK588" s="44"/>
      <c r="AL588" s="44"/>
      <c r="AM588" s="44"/>
      <c r="AN588" s="44"/>
    </row>
    <row r="589" spans="1:40">
      <c r="A589" s="44"/>
      <c r="B589" s="44"/>
      <c r="C589" s="44"/>
      <c r="D589" s="44"/>
      <c r="E589" s="44"/>
      <c r="F589" s="43"/>
      <c r="G589" s="44"/>
      <c r="H589" s="45"/>
      <c r="I589" s="44"/>
      <c r="J589" s="44"/>
      <c r="K589" s="143"/>
      <c r="L589" s="144"/>
      <c r="M589" s="143"/>
      <c r="N589" s="143"/>
      <c r="O589" s="44"/>
      <c r="P589" s="44"/>
      <c r="Q589" s="45"/>
      <c r="R589" s="147"/>
      <c r="S589" s="147"/>
      <c r="T589" s="147"/>
      <c r="U589" s="148"/>
      <c r="V589" s="149"/>
      <c r="W589" s="150"/>
      <c r="X589" s="151"/>
      <c r="Y589" s="44"/>
      <c r="Z589" s="44"/>
      <c r="AA589" s="152"/>
      <c r="AB589" s="152"/>
      <c r="AC589" s="152"/>
      <c r="AD589" s="152"/>
      <c r="AE589" s="152"/>
      <c r="AF589" s="152"/>
      <c r="AG589" s="152"/>
      <c r="AH589" s="44"/>
      <c r="AI589" s="44"/>
      <c r="AJ589" s="44"/>
      <c r="AK589" s="44"/>
      <c r="AL589" s="44"/>
      <c r="AM589" s="44"/>
      <c r="AN589" s="44"/>
    </row>
    <row r="590" spans="1:40">
      <c r="A590" s="44"/>
      <c r="B590" s="44"/>
      <c r="C590" s="44"/>
      <c r="D590" s="44"/>
      <c r="E590" s="44"/>
      <c r="F590" s="43"/>
      <c r="G590" s="44"/>
      <c r="H590" s="45"/>
      <c r="I590" s="44"/>
      <c r="J590" s="44"/>
      <c r="K590" s="143"/>
      <c r="L590" s="144"/>
      <c r="M590" s="143"/>
      <c r="N590" s="143"/>
      <c r="O590" s="44"/>
      <c r="P590" s="44"/>
      <c r="Q590" s="45"/>
      <c r="R590" s="147"/>
      <c r="S590" s="147"/>
      <c r="T590" s="147"/>
      <c r="U590" s="148"/>
      <c r="V590" s="149"/>
      <c r="W590" s="150"/>
      <c r="X590" s="151"/>
      <c r="Y590" s="44"/>
      <c r="Z590" s="44"/>
      <c r="AA590" s="152"/>
      <c r="AB590" s="152"/>
      <c r="AC590" s="152"/>
      <c r="AD590" s="152"/>
      <c r="AE590" s="152"/>
      <c r="AF590" s="152"/>
      <c r="AG590" s="152"/>
      <c r="AH590" s="44"/>
      <c r="AI590" s="44"/>
      <c r="AJ590" s="44"/>
      <c r="AK590" s="44"/>
      <c r="AL590" s="44"/>
      <c r="AM590" s="44"/>
      <c r="AN590" s="44"/>
    </row>
    <row r="591" spans="1:40">
      <c r="A591" s="44"/>
      <c r="B591" s="44"/>
      <c r="C591" s="44"/>
      <c r="D591" s="44"/>
      <c r="E591" s="44"/>
      <c r="F591" s="43"/>
      <c r="G591" s="44"/>
      <c r="H591" s="45"/>
      <c r="I591" s="44"/>
      <c r="J591" s="44"/>
      <c r="K591" s="143"/>
      <c r="L591" s="144"/>
      <c r="M591" s="143"/>
      <c r="N591" s="143"/>
      <c r="O591" s="44"/>
      <c r="P591" s="44"/>
      <c r="Q591" s="45"/>
      <c r="R591" s="147"/>
      <c r="S591" s="147"/>
      <c r="T591" s="147"/>
      <c r="U591" s="148"/>
      <c r="V591" s="149"/>
      <c r="W591" s="150"/>
      <c r="X591" s="151"/>
      <c r="Y591" s="44"/>
      <c r="Z591" s="44"/>
      <c r="AA591" s="152"/>
      <c r="AB591" s="152"/>
      <c r="AC591" s="152"/>
      <c r="AD591" s="152"/>
      <c r="AE591" s="152"/>
      <c r="AF591" s="152"/>
      <c r="AG591" s="152"/>
      <c r="AH591" s="44"/>
      <c r="AI591" s="44"/>
      <c r="AJ591" s="44"/>
      <c r="AK591" s="44"/>
      <c r="AL591" s="44"/>
      <c r="AM591" s="44"/>
      <c r="AN591" s="44"/>
    </row>
    <row r="592" spans="1:40">
      <c r="A592" s="44"/>
      <c r="B592" s="44"/>
      <c r="C592" s="44"/>
      <c r="D592" s="44"/>
      <c r="E592" s="44"/>
      <c r="F592" s="43"/>
      <c r="G592" s="44"/>
      <c r="H592" s="45"/>
      <c r="I592" s="44"/>
      <c r="J592" s="44"/>
      <c r="K592" s="143"/>
      <c r="L592" s="144"/>
      <c r="M592" s="143"/>
      <c r="N592" s="143"/>
      <c r="O592" s="44"/>
      <c r="P592" s="44"/>
      <c r="Q592" s="45"/>
      <c r="R592" s="147"/>
      <c r="S592" s="147"/>
      <c r="T592" s="147"/>
      <c r="U592" s="148"/>
      <c r="V592" s="149"/>
      <c r="W592" s="150"/>
      <c r="X592" s="151"/>
      <c r="Y592" s="44"/>
      <c r="Z592" s="44"/>
      <c r="AA592" s="152"/>
      <c r="AB592" s="152"/>
      <c r="AC592" s="152"/>
      <c r="AD592" s="152"/>
      <c r="AE592" s="152"/>
      <c r="AF592" s="152"/>
      <c r="AG592" s="152"/>
      <c r="AH592" s="44"/>
      <c r="AI592" s="44"/>
      <c r="AJ592" s="44"/>
      <c r="AK592" s="44"/>
      <c r="AL592" s="44"/>
      <c r="AM592" s="44"/>
      <c r="AN592" s="44"/>
    </row>
    <row r="593" spans="1:40">
      <c r="A593" s="44"/>
      <c r="B593" s="44"/>
      <c r="C593" s="44"/>
      <c r="D593" s="44"/>
      <c r="E593" s="44"/>
      <c r="F593" s="43"/>
      <c r="G593" s="44"/>
      <c r="H593" s="45"/>
      <c r="I593" s="44"/>
      <c r="J593" s="44"/>
      <c r="K593" s="143"/>
      <c r="L593" s="144"/>
      <c r="M593" s="143"/>
      <c r="N593" s="143"/>
      <c r="O593" s="44"/>
      <c r="P593" s="44"/>
      <c r="Q593" s="45"/>
      <c r="R593" s="147"/>
      <c r="S593" s="147"/>
      <c r="T593" s="147"/>
      <c r="U593" s="148"/>
      <c r="V593" s="149"/>
      <c r="W593" s="150"/>
      <c r="X593" s="151"/>
      <c r="Y593" s="44"/>
      <c r="Z593" s="44"/>
      <c r="AA593" s="152"/>
      <c r="AB593" s="152"/>
      <c r="AC593" s="152"/>
      <c r="AD593" s="152"/>
      <c r="AE593" s="152"/>
      <c r="AF593" s="152"/>
      <c r="AG593" s="152"/>
      <c r="AH593" s="44"/>
      <c r="AI593" s="44"/>
      <c r="AJ593" s="44"/>
      <c r="AK593" s="44"/>
      <c r="AL593" s="44"/>
      <c r="AM593" s="44"/>
      <c r="AN593" s="44"/>
    </row>
    <row r="594" spans="1:40">
      <c r="A594" s="44"/>
      <c r="B594" s="44"/>
      <c r="C594" s="44"/>
      <c r="D594" s="44"/>
      <c r="E594" s="44"/>
      <c r="F594" s="43"/>
      <c r="G594" s="44"/>
      <c r="H594" s="45"/>
      <c r="I594" s="44"/>
      <c r="J594" s="44"/>
      <c r="K594" s="143"/>
      <c r="L594" s="144"/>
      <c r="M594" s="143"/>
      <c r="N594" s="143"/>
      <c r="O594" s="44"/>
      <c r="P594" s="44"/>
      <c r="Q594" s="45"/>
      <c r="R594" s="147"/>
      <c r="S594" s="147"/>
      <c r="T594" s="147"/>
      <c r="U594" s="148"/>
      <c r="V594" s="149"/>
      <c r="W594" s="150"/>
      <c r="X594" s="151"/>
      <c r="Y594" s="44"/>
      <c r="Z594" s="44"/>
      <c r="AA594" s="152"/>
      <c r="AB594" s="152"/>
      <c r="AC594" s="152"/>
      <c r="AD594" s="152"/>
      <c r="AE594" s="152"/>
      <c r="AF594" s="152"/>
      <c r="AG594" s="152"/>
      <c r="AH594" s="44"/>
      <c r="AI594" s="44"/>
      <c r="AJ594" s="44"/>
      <c r="AK594" s="44"/>
      <c r="AL594" s="44"/>
      <c r="AM594" s="44"/>
      <c r="AN594" s="44"/>
    </row>
    <row r="595" spans="1:40">
      <c r="A595" s="44"/>
      <c r="B595" s="44"/>
      <c r="C595" s="44"/>
      <c r="D595" s="44"/>
      <c r="E595" s="44"/>
      <c r="F595" s="43"/>
      <c r="G595" s="44"/>
      <c r="H595" s="45"/>
      <c r="I595" s="44"/>
      <c r="J595" s="44"/>
      <c r="K595" s="143"/>
      <c r="L595" s="144"/>
      <c r="M595" s="143"/>
      <c r="N595" s="143"/>
      <c r="O595" s="44"/>
      <c r="P595" s="44"/>
      <c r="Q595" s="45"/>
      <c r="R595" s="147"/>
      <c r="S595" s="147"/>
      <c r="T595" s="147"/>
      <c r="U595" s="148"/>
      <c r="V595" s="149"/>
      <c r="W595" s="150"/>
      <c r="X595" s="151"/>
      <c r="Y595" s="44"/>
      <c r="Z595" s="44"/>
      <c r="AA595" s="152"/>
      <c r="AB595" s="152"/>
      <c r="AC595" s="152"/>
      <c r="AD595" s="152"/>
      <c r="AE595" s="152"/>
      <c r="AF595" s="152"/>
      <c r="AG595" s="152"/>
      <c r="AH595" s="44"/>
      <c r="AI595" s="44"/>
      <c r="AJ595" s="44"/>
      <c r="AK595" s="44"/>
      <c r="AL595" s="44"/>
      <c r="AM595" s="44"/>
      <c r="AN595" s="44"/>
    </row>
    <row r="596" spans="1:40">
      <c r="A596" s="44"/>
      <c r="B596" s="44"/>
      <c r="C596" s="44"/>
      <c r="D596" s="44"/>
      <c r="E596" s="44"/>
      <c r="F596" s="43"/>
      <c r="G596" s="44"/>
      <c r="H596" s="45"/>
      <c r="I596" s="44"/>
      <c r="J596" s="44"/>
      <c r="K596" s="143"/>
      <c r="L596" s="144"/>
      <c r="M596" s="143"/>
      <c r="N596" s="143"/>
      <c r="O596" s="44"/>
      <c r="P596" s="44"/>
      <c r="Q596" s="45"/>
      <c r="R596" s="147"/>
      <c r="S596" s="147"/>
      <c r="T596" s="147"/>
      <c r="U596" s="148"/>
      <c r="V596" s="149"/>
      <c r="W596" s="150"/>
      <c r="X596" s="151"/>
      <c r="Y596" s="44"/>
      <c r="Z596" s="44"/>
      <c r="AA596" s="152"/>
      <c r="AB596" s="152"/>
      <c r="AC596" s="152"/>
      <c r="AD596" s="152"/>
      <c r="AE596" s="152"/>
      <c r="AF596" s="152"/>
      <c r="AG596" s="152"/>
      <c r="AH596" s="44"/>
      <c r="AI596" s="44"/>
      <c r="AJ596" s="44"/>
      <c r="AK596" s="44"/>
      <c r="AL596" s="44"/>
      <c r="AM596" s="44"/>
      <c r="AN596" s="44"/>
    </row>
    <row r="597" spans="1:40">
      <c r="A597" s="44"/>
      <c r="B597" s="44"/>
      <c r="C597" s="44"/>
      <c r="D597" s="44"/>
      <c r="E597" s="44"/>
      <c r="F597" s="43"/>
      <c r="G597" s="44"/>
      <c r="H597" s="45"/>
      <c r="I597" s="44"/>
      <c r="J597" s="44"/>
      <c r="K597" s="143"/>
      <c r="L597" s="144"/>
      <c r="M597" s="143"/>
      <c r="N597" s="143"/>
      <c r="O597" s="44"/>
      <c r="P597" s="44"/>
      <c r="Q597" s="45"/>
      <c r="R597" s="147"/>
      <c r="S597" s="147"/>
      <c r="T597" s="147"/>
      <c r="U597" s="148"/>
      <c r="V597" s="149"/>
      <c r="W597" s="150"/>
      <c r="X597" s="151"/>
      <c r="Y597" s="44"/>
      <c r="Z597" s="44"/>
      <c r="AA597" s="152"/>
      <c r="AB597" s="152"/>
      <c r="AC597" s="152"/>
      <c r="AD597" s="152"/>
      <c r="AE597" s="152"/>
      <c r="AF597" s="152"/>
      <c r="AG597" s="152"/>
      <c r="AH597" s="44"/>
      <c r="AI597" s="44"/>
      <c r="AJ597" s="44"/>
      <c r="AK597" s="44"/>
      <c r="AL597" s="44"/>
      <c r="AM597" s="44"/>
      <c r="AN597" s="44"/>
    </row>
    <row r="598" spans="1:40">
      <c r="A598" s="44"/>
      <c r="B598" s="44"/>
      <c r="C598" s="44"/>
      <c r="D598" s="44"/>
      <c r="E598" s="44"/>
      <c r="F598" s="43"/>
      <c r="G598" s="44"/>
      <c r="H598" s="45"/>
      <c r="I598" s="44"/>
      <c r="J598" s="44"/>
      <c r="K598" s="143"/>
      <c r="L598" s="144"/>
      <c r="M598" s="143"/>
      <c r="N598" s="143"/>
      <c r="O598" s="44"/>
      <c r="P598" s="44"/>
      <c r="Q598" s="45"/>
      <c r="R598" s="147"/>
      <c r="S598" s="147"/>
      <c r="T598" s="147"/>
      <c r="U598" s="148"/>
      <c r="V598" s="149"/>
      <c r="W598" s="150"/>
      <c r="X598" s="151"/>
      <c r="Y598" s="44"/>
      <c r="Z598" s="44"/>
      <c r="AA598" s="152"/>
      <c r="AB598" s="152"/>
      <c r="AC598" s="152"/>
      <c r="AD598" s="152"/>
      <c r="AE598" s="152"/>
      <c r="AF598" s="152"/>
      <c r="AG598" s="152"/>
      <c r="AH598" s="44"/>
      <c r="AI598" s="44"/>
      <c r="AJ598" s="44"/>
      <c r="AK598" s="44"/>
      <c r="AL598" s="44"/>
      <c r="AM598" s="44"/>
      <c r="AN598" s="44"/>
    </row>
    <row r="599" spans="1:40">
      <c r="A599" s="44"/>
      <c r="B599" s="44"/>
      <c r="C599" s="44"/>
      <c r="D599" s="44"/>
      <c r="E599" s="44"/>
      <c r="F599" s="43"/>
      <c r="G599" s="44"/>
      <c r="H599" s="45"/>
      <c r="I599" s="44"/>
      <c r="J599" s="44"/>
      <c r="K599" s="143"/>
      <c r="L599" s="144"/>
      <c r="M599" s="143"/>
      <c r="N599" s="143"/>
      <c r="O599" s="44"/>
      <c r="P599" s="44"/>
      <c r="Q599" s="45"/>
      <c r="R599" s="147"/>
      <c r="S599" s="147"/>
      <c r="T599" s="147"/>
      <c r="U599" s="148"/>
      <c r="V599" s="149"/>
      <c r="W599" s="150"/>
      <c r="X599" s="151"/>
      <c r="Y599" s="44"/>
      <c r="Z599" s="44"/>
      <c r="AA599" s="152"/>
      <c r="AB599" s="152"/>
      <c r="AC599" s="152"/>
      <c r="AD599" s="152"/>
      <c r="AE599" s="152"/>
      <c r="AF599" s="152"/>
      <c r="AG599" s="152"/>
      <c r="AH599" s="44"/>
      <c r="AI599" s="44"/>
      <c r="AJ599" s="44"/>
      <c r="AK599" s="44"/>
      <c r="AL599" s="44"/>
      <c r="AM599" s="44"/>
      <c r="AN599" s="44"/>
    </row>
    <row r="600" spans="1:40">
      <c r="A600" s="44"/>
      <c r="B600" s="44"/>
      <c r="C600" s="44"/>
      <c r="D600" s="44"/>
      <c r="E600" s="44"/>
      <c r="F600" s="43"/>
      <c r="G600" s="44"/>
      <c r="H600" s="45"/>
      <c r="I600" s="44"/>
      <c r="J600" s="44"/>
      <c r="K600" s="143"/>
      <c r="L600" s="144"/>
      <c r="M600" s="143"/>
      <c r="N600" s="143"/>
      <c r="O600" s="44"/>
      <c r="P600" s="44"/>
      <c r="Q600" s="45"/>
      <c r="R600" s="147"/>
      <c r="S600" s="147"/>
      <c r="T600" s="147"/>
      <c r="U600" s="148"/>
      <c r="V600" s="149"/>
      <c r="W600" s="150"/>
      <c r="X600" s="151"/>
      <c r="Y600" s="44"/>
      <c r="Z600" s="44"/>
      <c r="AA600" s="152"/>
      <c r="AB600" s="152"/>
      <c r="AC600" s="152"/>
      <c r="AD600" s="152"/>
      <c r="AE600" s="152"/>
      <c r="AF600" s="152"/>
      <c r="AG600" s="152"/>
      <c r="AH600" s="44"/>
      <c r="AI600" s="44"/>
      <c r="AJ600" s="44"/>
      <c r="AK600" s="44"/>
      <c r="AL600" s="44"/>
      <c r="AM600" s="44"/>
      <c r="AN600" s="44"/>
    </row>
    <row r="601" spans="1:40">
      <c r="A601" s="44"/>
      <c r="B601" s="44"/>
      <c r="C601" s="44"/>
      <c r="D601" s="44"/>
      <c r="E601" s="44"/>
      <c r="F601" s="43"/>
      <c r="G601" s="44"/>
      <c r="H601" s="45"/>
      <c r="I601" s="44"/>
      <c r="J601" s="44"/>
      <c r="K601" s="143"/>
      <c r="L601" s="144"/>
      <c r="M601" s="143"/>
      <c r="N601" s="143"/>
      <c r="O601" s="44"/>
      <c r="P601" s="44"/>
      <c r="Q601" s="45"/>
      <c r="R601" s="147"/>
      <c r="S601" s="147"/>
      <c r="T601" s="147"/>
      <c r="U601" s="148"/>
      <c r="V601" s="149"/>
      <c r="W601" s="150"/>
      <c r="X601" s="151"/>
      <c r="Y601" s="44"/>
      <c r="Z601" s="44"/>
      <c r="AA601" s="152"/>
      <c r="AB601" s="152"/>
      <c r="AC601" s="152"/>
      <c r="AD601" s="152"/>
      <c r="AE601" s="152"/>
      <c r="AF601" s="152"/>
      <c r="AG601" s="152"/>
      <c r="AH601" s="44"/>
      <c r="AI601" s="44"/>
      <c r="AJ601" s="44"/>
      <c r="AK601" s="44"/>
      <c r="AL601" s="44"/>
      <c r="AM601" s="44"/>
      <c r="AN601" s="44"/>
    </row>
    <row r="602" spans="1:40">
      <c r="A602" s="44"/>
      <c r="B602" s="44"/>
      <c r="C602" s="44"/>
      <c r="D602" s="44"/>
      <c r="E602" s="44"/>
      <c r="F602" s="43"/>
      <c r="G602" s="44"/>
      <c r="H602" s="45"/>
      <c r="I602" s="44"/>
      <c r="J602" s="44"/>
      <c r="K602" s="143"/>
      <c r="L602" s="144"/>
      <c r="M602" s="143"/>
      <c r="N602" s="143"/>
      <c r="O602" s="44"/>
      <c r="P602" s="44"/>
      <c r="Q602" s="45"/>
      <c r="R602" s="147"/>
      <c r="S602" s="147"/>
      <c r="T602" s="147"/>
      <c r="U602" s="148"/>
      <c r="V602" s="149"/>
      <c r="W602" s="150"/>
      <c r="X602" s="151"/>
      <c r="Y602" s="44"/>
      <c r="Z602" s="44"/>
      <c r="AA602" s="152"/>
      <c r="AB602" s="152"/>
      <c r="AC602" s="152"/>
      <c r="AD602" s="152"/>
      <c r="AE602" s="152"/>
      <c r="AF602" s="152"/>
      <c r="AG602" s="152"/>
      <c r="AH602" s="44"/>
      <c r="AI602" s="44"/>
      <c r="AJ602" s="44"/>
      <c r="AK602" s="44"/>
      <c r="AL602" s="44"/>
      <c r="AM602" s="44"/>
      <c r="AN602" s="44"/>
    </row>
    <row r="603" spans="1:40">
      <c r="A603" s="44"/>
      <c r="B603" s="44"/>
      <c r="C603" s="44"/>
      <c r="D603" s="44"/>
      <c r="E603" s="44"/>
      <c r="F603" s="43"/>
      <c r="G603" s="44"/>
      <c r="H603" s="45"/>
      <c r="I603" s="44"/>
      <c r="J603" s="44"/>
      <c r="K603" s="143"/>
      <c r="L603" s="144"/>
      <c r="M603" s="143"/>
      <c r="N603" s="143"/>
      <c r="O603" s="44"/>
      <c r="P603" s="44"/>
      <c r="Q603" s="45"/>
      <c r="R603" s="147"/>
      <c r="S603" s="147"/>
      <c r="T603" s="147"/>
      <c r="U603" s="148"/>
      <c r="V603" s="149"/>
      <c r="W603" s="150"/>
      <c r="X603" s="151"/>
      <c r="Y603" s="44"/>
      <c r="Z603" s="44"/>
      <c r="AA603" s="152"/>
      <c r="AB603" s="152"/>
      <c r="AC603" s="152"/>
      <c r="AD603" s="152"/>
      <c r="AE603" s="152"/>
      <c r="AF603" s="152"/>
      <c r="AG603" s="152"/>
      <c r="AH603" s="44"/>
      <c r="AI603" s="44"/>
      <c r="AJ603" s="44"/>
      <c r="AK603" s="44"/>
      <c r="AL603" s="44"/>
      <c r="AM603" s="44"/>
      <c r="AN603" s="44"/>
    </row>
    <row r="604" spans="1:40">
      <c r="A604" s="44"/>
      <c r="B604" s="44"/>
      <c r="C604" s="44"/>
      <c r="D604" s="44"/>
      <c r="E604" s="44"/>
      <c r="F604" s="43"/>
      <c r="G604" s="44"/>
      <c r="H604" s="45"/>
      <c r="I604" s="44"/>
      <c r="J604" s="44"/>
      <c r="K604" s="143"/>
      <c r="L604" s="144"/>
      <c r="M604" s="143"/>
      <c r="N604" s="143"/>
      <c r="O604" s="44"/>
      <c r="P604" s="44"/>
      <c r="Q604" s="45"/>
      <c r="R604" s="147"/>
      <c r="S604" s="147"/>
      <c r="T604" s="147"/>
      <c r="U604" s="148"/>
      <c r="V604" s="149"/>
      <c r="W604" s="150"/>
      <c r="X604" s="151"/>
      <c r="Y604" s="44"/>
      <c r="Z604" s="44"/>
      <c r="AA604" s="152"/>
      <c r="AB604" s="152"/>
      <c r="AC604" s="152"/>
      <c r="AD604" s="152"/>
      <c r="AE604" s="152"/>
      <c r="AF604" s="152"/>
      <c r="AG604" s="152"/>
      <c r="AH604" s="44"/>
      <c r="AI604" s="44"/>
      <c r="AJ604" s="44"/>
      <c r="AK604" s="44"/>
      <c r="AL604" s="44"/>
      <c r="AM604" s="44"/>
      <c r="AN604" s="44"/>
    </row>
    <row r="605" spans="1:40">
      <c r="A605" s="44"/>
      <c r="B605" s="44"/>
      <c r="C605" s="44"/>
      <c r="D605" s="44"/>
      <c r="E605" s="44"/>
      <c r="F605" s="43"/>
      <c r="G605" s="44"/>
      <c r="H605" s="45"/>
      <c r="I605" s="44"/>
      <c r="J605" s="44"/>
      <c r="K605" s="143"/>
      <c r="L605" s="144"/>
      <c r="M605" s="143"/>
      <c r="N605" s="143"/>
      <c r="O605" s="44"/>
      <c r="P605" s="44"/>
      <c r="Q605" s="45"/>
      <c r="R605" s="147"/>
      <c r="S605" s="147"/>
      <c r="T605" s="147"/>
      <c r="U605" s="148"/>
      <c r="V605" s="149"/>
      <c r="W605" s="150"/>
      <c r="X605" s="151"/>
      <c r="Y605" s="44"/>
      <c r="Z605" s="44"/>
      <c r="AA605" s="152"/>
      <c r="AB605" s="152"/>
      <c r="AC605" s="152"/>
      <c r="AD605" s="152"/>
      <c r="AE605" s="152"/>
      <c r="AF605" s="152"/>
      <c r="AG605" s="152"/>
      <c r="AH605" s="44"/>
      <c r="AI605" s="44"/>
      <c r="AJ605" s="44"/>
      <c r="AK605" s="44"/>
      <c r="AL605" s="44"/>
      <c r="AM605" s="44"/>
      <c r="AN605" s="44"/>
    </row>
    <row r="606" spans="1:40">
      <c r="A606" s="44"/>
      <c r="B606" s="44"/>
      <c r="C606" s="44"/>
      <c r="D606" s="44"/>
      <c r="E606" s="44"/>
      <c r="F606" s="43"/>
      <c r="G606" s="44"/>
      <c r="H606" s="45"/>
      <c r="I606" s="44"/>
      <c r="J606" s="44"/>
      <c r="K606" s="143"/>
      <c r="L606" s="144"/>
      <c r="M606" s="143"/>
      <c r="N606" s="143"/>
      <c r="O606" s="44"/>
      <c r="P606" s="44"/>
      <c r="Q606" s="45"/>
      <c r="R606" s="147"/>
      <c r="S606" s="147"/>
      <c r="T606" s="147"/>
      <c r="U606" s="148"/>
      <c r="V606" s="149"/>
      <c r="W606" s="150"/>
      <c r="X606" s="151"/>
      <c r="Y606" s="44"/>
      <c r="Z606" s="44"/>
      <c r="AA606" s="152"/>
      <c r="AB606" s="152"/>
      <c r="AC606" s="152"/>
      <c r="AD606" s="152"/>
      <c r="AE606" s="152"/>
      <c r="AF606" s="152"/>
      <c r="AG606" s="152"/>
      <c r="AH606" s="44"/>
      <c r="AI606" s="44"/>
      <c r="AJ606" s="44"/>
      <c r="AK606" s="44"/>
      <c r="AL606" s="44"/>
      <c r="AM606" s="44"/>
      <c r="AN606" s="44"/>
    </row>
    <row r="607" spans="1:40">
      <c r="A607" s="44"/>
      <c r="B607" s="44"/>
      <c r="C607" s="44"/>
      <c r="D607" s="44"/>
      <c r="E607" s="44"/>
      <c r="F607" s="43"/>
      <c r="G607" s="44"/>
      <c r="H607" s="45"/>
      <c r="I607" s="44"/>
      <c r="J607" s="44"/>
      <c r="K607" s="143"/>
      <c r="L607" s="144"/>
      <c r="M607" s="143"/>
      <c r="N607" s="143"/>
      <c r="O607" s="44"/>
      <c r="P607" s="44"/>
      <c r="Q607" s="45"/>
      <c r="R607" s="147"/>
      <c r="S607" s="147"/>
      <c r="T607" s="147"/>
      <c r="U607" s="148"/>
      <c r="V607" s="149"/>
      <c r="W607" s="150"/>
      <c r="X607" s="151"/>
      <c r="Y607" s="44"/>
      <c r="Z607" s="44"/>
      <c r="AA607" s="152"/>
      <c r="AB607" s="152"/>
      <c r="AC607" s="152"/>
      <c r="AD607" s="152"/>
      <c r="AE607" s="152"/>
      <c r="AF607" s="152"/>
      <c r="AG607" s="152"/>
      <c r="AH607" s="44"/>
      <c r="AI607" s="44"/>
      <c r="AJ607" s="44"/>
      <c r="AK607" s="44"/>
      <c r="AL607" s="44"/>
      <c r="AM607" s="44"/>
      <c r="AN607" s="44"/>
    </row>
    <row r="608" spans="1:40">
      <c r="A608" s="44"/>
      <c r="B608" s="44"/>
      <c r="C608" s="44"/>
      <c r="D608" s="44"/>
      <c r="E608" s="44"/>
      <c r="F608" s="43"/>
      <c r="G608" s="44"/>
      <c r="H608" s="45"/>
      <c r="I608" s="44"/>
      <c r="J608" s="44"/>
      <c r="K608" s="143"/>
      <c r="L608" s="144"/>
      <c r="M608" s="143"/>
      <c r="N608" s="143"/>
      <c r="O608" s="44"/>
      <c r="P608" s="44"/>
      <c r="Q608" s="45"/>
      <c r="R608" s="147"/>
      <c r="S608" s="147"/>
      <c r="T608" s="147"/>
      <c r="U608" s="148"/>
      <c r="V608" s="149"/>
      <c r="W608" s="150"/>
      <c r="X608" s="151"/>
      <c r="Y608" s="44"/>
      <c r="Z608" s="44"/>
      <c r="AA608" s="152"/>
      <c r="AB608" s="152"/>
      <c r="AC608" s="152"/>
      <c r="AD608" s="152"/>
      <c r="AE608" s="152"/>
      <c r="AF608" s="152"/>
      <c r="AG608" s="152"/>
      <c r="AH608" s="44"/>
      <c r="AI608" s="44"/>
      <c r="AJ608" s="44"/>
      <c r="AK608" s="44"/>
      <c r="AL608" s="44"/>
      <c r="AM608" s="44"/>
      <c r="AN608" s="44"/>
    </row>
    <row r="609" spans="1:40">
      <c r="A609" s="44"/>
      <c r="B609" s="44"/>
      <c r="C609" s="44"/>
      <c r="D609" s="44"/>
      <c r="E609" s="44"/>
      <c r="F609" s="43"/>
      <c r="G609" s="44"/>
      <c r="H609" s="45"/>
      <c r="I609" s="44"/>
      <c r="J609" s="44"/>
      <c r="K609" s="143"/>
      <c r="L609" s="144"/>
      <c r="M609" s="143"/>
      <c r="N609" s="143"/>
      <c r="O609" s="44"/>
      <c r="P609" s="44"/>
      <c r="Q609" s="45"/>
      <c r="R609" s="147"/>
      <c r="S609" s="147"/>
      <c r="T609" s="147"/>
      <c r="U609" s="148"/>
      <c r="V609" s="149"/>
      <c r="W609" s="150"/>
      <c r="X609" s="151"/>
      <c r="Y609" s="44"/>
      <c r="Z609" s="44"/>
      <c r="AA609" s="152"/>
      <c r="AB609" s="152"/>
      <c r="AC609" s="152"/>
      <c r="AD609" s="152"/>
      <c r="AE609" s="152"/>
      <c r="AF609" s="152"/>
      <c r="AG609" s="152"/>
      <c r="AH609" s="44"/>
      <c r="AI609" s="44"/>
      <c r="AJ609" s="44"/>
      <c r="AK609" s="44"/>
      <c r="AL609" s="44"/>
      <c r="AM609" s="44"/>
      <c r="AN609" s="44"/>
    </row>
    <row r="610" spans="1:40">
      <c r="A610" s="44"/>
      <c r="B610" s="44"/>
      <c r="C610" s="44"/>
      <c r="D610" s="44"/>
      <c r="E610" s="44"/>
      <c r="F610" s="43"/>
      <c r="G610" s="44"/>
      <c r="H610" s="45"/>
      <c r="I610" s="44"/>
      <c r="J610" s="44"/>
      <c r="K610" s="143"/>
      <c r="L610" s="144"/>
      <c r="M610" s="143"/>
      <c r="N610" s="143"/>
      <c r="O610" s="44"/>
      <c r="P610" s="44"/>
      <c r="Q610" s="45"/>
      <c r="R610" s="147"/>
      <c r="S610" s="147"/>
      <c r="T610" s="147"/>
      <c r="U610" s="148"/>
      <c r="V610" s="149"/>
      <c r="W610" s="150"/>
      <c r="X610" s="151"/>
      <c r="Y610" s="44"/>
      <c r="Z610" s="44"/>
      <c r="AA610" s="152"/>
      <c r="AB610" s="152"/>
      <c r="AC610" s="152"/>
      <c r="AD610" s="152"/>
      <c r="AE610" s="152"/>
      <c r="AF610" s="152"/>
      <c r="AG610" s="152"/>
      <c r="AH610" s="44"/>
      <c r="AI610" s="44"/>
      <c r="AJ610" s="44"/>
      <c r="AK610" s="44"/>
      <c r="AL610" s="44"/>
      <c r="AM610" s="44"/>
      <c r="AN610" s="44"/>
    </row>
    <row r="611" spans="1:40">
      <c r="A611" s="44"/>
      <c r="B611" s="44"/>
      <c r="C611" s="44"/>
      <c r="D611" s="44"/>
      <c r="E611" s="44"/>
      <c r="F611" s="43"/>
      <c r="G611" s="44"/>
      <c r="H611" s="45"/>
      <c r="I611" s="44"/>
      <c r="J611" s="44"/>
      <c r="K611" s="143"/>
      <c r="L611" s="144"/>
      <c r="M611" s="143"/>
      <c r="N611" s="143"/>
      <c r="O611" s="44"/>
      <c r="P611" s="44"/>
      <c r="Q611" s="45"/>
      <c r="R611" s="147"/>
      <c r="S611" s="147"/>
      <c r="T611" s="147"/>
      <c r="U611" s="148"/>
      <c r="V611" s="149"/>
      <c r="W611" s="150"/>
      <c r="X611" s="151"/>
      <c r="Y611" s="44"/>
      <c r="Z611" s="44"/>
      <c r="AA611" s="152"/>
      <c r="AB611" s="152"/>
      <c r="AC611" s="152"/>
      <c r="AD611" s="152"/>
      <c r="AE611" s="152"/>
      <c r="AF611" s="152"/>
      <c r="AG611" s="152"/>
      <c r="AH611" s="44"/>
      <c r="AI611" s="44"/>
      <c r="AJ611" s="44"/>
      <c r="AK611" s="44"/>
      <c r="AL611" s="44"/>
      <c r="AM611" s="44"/>
      <c r="AN611" s="44"/>
    </row>
    <row r="612" spans="1:40">
      <c r="A612" s="44"/>
      <c r="B612" s="44"/>
      <c r="C612" s="44"/>
      <c r="D612" s="44"/>
      <c r="E612" s="44"/>
      <c r="F612" s="43"/>
      <c r="G612" s="44"/>
      <c r="H612" s="45"/>
      <c r="I612" s="44"/>
      <c r="J612" s="44"/>
      <c r="K612" s="143"/>
      <c r="L612" s="144"/>
      <c r="M612" s="143"/>
      <c r="N612" s="143"/>
      <c r="O612" s="44"/>
      <c r="P612" s="44"/>
      <c r="Q612" s="45"/>
      <c r="R612" s="147"/>
      <c r="S612" s="147"/>
      <c r="T612" s="147"/>
      <c r="U612" s="148"/>
      <c r="V612" s="149"/>
      <c r="W612" s="150"/>
      <c r="X612" s="151"/>
      <c r="Y612" s="44"/>
      <c r="Z612" s="44"/>
      <c r="AA612" s="152"/>
      <c r="AB612" s="152"/>
      <c r="AC612" s="152"/>
      <c r="AD612" s="152"/>
      <c r="AE612" s="152"/>
      <c r="AF612" s="152"/>
      <c r="AG612" s="152"/>
      <c r="AH612" s="44"/>
      <c r="AI612" s="44"/>
      <c r="AJ612" s="44"/>
      <c r="AK612" s="44"/>
      <c r="AL612" s="44"/>
      <c r="AM612" s="44"/>
      <c r="AN612" s="44"/>
    </row>
    <row r="613" spans="1:40">
      <c r="A613" s="44"/>
      <c r="B613" s="44"/>
      <c r="C613" s="44"/>
      <c r="D613" s="44"/>
      <c r="E613" s="44"/>
      <c r="F613" s="43"/>
      <c r="G613" s="44"/>
      <c r="H613" s="45"/>
      <c r="I613" s="44"/>
      <c r="J613" s="44"/>
      <c r="K613" s="143"/>
      <c r="L613" s="144"/>
      <c r="M613" s="143"/>
      <c r="N613" s="143"/>
      <c r="O613" s="44"/>
      <c r="P613" s="44"/>
      <c r="Q613" s="45"/>
      <c r="R613" s="147"/>
      <c r="S613" s="147"/>
      <c r="T613" s="147"/>
      <c r="U613" s="148"/>
      <c r="V613" s="149"/>
      <c r="W613" s="150"/>
      <c r="X613" s="151"/>
      <c r="Y613" s="44"/>
      <c r="Z613" s="44"/>
      <c r="AA613" s="152"/>
      <c r="AB613" s="152"/>
      <c r="AC613" s="152"/>
      <c r="AD613" s="152"/>
      <c r="AE613" s="152"/>
      <c r="AF613" s="152"/>
      <c r="AG613" s="152"/>
      <c r="AH613" s="44"/>
      <c r="AI613" s="44"/>
      <c r="AJ613" s="44"/>
      <c r="AK613" s="44"/>
      <c r="AL613" s="44"/>
      <c r="AM613" s="44"/>
      <c r="AN613" s="44"/>
    </row>
    <row r="614" spans="1:40">
      <c r="A614" s="44"/>
      <c r="B614" s="44"/>
      <c r="C614" s="44"/>
      <c r="D614" s="44"/>
      <c r="E614" s="44"/>
      <c r="F614" s="43"/>
      <c r="G614" s="44"/>
      <c r="H614" s="45"/>
      <c r="I614" s="44"/>
      <c r="J614" s="44"/>
      <c r="K614" s="143"/>
      <c r="L614" s="144"/>
      <c r="M614" s="143"/>
      <c r="N614" s="143"/>
      <c r="O614" s="44"/>
      <c r="P614" s="44"/>
      <c r="Q614" s="45"/>
      <c r="R614" s="147"/>
      <c r="S614" s="147"/>
      <c r="T614" s="147"/>
      <c r="U614" s="148"/>
      <c r="V614" s="149"/>
      <c r="W614" s="150"/>
      <c r="X614" s="151"/>
      <c r="Y614" s="44"/>
      <c r="Z614" s="44"/>
      <c r="AA614" s="152"/>
      <c r="AB614" s="152"/>
      <c r="AC614" s="152"/>
      <c r="AD614" s="152"/>
      <c r="AE614" s="152"/>
      <c r="AF614" s="152"/>
      <c r="AG614" s="152"/>
      <c r="AH614" s="44"/>
      <c r="AI614" s="44"/>
      <c r="AJ614" s="44"/>
      <c r="AK614" s="44"/>
      <c r="AL614" s="44"/>
      <c r="AM614" s="44"/>
      <c r="AN614" s="44"/>
    </row>
    <row r="615" spans="1:40">
      <c r="A615" s="44"/>
      <c r="B615" s="44"/>
      <c r="C615" s="44"/>
      <c r="D615" s="44"/>
      <c r="E615" s="44"/>
      <c r="F615" s="43"/>
      <c r="G615" s="44"/>
      <c r="H615" s="45"/>
      <c r="I615" s="44"/>
      <c r="J615" s="44"/>
      <c r="K615" s="143"/>
      <c r="L615" s="144"/>
      <c r="M615" s="143"/>
      <c r="N615" s="143"/>
      <c r="O615" s="44"/>
      <c r="P615" s="44"/>
      <c r="Q615" s="45"/>
      <c r="R615" s="147"/>
      <c r="S615" s="147"/>
      <c r="T615" s="147"/>
      <c r="U615" s="148"/>
      <c r="V615" s="149"/>
      <c r="W615" s="150"/>
      <c r="X615" s="151"/>
      <c r="Y615" s="44"/>
      <c r="Z615" s="44"/>
      <c r="AA615" s="152"/>
      <c r="AB615" s="152"/>
      <c r="AC615" s="152"/>
      <c r="AD615" s="152"/>
      <c r="AE615" s="152"/>
      <c r="AF615" s="152"/>
      <c r="AG615" s="152"/>
      <c r="AH615" s="44"/>
      <c r="AI615" s="44"/>
      <c r="AJ615" s="44"/>
      <c r="AK615" s="44"/>
      <c r="AL615" s="44"/>
      <c r="AM615" s="44"/>
      <c r="AN615" s="44"/>
    </row>
    <row r="616" spans="1:40">
      <c r="A616" s="44"/>
      <c r="B616" s="44"/>
      <c r="C616" s="44"/>
      <c r="D616" s="44"/>
      <c r="E616" s="44"/>
      <c r="F616" s="43"/>
      <c r="G616" s="44"/>
      <c r="H616" s="45"/>
      <c r="I616" s="44"/>
      <c r="J616" s="44"/>
      <c r="K616" s="143"/>
      <c r="L616" s="144"/>
      <c r="M616" s="143"/>
      <c r="N616" s="143"/>
      <c r="O616" s="44"/>
      <c r="P616" s="44"/>
      <c r="Q616" s="45"/>
      <c r="R616" s="147"/>
      <c r="S616" s="147"/>
      <c r="T616" s="147"/>
      <c r="U616" s="148"/>
      <c r="V616" s="149"/>
      <c r="W616" s="150"/>
      <c r="X616" s="151"/>
      <c r="Y616" s="44"/>
      <c r="Z616" s="44"/>
      <c r="AA616" s="152"/>
      <c r="AB616" s="152"/>
      <c r="AC616" s="152"/>
      <c r="AD616" s="152"/>
      <c r="AE616" s="152"/>
      <c r="AF616" s="152"/>
      <c r="AG616" s="152"/>
      <c r="AH616" s="44"/>
      <c r="AI616" s="44"/>
      <c r="AJ616" s="44"/>
      <c r="AK616" s="44"/>
      <c r="AL616" s="44"/>
      <c r="AM616" s="44"/>
      <c r="AN616" s="44"/>
    </row>
    <row r="617" spans="1:40">
      <c r="A617" s="44"/>
      <c r="B617" s="44"/>
      <c r="C617" s="44"/>
      <c r="D617" s="44"/>
      <c r="E617" s="44"/>
      <c r="F617" s="43"/>
      <c r="G617" s="44"/>
      <c r="H617" s="45"/>
      <c r="I617" s="44"/>
      <c r="J617" s="44"/>
      <c r="K617" s="143"/>
      <c r="L617" s="144"/>
      <c r="M617" s="143"/>
      <c r="N617" s="143"/>
      <c r="O617" s="44"/>
      <c r="P617" s="44"/>
      <c r="Q617" s="45"/>
      <c r="R617" s="147"/>
      <c r="S617" s="147"/>
      <c r="T617" s="147"/>
      <c r="U617" s="148"/>
      <c r="V617" s="149"/>
      <c r="W617" s="150"/>
      <c r="X617" s="151"/>
      <c r="Y617" s="44"/>
      <c r="Z617" s="44"/>
      <c r="AA617" s="152"/>
      <c r="AB617" s="152"/>
      <c r="AC617" s="152"/>
      <c r="AD617" s="152"/>
      <c r="AE617" s="152"/>
      <c r="AF617" s="152"/>
      <c r="AG617" s="152"/>
      <c r="AH617" s="44"/>
      <c r="AI617" s="44"/>
      <c r="AJ617" s="44"/>
      <c r="AK617" s="44"/>
      <c r="AL617" s="44"/>
      <c r="AM617" s="44"/>
      <c r="AN617" s="44"/>
    </row>
    <row r="618" spans="1:40">
      <c r="A618" s="44"/>
      <c r="B618" s="44"/>
      <c r="C618" s="44"/>
      <c r="D618" s="44"/>
      <c r="E618" s="44"/>
      <c r="F618" s="43"/>
      <c r="G618" s="44"/>
      <c r="H618" s="45"/>
      <c r="I618" s="44"/>
      <c r="J618" s="44"/>
      <c r="K618" s="143"/>
      <c r="L618" s="144"/>
      <c r="M618" s="143"/>
      <c r="N618" s="143"/>
      <c r="O618" s="44"/>
      <c r="P618" s="44"/>
      <c r="Q618" s="45"/>
      <c r="R618" s="147"/>
      <c r="S618" s="147"/>
      <c r="T618" s="147"/>
      <c r="U618" s="148"/>
      <c r="V618" s="149"/>
      <c r="W618" s="150"/>
      <c r="X618" s="151"/>
      <c r="Y618" s="44"/>
      <c r="Z618" s="44"/>
      <c r="AA618" s="152"/>
      <c r="AB618" s="152"/>
      <c r="AC618" s="152"/>
      <c r="AD618" s="152"/>
      <c r="AE618" s="152"/>
      <c r="AF618" s="152"/>
      <c r="AG618" s="152"/>
      <c r="AH618" s="44"/>
      <c r="AI618" s="44"/>
      <c r="AJ618" s="44"/>
      <c r="AK618" s="44"/>
      <c r="AL618" s="44"/>
      <c r="AM618" s="44"/>
      <c r="AN618" s="44"/>
    </row>
    <row r="619" spans="1:40">
      <c r="A619" s="44"/>
      <c r="B619" s="44"/>
      <c r="C619" s="44"/>
      <c r="D619" s="44"/>
      <c r="E619" s="44"/>
      <c r="F619" s="43"/>
      <c r="G619" s="44"/>
      <c r="H619" s="45"/>
      <c r="I619" s="44"/>
      <c r="J619" s="44"/>
      <c r="K619" s="143"/>
      <c r="L619" s="144"/>
      <c r="M619" s="143"/>
      <c r="N619" s="143"/>
      <c r="O619" s="44"/>
      <c r="P619" s="44"/>
      <c r="Q619" s="45"/>
      <c r="R619" s="147"/>
      <c r="S619" s="147"/>
      <c r="T619" s="147"/>
      <c r="U619" s="148"/>
      <c r="V619" s="149"/>
      <c r="W619" s="150"/>
      <c r="X619" s="151"/>
      <c r="Y619" s="44"/>
      <c r="Z619" s="44"/>
      <c r="AA619" s="152"/>
      <c r="AB619" s="152"/>
      <c r="AC619" s="152"/>
      <c r="AD619" s="152"/>
      <c r="AE619" s="152"/>
      <c r="AF619" s="152"/>
      <c r="AG619" s="152"/>
      <c r="AH619" s="44"/>
      <c r="AI619" s="44"/>
      <c r="AJ619" s="44"/>
      <c r="AK619" s="44"/>
      <c r="AL619" s="44"/>
      <c r="AM619" s="44"/>
      <c r="AN619" s="44"/>
    </row>
    <row r="620" spans="1:40">
      <c r="A620" s="44"/>
      <c r="B620" s="44"/>
      <c r="C620" s="44"/>
      <c r="D620" s="44"/>
      <c r="E620" s="44"/>
      <c r="F620" s="43"/>
      <c r="G620" s="44"/>
      <c r="H620" s="45"/>
      <c r="I620" s="44"/>
      <c r="J620" s="44"/>
      <c r="K620" s="143"/>
      <c r="L620" s="144"/>
      <c r="M620" s="143"/>
      <c r="N620" s="143"/>
      <c r="O620" s="44"/>
      <c r="P620" s="44"/>
      <c r="Q620" s="45"/>
      <c r="R620" s="147"/>
      <c r="S620" s="147"/>
      <c r="T620" s="147"/>
      <c r="U620" s="148"/>
      <c r="V620" s="149"/>
      <c r="W620" s="150"/>
      <c r="X620" s="151"/>
      <c r="Y620" s="44"/>
      <c r="Z620" s="44"/>
      <c r="AA620" s="152"/>
      <c r="AB620" s="152"/>
      <c r="AC620" s="152"/>
      <c r="AD620" s="152"/>
      <c r="AE620" s="152"/>
      <c r="AF620" s="152"/>
      <c r="AG620" s="152"/>
      <c r="AH620" s="44"/>
      <c r="AI620" s="44"/>
      <c r="AJ620" s="44"/>
      <c r="AK620" s="44"/>
      <c r="AL620" s="44"/>
      <c r="AM620" s="44"/>
      <c r="AN620" s="44"/>
    </row>
    <row r="621" spans="1:40">
      <c r="A621" s="44"/>
      <c r="B621" s="44"/>
      <c r="C621" s="44"/>
      <c r="D621" s="44"/>
      <c r="E621" s="44"/>
      <c r="F621" s="43"/>
      <c r="G621" s="44"/>
      <c r="H621" s="45"/>
      <c r="I621" s="44"/>
      <c r="J621" s="44"/>
      <c r="K621" s="143"/>
      <c r="L621" s="144"/>
      <c r="M621" s="143"/>
      <c r="N621" s="143"/>
      <c r="O621" s="44"/>
      <c r="P621" s="44"/>
      <c r="Q621" s="45"/>
      <c r="R621" s="147"/>
      <c r="S621" s="147"/>
      <c r="T621" s="147"/>
      <c r="U621" s="148"/>
      <c r="V621" s="149"/>
      <c r="W621" s="150"/>
      <c r="X621" s="151"/>
      <c r="Y621" s="44"/>
      <c r="Z621" s="44"/>
      <c r="AA621" s="152"/>
      <c r="AB621" s="152"/>
      <c r="AC621" s="152"/>
      <c r="AD621" s="152"/>
      <c r="AE621" s="152"/>
      <c r="AF621" s="152"/>
      <c r="AG621" s="152"/>
      <c r="AH621" s="44"/>
      <c r="AI621" s="44"/>
      <c r="AJ621" s="44"/>
      <c r="AK621" s="44"/>
      <c r="AL621" s="44"/>
      <c r="AM621" s="44"/>
      <c r="AN621" s="44"/>
    </row>
    <row r="622" spans="1:40">
      <c r="A622" s="44"/>
      <c r="B622" s="44"/>
      <c r="C622" s="44"/>
      <c r="D622" s="44"/>
      <c r="E622" s="44"/>
      <c r="F622" s="43"/>
      <c r="G622" s="44"/>
      <c r="H622" s="45"/>
      <c r="I622" s="44"/>
      <c r="J622" s="44"/>
      <c r="K622" s="143"/>
      <c r="L622" s="144"/>
      <c r="M622" s="143"/>
      <c r="N622" s="143"/>
      <c r="O622" s="44"/>
      <c r="P622" s="44"/>
      <c r="Q622" s="45"/>
      <c r="R622" s="147"/>
      <c r="S622" s="147"/>
      <c r="T622" s="147"/>
      <c r="U622" s="148"/>
      <c r="V622" s="149"/>
      <c r="W622" s="150"/>
      <c r="X622" s="151"/>
      <c r="Y622" s="44"/>
      <c r="Z622" s="44"/>
      <c r="AA622" s="152"/>
      <c r="AB622" s="152"/>
      <c r="AC622" s="152"/>
      <c r="AD622" s="152"/>
      <c r="AE622" s="152"/>
      <c r="AF622" s="152"/>
      <c r="AG622" s="152"/>
      <c r="AH622" s="44"/>
      <c r="AI622" s="44"/>
      <c r="AJ622" s="44"/>
      <c r="AK622" s="44"/>
      <c r="AL622" s="44"/>
      <c r="AM622" s="44"/>
      <c r="AN622" s="44"/>
    </row>
    <row r="623" spans="1:40">
      <c r="A623" s="44"/>
      <c r="B623" s="44"/>
      <c r="C623" s="44"/>
      <c r="D623" s="44"/>
      <c r="E623" s="44"/>
      <c r="F623" s="43"/>
      <c r="G623" s="44"/>
      <c r="H623" s="45"/>
      <c r="I623" s="44"/>
      <c r="J623" s="44"/>
      <c r="K623" s="143"/>
      <c r="L623" s="144"/>
      <c r="M623" s="143"/>
      <c r="N623" s="143"/>
      <c r="O623" s="44"/>
      <c r="P623" s="44"/>
      <c r="Q623" s="45"/>
      <c r="R623" s="147"/>
      <c r="S623" s="147"/>
      <c r="T623" s="147"/>
      <c r="U623" s="148"/>
      <c r="V623" s="149"/>
      <c r="W623" s="150"/>
      <c r="X623" s="151"/>
      <c r="Y623" s="44"/>
      <c r="Z623" s="44"/>
      <c r="AA623" s="152"/>
      <c r="AB623" s="152"/>
      <c r="AC623" s="152"/>
      <c r="AD623" s="152"/>
      <c r="AE623" s="152"/>
      <c r="AF623" s="152"/>
      <c r="AG623" s="152"/>
      <c r="AH623" s="44"/>
      <c r="AI623" s="44"/>
      <c r="AJ623" s="44"/>
      <c r="AK623" s="44"/>
      <c r="AL623" s="44"/>
      <c r="AM623" s="44"/>
      <c r="AN623" s="44"/>
    </row>
    <row r="624" spans="1:40">
      <c r="A624" s="44"/>
      <c r="B624" s="44"/>
      <c r="C624" s="44"/>
      <c r="D624" s="44"/>
      <c r="E624" s="44"/>
      <c r="F624" s="43"/>
      <c r="G624" s="44"/>
      <c r="H624" s="45"/>
      <c r="I624" s="44"/>
      <c r="J624" s="44"/>
      <c r="K624" s="143"/>
      <c r="L624" s="144"/>
      <c r="M624" s="143"/>
      <c r="N624" s="143"/>
      <c r="O624" s="44"/>
      <c r="P624" s="44"/>
      <c r="Q624" s="45"/>
      <c r="R624" s="147"/>
      <c r="S624" s="147"/>
      <c r="T624" s="147"/>
      <c r="U624" s="148"/>
      <c r="V624" s="149"/>
      <c r="W624" s="150"/>
      <c r="X624" s="151"/>
      <c r="Y624" s="44"/>
      <c r="Z624" s="44"/>
      <c r="AA624" s="152"/>
      <c r="AB624" s="152"/>
      <c r="AC624" s="152"/>
      <c r="AD624" s="152"/>
      <c r="AE624" s="152"/>
      <c r="AF624" s="152"/>
      <c r="AG624" s="152"/>
      <c r="AH624" s="44"/>
      <c r="AI624" s="44"/>
      <c r="AJ624" s="44"/>
      <c r="AK624" s="44"/>
      <c r="AL624" s="44"/>
      <c r="AM624" s="44"/>
      <c r="AN624" s="44"/>
    </row>
    <row r="625" spans="1:40">
      <c r="A625" s="44"/>
      <c r="B625" s="44"/>
      <c r="C625" s="44"/>
      <c r="D625" s="44"/>
      <c r="E625" s="44"/>
      <c r="F625" s="43"/>
      <c r="G625" s="44"/>
      <c r="H625" s="45"/>
      <c r="I625" s="44"/>
      <c r="J625" s="44"/>
      <c r="K625" s="143"/>
      <c r="L625" s="144"/>
      <c r="M625" s="143"/>
      <c r="N625" s="143"/>
      <c r="O625" s="44"/>
      <c r="P625" s="44"/>
      <c r="Q625" s="45"/>
      <c r="R625" s="147"/>
      <c r="S625" s="147"/>
      <c r="T625" s="147"/>
      <c r="U625" s="148"/>
      <c r="V625" s="149"/>
      <c r="W625" s="150"/>
      <c r="X625" s="151"/>
      <c r="Y625" s="44"/>
      <c r="Z625" s="44"/>
      <c r="AA625" s="152"/>
      <c r="AB625" s="152"/>
      <c r="AC625" s="152"/>
      <c r="AD625" s="152"/>
      <c r="AE625" s="152"/>
      <c r="AF625" s="152"/>
      <c r="AG625" s="152"/>
      <c r="AH625" s="44"/>
      <c r="AI625" s="44"/>
      <c r="AJ625" s="44"/>
      <c r="AK625" s="44"/>
      <c r="AL625" s="44"/>
      <c r="AM625" s="44"/>
      <c r="AN625" s="44"/>
    </row>
    <row r="626" spans="1:40">
      <c r="A626" s="44"/>
      <c r="B626" s="44"/>
      <c r="C626" s="44"/>
      <c r="D626" s="44"/>
      <c r="E626" s="44"/>
      <c r="F626" s="43"/>
      <c r="G626" s="44"/>
      <c r="H626" s="45"/>
      <c r="I626" s="44"/>
      <c r="J626" s="44"/>
      <c r="K626" s="143"/>
      <c r="L626" s="144"/>
      <c r="M626" s="143"/>
      <c r="N626" s="143"/>
      <c r="O626" s="44"/>
      <c r="P626" s="44"/>
      <c r="Q626" s="45"/>
      <c r="R626" s="147"/>
      <c r="S626" s="147"/>
      <c r="T626" s="147"/>
      <c r="U626" s="148"/>
      <c r="V626" s="149"/>
      <c r="W626" s="150"/>
      <c r="X626" s="151"/>
      <c r="Y626" s="44"/>
      <c r="Z626" s="44"/>
      <c r="AA626" s="152"/>
      <c r="AB626" s="152"/>
      <c r="AC626" s="152"/>
      <c r="AD626" s="152"/>
      <c r="AE626" s="152"/>
      <c r="AF626" s="152"/>
      <c r="AG626" s="152"/>
      <c r="AH626" s="44"/>
      <c r="AI626" s="44"/>
      <c r="AJ626" s="44"/>
      <c r="AK626" s="44"/>
      <c r="AL626" s="44"/>
      <c r="AM626" s="44"/>
      <c r="AN626" s="44"/>
    </row>
    <row r="627" spans="1:40">
      <c r="A627" s="44"/>
      <c r="B627" s="44"/>
      <c r="C627" s="44"/>
      <c r="D627" s="44"/>
      <c r="E627" s="44"/>
      <c r="F627" s="43"/>
      <c r="G627" s="44"/>
      <c r="H627" s="45"/>
      <c r="I627" s="44"/>
      <c r="J627" s="44"/>
      <c r="K627" s="143"/>
      <c r="L627" s="144"/>
      <c r="M627" s="143"/>
      <c r="N627" s="143"/>
      <c r="O627" s="44"/>
      <c r="P627" s="44"/>
      <c r="Q627" s="45"/>
      <c r="R627" s="147"/>
      <c r="S627" s="147"/>
      <c r="T627" s="147"/>
      <c r="U627" s="148"/>
      <c r="V627" s="149"/>
      <c r="W627" s="150"/>
      <c r="X627" s="151"/>
      <c r="Y627" s="44"/>
      <c r="Z627" s="44"/>
      <c r="AA627" s="152"/>
      <c r="AB627" s="152"/>
      <c r="AC627" s="152"/>
      <c r="AD627" s="152"/>
      <c r="AE627" s="152"/>
      <c r="AF627" s="152"/>
      <c r="AG627" s="152"/>
      <c r="AH627" s="44"/>
      <c r="AI627" s="44"/>
      <c r="AJ627" s="44"/>
      <c r="AK627" s="44"/>
      <c r="AL627" s="44"/>
      <c r="AM627" s="44"/>
      <c r="AN627" s="44"/>
    </row>
    <row r="628" spans="1:40">
      <c r="A628" s="44"/>
      <c r="B628" s="44"/>
      <c r="C628" s="44"/>
      <c r="D628" s="44"/>
      <c r="E628" s="44"/>
      <c r="F628" s="43"/>
      <c r="G628" s="44"/>
      <c r="H628" s="45"/>
      <c r="I628" s="44"/>
      <c r="J628" s="44"/>
      <c r="K628" s="143"/>
      <c r="L628" s="144"/>
      <c r="M628" s="143"/>
      <c r="N628" s="143"/>
      <c r="O628" s="44"/>
      <c r="P628" s="44"/>
      <c r="Q628" s="45"/>
      <c r="R628" s="147"/>
      <c r="S628" s="147"/>
      <c r="T628" s="147"/>
      <c r="U628" s="148"/>
      <c r="V628" s="149"/>
      <c r="W628" s="150"/>
      <c r="X628" s="151"/>
      <c r="Y628" s="44"/>
      <c r="Z628" s="44"/>
      <c r="AA628" s="152"/>
      <c r="AB628" s="152"/>
      <c r="AC628" s="152"/>
      <c r="AD628" s="152"/>
      <c r="AE628" s="152"/>
      <c r="AF628" s="152"/>
      <c r="AG628" s="152"/>
      <c r="AH628" s="44"/>
      <c r="AI628" s="44"/>
      <c r="AJ628" s="44"/>
      <c r="AK628" s="44"/>
      <c r="AL628" s="44"/>
      <c r="AM628" s="44"/>
      <c r="AN628" s="44"/>
    </row>
    <row r="629" spans="1:40">
      <c r="A629" s="44"/>
      <c r="B629" s="44"/>
      <c r="C629" s="44"/>
      <c r="D629" s="44"/>
      <c r="E629" s="44"/>
      <c r="F629" s="43"/>
      <c r="G629" s="44"/>
      <c r="H629" s="45"/>
      <c r="I629" s="44"/>
      <c r="J629" s="44"/>
      <c r="K629" s="143"/>
      <c r="L629" s="144"/>
      <c r="M629" s="143"/>
      <c r="N629" s="143"/>
      <c r="O629" s="44"/>
      <c r="P629" s="44"/>
      <c r="Q629" s="45"/>
      <c r="R629" s="147"/>
      <c r="S629" s="147"/>
      <c r="T629" s="147"/>
      <c r="U629" s="148"/>
      <c r="V629" s="149"/>
      <c r="W629" s="150"/>
      <c r="X629" s="151"/>
      <c r="Y629" s="44"/>
      <c r="Z629" s="44"/>
      <c r="AA629" s="152"/>
      <c r="AB629" s="152"/>
      <c r="AC629" s="152"/>
      <c r="AD629" s="152"/>
      <c r="AE629" s="152"/>
      <c r="AF629" s="152"/>
      <c r="AG629" s="152"/>
      <c r="AH629" s="44"/>
      <c r="AI629" s="44"/>
      <c r="AJ629" s="44"/>
      <c r="AK629" s="44"/>
      <c r="AL629" s="44"/>
      <c r="AM629" s="44"/>
      <c r="AN629" s="44"/>
    </row>
    <row r="630" spans="1:40">
      <c r="A630" s="44"/>
      <c r="B630" s="44"/>
      <c r="C630" s="44"/>
      <c r="D630" s="44"/>
      <c r="E630" s="44"/>
      <c r="F630" s="43"/>
      <c r="G630" s="44"/>
      <c r="H630" s="45"/>
      <c r="I630" s="44"/>
      <c r="J630" s="44"/>
      <c r="K630" s="143"/>
      <c r="L630" s="144"/>
      <c r="M630" s="143"/>
      <c r="N630" s="143"/>
      <c r="O630" s="44"/>
      <c r="P630" s="44"/>
      <c r="Q630" s="45"/>
      <c r="R630" s="147"/>
      <c r="S630" s="147"/>
      <c r="T630" s="147"/>
      <c r="U630" s="148"/>
      <c r="V630" s="149"/>
      <c r="W630" s="150"/>
      <c r="X630" s="151"/>
      <c r="Y630" s="44"/>
      <c r="Z630" s="44"/>
      <c r="AA630" s="152"/>
      <c r="AB630" s="152"/>
      <c r="AC630" s="152"/>
      <c r="AD630" s="152"/>
      <c r="AE630" s="152"/>
      <c r="AF630" s="152"/>
      <c r="AG630" s="152"/>
      <c r="AH630" s="44"/>
      <c r="AI630" s="44"/>
      <c r="AJ630" s="44"/>
      <c r="AK630" s="44"/>
      <c r="AL630" s="44"/>
      <c r="AM630" s="44"/>
      <c r="AN630" s="44"/>
    </row>
    <row r="631" spans="1:40">
      <c r="A631" s="44"/>
      <c r="B631" s="44"/>
      <c r="C631" s="44"/>
      <c r="D631" s="44"/>
      <c r="E631" s="44"/>
      <c r="F631" s="43"/>
      <c r="G631" s="44"/>
      <c r="H631" s="45"/>
      <c r="I631" s="44"/>
      <c r="J631" s="44"/>
      <c r="K631" s="143"/>
      <c r="L631" s="144"/>
      <c r="M631" s="143"/>
      <c r="N631" s="143"/>
      <c r="O631" s="44"/>
      <c r="P631" s="44"/>
      <c r="Q631" s="45"/>
      <c r="R631" s="147"/>
      <c r="S631" s="147"/>
      <c r="T631" s="147"/>
      <c r="U631" s="148"/>
      <c r="V631" s="149"/>
      <c r="W631" s="150"/>
      <c r="X631" s="151"/>
      <c r="Y631" s="44"/>
      <c r="Z631" s="44"/>
      <c r="AA631" s="152"/>
      <c r="AB631" s="152"/>
      <c r="AC631" s="152"/>
      <c r="AD631" s="152"/>
      <c r="AE631" s="152"/>
      <c r="AF631" s="152"/>
      <c r="AG631" s="152"/>
      <c r="AH631" s="44"/>
      <c r="AI631" s="44"/>
      <c r="AJ631" s="44"/>
      <c r="AK631" s="44"/>
      <c r="AL631" s="44"/>
      <c r="AM631" s="44"/>
      <c r="AN631" s="44"/>
    </row>
    <row r="632" spans="1:40">
      <c r="A632" s="44"/>
      <c r="B632" s="44"/>
      <c r="C632" s="44"/>
      <c r="D632" s="44"/>
      <c r="E632" s="44"/>
      <c r="F632" s="43"/>
      <c r="G632" s="44"/>
      <c r="H632" s="45"/>
      <c r="I632" s="44"/>
      <c r="J632" s="44"/>
      <c r="K632" s="143"/>
      <c r="L632" s="144"/>
      <c r="M632" s="143"/>
      <c r="N632" s="143"/>
      <c r="O632" s="44"/>
      <c r="P632" s="44"/>
      <c r="Q632" s="45"/>
      <c r="R632" s="147"/>
      <c r="S632" s="147"/>
      <c r="T632" s="147"/>
      <c r="U632" s="148"/>
      <c r="V632" s="149"/>
      <c r="W632" s="150"/>
      <c r="X632" s="151"/>
      <c r="Y632" s="44"/>
      <c r="Z632" s="44"/>
      <c r="AA632" s="152"/>
      <c r="AB632" s="152"/>
      <c r="AC632" s="152"/>
      <c r="AD632" s="152"/>
      <c r="AE632" s="152"/>
      <c r="AF632" s="152"/>
      <c r="AG632" s="152"/>
      <c r="AH632" s="44"/>
      <c r="AI632" s="44"/>
      <c r="AJ632" s="44"/>
      <c r="AK632" s="44"/>
      <c r="AL632" s="44"/>
      <c r="AM632" s="44"/>
      <c r="AN632" s="44"/>
    </row>
    <row r="633" spans="1:40">
      <c r="A633" s="44"/>
      <c r="B633" s="44"/>
      <c r="C633" s="44"/>
      <c r="D633" s="44"/>
      <c r="E633" s="44"/>
      <c r="F633" s="43"/>
      <c r="G633" s="44"/>
      <c r="H633" s="45"/>
      <c r="I633" s="44"/>
      <c r="J633" s="44"/>
      <c r="K633" s="143"/>
      <c r="L633" s="144"/>
      <c r="M633" s="143"/>
      <c r="N633" s="143"/>
      <c r="O633" s="44"/>
      <c r="P633" s="44"/>
      <c r="Q633" s="45"/>
      <c r="R633" s="147"/>
      <c r="S633" s="147"/>
      <c r="T633" s="147"/>
      <c r="U633" s="148"/>
      <c r="V633" s="149"/>
      <c r="W633" s="150"/>
      <c r="X633" s="151"/>
      <c r="Y633" s="44"/>
      <c r="Z633" s="44"/>
      <c r="AA633" s="152"/>
      <c r="AB633" s="152"/>
      <c r="AC633" s="152"/>
      <c r="AD633" s="152"/>
      <c r="AE633" s="152"/>
      <c r="AF633" s="152"/>
      <c r="AG633" s="152"/>
      <c r="AH633" s="44"/>
      <c r="AI633" s="44"/>
      <c r="AJ633" s="44"/>
      <c r="AK633" s="44"/>
      <c r="AL633" s="44"/>
      <c r="AM633" s="44"/>
      <c r="AN633" s="44"/>
    </row>
    <row r="634" spans="1:40">
      <c r="A634" s="44"/>
      <c r="B634" s="44"/>
      <c r="C634" s="44"/>
      <c r="D634" s="44"/>
      <c r="E634" s="44"/>
      <c r="F634" s="43"/>
      <c r="G634" s="44"/>
      <c r="H634" s="45"/>
      <c r="I634" s="44"/>
      <c r="J634" s="44"/>
      <c r="K634" s="143"/>
      <c r="L634" s="144"/>
      <c r="M634" s="143"/>
      <c r="N634" s="143"/>
      <c r="O634" s="44"/>
      <c r="P634" s="44"/>
      <c r="Q634" s="45"/>
      <c r="R634" s="147"/>
      <c r="S634" s="147"/>
      <c r="T634" s="147"/>
      <c r="U634" s="148"/>
      <c r="V634" s="149"/>
      <c r="W634" s="150"/>
      <c r="X634" s="151"/>
      <c r="Y634" s="44"/>
      <c r="Z634" s="44"/>
      <c r="AA634" s="152"/>
      <c r="AB634" s="152"/>
      <c r="AC634" s="152"/>
      <c r="AD634" s="152"/>
      <c r="AE634" s="152"/>
      <c r="AF634" s="152"/>
      <c r="AG634" s="152"/>
      <c r="AH634" s="44"/>
      <c r="AI634" s="44"/>
      <c r="AJ634" s="44"/>
      <c r="AK634" s="44"/>
      <c r="AL634" s="44"/>
      <c r="AM634" s="44"/>
      <c r="AN634" s="44"/>
    </row>
    <row r="635" spans="1:40">
      <c r="A635" s="44"/>
      <c r="B635" s="44"/>
      <c r="C635" s="44"/>
      <c r="D635" s="44"/>
      <c r="E635" s="44"/>
      <c r="F635" s="43"/>
      <c r="G635" s="44"/>
      <c r="H635" s="45"/>
      <c r="I635" s="44"/>
      <c r="J635" s="44"/>
      <c r="K635" s="143"/>
      <c r="L635" s="144"/>
      <c r="M635" s="143"/>
      <c r="N635" s="143"/>
      <c r="O635" s="44"/>
      <c r="P635" s="44"/>
      <c r="Q635" s="45"/>
      <c r="R635" s="147"/>
      <c r="S635" s="147"/>
      <c r="T635" s="147"/>
      <c r="U635" s="148"/>
      <c r="V635" s="149"/>
      <c r="W635" s="150"/>
      <c r="X635" s="151"/>
      <c r="Y635" s="44"/>
      <c r="Z635" s="44"/>
      <c r="AA635" s="152"/>
      <c r="AB635" s="152"/>
      <c r="AC635" s="152"/>
      <c r="AD635" s="152"/>
      <c r="AE635" s="152"/>
      <c r="AF635" s="152"/>
      <c r="AG635" s="152"/>
      <c r="AH635" s="44"/>
      <c r="AI635" s="44"/>
      <c r="AJ635" s="44"/>
      <c r="AK635" s="44"/>
      <c r="AL635" s="44"/>
      <c r="AM635" s="44"/>
      <c r="AN635" s="44"/>
    </row>
    <row r="636" spans="1:40">
      <c r="A636" s="44"/>
      <c r="B636" s="44"/>
      <c r="C636" s="44"/>
      <c r="D636" s="44"/>
      <c r="E636" s="44"/>
      <c r="F636" s="43"/>
      <c r="G636" s="44"/>
      <c r="H636" s="45"/>
      <c r="I636" s="44"/>
      <c r="J636" s="44"/>
      <c r="K636" s="143"/>
      <c r="L636" s="144"/>
      <c r="M636" s="143"/>
      <c r="N636" s="143"/>
      <c r="O636" s="44"/>
      <c r="P636" s="44"/>
      <c r="Q636" s="45"/>
      <c r="R636" s="147"/>
      <c r="S636" s="147"/>
      <c r="T636" s="147"/>
      <c r="U636" s="148"/>
      <c r="V636" s="149"/>
      <c r="W636" s="150"/>
      <c r="X636" s="151"/>
      <c r="Y636" s="44"/>
      <c r="Z636" s="44"/>
      <c r="AA636" s="152"/>
      <c r="AB636" s="152"/>
      <c r="AC636" s="152"/>
      <c r="AD636" s="152"/>
      <c r="AE636" s="152"/>
      <c r="AF636" s="152"/>
      <c r="AG636" s="152"/>
      <c r="AH636" s="44"/>
      <c r="AI636" s="44"/>
      <c r="AJ636" s="44"/>
      <c r="AK636" s="44"/>
      <c r="AL636" s="44"/>
      <c r="AM636" s="44"/>
      <c r="AN636" s="44"/>
    </row>
    <row r="637" spans="1:40">
      <c r="A637" s="44"/>
      <c r="B637" s="44"/>
      <c r="C637" s="44"/>
      <c r="D637" s="44"/>
      <c r="E637" s="44"/>
      <c r="F637" s="43"/>
      <c r="G637" s="44"/>
      <c r="H637" s="45"/>
      <c r="I637" s="44"/>
      <c r="J637" s="44"/>
      <c r="K637" s="143"/>
      <c r="L637" s="144"/>
      <c r="M637" s="143"/>
      <c r="N637" s="143"/>
      <c r="O637" s="44"/>
      <c r="P637" s="44"/>
      <c r="Q637" s="45"/>
      <c r="R637" s="147"/>
      <c r="S637" s="147"/>
      <c r="T637" s="147"/>
      <c r="U637" s="148"/>
      <c r="V637" s="149"/>
      <c r="W637" s="150"/>
      <c r="X637" s="151"/>
      <c r="Y637" s="44"/>
      <c r="Z637" s="44"/>
      <c r="AA637" s="152"/>
      <c r="AB637" s="152"/>
      <c r="AC637" s="152"/>
      <c r="AD637" s="152"/>
      <c r="AE637" s="152"/>
      <c r="AF637" s="152"/>
      <c r="AG637" s="152"/>
      <c r="AH637" s="44"/>
      <c r="AI637" s="44"/>
      <c r="AJ637" s="44"/>
      <c r="AK637" s="44"/>
      <c r="AL637" s="44"/>
      <c r="AM637" s="44"/>
      <c r="AN637" s="44"/>
    </row>
    <row r="638" spans="1:40">
      <c r="A638" s="44"/>
      <c r="B638" s="44"/>
      <c r="C638" s="44"/>
      <c r="D638" s="44"/>
      <c r="E638" s="44"/>
      <c r="F638" s="43"/>
      <c r="G638" s="44"/>
      <c r="H638" s="45"/>
      <c r="I638" s="44"/>
      <c r="J638" s="44"/>
      <c r="K638" s="143"/>
      <c r="L638" s="144"/>
      <c r="M638" s="143"/>
      <c r="N638" s="143"/>
      <c r="O638" s="44"/>
      <c r="P638" s="44"/>
      <c r="Q638" s="45"/>
      <c r="R638" s="147"/>
      <c r="S638" s="147"/>
      <c r="T638" s="147"/>
      <c r="U638" s="148"/>
      <c r="V638" s="149"/>
      <c r="W638" s="150"/>
      <c r="X638" s="151"/>
      <c r="Y638" s="44"/>
      <c r="Z638" s="44"/>
      <c r="AA638" s="152"/>
      <c r="AB638" s="152"/>
      <c r="AC638" s="152"/>
      <c r="AD638" s="152"/>
      <c r="AE638" s="152"/>
      <c r="AF638" s="152"/>
      <c r="AG638" s="152"/>
      <c r="AH638" s="44"/>
      <c r="AI638" s="44"/>
      <c r="AJ638" s="44"/>
      <c r="AK638" s="44"/>
      <c r="AL638" s="44"/>
      <c r="AM638" s="44"/>
      <c r="AN638" s="44"/>
    </row>
    <row r="639" spans="1:40">
      <c r="A639" s="44"/>
      <c r="B639" s="44"/>
      <c r="C639" s="44"/>
      <c r="D639" s="44"/>
      <c r="E639" s="44"/>
      <c r="F639" s="43"/>
      <c r="G639" s="44"/>
      <c r="H639" s="45"/>
      <c r="I639" s="44"/>
      <c r="J639" s="44"/>
      <c r="K639" s="143"/>
      <c r="L639" s="144"/>
      <c r="M639" s="143"/>
      <c r="N639" s="143"/>
      <c r="O639" s="44"/>
      <c r="P639" s="44"/>
      <c r="Q639" s="45"/>
      <c r="R639" s="147"/>
      <c r="S639" s="147"/>
      <c r="T639" s="147"/>
      <c r="U639" s="148"/>
      <c r="V639" s="149"/>
      <c r="W639" s="150"/>
      <c r="X639" s="151"/>
      <c r="Y639" s="44"/>
      <c r="Z639" s="44"/>
      <c r="AA639" s="152"/>
      <c r="AB639" s="152"/>
      <c r="AC639" s="152"/>
      <c r="AD639" s="152"/>
      <c r="AE639" s="152"/>
      <c r="AF639" s="152"/>
      <c r="AG639" s="152"/>
      <c r="AH639" s="44"/>
      <c r="AI639" s="44"/>
      <c r="AJ639" s="44"/>
      <c r="AK639" s="44"/>
      <c r="AL639" s="44"/>
      <c r="AM639" s="44"/>
      <c r="AN639" s="44"/>
    </row>
    <row r="640" spans="1:40">
      <c r="A640" s="44"/>
      <c r="B640" s="44"/>
      <c r="C640" s="44"/>
      <c r="D640" s="44"/>
      <c r="E640" s="44"/>
      <c r="F640" s="43"/>
      <c r="G640" s="44"/>
      <c r="H640" s="45"/>
      <c r="I640" s="44"/>
      <c r="J640" s="44"/>
      <c r="K640" s="143"/>
      <c r="L640" s="144"/>
      <c r="M640" s="143"/>
      <c r="N640" s="143"/>
      <c r="O640" s="44"/>
      <c r="P640" s="44"/>
      <c r="Q640" s="45"/>
      <c r="R640" s="147"/>
      <c r="S640" s="147"/>
      <c r="T640" s="147"/>
      <c r="U640" s="148"/>
      <c r="V640" s="149"/>
      <c r="W640" s="150"/>
      <c r="X640" s="151"/>
      <c r="Y640" s="44"/>
      <c r="Z640" s="44"/>
      <c r="AA640" s="152"/>
      <c r="AB640" s="152"/>
      <c r="AC640" s="152"/>
      <c r="AD640" s="152"/>
      <c r="AE640" s="152"/>
      <c r="AF640" s="152"/>
      <c r="AG640" s="152"/>
      <c r="AH640" s="44"/>
      <c r="AI640" s="44"/>
      <c r="AJ640" s="44"/>
      <c r="AK640" s="44"/>
      <c r="AL640" s="44"/>
      <c r="AM640" s="44"/>
      <c r="AN640" s="44"/>
    </row>
    <row r="641" spans="1:40">
      <c r="A641" s="44"/>
      <c r="B641" s="44"/>
      <c r="C641" s="44"/>
      <c r="D641" s="44"/>
      <c r="E641" s="44"/>
      <c r="F641" s="43"/>
      <c r="G641" s="44"/>
      <c r="H641" s="45"/>
      <c r="I641" s="44"/>
      <c r="J641" s="44"/>
      <c r="K641" s="143"/>
      <c r="L641" s="144"/>
      <c r="M641" s="143"/>
      <c r="N641" s="143"/>
      <c r="O641" s="44"/>
      <c r="P641" s="44"/>
      <c r="Q641" s="45"/>
      <c r="R641" s="147"/>
      <c r="S641" s="147"/>
      <c r="T641" s="147"/>
      <c r="U641" s="148"/>
      <c r="V641" s="149"/>
      <c r="W641" s="150"/>
      <c r="X641" s="151"/>
      <c r="Y641" s="44"/>
      <c r="Z641" s="44"/>
      <c r="AA641" s="152"/>
      <c r="AB641" s="152"/>
      <c r="AC641" s="152"/>
      <c r="AD641" s="152"/>
      <c r="AE641" s="152"/>
      <c r="AF641" s="152"/>
      <c r="AG641" s="152"/>
      <c r="AH641" s="44"/>
      <c r="AI641" s="44"/>
      <c r="AJ641" s="44"/>
      <c r="AK641" s="44"/>
      <c r="AL641" s="44"/>
      <c r="AM641" s="44"/>
      <c r="AN641" s="44"/>
    </row>
    <row r="642" spans="1:40">
      <c r="A642" s="44"/>
      <c r="B642" s="44"/>
      <c r="C642" s="44"/>
      <c r="D642" s="44"/>
      <c r="E642" s="44"/>
      <c r="F642" s="43"/>
      <c r="G642" s="44"/>
      <c r="H642" s="45"/>
      <c r="I642" s="44"/>
      <c r="J642" s="44"/>
      <c r="K642" s="143"/>
      <c r="L642" s="144"/>
      <c r="M642" s="143"/>
      <c r="N642" s="143"/>
      <c r="O642" s="44"/>
      <c r="P642" s="44"/>
      <c r="Q642" s="45"/>
      <c r="R642" s="147"/>
      <c r="S642" s="147"/>
      <c r="T642" s="147"/>
      <c r="U642" s="148"/>
      <c r="V642" s="149"/>
      <c r="W642" s="150"/>
      <c r="X642" s="151"/>
      <c r="Y642" s="44"/>
      <c r="Z642" s="44"/>
      <c r="AA642" s="152"/>
      <c r="AB642" s="152"/>
      <c r="AC642" s="152"/>
      <c r="AD642" s="152"/>
      <c r="AE642" s="152"/>
      <c r="AF642" s="152"/>
      <c r="AG642" s="152"/>
      <c r="AH642" s="44"/>
      <c r="AI642" s="44"/>
      <c r="AJ642" s="44"/>
      <c r="AK642" s="44"/>
      <c r="AL642" s="44"/>
      <c r="AM642" s="44"/>
      <c r="AN642" s="44"/>
    </row>
    <row r="643" spans="1:40">
      <c r="A643" s="44"/>
      <c r="B643" s="44"/>
      <c r="C643" s="44"/>
      <c r="D643" s="44"/>
      <c r="E643" s="44"/>
      <c r="F643" s="43"/>
      <c r="G643" s="44"/>
      <c r="H643" s="45"/>
      <c r="I643" s="44"/>
      <c r="J643" s="44"/>
      <c r="K643" s="143"/>
      <c r="L643" s="144"/>
      <c r="M643" s="143"/>
      <c r="N643" s="143"/>
      <c r="O643" s="44"/>
      <c r="P643" s="44"/>
      <c r="Q643" s="45"/>
      <c r="R643" s="147"/>
      <c r="S643" s="147"/>
      <c r="T643" s="147"/>
      <c r="U643" s="148"/>
      <c r="V643" s="149"/>
      <c r="W643" s="150"/>
      <c r="X643" s="151"/>
      <c r="Y643" s="44"/>
      <c r="Z643" s="44"/>
      <c r="AA643" s="152"/>
      <c r="AB643" s="152"/>
      <c r="AC643" s="152"/>
      <c r="AD643" s="152"/>
      <c r="AE643" s="152"/>
      <c r="AF643" s="152"/>
      <c r="AG643" s="152"/>
      <c r="AH643" s="44"/>
      <c r="AI643" s="44"/>
      <c r="AJ643" s="44"/>
      <c r="AK643" s="44"/>
      <c r="AL643" s="44"/>
      <c r="AM643" s="44"/>
      <c r="AN643" s="44"/>
    </row>
    <row r="644" spans="1:40">
      <c r="A644" s="44"/>
      <c r="B644" s="44"/>
      <c r="C644" s="44"/>
      <c r="D644" s="44"/>
      <c r="E644" s="44"/>
      <c r="F644" s="43"/>
      <c r="G644" s="44"/>
      <c r="H644" s="45"/>
      <c r="I644" s="44"/>
      <c r="J644" s="44"/>
      <c r="K644" s="143"/>
      <c r="L644" s="144"/>
      <c r="M644" s="143"/>
      <c r="N644" s="143"/>
      <c r="O644" s="44"/>
      <c r="P644" s="44"/>
      <c r="Q644" s="45"/>
      <c r="R644" s="147"/>
      <c r="S644" s="147"/>
      <c r="T644" s="147"/>
      <c r="U644" s="148"/>
      <c r="V644" s="149"/>
      <c r="W644" s="150"/>
      <c r="X644" s="151"/>
      <c r="Y644" s="44"/>
      <c r="Z644" s="44"/>
      <c r="AA644" s="152"/>
      <c r="AB644" s="152"/>
      <c r="AC644" s="152"/>
      <c r="AD644" s="152"/>
      <c r="AE644" s="152"/>
      <c r="AF644" s="152"/>
      <c r="AG644" s="152"/>
      <c r="AH644" s="44"/>
      <c r="AI644" s="44"/>
      <c r="AJ644" s="44"/>
      <c r="AK644" s="44"/>
      <c r="AL644" s="44"/>
      <c r="AM644" s="44"/>
      <c r="AN644" s="44"/>
    </row>
    <row r="645" spans="1:40">
      <c r="A645" s="44"/>
      <c r="B645" s="44"/>
      <c r="C645" s="44"/>
      <c r="D645" s="44"/>
      <c r="E645" s="44"/>
      <c r="F645" s="43"/>
      <c r="G645" s="44"/>
      <c r="H645" s="45"/>
      <c r="I645" s="44"/>
      <c r="J645" s="44"/>
      <c r="K645" s="143"/>
      <c r="L645" s="144"/>
      <c r="M645" s="143"/>
      <c r="N645" s="143"/>
      <c r="O645" s="44"/>
      <c r="P645" s="44"/>
      <c r="Q645" s="45"/>
      <c r="R645" s="147"/>
      <c r="S645" s="147"/>
      <c r="T645" s="147"/>
      <c r="U645" s="148"/>
      <c r="V645" s="149"/>
      <c r="W645" s="150"/>
      <c r="X645" s="151"/>
      <c r="Y645" s="44"/>
      <c r="Z645" s="44"/>
      <c r="AA645" s="152"/>
      <c r="AB645" s="152"/>
      <c r="AC645" s="152"/>
      <c r="AD645" s="152"/>
      <c r="AE645" s="152"/>
      <c r="AF645" s="152"/>
      <c r="AG645" s="152"/>
      <c r="AH645" s="44"/>
      <c r="AI645" s="44"/>
      <c r="AJ645" s="44"/>
      <c r="AK645" s="44"/>
      <c r="AL645" s="44"/>
      <c r="AM645" s="44"/>
      <c r="AN645" s="44"/>
    </row>
    <row r="646" spans="1:40">
      <c r="A646" s="44"/>
      <c r="B646" s="44"/>
      <c r="C646" s="44"/>
      <c r="D646" s="44"/>
      <c r="E646" s="44"/>
      <c r="F646" s="43"/>
      <c r="G646" s="44"/>
      <c r="H646" s="45"/>
      <c r="I646" s="44"/>
      <c r="J646" s="44"/>
      <c r="K646" s="143"/>
      <c r="L646" s="144"/>
      <c r="M646" s="143"/>
      <c r="N646" s="143"/>
      <c r="O646" s="44"/>
      <c r="P646" s="44"/>
      <c r="Q646" s="45"/>
      <c r="R646" s="147"/>
      <c r="S646" s="147"/>
      <c r="T646" s="147"/>
      <c r="U646" s="148"/>
      <c r="V646" s="149"/>
      <c r="W646" s="150"/>
      <c r="X646" s="151"/>
      <c r="Y646" s="44"/>
      <c r="Z646" s="44"/>
      <c r="AA646" s="152"/>
      <c r="AB646" s="152"/>
      <c r="AC646" s="152"/>
      <c r="AD646" s="152"/>
      <c r="AE646" s="152"/>
      <c r="AF646" s="152"/>
      <c r="AG646" s="152"/>
      <c r="AH646" s="44"/>
      <c r="AI646" s="44"/>
      <c r="AJ646" s="44"/>
      <c r="AK646" s="44"/>
      <c r="AL646" s="44"/>
      <c r="AM646" s="44"/>
      <c r="AN646" s="44"/>
    </row>
    <row r="647" spans="1:40">
      <c r="A647" s="44"/>
      <c r="B647" s="44"/>
      <c r="C647" s="44"/>
      <c r="D647" s="44"/>
      <c r="E647" s="44"/>
      <c r="F647" s="43"/>
      <c r="G647" s="44"/>
      <c r="H647" s="45"/>
      <c r="I647" s="44"/>
      <c r="J647" s="44"/>
      <c r="K647" s="143"/>
      <c r="L647" s="144"/>
      <c r="M647" s="143"/>
      <c r="N647" s="143"/>
      <c r="O647" s="44"/>
      <c r="P647" s="44"/>
      <c r="Q647" s="45"/>
      <c r="R647" s="147"/>
      <c r="S647" s="147"/>
      <c r="T647" s="147"/>
      <c r="U647" s="148"/>
      <c r="V647" s="149"/>
      <c r="W647" s="150"/>
      <c r="X647" s="151"/>
      <c r="Y647" s="44"/>
      <c r="Z647" s="44"/>
      <c r="AA647" s="152"/>
      <c r="AB647" s="152"/>
      <c r="AC647" s="152"/>
      <c r="AD647" s="152"/>
      <c r="AE647" s="152"/>
      <c r="AF647" s="152"/>
      <c r="AG647" s="152"/>
      <c r="AH647" s="44"/>
      <c r="AI647" s="44"/>
      <c r="AJ647" s="44"/>
      <c r="AK647" s="44"/>
      <c r="AL647" s="44"/>
      <c r="AM647" s="44"/>
      <c r="AN647" s="44"/>
    </row>
    <row r="648" spans="1:40">
      <c r="A648" s="44"/>
      <c r="B648" s="44"/>
      <c r="C648" s="44"/>
      <c r="D648" s="44"/>
      <c r="E648" s="44"/>
      <c r="F648" s="43"/>
      <c r="G648" s="44"/>
      <c r="H648" s="45"/>
      <c r="I648" s="44"/>
      <c r="J648" s="44"/>
      <c r="K648" s="143"/>
      <c r="L648" s="144"/>
      <c r="M648" s="143"/>
      <c r="N648" s="143"/>
      <c r="O648" s="44"/>
      <c r="P648" s="44"/>
      <c r="Q648" s="45"/>
      <c r="R648" s="147"/>
      <c r="S648" s="147"/>
      <c r="T648" s="147"/>
      <c r="U648" s="148"/>
      <c r="V648" s="149"/>
      <c r="W648" s="150"/>
      <c r="X648" s="151"/>
      <c r="Y648" s="44"/>
      <c r="Z648" s="44"/>
      <c r="AA648" s="152"/>
      <c r="AB648" s="152"/>
      <c r="AC648" s="152"/>
      <c r="AD648" s="152"/>
      <c r="AE648" s="152"/>
      <c r="AF648" s="152"/>
      <c r="AG648" s="152"/>
      <c r="AH648" s="44"/>
      <c r="AI648" s="44"/>
      <c r="AJ648" s="44"/>
      <c r="AK648" s="44"/>
      <c r="AL648" s="44"/>
      <c r="AM648" s="44"/>
      <c r="AN648" s="44"/>
    </row>
    <row r="649" spans="1:40">
      <c r="A649" s="44"/>
      <c r="B649" s="44"/>
      <c r="C649" s="44"/>
      <c r="D649" s="44"/>
      <c r="E649" s="44"/>
      <c r="F649" s="43"/>
      <c r="G649" s="44"/>
      <c r="H649" s="45"/>
      <c r="I649" s="44"/>
      <c r="J649" s="44"/>
      <c r="K649" s="143"/>
      <c r="L649" s="144"/>
      <c r="M649" s="143"/>
      <c r="N649" s="143"/>
      <c r="O649" s="44"/>
      <c r="P649" s="44"/>
      <c r="Q649" s="45"/>
      <c r="R649" s="147"/>
      <c r="S649" s="147"/>
      <c r="T649" s="147"/>
      <c r="U649" s="148"/>
      <c r="V649" s="149"/>
      <c r="W649" s="150"/>
      <c r="X649" s="151"/>
      <c r="Y649" s="44"/>
      <c r="Z649" s="44"/>
      <c r="AA649" s="152"/>
      <c r="AB649" s="152"/>
      <c r="AC649" s="152"/>
      <c r="AD649" s="152"/>
      <c r="AE649" s="152"/>
      <c r="AF649" s="152"/>
      <c r="AG649" s="152"/>
      <c r="AH649" s="44"/>
      <c r="AI649" s="44"/>
      <c r="AJ649" s="44"/>
      <c r="AK649" s="44"/>
      <c r="AL649" s="44"/>
      <c r="AM649" s="44"/>
      <c r="AN649" s="44"/>
    </row>
    <row r="650" spans="1:40">
      <c r="A650" s="44"/>
      <c r="B650" s="44"/>
      <c r="C650" s="44"/>
      <c r="D650" s="44"/>
      <c r="E650" s="44"/>
      <c r="F650" s="43"/>
      <c r="G650" s="44"/>
      <c r="H650" s="45"/>
      <c r="I650" s="44"/>
      <c r="J650" s="44"/>
      <c r="K650" s="143"/>
      <c r="L650" s="144"/>
      <c r="M650" s="143"/>
      <c r="N650" s="143"/>
      <c r="O650" s="44"/>
      <c r="P650" s="44"/>
      <c r="Q650" s="45"/>
      <c r="R650" s="147"/>
      <c r="S650" s="147"/>
      <c r="T650" s="147"/>
      <c r="U650" s="148"/>
      <c r="V650" s="149"/>
      <c r="W650" s="150"/>
      <c r="X650" s="151"/>
      <c r="Y650" s="44"/>
      <c r="Z650" s="44"/>
      <c r="AA650" s="152"/>
      <c r="AB650" s="152"/>
      <c r="AC650" s="152"/>
      <c r="AD650" s="152"/>
      <c r="AE650" s="152"/>
      <c r="AF650" s="152"/>
      <c r="AG650" s="152"/>
      <c r="AH650" s="44"/>
      <c r="AI650" s="44"/>
      <c r="AJ650" s="44"/>
      <c r="AK650" s="44"/>
      <c r="AL650" s="44"/>
      <c r="AM650" s="44"/>
      <c r="AN650" s="44"/>
    </row>
    <row r="651" spans="1:40">
      <c r="A651" s="44"/>
      <c r="B651" s="44"/>
      <c r="C651" s="44"/>
      <c r="D651" s="44"/>
      <c r="E651" s="44"/>
      <c r="F651" s="43"/>
      <c r="G651" s="44"/>
      <c r="H651" s="45"/>
      <c r="I651" s="44"/>
      <c r="J651" s="44"/>
      <c r="K651" s="143"/>
      <c r="L651" s="144"/>
      <c r="M651" s="143"/>
      <c r="N651" s="143"/>
      <c r="O651" s="44"/>
      <c r="P651" s="44"/>
      <c r="Q651" s="45"/>
      <c r="R651" s="147"/>
      <c r="S651" s="147"/>
      <c r="T651" s="147"/>
      <c r="U651" s="148"/>
      <c r="V651" s="149"/>
      <c r="W651" s="150"/>
      <c r="X651" s="151"/>
      <c r="Y651" s="44"/>
      <c r="Z651" s="44"/>
      <c r="AA651" s="152"/>
      <c r="AB651" s="152"/>
      <c r="AC651" s="152"/>
      <c r="AD651" s="152"/>
      <c r="AE651" s="152"/>
      <c r="AF651" s="152"/>
      <c r="AG651" s="152"/>
      <c r="AH651" s="44"/>
      <c r="AI651" s="44"/>
      <c r="AJ651" s="44"/>
      <c r="AK651" s="44"/>
      <c r="AL651" s="44"/>
      <c r="AM651" s="44"/>
      <c r="AN651" s="44"/>
    </row>
    <row r="652" spans="1:40">
      <c r="A652" s="44"/>
      <c r="B652" s="44"/>
      <c r="C652" s="44"/>
      <c r="D652" s="44"/>
      <c r="E652" s="44"/>
      <c r="F652" s="43"/>
      <c r="G652" s="44"/>
      <c r="H652" s="45"/>
      <c r="I652" s="44"/>
      <c r="J652" s="44"/>
      <c r="K652" s="143"/>
      <c r="L652" s="144"/>
      <c r="M652" s="143"/>
      <c r="N652" s="143"/>
      <c r="O652" s="44"/>
      <c r="P652" s="44"/>
      <c r="Q652" s="45"/>
      <c r="R652" s="147"/>
      <c r="S652" s="147"/>
      <c r="T652" s="147"/>
      <c r="U652" s="148"/>
      <c r="V652" s="149"/>
      <c r="W652" s="150"/>
      <c r="X652" s="151"/>
      <c r="Y652" s="44"/>
      <c r="Z652" s="44"/>
      <c r="AA652" s="152"/>
      <c r="AB652" s="152"/>
      <c r="AC652" s="152"/>
      <c r="AD652" s="152"/>
      <c r="AE652" s="152"/>
      <c r="AF652" s="152"/>
      <c r="AG652" s="152"/>
      <c r="AH652" s="44"/>
      <c r="AI652" s="44"/>
      <c r="AJ652" s="44"/>
      <c r="AK652" s="44"/>
      <c r="AL652" s="44"/>
      <c r="AM652" s="44"/>
      <c r="AN652" s="44"/>
    </row>
    <row r="653" spans="1:40">
      <c r="A653" s="44"/>
      <c r="B653" s="44"/>
      <c r="C653" s="44"/>
      <c r="D653" s="44"/>
      <c r="E653" s="44"/>
      <c r="F653" s="43"/>
      <c r="G653" s="44"/>
      <c r="H653" s="45"/>
      <c r="I653" s="44"/>
      <c r="J653" s="44"/>
      <c r="K653" s="143"/>
      <c r="L653" s="144"/>
      <c r="M653" s="143"/>
      <c r="N653" s="143"/>
      <c r="O653" s="44"/>
      <c r="P653" s="44"/>
      <c r="Q653" s="45"/>
      <c r="R653" s="147"/>
      <c r="S653" s="147"/>
      <c r="T653" s="147"/>
      <c r="U653" s="148"/>
      <c r="V653" s="149"/>
      <c r="W653" s="150"/>
      <c r="X653" s="151"/>
      <c r="Y653" s="44"/>
      <c r="Z653" s="44"/>
      <c r="AA653" s="152"/>
      <c r="AB653" s="152"/>
      <c r="AC653" s="152"/>
      <c r="AD653" s="152"/>
      <c r="AE653" s="152"/>
      <c r="AF653" s="152"/>
      <c r="AG653" s="152"/>
      <c r="AH653" s="44"/>
      <c r="AI653" s="44"/>
      <c r="AJ653" s="44"/>
      <c r="AK653" s="44"/>
      <c r="AL653" s="44"/>
      <c r="AM653" s="44"/>
      <c r="AN653" s="44"/>
    </row>
    <row r="654" spans="1:40">
      <c r="A654" s="44"/>
      <c r="B654" s="44"/>
      <c r="C654" s="44"/>
      <c r="D654" s="44"/>
      <c r="E654" s="44"/>
      <c r="F654" s="43"/>
      <c r="G654" s="44"/>
      <c r="H654" s="45"/>
      <c r="I654" s="44"/>
      <c r="J654" s="44"/>
      <c r="K654" s="143"/>
      <c r="L654" s="144"/>
      <c r="M654" s="143"/>
      <c r="N654" s="143"/>
      <c r="O654" s="44"/>
      <c r="P654" s="44"/>
      <c r="Q654" s="45"/>
      <c r="R654" s="147"/>
      <c r="S654" s="147"/>
      <c r="T654" s="147"/>
      <c r="U654" s="148"/>
      <c r="V654" s="149"/>
      <c r="W654" s="150"/>
      <c r="X654" s="151"/>
      <c r="Y654" s="44"/>
      <c r="Z654" s="44"/>
      <c r="AA654" s="152"/>
      <c r="AB654" s="152"/>
      <c r="AC654" s="152"/>
      <c r="AD654" s="152"/>
      <c r="AE654" s="152"/>
      <c r="AF654" s="152"/>
      <c r="AG654" s="152"/>
      <c r="AH654" s="44"/>
      <c r="AI654" s="44"/>
      <c r="AJ654" s="44"/>
      <c r="AK654" s="44"/>
      <c r="AL654" s="44"/>
      <c r="AM654" s="44"/>
      <c r="AN654" s="44"/>
    </row>
    <row r="655" spans="1:40">
      <c r="A655" s="44"/>
      <c r="B655" s="44"/>
      <c r="C655" s="44"/>
      <c r="D655" s="44"/>
      <c r="E655" s="44"/>
      <c r="F655" s="43"/>
      <c r="G655" s="44"/>
      <c r="H655" s="45"/>
      <c r="I655" s="44"/>
      <c r="J655" s="44"/>
      <c r="K655" s="143"/>
      <c r="L655" s="144"/>
      <c r="M655" s="143"/>
      <c r="N655" s="143"/>
      <c r="O655" s="44"/>
      <c r="P655" s="44"/>
      <c r="Q655" s="45"/>
      <c r="R655" s="147"/>
      <c r="S655" s="147"/>
      <c r="T655" s="147"/>
      <c r="U655" s="148"/>
      <c r="V655" s="149"/>
      <c r="W655" s="150"/>
      <c r="X655" s="151"/>
      <c r="Y655" s="44"/>
      <c r="Z655" s="44"/>
      <c r="AA655" s="152"/>
      <c r="AB655" s="152"/>
      <c r="AC655" s="152"/>
      <c r="AD655" s="152"/>
      <c r="AE655" s="152"/>
      <c r="AF655" s="152"/>
      <c r="AG655" s="152"/>
      <c r="AH655" s="44"/>
      <c r="AI655" s="44"/>
      <c r="AJ655" s="44"/>
      <c r="AK655" s="44"/>
      <c r="AL655" s="44"/>
      <c r="AM655" s="44"/>
      <c r="AN655" s="44"/>
    </row>
    <row r="656" spans="1:40">
      <c r="A656" s="44"/>
      <c r="B656" s="44"/>
      <c r="C656" s="44"/>
      <c r="D656" s="44"/>
      <c r="E656" s="44"/>
      <c r="F656" s="43"/>
      <c r="G656" s="44"/>
      <c r="H656" s="45"/>
      <c r="I656" s="44"/>
      <c r="J656" s="44"/>
      <c r="K656" s="143"/>
      <c r="L656" s="144"/>
      <c r="M656" s="143"/>
      <c r="N656" s="143"/>
      <c r="O656" s="44"/>
      <c r="P656" s="44"/>
      <c r="Q656" s="45"/>
      <c r="R656" s="147"/>
      <c r="S656" s="147"/>
      <c r="T656" s="147"/>
      <c r="U656" s="148"/>
      <c r="V656" s="149"/>
      <c r="W656" s="150"/>
      <c r="X656" s="151"/>
      <c r="Y656" s="44"/>
      <c r="Z656" s="44"/>
      <c r="AA656" s="152"/>
      <c r="AB656" s="152"/>
      <c r="AC656" s="152"/>
      <c r="AD656" s="152"/>
      <c r="AE656" s="152"/>
      <c r="AF656" s="152"/>
      <c r="AG656" s="152"/>
      <c r="AH656" s="44"/>
      <c r="AI656" s="44"/>
      <c r="AJ656" s="44"/>
      <c r="AK656" s="44"/>
      <c r="AL656" s="44"/>
      <c r="AM656" s="44"/>
      <c r="AN656" s="44"/>
    </row>
    <row r="657" spans="1:40">
      <c r="A657" s="44"/>
      <c r="B657" s="44"/>
      <c r="C657" s="44"/>
      <c r="D657" s="44"/>
      <c r="E657" s="44"/>
      <c r="F657" s="43"/>
      <c r="G657" s="44"/>
      <c r="H657" s="45"/>
      <c r="I657" s="44"/>
      <c r="J657" s="44"/>
      <c r="K657" s="143"/>
      <c r="L657" s="144"/>
      <c r="M657" s="143"/>
      <c r="N657" s="143"/>
      <c r="O657" s="44"/>
      <c r="P657" s="44"/>
      <c r="Q657" s="45"/>
      <c r="R657" s="147"/>
      <c r="S657" s="147"/>
      <c r="T657" s="147"/>
      <c r="U657" s="148"/>
      <c r="V657" s="149"/>
      <c r="W657" s="150"/>
      <c r="X657" s="151"/>
      <c r="Y657" s="44"/>
      <c r="Z657" s="44"/>
      <c r="AA657" s="152"/>
      <c r="AB657" s="152"/>
      <c r="AC657" s="152"/>
      <c r="AD657" s="152"/>
      <c r="AE657" s="152"/>
      <c r="AF657" s="152"/>
      <c r="AG657" s="152"/>
      <c r="AH657" s="44"/>
      <c r="AI657" s="44"/>
      <c r="AJ657" s="44"/>
      <c r="AK657" s="44"/>
      <c r="AL657" s="44"/>
      <c r="AM657" s="44"/>
      <c r="AN657" s="44"/>
    </row>
    <row r="658" spans="1:40">
      <c r="A658" s="44"/>
      <c r="B658" s="44"/>
      <c r="C658" s="44"/>
      <c r="D658" s="44"/>
      <c r="E658" s="44"/>
      <c r="F658" s="43"/>
      <c r="G658" s="44"/>
      <c r="H658" s="45"/>
      <c r="I658" s="44"/>
      <c r="J658" s="44"/>
      <c r="K658" s="143"/>
      <c r="L658" s="144"/>
      <c r="M658" s="143"/>
      <c r="N658" s="143"/>
      <c r="O658" s="44"/>
      <c r="P658" s="44"/>
      <c r="Q658" s="45"/>
      <c r="R658" s="147"/>
      <c r="S658" s="147"/>
      <c r="T658" s="147"/>
      <c r="U658" s="148"/>
      <c r="V658" s="149"/>
      <c r="W658" s="150"/>
      <c r="X658" s="151"/>
      <c r="Y658" s="44"/>
      <c r="Z658" s="44"/>
      <c r="AA658" s="152"/>
      <c r="AB658" s="152"/>
      <c r="AC658" s="152"/>
      <c r="AD658" s="152"/>
      <c r="AE658" s="152"/>
      <c r="AF658" s="152"/>
      <c r="AG658" s="152"/>
      <c r="AH658" s="44"/>
      <c r="AI658" s="44"/>
      <c r="AJ658" s="44"/>
      <c r="AK658" s="44"/>
      <c r="AL658" s="44"/>
      <c r="AM658" s="44"/>
      <c r="AN658" s="44"/>
    </row>
    <row r="659" spans="1:40">
      <c r="A659" s="44"/>
      <c r="B659" s="44"/>
      <c r="C659" s="44"/>
      <c r="D659" s="44"/>
      <c r="E659" s="44"/>
      <c r="F659" s="43"/>
      <c r="G659" s="44"/>
      <c r="H659" s="45"/>
      <c r="I659" s="44"/>
      <c r="J659" s="44"/>
      <c r="K659" s="143"/>
      <c r="L659" s="144"/>
      <c r="M659" s="143"/>
      <c r="N659" s="143"/>
      <c r="O659" s="44"/>
      <c r="P659" s="44"/>
      <c r="Q659" s="45"/>
      <c r="R659" s="147"/>
      <c r="S659" s="147"/>
      <c r="T659" s="147"/>
      <c r="U659" s="148"/>
      <c r="V659" s="149"/>
      <c r="W659" s="150"/>
      <c r="X659" s="151"/>
      <c r="Y659" s="44"/>
      <c r="Z659" s="44"/>
      <c r="AA659" s="152"/>
      <c r="AB659" s="152"/>
      <c r="AC659" s="152"/>
      <c r="AD659" s="152"/>
      <c r="AE659" s="152"/>
      <c r="AF659" s="152"/>
      <c r="AG659" s="152"/>
      <c r="AH659" s="44"/>
      <c r="AI659" s="44"/>
      <c r="AJ659" s="44"/>
      <c r="AK659" s="44"/>
      <c r="AL659" s="44"/>
      <c r="AM659" s="44"/>
      <c r="AN659" s="44"/>
    </row>
    <row r="660" spans="1:40">
      <c r="A660" s="44"/>
      <c r="B660" s="44"/>
      <c r="C660" s="44"/>
      <c r="D660" s="44"/>
      <c r="E660" s="44"/>
      <c r="F660" s="43"/>
      <c r="G660" s="44"/>
      <c r="H660" s="45"/>
      <c r="I660" s="44"/>
      <c r="J660" s="44"/>
      <c r="K660" s="143"/>
      <c r="L660" s="144"/>
      <c r="M660" s="143"/>
      <c r="N660" s="143"/>
      <c r="O660" s="44"/>
      <c r="P660" s="44"/>
      <c r="Q660" s="45"/>
      <c r="R660" s="147"/>
      <c r="S660" s="147"/>
      <c r="T660" s="147"/>
      <c r="U660" s="148"/>
      <c r="V660" s="149"/>
      <c r="W660" s="150"/>
      <c r="X660" s="151"/>
      <c r="Y660" s="44"/>
      <c r="Z660" s="44"/>
      <c r="AA660" s="152"/>
      <c r="AB660" s="152"/>
      <c r="AC660" s="152"/>
      <c r="AD660" s="152"/>
      <c r="AE660" s="152"/>
      <c r="AF660" s="152"/>
      <c r="AG660" s="152"/>
      <c r="AH660" s="44"/>
      <c r="AI660" s="44"/>
      <c r="AJ660" s="44"/>
      <c r="AK660" s="44"/>
      <c r="AL660" s="44"/>
      <c r="AM660" s="44"/>
      <c r="AN660" s="44"/>
    </row>
    <row r="661" spans="1:40">
      <c r="A661" s="44"/>
      <c r="B661" s="44"/>
      <c r="C661" s="44"/>
      <c r="D661" s="44"/>
      <c r="E661" s="44"/>
      <c r="F661" s="43"/>
      <c r="G661" s="44"/>
      <c r="H661" s="45"/>
      <c r="I661" s="44"/>
      <c r="J661" s="44"/>
      <c r="K661" s="143"/>
      <c r="L661" s="144"/>
      <c r="M661" s="143"/>
      <c r="N661" s="143"/>
      <c r="O661" s="44"/>
      <c r="P661" s="44"/>
      <c r="Q661" s="45"/>
      <c r="R661" s="147"/>
      <c r="S661" s="147"/>
      <c r="T661" s="147"/>
      <c r="U661" s="148"/>
      <c r="V661" s="149"/>
      <c r="W661" s="150"/>
      <c r="X661" s="151"/>
      <c r="Y661" s="44"/>
      <c r="Z661" s="44"/>
      <c r="AA661" s="152"/>
      <c r="AB661" s="152"/>
      <c r="AC661" s="152"/>
      <c r="AD661" s="152"/>
      <c r="AE661" s="152"/>
      <c r="AF661" s="152"/>
      <c r="AG661" s="152"/>
      <c r="AH661" s="44"/>
      <c r="AI661" s="44"/>
      <c r="AJ661" s="44"/>
      <c r="AK661" s="44"/>
      <c r="AL661" s="44"/>
      <c r="AM661" s="44"/>
      <c r="AN661" s="44"/>
    </row>
    <row r="662" spans="1:40">
      <c r="A662" s="44"/>
      <c r="B662" s="44"/>
      <c r="C662" s="44"/>
      <c r="D662" s="44"/>
      <c r="E662" s="44"/>
      <c r="F662" s="43"/>
      <c r="G662" s="44"/>
      <c r="H662" s="45"/>
      <c r="I662" s="44"/>
      <c r="J662" s="44"/>
      <c r="K662" s="143"/>
      <c r="L662" s="144"/>
      <c r="M662" s="143"/>
      <c r="N662" s="143"/>
      <c r="O662" s="44"/>
      <c r="P662" s="44"/>
      <c r="Q662" s="45"/>
      <c r="R662" s="147"/>
      <c r="S662" s="147"/>
      <c r="T662" s="147"/>
      <c r="U662" s="148"/>
      <c r="V662" s="149"/>
      <c r="W662" s="150"/>
      <c r="X662" s="151"/>
      <c r="Y662" s="44"/>
      <c r="Z662" s="44"/>
      <c r="AA662" s="152"/>
      <c r="AB662" s="152"/>
      <c r="AC662" s="152"/>
      <c r="AD662" s="152"/>
      <c r="AE662" s="152"/>
      <c r="AF662" s="152"/>
      <c r="AG662" s="152"/>
      <c r="AH662" s="44"/>
      <c r="AI662" s="44"/>
      <c r="AJ662" s="44"/>
      <c r="AK662" s="44"/>
      <c r="AL662" s="44"/>
      <c r="AM662" s="44"/>
      <c r="AN662" s="44"/>
    </row>
    <row r="663" spans="1:40">
      <c r="A663" s="44"/>
      <c r="B663" s="44"/>
      <c r="C663" s="44"/>
      <c r="D663" s="44"/>
      <c r="E663" s="44"/>
      <c r="F663" s="43"/>
      <c r="G663" s="44"/>
      <c r="H663" s="45"/>
      <c r="I663" s="44"/>
      <c r="J663" s="44"/>
      <c r="K663" s="143"/>
      <c r="L663" s="144"/>
      <c r="M663" s="143"/>
      <c r="N663" s="143"/>
      <c r="O663" s="44"/>
      <c r="P663" s="44"/>
      <c r="Q663" s="45"/>
      <c r="R663" s="147"/>
      <c r="S663" s="147"/>
      <c r="T663" s="147"/>
      <c r="U663" s="148"/>
      <c r="V663" s="149"/>
      <c r="W663" s="150"/>
      <c r="X663" s="151"/>
      <c r="Y663" s="44"/>
      <c r="Z663" s="44"/>
      <c r="AA663" s="152"/>
      <c r="AB663" s="152"/>
      <c r="AC663" s="152"/>
      <c r="AD663" s="152"/>
      <c r="AE663" s="152"/>
      <c r="AF663" s="152"/>
      <c r="AG663" s="152"/>
      <c r="AH663" s="44"/>
      <c r="AI663" s="44"/>
      <c r="AJ663" s="44"/>
      <c r="AK663" s="44"/>
      <c r="AL663" s="44"/>
      <c r="AM663" s="44"/>
      <c r="AN663" s="44"/>
    </row>
    <row r="664" spans="1:40">
      <c r="A664" s="44"/>
      <c r="B664" s="44"/>
      <c r="C664" s="44"/>
      <c r="D664" s="44"/>
      <c r="E664" s="44"/>
      <c r="F664" s="43"/>
      <c r="G664" s="44"/>
      <c r="H664" s="45"/>
      <c r="I664" s="44"/>
      <c r="J664" s="44"/>
      <c r="K664" s="143"/>
      <c r="L664" s="144"/>
      <c r="M664" s="143"/>
      <c r="N664" s="143"/>
      <c r="O664" s="44"/>
      <c r="P664" s="44"/>
      <c r="Q664" s="45"/>
      <c r="R664" s="147"/>
      <c r="S664" s="147"/>
      <c r="T664" s="147"/>
      <c r="U664" s="148"/>
      <c r="V664" s="149"/>
      <c r="W664" s="150"/>
      <c r="X664" s="151"/>
      <c r="Y664" s="44"/>
      <c r="Z664" s="44"/>
      <c r="AA664" s="152"/>
      <c r="AB664" s="152"/>
      <c r="AC664" s="152"/>
      <c r="AD664" s="152"/>
      <c r="AE664" s="152"/>
      <c r="AF664" s="152"/>
      <c r="AG664" s="152"/>
      <c r="AH664" s="44"/>
      <c r="AI664" s="44"/>
      <c r="AJ664" s="44"/>
      <c r="AK664" s="44"/>
      <c r="AL664" s="44"/>
      <c r="AM664" s="44"/>
      <c r="AN664" s="44"/>
    </row>
    <row r="665" spans="1:40">
      <c r="A665" s="44"/>
      <c r="B665" s="44"/>
      <c r="C665" s="44"/>
      <c r="D665" s="44"/>
      <c r="E665" s="44"/>
      <c r="F665" s="43"/>
      <c r="G665" s="44"/>
      <c r="H665" s="45"/>
      <c r="I665" s="44"/>
      <c r="J665" s="44"/>
      <c r="K665" s="143"/>
      <c r="L665" s="144"/>
      <c r="M665" s="143"/>
      <c r="N665" s="143"/>
      <c r="O665" s="44"/>
      <c r="P665" s="44"/>
      <c r="Q665" s="45"/>
      <c r="R665" s="147"/>
      <c r="S665" s="147"/>
      <c r="T665" s="147"/>
      <c r="U665" s="148"/>
      <c r="V665" s="149"/>
      <c r="W665" s="150"/>
      <c r="X665" s="151"/>
      <c r="Y665" s="44"/>
      <c r="Z665" s="44"/>
      <c r="AA665" s="152"/>
      <c r="AB665" s="152"/>
      <c r="AC665" s="152"/>
      <c r="AD665" s="152"/>
      <c r="AE665" s="152"/>
      <c r="AF665" s="152"/>
      <c r="AG665" s="152"/>
      <c r="AH665" s="44"/>
      <c r="AI665" s="44"/>
      <c r="AJ665" s="44"/>
      <c r="AK665" s="44"/>
      <c r="AL665" s="44"/>
      <c r="AM665" s="44"/>
      <c r="AN665" s="44"/>
    </row>
    <row r="666" spans="1:40">
      <c r="A666" s="44"/>
      <c r="B666" s="44"/>
      <c r="C666" s="44"/>
      <c r="D666" s="44"/>
      <c r="E666" s="44"/>
      <c r="F666" s="43"/>
      <c r="G666" s="44"/>
      <c r="H666" s="45"/>
      <c r="I666" s="44"/>
      <c r="J666" s="44"/>
      <c r="K666" s="143"/>
      <c r="L666" s="144"/>
      <c r="M666" s="143"/>
      <c r="N666" s="143"/>
      <c r="O666" s="44"/>
      <c r="P666" s="44"/>
      <c r="Q666" s="45"/>
      <c r="R666" s="147"/>
      <c r="S666" s="147"/>
      <c r="T666" s="147"/>
      <c r="U666" s="148"/>
      <c r="V666" s="149"/>
      <c r="W666" s="150"/>
      <c r="X666" s="151"/>
      <c r="Y666" s="44"/>
      <c r="Z666" s="44"/>
      <c r="AA666" s="152"/>
      <c r="AB666" s="152"/>
      <c r="AC666" s="152"/>
      <c r="AD666" s="152"/>
      <c r="AE666" s="152"/>
      <c r="AF666" s="152"/>
      <c r="AG666" s="152"/>
      <c r="AH666" s="44"/>
      <c r="AI666" s="44"/>
      <c r="AJ666" s="44"/>
      <c r="AK666" s="44"/>
      <c r="AL666" s="44"/>
      <c r="AM666" s="44"/>
      <c r="AN666" s="44"/>
    </row>
    <row r="667" spans="1:40">
      <c r="A667" s="44"/>
      <c r="B667" s="44"/>
      <c r="C667" s="44"/>
      <c r="D667" s="44"/>
      <c r="E667" s="44"/>
      <c r="F667" s="43"/>
      <c r="G667" s="44"/>
      <c r="H667" s="45"/>
      <c r="I667" s="44"/>
      <c r="J667" s="44"/>
      <c r="K667" s="143"/>
      <c r="L667" s="144"/>
      <c r="M667" s="143"/>
      <c r="N667" s="143"/>
      <c r="O667" s="44"/>
      <c r="P667" s="44"/>
      <c r="Q667" s="45"/>
      <c r="R667" s="147"/>
      <c r="S667" s="147"/>
      <c r="T667" s="147"/>
      <c r="U667" s="148"/>
      <c r="V667" s="149"/>
      <c r="W667" s="150"/>
      <c r="X667" s="151"/>
      <c r="Y667" s="44"/>
      <c r="Z667" s="44"/>
      <c r="AA667" s="152"/>
      <c r="AB667" s="152"/>
      <c r="AC667" s="152"/>
      <c r="AD667" s="152"/>
      <c r="AE667" s="152"/>
      <c r="AF667" s="152"/>
      <c r="AG667" s="152"/>
      <c r="AH667" s="44"/>
      <c r="AI667" s="44"/>
      <c r="AJ667" s="44"/>
      <c r="AK667" s="44"/>
      <c r="AL667" s="44"/>
      <c r="AM667" s="44"/>
      <c r="AN667" s="44"/>
    </row>
    <row r="668" spans="1:40">
      <c r="A668" s="44"/>
      <c r="B668" s="44"/>
      <c r="C668" s="44"/>
      <c r="D668" s="44"/>
      <c r="E668" s="44"/>
      <c r="F668" s="43"/>
      <c r="G668" s="44"/>
      <c r="H668" s="45"/>
      <c r="I668" s="44"/>
      <c r="J668" s="44"/>
      <c r="K668" s="143"/>
      <c r="L668" s="144"/>
      <c r="M668" s="143"/>
      <c r="N668" s="143"/>
      <c r="O668" s="44"/>
      <c r="P668" s="44"/>
      <c r="Q668" s="45"/>
      <c r="R668" s="147"/>
      <c r="S668" s="147"/>
      <c r="T668" s="147"/>
      <c r="U668" s="148"/>
      <c r="V668" s="149"/>
      <c r="W668" s="150"/>
      <c r="X668" s="151"/>
      <c r="Y668" s="44"/>
      <c r="Z668" s="44"/>
      <c r="AA668" s="152"/>
      <c r="AB668" s="152"/>
      <c r="AC668" s="152"/>
      <c r="AD668" s="152"/>
      <c r="AE668" s="152"/>
      <c r="AF668" s="152"/>
      <c r="AG668" s="152"/>
      <c r="AH668" s="44"/>
      <c r="AI668" s="44"/>
      <c r="AJ668" s="44"/>
      <c r="AK668" s="44"/>
      <c r="AL668" s="44"/>
      <c r="AM668" s="44"/>
      <c r="AN668" s="44"/>
    </row>
    <row r="669" spans="1:40">
      <c r="A669" s="44"/>
      <c r="B669" s="44"/>
      <c r="C669" s="44"/>
      <c r="D669" s="44"/>
      <c r="E669" s="44"/>
      <c r="F669" s="43"/>
      <c r="G669" s="44"/>
      <c r="H669" s="45"/>
      <c r="I669" s="44"/>
      <c r="J669" s="44"/>
      <c r="K669" s="143"/>
      <c r="L669" s="144"/>
      <c r="M669" s="143"/>
      <c r="N669" s="143"/>
      <c r="O669" s="44"/>
      <c r="P669" s="44"/>
      <c r="Q669" s="45"/>
      <c r="R669" s="147"/>
      <c r="S669" s="147"/>
      <c r="T669" s="147"/>
      <c r="U669" s="148"/>
      <c r="V669" s="149"/>
      <c r="W669" s="150"/>
      <c r="X669" s="151"/>
      <c r="Y669" s="44"/>
      <c r="Z669" s="44"/>
      <c r="AA669" s="152"/>
      <c r="AB669" s="152"/>
      <c r="AC669" s="152"/>
      <c r="AD669" s="152"/>
      <c r="AE669" s="152"/>
      <c r="AF669" s="152"/>
      <c r="AG669" s="152"/>
      <c r="AH669" s="44"/>
      <c r="AI669" s="44"/>
      <c r="AJ669" s="44"/>
      <c r="AK669" s="44"/>
      <c r="AL669" s="44"/>
      <c r="AM669" s="44"/>
      <c r="AN669" s="44"/>
    </row>
    <row r="670" spans="1:40">
      <c r="A670" s="44"/>
      <c r="B670" s="44"/>
      <c r="C670" s="44"/>
      <c r="D670" s="44"/>
      <c r="E670" s="44"/>
      <c r="F670" s="43"/>
      <c r="G670" s="44"/>
      <c r="H670" s="45"/>
      <c r="I670" s="44"/>
      <c r="J670" s="44"/>
      <c r="K670" s="143"/>
      <c r="L670" s="144"/>
      <c r="M670" s="143"/>
      <c r="N670" s="143"/>
      <c r="O670" s="44"/>
      <c r="P670" s="44"/>
      <c r="Q670" s="45"/>
      <c r="R670" s="147"/>
      <c r="S670" s="147"/>
      <c r="T670" s="147"/>
      <c r="U670" s="148"/>
      <c r="V670" s="149"/>
      <c r="W670" s="150"/>
      <c r="X670" s="151"/>
      <c r="Y670" s="44"/>
      <c r="Z670" s="44"/>
      <c r="AA670" s="152"/>
      <c r="AB670" s="152"/>
      <c r="AC670" s="152"/>
      <c r="AD670" s="152"/>
      <c r="AE670" s="152"/>
      <c r="AF670" s="152"/>
      <c r="AG670" s="152"/>
      <c r="AH670" s="44"/>
      <c r="AI670" s="44"/>
      <c r="AJ670" s="44"/>
      <c r="AK670" s="44"/>
      <c r="AL670" s="44"/>
      <c r="AM670" s="44"/>
      <c r="AN670" s="44"/>
    </row>
    <row r="671" spans="1:40">
      <c r="A671" s="44"/>
      <c r="B671" s="44"/>
      <c r="C671" s="44"/>
      <c r="D671" s="44"/>
      <c r="E671" s="44"/>
      <c r="F671" s="43"/>
      <c r="G671" s="44"/>
      <c r="H671" s="45"/>
      <c r="I671" s="44"/>
      <c r="J671" s="44"/>
      <c r="K671" s="143"/>
      <c r="L671" s="144"/>
      <c r="M671" s="143"/>
      <c r="N671" s="143"/>
      <c r="O671" s="44"/>
      <c r="P671" s="44"/>
      <c r="Q671" s="45"/>
      <c r="R671" s="147"/>
      <c r="S671" s="147"/>
      <c r="T671" s="147"/>
      <c r="U671" s="148"/>
      <c r="V671" s="149"/>
      <c r="W671" s="150"/>
      <c r="X671" s="151"/>
      <c r="Y671" s="44"/>
      <c r="Z671" s="44"/>
      <c r="AA671" s="152"/>
      <c r="AB671" s="152"/>
      <c r="AC671" s="152"/>
      <c r="AD671" s="152"/>
      <c r="AE671" s="152"/>
      <c r="AF671" s="152"/>
      <c r="AG671" s="152"/>
      <c r="AH671" s="44"/>
      <c r="AI671" s="44"/>
      <c r="AJ671" s="44"/>
      <c r="AK671" s="44"/>
      <c r="AL671" s="44"/>
      <c r="AM671" s="44"/>
      <c r="AN671" s="44"/>
    </row>
    <row r="672" spans="1:40">
      <c r="A672" s="44"/>
      <c r="B672" s="44"/>
      <c r="C672" s="44"/>
      <c r="D672" s="44"/>
      <c r="E672" s="44"/>
      <c r="F672" s="43"/>
      <c r="G672" s="44"/>
      <c r="H672" s="45"/>
      <c r="I672" s="44"/>
      <c r="J672" s="44"/>
      <c r="K672" s="143"/>
      <c r="L672" s="144"/>
      <c r="M672" s="143"/>
      <c r="N672" s="143"/>
      <c r="O672" s="44"/>
      <c r="P672" s="44"/>
      <c r="Q672" s="45"/>
      <c r="R672" s="147"/>
      <c r="S672" s="147"/>
      <c r="T672" s="147"/>
      <c r="U672" s="148"/>
      <c r="V672" s="149"/>
      <c r="W672" s="150"/>
      <c r="X672" s="151"/>
      <c r="Y672" s="44"/>
      <c r="Z672" s="44"/>
      <c r="AA672" s="152"/>
      <c r="AB672" s="152"/>
      <c r="AC672" s="152"/>
      <c r="AD672" s="152"/>
      <c r="AE672" s="152"/>
      <c r="AF672" s="152"/>
      <c r="AG672" s="152"/>
      <c r="AH672" s="44"/>
      <c r="AI672" s="44"/>
      <c r="AJ672" s="44"/>
      <c r="AK672" s="44"/>
      <c r="AL672" s="44"/>
      <c r="AM672" s="44"/>
      <c r="AN672" s="44"/>
    </row>
    <row r="673" spans="1:40">
      <c r="A673" s="44"/>
      <c r="B673" s="44"/>
      <c r="C673" s="44"/>
      <c r="D673" s="44"/>
      <c r="E673" s="44"/>
      <c r="F673" s="43"/>
      <c r="G673" s="44"/>
      <c r="H673" s="45"/>
      <c r="I673" s="44"/>
      <c r="J673" s="44"/>
      <c r="K673" s="143"/>
      <c r="L673" s="144"/>
      <c r="M673" s="143"/>
      <c r="N673" s="143"/>
      <c r="O673" s="44"/>
      <c r="P673" s="44"/>
      <c r="Q673" s="45"/>
      <c r="R673" s="147"/>
      <c r="S673" s="147"/>
      <c r="T673" s="147"/>
      <c r="U673" s="148"/>
      <c r="V673" s="149"/>
      <c r="W673" s="150"/>
      <c r="X673" s="151"/>
      <c r="Y673" s="44"/>
      <c r="Z673" s="44"/>
      <c r="AA673" s="152"/>
      <c r="AB673" s="152"/>
      <c r="AC673" s="152"/>
      <c r="AD673" s="152"/>
      <c r="AE673" s="152"/>
      <c r="AF673" s="152"/>
      <c r="AG673" s="152"/>
      <c r="AH673" s="44"/>
      <c r="AI673" s="44"/>
      <c r="AJ673" s="44"/>
      <c r="AK673" s="44"/>
      <c r="AL673" s="44"/>
      <c r="AM673" s="44"/>
      <c r="AN673" s="44"/>
    </row>
    <row r="674" spans="1:40">
      <c r="A674" s="44"/>
      <c r="B674" s="44"/>
      <c r="C674" s="44"/>
      <c r="D674" s="44"/>
      <c r="E674" s="44"/>
      <c r="F674" s="43"/>
      <c r="G674" s="44"/>
      <c r="H674" s="45"/>
      <c r="I674" s="44"/>
      <c r="J674" s="44"/>
      <c r="K674" s="143"/>
      <c r="L674" s="144"/>
      <c r="M674" s="143"/>
      <c r="N674" s="143"/>
      <c r="O674" s="44"/>
      <c r="P674" s="44"/>
      <c r="Q674" s="45"/>
      <c r="R674" s="147"/>
      <c r="S674" s="147"/>
      <c r="T674" s="147"/>
      <c r="U674" s="148"/>
      <c r="V674" s="149"/>
      <c r="W674" s="150"/>
      <c r="X674" s="151"/>
      <c r="Y674" s="44"/>
      <c r="Z674" s="44"/>
      <c r="AA674" s="152"/>
      <c r="AB674" s="152"/>
      <c r="AC674" s="152"/>
      <c r="AD674" s="152"/>
      <c r="AE674" s="152"/>
      <c r="AF674" s="152"/>
      <c r="AG674" s="152"/>
      <c r="AH674" s="44"/>
      <c r="AI674" s="44"/>
      <c r="AJ674" s="44"/>
      <c r="AK674" s="44"/>
      <c r="AL674" s="44"/>
      <c r="AM674" s="44"/>
      <c r="AN674" s="44"/>
    </row>
    <row r="675" spans="1:40">
      <c r="A675" s="44"/>
      <c r="B675" s="44"/>
      <c r="C675" s="44"/>
      <c r="D675" s="44"/>
      <c r="E675" s="44"/>
      <c r="F675" s="43"/>
      <c r="G675" s="44"/>
      <c r="H675" s="45"/>
      <c r="I675" s="44"/>
      <c r="J675" s="44"/>
      <c r="K675" s="143"/>
      <c r="L675" s="144"/>
      <c r="M675" s="143"/>
      <c r="N675" s="143"/>
      <c r="O675" s="44"/>
      <c r="P675" s="44"/>
      <c r="Q675" s="45"/>
      <c r="R675" s="147"/>
      <c r="S675" s="147"/>
      <c r="T675" s="147"/>
      <c r="U675" s="148"/>
      <c r="V675" s="149"/>
      <c r="W675" s="150"/>
      <c r="X675" s="151"/>
      <c r="Y675" s="44"/>
      <c r="Z675" s="44"/>
      <c r="AA675" s="152"/>
      <c r="AB675" s="152"/>
      <c r="AC675" s="152"/>
      <c r="AD675" s="152"/>
      <c r="AE675" s="152"/>
      <c r="AF675" s="152"/>
      <c r="AG675" s="152"/>
      <c r="AH675" s="44"/>
      <c r="AI675" s="44"/>
      <c r="AJ675" s="44"/>
      <c r="AK675" s="44"/>
      <c r="AL675" s="44"/>
      <c r="AM675" s="44"/>
      <c r="AN675" s="44"/>
    </row>
    <row r="676" spans="1:40">
      <c r="A676" s="44"/>
      <c r="B676" s="44"/>
      <c r="C676" s="44"/>
      <c r="D676" s="44"/>
      <c r="E676" s="44"/>
      <c r="F676" s="43"/>
      <c r="G676" s="44"/>
      <c r="H676" s="45"/>
      <c r="I676" s="44"/>
      <c r="J676" s="44"/>
      <c r="K676" s="143"/>
      <c r="L676" s="144"/>
      <c r="M676" s="143"/>
      <c r="N676" s="143"/>
      <c r="O676" s="44"/>
      <c r="P676" s="44"/>
      <c r="Q676" s="45"/>
      <c r="R676" s="147"/>
      <c r="S676" s="147"/>
      <c r="T676" s="147"/>
      <c r="U676" s="148"/>
      <c r="V676" s="149"/>
      <c r="W676" s="150"/>
      <c r="X676" s="151"/>
      <c r="Y676" s="44"/>
      <c r="Z676" s="44"/>
      <c r="AA676" s="152"/>
      <c r="AB676" s="152"/>
      <c r="AC676" s="152"/>
      <c r="AD676" s="152"/>
      <c r="AE676" s="152"/>
      <c r="AF676" s="152"/>
      <c r="AG676" s="152"/>
      <c r="AH676" s="44"/>
      <c r="AI676" s="44"/>
      <c r="AJ676" s="44"/>
      <c r="AK676" s="44"/>
      <c r="AL676" s="44"/>
      <c r="AM676" s="44"/>
      <c r="AN676" s="44"/>
    </row>
    <row r="677" spans="1:40">
      <c r="A677" s="44"/>
      <c r="B677" s="44"/>
      <c r="C677" s="44"/>
      <c r="D677" s="44"/>
      <c r="E677" s="44"/>
      <c r="F677" s="43"/>
      <c r="G677" s="44"/>
      <c r="H677" s="45"/>
      <c r="I677" s="44"/>
      <c r="J677" s="44"/>
      <c r="K677" s="143"/>
      <c r="L677" s="144"/>
      <c r="M677" s="143"/>
      <c r="N677" s="143"/>
      <c r="O677" s="44"/>
      <c r="P677" s="44"/>
      <c r="Q677" s="45"/>
      <c r="R677" s="147"/>
      <c r="S677" s="147"/>
      <c r="T677" s="147"/>
      <c r="U677" s="148"/>
      <c r="V677" s="149"/>
      <c r="W677" s="150"/>
      <c r="X677" s="151"/>
      <c r="Y677" s="44"/>
      <c r="Z677" s="44"/>
      <c r="AA677" s="152"/>
      <c r="AB677" s="152"/>
      <c r="AC677" s="152"/>
      <c r="AD677" s="152"/>
      <c r="AE677" s="152"/>
      <c r="AF677" s="152"/>
      <c r="AG677" s="152"/>
      <c r="AH677" s="44"/>
      <c r="AI677" s="44"/>
      <c r="AJ677" s="44"/>
      <c r="AK677" s="44"/>
      <c r="AL677" s="44"/>
      <c r="AM677" s="44"/>
      <c r="AN677" s="44"/>
    </row>
    <row r="678" spans="1:40">
      <c r="A678" s="44"/>
      <c r="B678" s="44"/>
      <c r="C678" s="44"/>
      <c r="D678" s="44"/>
      <c r="E678" s="44"/>
      <c r="F678" s="43"/>
      <c r="G678" s="44"/>
      <c r="H678" s="45"/>
      <c r="I678" s="44"/>
      <c r="J678" s="44"/>
      <c r="K678" s="143"/>
      <c r="L678" s="144"/>
      <c r="M678" s="143"/>
      <c r="N678" s="143"/>
      <c r="O678" s="44"/>
      <c r="P678" s="44"/>
      <c r="Q678" s="45"/>
      <c r="R678" s="147"/>
      <c r="S678" s="147"/>
      <c r="T678" s="147"/>
      <c r="U678" s="148"/>
      <c r="V678" s="149"/>
      <c r="W678" s="150"/>
      <c r="X678" s="151"/>
      <c r="Y678" s="44"/>
      <c r="Z678" s="44"/>
      <c r="AA678" s="152"/>
      <c r="AB678" s="152"/>
      <c r="AC678" s="152"/>
      <c r="AD678" s="152"/>
      <c r="AE678" s="152"/>
      <c r="AF678" s="152"/>
      <c r="AG678" s="152"/>
      <c r="AH678" s="44"/>
      <c r="AI678" s="44"/>
      <c r="AJ678" s="44"/>
      <c r="AK678" s="44"/>
      <c r="AL678" s="44"/>
      <c r="AM678" s="44"/>
      <c r="AN678" s="44"/>
    </row>
    <row r="679" spans="1:40">
      <c r="A679" s="44"/>
      <c r="B679" s="44"/>
      <c r="C679" s="44"/>
      <c r="D679" s="44"/>
      <c r="E679" s="44"/>
      <c r="F679" s="43"/>
      <c r="G679" s="44"/>
      <c r="H679" s="45"/>
      <c r="I679" s="44"/>
      <c r="J679" s="44"/>
      <c r="K679" s="143"/>
      <c r="L679" s="144"/>
      <c r="M679" s="143"/>
      <c r="N679" s="143"/>
      <c r="O679" s="44"/>
      <c r="P679" s="44"/>
      <c r="Q679" s="45"/>
      <c r="R679" s="147"/>
      <c r="S679" s="147"/>
      <c r="T679" s="147"/>
      <c r="U679" s="148"/>
      <c r="V679" s="149"/>
      <c r="W679" s="150"/>
      <c r="X679" s="151"/>
      <c r="Y679" s="44"/>
      <c r="Z679" s="44"/>
      <c r="AA679" s="152"/>
      <c r="AB679" s="152"/>
      <c r="AC679" s="152"/>
      <c r="AD679" s="152"/>
      <c r="AE679" s="152"/>
      <c r="AF679" s="152"/>
      <c r="AG679" s="152"/>
      <c r="AH679" s="44"/>
      <c r="AI679" s="44"/>
      <c r="AJ679" s="44"/>
      <c r="AK679" s="44"/>
      <c r="AL679" s="44"/>
      <c r="AM679" s="44"/>
      <c r="AN679" s="44"/>
    </row>
    <row r="680" spans="1:40">
      <c r="A680" s="44"/>
      <c r="B680" s="44"/>
      <c r="C680" s="44"/>
      <c r="D680" s="44"/>
      <c r="E680" s="44"/>
      <c r="F680" s="43"/>
      <c r="G680" s="44"/>
      <c r="H680" s="45"/>
      <c r="I680" s="44"/>
      <c r="J680" s="44"/>
      <c r="K680" s="143"/>
      <c r="L680" s="144"/>
      <c r="M680" s="143"/>
      <c r="N680" s="143"/>
      <c r="O680" s="44"/>
      <c r="P680" s="44"/>
      <c r="Q680" s="45"/>
      <c r="R680" s="147"/>
      <c r="S680" s="147"/>
      <c r="T680" s="147"/>
      <c r="U680" s="148"/>
      <c r="V680" s="149"/>
      <c r="W680" s="150"/>
      <c r="X680" s="151"/>
      <c r="Y680" s="44"/>
      <c r="Z680" s="44"/>
      <c r="AA680" s="152"/>
      <c r="AB680" s="152"/>
      <c r="AC680" s="152"/>
      <c r="AD680" s="152"/>
      <c r="AE680" s="152"/>
      <c r="AF680" s="152"/>
      <c r="AG680" s="152"/>
      <c r="AH680" s="44"/>
      <c r="AI680" s="44"/>
      <c r="AJ680" s="44"/>
      <c r="AK680" s="44"/>
      <c r="AL680" s="44"/>
      <c r="AM680" s="44"/>
      <c r="AN680" s="44"/>
    </row>
    <row r="681" spans="1:40">
      <c r="A681" s="44"/>
      <c r="B681" s="44"/>
      <c r="C681" s="44"/>
      <c r="D681" s="44"/>
      <c r="E681" s="44"/>
      <c r="F681" s="43"/>
      <c r="G681" s="44"/>
      <c r="H681" s="45"/>
      <c r="I681" s="44"/>
      <c r="J681" s="44"/>
      <c r="K681" s="143"/>
      <c r="L681" s="144"/>
      <c r="M681" s="143"/>
      <c r="N681" s="143"/>
      <c r="O681" s="44"/>
      <c r="P681" s="44"/>
      <c r="Q681" s="45"/>
      <c r="R681" s="147"/>
      <c r="S681" s="147"/>
      <c r="T681" s="147"/>
      <c r="U681" s="148"/>
      <c r="V681" s="149"/>
      <c r="W681" s="150"/>
      <c r="X681" s="151"/>
      <c r="Y681" s="44"/>
      <c r="Z681" s="44"/>
      <c r="AA681" s="152"/>
      <c r="AB681" s="152"/>
      <c r="AC681" s="152"/>
      <c r="AD681" s="152"/>
      <c r="AE681" s="152"/>
      <c r="AF681" s="152"/>
      <c r="AG681" s="152"/>
      <c r="AH681" s="44"/>
      <c r="AI681" s="44"/>
      <c r="AJ681" s="44"/>
      <c r="AK681" s="44"/>
      <c r="AL681" s="44"/>
      <c r="AM681" s="44"/>
      <c r="AN681" s="44"/>
    </row>
    <row r="682" spans="1:40">
      <c r="A682" s="44"/>
      <c r="B682" s="44"/>
      <c r="C682" s="44"/>
      <c r="D682" s="44"/>
      <c r="E682" s="44"/>
      <c r="F682" s="43"/>
      <c r="G682" s="44"/>
      <c r="H682" s="45"/>
      <c r="I682" s="44"/>
      <c r="J682" s="44"/>
      <c r="K682" s="143"/>
      <c r="L682" s="144"/>
      <c r="M682" s="143"/>
      <c r="N682" s="143"/>
      <c r="O682" s="44"/>
      <c r="P682" s="44"/>
      <c r="Q682" s="45"/>
      <c r="R682" s="147"/>
      <c r="S682" s="147"/>
      <c r="T682" s="147"/>
      <c r="U682" s="148"/>
      <c r="V682" s="149"/>
      <c r="W682" s="150"/>
      <c r="X682" s="151"/>
      <c r="Y682" s="44"/>
      <c r="Z682" s="44"/>
      <c r="AA682" s="152"/>
      <c r="AB682" s="152"/>
      <c r="AC682" s="152"/>
      <c r="AD682" s="152"/>
      <c r="AE682" s="152"/>
      <c r="AF682" s="152"/>
      <c r="AG682" s="152"/>
      <c r="AH682" s="44"/>
      <c r="AI682" s="44"/>
      <c r="AJ682" s="44"/>
      <c r="AK682" s="44"/>
      <c r="AL682" s="44"/>
      <c r="AM682" s="44"/>
      <c r="AN682" s="44"/>
    </row>
    <row r="683" spans="1:40">
      <c r="A683" s="44"/>
      <c r="B683" s="44"/>
      <c r="C683" s="44"/>
      <c r="D683" s="44"/>
      <c r="E683" s="44"/>
      <c r="F683" s="43"/>
      <c r="G683" s="44"/>
      <c r="H683" s="45"/>
      <c r="I683" s="44"/>
      <c r="J683" s="44"/>
      <c r="K683" s="143"/>
      <c r="L683" s="144"/>
      <c r="M683" s="143"/>
      <c r="N683" s="143"/>
      <c r="O683" s="44"/>
      <c r="P683" s="44"/>
      <c r="Q683" s="45"/>
      <c r="R683" s="147"/>
      <c r="S683" s="147"/>
      <c r="T683" s="147"/>
      <c r="U683" s="148"/>
      <c r="V683" s="149"/>
      <c r="W683" s="150"/>
      <c r="X683" s="151"/>
      <c r="Y683" s="44"/>
      <c r="Z683" s="44"/>
      <c r="AA683" s="152"/>
      <c r="AB683" s="152"/>
      <c r="AC683" s="152"/>
      <c r="AD683" s="152"/>
      <c r="AE683" s="152"/>
      <c r="AF683" s="152"/>
      <c r="AG683" s="152"/>
      <c r="AH683" s="44"/>
      <c r="AI683" s="44"/>
      <c r="AJ683" s="44"/>
      <c r="AK683" s="44"/>
      <c r="AL683" s="44"/>
      <c r="AM683" s="44"/>
      <c r="AN683" s="44"/>
    </row>
    <row r="684" spans="1:40">
      <c r="A684" s="44"/>
      <c r="B684" s="44"/>
      <c r="C684" s="44"/>
      <c r="D684" s="44"/>
      <c r="E684" s="44"/>
      <c r="F684" s="43"/>
      <c r="G684" s="44"/>
      <c r="H684" s="45"/>
      <c r="I684" s="44"/>
      <c r="J684" s="44"/>
      <c r="K684" s="143"/>
      <c r="L684" s="144"/>
      <c r="M684" s="143"/>
      <c r="N684" s="143"/>
      <c r="O684" s="44"/>
      <c r="P684" s="44"/>
      <c r="Q684" s="45"/>
      <c r="R684" s="147"/>
      <c r="S684" s="147"/>
      <c r="T684" s="147"/>
      <c r="U684" s="148"/>
      <c r="V684" s="149"/>
      <c r="W684" s="150"/>
      <c r="X684" s="151"/>
      <c r="Y684" s="44"/>
      <c r="Z684" s="44"/>
      <c r="AA684" s="152"/>
      <c r="AB684" s="152"/>
      <c r="AC684" s="152"/>
      <c r="AD684" s="152"/>
      <c r="AE684" s="152"/>
      <c r="AF684" s="152"/>
      <c r="AG684" s="152"/>
      <c r="AH684" s="44"/>
      <c r="AI684" s="44"/>
      <c r="AJ684" s="44"/>
      <c r="AK684" s="44"/>
      <c r="AL684" s="44"/>
      <c r="AM684" s="44"/>
      <c r="AN684" s="44"/>
    </row>
    <row r="685" spans="1:40">
      <c r="A685" s="44"/>
      <c r="B685" s="44"/>
      <c r="C685" s="44"/>
      <c r="D685" s="44"/>
      <c r="E685" s="44"/>
      <c r="F685" s="43"/>
      <c r="G685" s="44"/>
      <c r="H685" s="45"/>
      <c r="I685" s="44"/>
      <c r="J685" s="44"/>
      <c r="K685" s="143"/>
      <c r="L685" s="144"/>
      <c r="M685" s="143"/>
      <c r="N685" s="143"/>
      <c r="O685" s="44"/>
      <c r="P685" s="44"/>
      <c r="Q685" s="45"/>
      <c r="R685" s="147"/>
      <c r="S685" s="147"/>
      <c r="T685" s="147"/>
      <c r="U685" s="148"/>
      <c r="V685" s="149"/>
      <c r="W685" s="150"/>
      <c r="X685" s="151"/>
      <c r="Y685" s="44"/>
      <c r="Z685" s="44"/>
      <c r="AA685" s="152"/>
      <c r="AB685" s="152"/>
      <c r="AC685" s="152"/>
      <c r="AD685" s="152"/>
      <c r="AE685" s="152"/>
      <c r="AF685" s="152"/>
      <c r="AG685" s="152"/>
      <c r="AH685" s="44"/>
      <c r="AI685" s="44"/>
      <c r="AJ685" s="44"/>
      <c r="AK685" s="44"/>
      <c r="AL685" s="44"/>
      <c r="AM685" s="44"/>
      <c r="AN685" s="44"/>
    </row>
    <row r="686" spans="1:40">
      <c r="A686" s="44"/>
      <c r="B686" s="44"/>
      <c r="C686" s="44"/>
      <c r="D686" s="44"/>
      <c r="E686" s="44"/>
      <c r="F686" s="43"/>
      <c r="G686" s="44"/>
      <c r="H686" s="45"/>
      <c r="I686" s="44"/>
      <c r="J686" s="44"/>
      <c r="K686" s="143"/>
      <c r="L686" s="144"/>
      <c r="M686" s="143"/>
      <c r="N686" s="143"/>
      <c r="O686" s="44"/>
      <c r="P686" s="44"/>
      <c r="Q686" s="45"/>
      <c r="R686" s="147"/>
      <c r="S686" s="147"/>
      <c r="T686" s="147"/>
      <c r="U686" s="148"/>
      <c r="V686" s="149"/>
      <c r="W686" s="150"/>
      <c r="X686" s="151"/>
      <c r="Y686" s="44"/>
      <c r="Z686" s="44"/>
      <c r="AA686" s="152"/>
      <c r="AB686" s="152"/>
      <c r="AC686" s="152"/>
      <c r="AD686" s="152"/>
      <c r="AE686" s="152"/>
      <c r="AF686" s="152"/>
      <c r="AG686" s="152"/>
      <c r="AH686" s="44"/>
      <c r="AI686" s="44"/>
      <c r="AJ686" s="44"/>
      <c r="AK686" s="44"/>
      <c r="AL686" s="44"/>
      <c r="AM686" s="44"/>
      <c r="AN686" s="44"/>
    </row>
    <row r="687" spans="1:40">
      <c r="A687" s="44"/>
      <c r="B687" s="44"/>
      <c r="C687" s="44"/>
      <c r="D687" s="44"/>
      <c r="E687" s="44"/>
      <c r="F687" s="43"/>
      <c r="G687" s="44"/>
      <c r="H687" s="45"/>
      <c r="I687" s="44"/>
      <c r="J687" s="44"/>
      <c r="K687" s="143"/>
      <c r="L687" s="144"/>
      <c r="M687" s="143"/>
      <c r="N687" s="143"/>
      <c r="O687" s="44"/>
      <c r="P687" s="44"/>
      <c r="Q687" s="45"/>
      <c r="R687" s="147"/>
      <c r="S687" s="147"/>
      <c r="T687" s="147"/>
      <c r="U687" s="148"/>
      <c r="V687" s="149"/>
      <c r="W687" s="150"/>
      <c r="X687" s="151"/>
      <c r="Y687" s="44"/>
      <c r="Z687" s="44"/>
      <c r="AA687" s="152"/>
      <c r="AB687" s="152"/>
      <c r="AC687" s="152"/>
      <c r="AD687" s="152"/>
      <c r="AE687" s="152"/>
      <c r="AF687" s="152"/>
      <c r="AG687" s="152"/>
      <c r="AH687" s="44"/>
      <c r="AI687" s="44"/>
      <c r="AJ687" s="44"/>
      <c r="AK687" s="44"/>
      <c r="AL687" s="44"/>
      <c r="AM687" s="44"/>
      <c r="AN687" s="44"/>
    </row>
    <row r="688" spans="1:40">
      <c r="A688" s="44"/>
      <c r="B688" s="44"/>
      <c r="C688" s="44"/>
      <c r="D688" s="44"/>
      <c r="E688" s="44"/>
      <c r="F688" s="43"/>
      <c r="G688" s="44"/>
      <c r="H688" s="45"/>
      <c r="I688" s="44"/>
      <c r="J688" s="44"/>
      <c r="K688" s="143"/>
      <c r="L688" s="144"/>
      <c r="M688" s="143"/>
      <c r="N688" s="143"/>
      <c r="O688" s="44"/>
      <c r="P688" s="44"/>
      <c r="Q688" s="45"/>
      <c r="R688" s="147"/>
      <c r="S688" s="147"/>
      <c r="T688" s="147"/>
      <c r="U688" s="148"/>
      <c r="V688" s="149"/>
      <c r="W688" s="150"/>
      <c r="X688" s="151"/>
      <c r="Y688" s="44"/>
      <c r="Z688" s="44"/>
      <c r="AA688" s="152"/>
      <c r="AB688" s="152"/>
      <c r="AC688" s="152"/>
      <c r="AD688" s="152"/>
      <c r="AE688" s="152"/>
      <c r="AF688" s="152"/>
      <c r="AG688" s="152"/>
      <c r="AH688" s="44"/>
      <c r="AI688" s="44"/>
      <c r="AJ688" s="44"/>
      <c r="AK688" s="44"/>
      <c r="AL688" s="44"/>
      <c r="AM688" s="44"/>
      <c r="AN688" s="44"/>
    </row>
    <row r="689" spans="1:40">
      <c r="A689" s="44"/>
      <c r="B689" s="44"/>
      <c r="C689" s="44"/>
      <c r="D689" s="44"/>
      <c r="E689" s="44"/>
      <c r="F689" s="43"/>
      <c r="G689" s="44"/>
      <c r="H689" s="45"/>
      <c r="I689" s="44"/>
      <c r="J689" s="44"/>
      <c r="K689" s="143"/>
      <c r="L689" s="144"/>
      <c r="M689" s="143"/>
      <c r="N689" s="143"/>
      <c r="O689" s="44"/>
      <c r="P689" s="44"/>
      <c r="Q689" s="45"/>
      <c r="R689" s="147"/>
      <c r="S689" s="147"/>
      <c r="T689" s="147"/>
      <c r="U689" s="148"/>
      <c r="V689" s="149"/>
      <c r="W689" s="150"/>
      <c r="X689" s="151"/>
      <c r="Y689" s="44"/>
      <c r="Z689" s="44"/>
      <c r="AA689" s="152"/>
      <c r="AB689" s="152"/>
      <c r="AC689" s="152"/>
      <c r="AD689" s="152"/>
      <c r="AE689" s="152"/>
      <c r="AF689" s="152"/>
      <c r="AG689" s="152"/>
      <c r="AH689" s="44"/>
      <c r="AI689" s="44"/>
      <c r="AJ689" s="44"/>
      <c r="AK689" s="44"/>
      <c r="AL689" s="44"/>
      <c r="AM689" s="44"/>
      <c r="AN689" s="44"/>
    </row>
    <row r="690" spans="1:40">
      <c r="A690" s="44"/>
      <c r="B690" s="44"/>
      <c r="C690" s="44"/>
      <c r="D690" s="44"/>
      <c r="E690" s="44"/>
      <c r="F690" s="43"/>
      <c r="G690" s="44"/>
      <c r="H690" s="45"/>
      <c r="I690" s="44"/>
      <c r="J690" s="44"/>
      <c r="K690" s="143"/>
      <c r="L690" s="144"/>
      <c r="M690" s="143"/>
      <c r="N690" s="143"/>
      <c r="O690" s="44"/>
      <c r="P690" s="44"/>
      <c r="Q690" s="45"/>
      <c r="R690" s="147"/>
      <c r="S690" s="147"/>
      <c r="T690" s="147"/>
      <c r="U690" s="148"/>
      <c r="V690" s="149"/>
      <c r="W690" s="150"/>
      <c r="X690" s="151"/>
      <c r="Y690" s="44"/>
      <c r="Z690" s="44"/>
      <c r="AA690" s="152"/>
      <c r="AB690" s="152"/>
      <c r="AC690" s="152"/>
      <c r="AD690" s="152"/>
      <c r="AE690" s="152"/>
      <c r="AF690" s="152"/>
      <c r="AG690" s="152"/>
      <c r="AH690" s="44"/>
      <c r="AI690" s="44"/>
      <c r="AJ690" s="44"/>
      <c r="AK690" s="44"/>
      <c r="AL690" s="44"/>
      <c r="AM690" s="44"/>
      <c r="AN690" s="44"/>
    </row>
    <row r="691" spans="1:40">
      <c r="A691" s="44"/>
      <c r="B691" s="44"/>
      <c r="C691" s="44"/>
      <c r="D691" s="44"/>
      <c r="E691" s="44"/>
      <c r="F691" s="43"/>
      <c r="G691" s="44"/>
      <c r="H691" s="45"/>
      <c r="I691" s="44"/>
      <c r="J691" s="44"/>
      <c r="K691" s="143"/>
      <c r="L691" s="144"/>
      <c r="M691" s="143"/>
      <c r="N691" s="143"/>
      <c r="O691" s="44"/>
      <c r="P691" s="44"/>
      <c r="Q691" s="45"/>
      <c r="R691" s="147"/>
      <c r="S691" s="147"/>
      <c r="T691" s="147"/>
      <c r="U691" s="148"/>
      <c r="V691" s="149"/>
      <c r="W691" s="150"/>
      <c r="X691" s="151"/>
      <c r="Y691" s="44"/>
      <c r="Z691" s="44"/>
      <c r="AA691" s="152"/>
      <c r="AB691" s="152"/>
      <c r="AC691" s="152"/>
      <c r="AD691" s="152"/>
      <c r="AE691" s="152"/>
      <c r="AF691" s="152"/>
      <c r="AG691" s="152"/>
      <c r="AH691" s="44"/>
      <c r="AI691" s="44"/>
      <c r="AJ691" s="44"/>
      <c r="AK691" s="44"/>
      <c r="AL691" s="44"/>
      <c r="AM691" s="44"/>
      <c r="AN691" s="44"/>
    </row>
    <row r="692" spans="1:40">
      <c r="A692" s="44"/>
      <c r="B692" s="44"/>
      <c r="C692" s="44"/>
      <c r="D692" s="44"/>
      <c r="E692" s="44"/>
      <c r="F692" s="43"/>
      <c r="G692" s="44"/>
      <c r="H692" s="45"/>
      <c r="I692" s="44"/>
      <c r="J692" s="44"/>
      <c r="K692" s="143"/>
      <c r="L692" s="144"/>
      <c r="M692" s="143"/>
      <c r="N692" s="143"/>
      <c r="O692" s="44"/>
      <c r="P692" s="44"/>
      <c r="Q692" s="45"/>
      <c r="R692" s="147"/>
      <c r="S692" s="147"/>
      <c r="T692" s="147"/>
      <c r="U692" s="148"/>
      <c r="V692" s="149"/>
      <c r="W692" s="150"/>
      <c r="X692" s="151"/>
      <c r="Y692" s="44"/>
      <c r="Z692" s="44"/>
      <c r="AA692" s="152"/>
      <c r="AB692" s="152"/>
      <c r="AC692" s="152"/>
      <c r="AD692" s="152"/>
      <c r="AE692" s="152"/>
      <c r="AF692" s="152"/>
      <c r="AG692" s="152"/>
      <c r="AH692" s="44"/>
      <c r="AI692" s="44"/>
      <c r="AJ692" s="44"/>
      <c r="AK692" s="44"/>
      <c r="AL692" s="44"/>
      <c r="AM692" s="44"/>
      <c r="AN692" s="44"/>
    </row>
    <row r="693" spans="1:40">
      <c r="A693" s="44"/>
      <c r="B693" s="44"/>
      <c r="C693" s="44"/>
      <c r="D693" s="44"/>
      <c r="E693" s="44"/>
      <c r="F693" s="43"/>
      <c r="G693" s="44"/>
      <c r="H693" s="45"/>
      <c r="I693" s="44"/>
      <c r="J693" s="44"/>
      <c r="K693" s="143"/>
      <c r="L693" s="144"/>
      <c r="M693" s="143"/>
      <c r="N693" s="143"/>
      <c r="O693" s="44"/>
      <c r="P693" s="44"/>
      <c r="Q693" s="45"/>
      <c r="R693" s="147"/>
      <c r="S693" s="147"/>
      <c r="T693" s="147"/>
      <c r="U693" s="148"/>
      <c r="V693" s="149"/>
      <c r="W693" s="150"/>
      <c r="X693" s="151"/>
      <c r="Y693" s="44"/>
      <c r="Z693" s="44"/>
      <c r="AA693" s="152"/>
      <c r="AB693" s="152"/>
      <c r="AC693" s="152"/>
      <c r="AD693" s="152"/>
      <c r="AE693" s="152"/>
      <c r="AF693" s="152"/>
      <c r="AG693" s="152"/>
      <c r="AH693" s="44"/>
      <c r="AI693" s="44"/>
      <c r="AJ693" s="44"/>
      <c r="AK693" s="44"/>
      <c r="AL693" s="44"/>
      <c r="AM693" s="44"/>
      <c r="AN693" s="44"/>
    </row>
    <row r="694" spans="1:40">
      <c r="A694" s="44"/>
      <c r="B694" s="44"/>
      <c r="C694" s="44"/>
      <c r="D694" s="44"/>
      <c r="E694" s="44"/>
      <c r="F694" s="43"/>
      <c r="G694" s="44"/>
      <c r="H694" s="45"/>
      <c r="I694" s="44"/>
      <c r="J694" s="44"/>
      <c r="K694" s="143"/>
      <c r="L694" s="144"/>
      <c r="M694" s="143"/>
      <c r="N694" s="143"/>
      <c r="O694" s="44"/>
      <c r="P694" s="44"/>
      <c r="Q694" s="45"/>
      <c r="R694" s="147"/>
      <c r="S694" s="147"/>
      <c r="T694" s="147"/>
      <c r="U694" s="148"/>
      <c r="V694" s="149"/>
      <c r="W694" s="150"/>
      <c r="X694" s="151"/>
      <c r="Y694" s="44"/>
      <c r="Z694" s="44"/>
      <c r="AA694" s="152"/>
      <c r="AB694" s="152"/>
      <c r="AC694" s="152"/>
      <c r="AD694" s="152"/>
      <c r="AE694" s="152"/>
      <c r="AF694" s="152"/>
      <c r="AG694" s="152"/>
      <c r="AH694" s="44"/>
      <c r="AI694" s="44"/>
      <c r="AJ694" s="44"/>
      <c r="AK694" s="44"/>
      <c r="AL694" s="44"/>
      <c r="AM694" s="44"/>
      <c r="AN694" s="44"/>
    </row>
    <row r="695" spans="1:40">
      <c r="A695" s="44"/>
      <c r="B695" s="44"/>
      <c r="C695" s="44"/>
      <c r="D695" s="44"/>
      <c r="E695" s="44"/>
      <c r="F695" s="43"/>
      <c r="G695" s="44"/>
      <c r="H695" s="45"/>
      <c r="I695" s="44"/>
      <c r="J695" s="44"/>
      <c r="K695" s="143"/>
      <c r="L695" s="144"/>
      <c r="M695" s="143"/>
      <c r="N695" s="143"/>
      <c r="O695" s="44"/>
      <c r="P695" s="44"/>
      <c r="Q695" s="45"/>
      <c r="R695" s="147"/>
      <c r="S695" s="147"/>
      <c r="T695" s="147"/>
      <c r="U695" s="148"/>
      <c r="V695" s="149"/>
      <c r="W695" s="150"/>
      <c r="X695" s="151"/>
      <c r="Y695" s="44"/>
      <c r="Z695" s="44"/>
      <c r="AA695" s="152"/>
      <c r="AB695" s="152"/>
      <c r="AC695" s="152"/>
      <c r="AD695" s="152"/>
      <c r="AE695" s="152"/>
      <c r="AF695" s="152"/>
      <c r="AG695" s="152"/>
      <c r="AH695" s="44"/>
      <c r="AI695" s="44"/>
      <c r="AJ695" s="44"/>
      <c r="AK695" s="44"/>
      <c r="AL695" s="44"/>
      <c r="AM695" s="44"/>
      <c r="AN695" s="44"/>
    </row>
    <row r="696" spans="1:40">
      <c r="A696" s="44"/>
      <c r="B696" s="44"/>
      <c r="C696" s="44"/>
      <c r="D696" s="44"/>
      <c r="E696" s="44"/>
      <c r="F696" s="43"/>
      <c r="G696" s="44"/>
      <c r="H696" s="45"/>
      <c r="I696" s="44"/>
      <c r="J696" s="44"/>
      <c r="K696" s="143"/>
      <c r="L696" s="144"/>
      <c r="M696" s="143"/>
      <c r="N696" s="143"/>
      <c r="O696" s="44"/>
      <c r="P696" s="44"/>
      <c r="Q696" s="45"/>
      <c r="R696" s="147"/>
      <c r="S696" s="147"/>
      <c r="T696" s="147"/>
      <c r="U696" s="148"/>
      <c r="V696" s="149"/>
      <c r="W696" s="150"/>
      <c r="X696" s="151"/>
      <c r="Y696" s="44"/>
      <c r="Z696" s="44"/>
      <c r="AA696" s="152"/>
      <c r="AB696" s="152"/>
      <c r="AC696" s="152"/>
      <c r="AD696" s="152"/>
      <c r="AE696" s="152"/>
      <c r="AF696" s="152"/>
      <c r="AG696" s="152"/>
      <c r="AH696" s="44"/>
      <c r="AI696" s="44"/>
      <c r="AJ696" s="44"/>
      <c r="AK696" s="44"/>
      <c r="AL696" s="44"/>
      <c r="AM696" s="44"/>
      <c r="AN696" s="44"/>
    </row>
    <row r="697" spans="1:40">
      <c r="A697" s="44"/>
      <c r="B697" s="44"/>
      <c r="C697" s="44"/>
      <c r="D697" s="44"/>
      <c r="E697" s="44"/>
      <c r="F697" s="43"/>
      <c r="G697" s="44"/>
      <c r="H697" s="45"/>
      <c r="I697" s="44"/>
      <c r="J697" s="44"/>
      <c r="K697" s="143"/>
      <c r="L697" s="144"/>
      <c r="M697" s="143"/>
      <c r="N697" s="143"/>
      <c r="O697" s="44"/>
      <c r="P697" s="44"/>
      <c r="Q697" s="45"/>
      <c r="R697" s="147"/>
      <c r="S697" s="147"/>
      <c r="T697" s="147"/>
      <c r="U697" s="148"/>
      <c r="V697" s="149"/>
      <c r="W697" s="150"/>
      <c r="X697" s="151"/>
      <c r="Y697" s="44"/>
      <c r="Z697" s="44"/>
      <c r="AA697" s="152"/>
      <c r="AB697" s="152"/>
      <c r="AC697" s="152"/>
      <c r="AD697" s="152"/>
      <c r="AE697" s="152"/>
      <c r="AF697" s="152"/>
      <c r="AG697" s="152"/>
      <c r="AH697" s="44"/>
      <c r="AI697" s="44"/>
      <c r="AJ697" s="44"/>
      <c r="AK697" s="44"/>
      <c r="AL697" s="44"/>
      <c r="AM697" s="44"/>
      <c r="AN697" s="44"/>
    </row>
    <row r="698" spans="1:40">
      <c r="A698" s="44"/>
      <c r="B698" s="44"/>
      <c r="C698" s="44"/>
      <c r="D698" s="44"/>
      <c r="E698" s="44"/>
      <c r="F698" s="43"/>
      <c r="G698" s="44"/>
      <c r="H698" s="45"/>
      <c r="I698" s="44"/>
      <c r="J698" s="44"/>
      <c r="K698" s="143"/>
      <c r="L698" s="144"/>
      <c r="M698" s="143"/>
      <c r="N698" s="143"/>
      <c r="O698" s="44"/>
      <c r="P698" s="44"/>
      <c r="Q698" s="45"/>
      <c r="R698" s="147"/>
      <c r="S698" s="147"/>
      <c r="T698" s="147"/>
      <c r="U698" s="148"/>
      <c r="V698" s="149"/>
      <c r="W698" s="150"/>
      <c r="X698" s="151"/>
      <c r="Y698" s="44"/>
      <c r="Z698" s="44"/>
      <c r="AA698" s="152"/>
      <c r="AB698" s="152"/>
      <c r="AC698" s="152"/>
      <c r="AD698" s="152"/>
      <c r="AE698" s="152"/>
      <c r="AF698" s="152"/>
      <c r="AG698" s="152"/>
      <c r="AH698" s="44"/>
      <c r="AI698" s="44"/>
      <c r="AJ698" s="44"/>
      <c r="AK698" s="44"/>
      <c r="AL698" s="44"/>
      <c r="AM698" s="44"/>
      <c r="AN698" s="44"/>
    </row>
    <row r="699" spans="1:40">
      <c r="A699" s="44"/>
      <c r="B699" s="44"/>
      <c r="C699" s="44"/>
      <c r="D699" s="44"/>
      <c r="E699" s="44"/>
      <c r="F699" s="43"/>
      <c r="G699" s="44"/>
      <c r="H699" s="45"/>
      <c r="I699" s="44"/>
      <c r="J699" s="44"/>
      <c r="K699" s="143"/>
      <c r="L699" s="144"/>
      <c r="M699" s="143"/>
      <c r="N699" s="143"/>
      <c r="O699" s="44"/>
      <c r="P699" s="44"/>
      <c r="Q699" s="45"/>
      <c r="R699" s="147"/>
      <c r="S699" s="147"/>
      <c r="T699" s="147"/>
      <c r="U699" s="148"/>
      <c r="V699" s="149"/>
      <c r="W699" s="150"/>
      <c r="X699" s="151"/>
      <c r="Y699" s="44"/>
      <c r="Z699" s="44"/>
      <c r="AA699" s="152"/>
      <c r="AB699" s="152"/>
      <c r="AC699" s="152"/>
      <c r="AD699" s="152"/>
      <c r="AE699" s="152"/>
      <c r="AF699" s="152"/>
      <c r="AG699" s="152"/>
      <c r="AH699" s="44"/>
      <c r="AI699" s="44"/>
      <c r="AJ699" s="44"/>
      <c r="AK699" s="44"/>
      <c r="AL699" s="44"/>
      <c r="AM699" s="44"/>
      <c r="AN699" s="44"/>
    </row>
    <row r="700" spans="1:40">
      <c r="A700" s="44"/>
      <c r="B700" s="44"/>
      <c r="C700" s="44"/>
      <c r="D700" s="44"/>
      <c r="E700" s="44"/>
      <c r="F700" s="43"/>
      <c r="G700" s="44"/>
      <c r="H700" s="45"/>
      <c r="I700" s="44"/>
      <c r="J700" s="44"/>
      <c r="K700" s="143"/>
      <c r="L700" s="144"/>
      <c r="M700" s="143"/>
      <c r="N700" s="143"/>
      <c r="O700" s="44"/>
      <c r="P700" s="44"/>
      <c r="Q700" s="45"/>
      <c r="R700" s="147"/>
      <c r="S700" s="147"/>
      <c r="T700" s="147"/>
      <c r="U700" s="148"/>
      <c r="V700" s="149"/>
      <c r="W700" s="150"/>
      <c r="X700" s="151"/>
      <c r="Y700" s="44"/>
      <c r="Z700" s="44"/>
      <c r="AA700" s="152"/>
      <c r="AB700" s="152"/>
      <c r="AC700" s="152"/>
      <c r="AD700" s="152"/>
      <c r="AE700" s="152"/>
      <c r="AF700" s="152"/>
      <c r="AG700" s="152"/>
      <c r="AH700" s="44"/>
      <c r="AI700" s="44"/>
      <c r="AJ700" s="44"/>
      <c r="AK700" s="44"/>
      <c r="AL700" s="44"/>
      <c r="AM700" s="44"/>
      <c r="AN700" s="44"/>
    </row>
    <row r="701" spans="1:40">
      <c r="A701" s="44"/>
      <c r="B701" s="44"/>
      <c r="C701" s="44"/>
      <c r="D701" s="44"/>
      <c r="E701" s="44"/>
      <c r="F701" s="43"/>
      <c r="G701" s="44"/>
      <c r="H701" s="45"/>
      <c r="I701" s="44"/>
      <c r="J701" s="44"/>
      <c r="K701" s="143"/>
      <c r="L701" s="144"/>
      <c r="M701" s="143"/>
      <c r="N701" s="143"/>
      <c r="O701" s="44"/>
      <c r="P701" s="44"/>
      <c r="Q701" s="45"/>
      <c r="R701" s="147"/>
      <c r="S701" s="147"/>
      <c r="T701" s="147"/>
      <c r="U701" s="148"/>
      <c r="V701" s="149"/>
      <c r="W701" s="150"/>
      <c r="X701" s="151"/>
      <c r="Y701" s="44"/>
      <c r="Z701" s="44"/>
      <c r="AA701" s="152"/>
      <c r="AB701" s="152"/>
      <c r="AC701" s="152"/>
      <c r="AD701" s="152"/>
      <c r="AE701" s="152"/>
      <c r="AF701" s="152"/>
      <c r="AG701" s="152"/>
      <c r="AH701" s="44"/>
      <c r="AI701" s="44"/>
      <c r="AJ701" s="44"/>
      <c r="AK701" s="44"/>
      <c r="AL701" s="44"/>
      <c r="AM701" s="44"/>
      <c r="AN701" s="44"/>
    </row>
    <row r="702" spans="1:40">
      <c r="A702" s="44"/>
      <c r="B702" s="44"/>
      <c r="C702" s="44"/>
      <c r="D702" s="44"/>
      <c r="E702" s="44"/>
      <c r="F702" s="43"/>
      <c r="G702" s="44"/>
      <c r="H702" s="45"/>
      <c r="I702" s="44"/>
      <c r="J702" s="44"/>
      <c r="K702" s="143"/>
      <c r="L702" s="144"/>
      <c r="M702" s="143"/>
      <c r="N702" s="143"/>
      <c r="O702" s="44"/>
      <c r="P702" s="44"/>
      <c r="Q702" s="45"/>
      <c r="R702" s="147"/>
      <c r="S702" s="147"/>
      <c r="T702" s="147"/>
      <c r="U702" s="148"/>
      <c r="V702" s="149"/>
      <c r="W702" s="150"/>
      <c r="X702" s="151"/>
      <c r="Y702" s="44"/>
      <c r="Z702" s="44"/>
      <c r="AA702" s="152"/>
      <c r="AB702" s="152"/>
      <c r="AC702" s="152"/>
      <c r="AD702" s="152"/>
      <c r="AE702" s="152"/>
      <c r="AF702" s="152"/>
      <c r="AG702" s="152"/>
      <c r="AH702" s="44"/>
      <c r="AI702" s="44"/>
      <c r="AJ702" s="44"/>
      <c r="AK702" s="44"/>
      <c r="AL702" s="44"/>
      <c r="AM702" s="44"/>
      <c r="AN702" s="44"/>
    </row>
    <row r="703" spans="1:40">
      <c r="A703" s="44"/>
      <c r="B703" s="44"/>
      <c r="C703" s="44"/>
      <c r="D703" s="44"/>
      <c r="E703" s="44"/>
      <c r="F703" s="43"/>
      <c r="G703" s="44"/>
      <c r="H703" s="45"/>
      <c r="I703" s="44"/>
      <c r="J703" s="44"/>
      <c r="K703" s="143"/>
      <c r="L703" s="144"/>
      <c r="M703" s="143"/>
      <c r="N703" s="143"/>
      <c r="O703" s="44"/>
      <c r="P703" s="44"/>
      <c r="Q703" s="45"/>
      <c r="R703" s="147"/>
      <c r="S703" s="147"/>
      <c r="T703" s="147"/>
      <c r="U703" s="148"/>
      <c r="V703" s="149"/>
      <c r="W703" s="150"/>
      <c r="X703" s="151"/>
      <c r="Y703" s="44"/>
      <c r="Z703" s="44"/>
      <c r="AA703" s="152"/>
      <c r="AB703" s="152"/>
      <c r="AC703" s="152"/>
      <c r="AD703" s="152"/>
      <c r="AE703" s="152"/>
      <c r="AF703" s="152"/>
      <c r="AG703" s="152"/>
      <c r="AH703" s="44"/>
      <c r="AI703" s="44"/>
      <c r="AJ703" s="44"/>
      <c r="AK703" s="44"/>
      <c r="AL703" s="44"/>
      <c r="AM703" s="44"/>
      <c r="AN703" s="44"/>
    </row>
    <row r="704" spans="1:40">
      <c r="A704" s="44"/>
      <c r="B704" s="44"/>
      <c r="C704" s="44"/>
      <c r="D704" s="44"/>
      <c r="E704" s="44"/>
      <c r="F704" s="43"/>
      <c r="G704" s="44"/>
      <c r="H704" s="45"/>
      <c r="I704" s="44"/>
      <c r="J704" s="44"/>
      <c r="K704" s="143"/>
      <c r="L704" s="144"/>
      <c r="M704" s="143"/>
      <c r="N704" s="143"/>
      <c r="O704" s="44"/>
      <c r="P704" s="44"/>
      <c r="Q704" s="45"/>
      <c r="R704" s="147"/>
      <c r="S704" s="147"/>
      <c r="T704" s="147"/>
      <c r="U704" s="148"/>
      <c r="V704" s="149"/>
      <c r="W704" s="150"/>
      <c r="X704" s="151"/>
      <c r="Y704" s="44"/>
      <c r="Z704" s="44"/>
      <c r="AA704" s="152"/>
      <c r="AB704" s="152"/>
      <c r="AC704" s="152"/>
      <c r="AD704" s="152"/>
      <c r="AE704" s="152"/>
      <c r="AF704" s="152"/>
      <c r="AG704" s="152"/>
      <c r="AH704" s="44"/>
      <c r="AI704" s="44"/>
      <c r="AJ704" s="44"/>
      <c r="AK704" s="44"/>
      <c r="AL704" s="44"/>
      <c r="AM704" s="44"/>
      <c r="AN704" s="44"/>
    </row>
    <row r="705" spans="1:40">
      <c r="A705" s="44"/>
      <c r="B705" s="44"/>
      <c r="C705" s="44"/>
      <c r="D705" s="44"/>
      <c r="E705" s="44"/>
      <c r="F705" s="43"/>
      <c r="G705" s="44"/>
      <c r="H705" s="45"/>
      <c r="I705" s="44"/>
      <c r="J705" s="44"/>
      <c r="K705" s="143"/>
      <c r="L705" s="144"/>
      <c r="M705" s="143"/>
      <c r="N705" s="143"/>
      <c r="O705" s="44"/>
      <c r="P705" s="44"/>
      <c r="Q705" s="45"/>
      <c r="R705" s="147"/>
      <c r="S705" s="147"/>
      <c r="T705" s="147"/>
      <c r="U705" s="148"/>
      <c r="V705" s="149"/>
      <c r="W705" s="150"/>
      <c r="X705" s="151"/>
      <c r="Y705" s="44"/>
      <c r="Z705" s="44"/>
      <c r="AA705" s="152"/>
      <c r="AB705" s="152"/>
      <c r="AC705" s="152"/>
      <c r="AD705" s="152"/>
      <c r="AE705" s="152"/>
      <c r="AF705" s="152"/>
      <c r="AG705" s="152"/>
      <c r="AH705" s="44"/>
      <c r="AI705" s="44"/>
      <c r="AJ705" s="44"/>
      <c r="AK705" s="44"/>
      <c r="AL705" s="44"/>
      <c r="AM705" s="44"/>
      <c r="AN705" s="44"/>
    </row>
    <row r="706" spans="1:40">
      <c r="A706" s="44"/>
      <c r="B706" s="44"/>
      <c r="C706" s="44"/>
      <c r="D706" s="44"/>
      <c r="E706" s="44"/>
      <c r="F706" s="43"/>
      <c r="G706" s="44"/>
      <c r="H706" s="45"/>
      <c r="I706" s="44"/>
      <c r="J706" s="44"/>
      <c r="K706" s="143"/>
      <c r="L706" s="144"/>
      <c r="M706" s="143"/>
      <c r="N706" s="143"/>
      <c r="O706" s="44"/>
      <c r="P706" s="44"/>
      <c r="Q706" s="45"/>
      <c r="R706" s="147"/>
      <c r="S706" s="147"/>
      <c r="T706" s="147"/>
      <c r="U706" s="148"/>
      <c r="V706" s="149"/>
      <c r="W706" s="150"/>
      <c r="X706" s="151"/>
      <c r="Y706" s="44"/>
      <c r="Z706" s="44"/>
      <c r="AA706" s="152"/>
      <c r="AB706" s="152"/>
      <c r="AC706" s="152"/>
      <c r="AD706" s="152"/>
      <c r="AE706" s="152"/>
      <c r="AF706" s="152"/>
      <c r="AG706" s="152"/>
      <c r="AH706" s="44"/>
      <c r="AI706" s="44"/>
      <c r="AJ706" s="44"/>
      <c r="AK706" s="44"/>
      <c r="AL706" s="44"/>
      <c r="AM706" s="44"/>
      <c r="AN706" s="44"/>
    </row>
    <row r="707" spans="1:40">
      <c r="A707" s="44"/>
      <c r="B707" s="44"/>
      <c r="C707" s="44"/>
      <c r="D707" s="44"/>
      <c r="E707" s="44"/>
      <c r="F707" s="43"/>
      <c r="G707" s="44"/>
      <c r="H707" s="45"/>
      <c r="I707" s="44"/>
      <c r="J707" s="44"/>
      <c r="K707" s="143"/>
      <c r="L707" s="144"/>
      <c r="M707" s="143"/>
      <c r="N707" s="143"/>
      <c r="O707" s="44"/>
      <c r="P707" s="44"/>
      <c r="Q707" s="45"/>
      <c r="R707" s="147"/>
      <c r="S707" s="147"/>
      <c r="T707" s="147"/>
      <c r="U707" s="148"/>
      <c r="V707" s="149"/>
      <c r="W707" s="150"/>
      <c r="X707" s="151"/>
      <c r="Y707" s="44"/>
      <c r="Z707" s="44"/>
      <c r="AA707" s="152"/>
      <c r="AB707" s="152"/>
      <c r="AC707" s="152"/>
      <c r="AD707" s="152"/>
      <c r="AE707" s="152"/>
      <c r="AF707" s="152"/>
      <c r="AG707" s="152"/>
      <c r="AH707" s="44"/>
      <c r="AI707" s="44"/>
      <c r="AJ707" s="44"/>
      <c r="AK707" s="44"/>
      <c r="AL707" s="44"/>
      <c r="AM707" s="44"/>
      <c r="AN707" s="44"/>
    </row>
    <row r="708" spans="1:40">
      <c r="A708" s="44"/>
      <c r="B708" s="44"/>
      <c r="C708" s="44"/>
      <c r="D708" s="44"/>
      <c r="E708" s="44"/>
      <c r="F708" s="43"/>
      <c r="G708" s="44"/>
      <c r="H708" s="45"/>
      <c r="I708" s="44"/>
      <c r="J708" s="44"/>
      <c r="K708" s="143"/>
      <c r="L708" s="144"/>
      <c r="M708" s="143"/>
      <c r="N708" s="143"/>
      <c r="O708" s="44"/>
      <c r="P708" s="44"/>
      <c r="Q708" s="45"/>
      <c r="R708" s="147"/>
      <c r="S708" s="147"/>
      <c r="T708" s="147"/>
      <c r="U708" s="148"/>
      <c r="V708" s="149"/>
      <c r="W708" s="150"/>
      <c r="X708" s="151"/>
      <c r="Y708" s="44"/>
      <c r="Z708" s="44"/>
      <c r="AA708" s="152"/>
      <c r="AB708" s="152"/>
      <c r="AC708" s="152"/>
      <c r="AD708" s="152"/>
      <c r="AE708" s="152"/>
      <c r="AF708" s="152"/>
      <c r="AG708" s="152"/>
      <c r="AH708" s="44"/>
      <c r="AI708" s="44"/>
      <c r="AJ708" s="44"/>
      <c r="AK708" s="44"/>
      <c r="AL708" s="44"/>
      <c r="AM708" s="44"/>
      <c r="AN708" s="44"/>
    </row>
    <row r="709" spans="1:40">
      <c r="A709" s="44"/>
      <c r="B709" s="44"/>
      <c r="C709" s="44"/>
      <c r="D709" s="44"/>
      <c r="E709" s="44"/>
      <c r="F709" s="43"/>
      <c r="G709" s="44"/>
      <c r="H709" s="45"/>
      <c r="I709" s="44"/>
      <c r="J709" s="44"/>
      <c r="K709" s="143"/>
      <c r="L709" s="144"/>
      <c r="M709" s="143"/>
      <c r="N709" s="143"/>
      <c r="O709" s="44"/>
      <c r="P709" s="44"/>
      <c r="Q709" s="45"/>
      <c r="R709" s="147"/>
      <c r="S709" s="147"/>
      <c r="T709" s="147"/>
      <c r="U709" s="148"/>
      <c r="V709" s="149"/>
      <c r="W709" s="150"/>
      <c r="X709" s="151"/>
      <c r="Y709" s="44"/>
      <c r="Z709" s="44"/>
      <c r="AA709" s="152"/>
      <c r="AB709" s="152"/>
      <c r="AC709" s="152"/>
      <c r="AD709" s="152"/>
      <c r="AE709" s="152"/>
      <c r="AF709" s="152"/>
      <c r="AG709" s="152"/>
      <c r="AH709" s="44"/>
      <c r="AI709" s="44"/>
      <c r="AJ709" s="44"/>
      <c r="AK709" s="44"/>
      <c r="AL709" s="44"/>
      <c r="AM709" s="44"/>
      <c r="AN709" s="44"/>
    </row>
    <row r="710" spans="1:40">
      <c r="A710" s="44"/>
      <c r="B710" s="44"/>
      <c r="C710" s="44"/>
      <c r="D710" s="44"/>
      <c r="E710" s="44"/>
      <c r="F710" s="43"/>
      <c r="G710" s="44"/>
      <c r="H710" s="45"/>
      <c r="I710" s="44"/>
      <c r="J710" s="44"/>
      <c r="K710" s="143"/>
      <c r="L710" s="144"/>
      <c r="M710" s="143"/>
      <c r="N710" s="143"/>
      <c r="O710" s="44"/>
      <c r="P710" s="44"/>
      <c r="Q710" s="45"/>
      <c r="R710" s="147"/>
      <c r="S710" s="147"/>
      <c r="T710" s="147"/>
      <c r="U710" s="148"/>
      <c r="V710" s="149"/>
      <c r="W710" s="150"/>
      <c r="X710" s="151"/>
      <c r="Y710" s="44"/>
      <c r="Z710" s="44"/>
      <c r="AA710" s="152"/>
      <c r="AB710" s="152"/>
      <c r="AC710" s="152"/>
      <c r="AD710" s="152"/>
      <c r="AE710" s="152"/>
      <c r="AF710" s="152"/>
      <c r="AG710" s="152"/>
      <c r="AH710" s="44"/>
      <c r="AI710" s="44"/>
      <c r="AJ710" s="44"/>
      <c r="AK710" s="44"/>
      <c r="AL710" s="44"/>
      <c r="AM710" s="44"/>
      <c r="AN710" s="44"/>
    </row>
    <row r="711" spans="1:40">
      <c r="A711" s="44"/>
      <c r="B711" s="44"/>
      <c r="C711" s="44"/>
      <c r="D711" s="44"/>
      <c r="E711" s="44"/>
      <c r="F711" s="43"/>
      <c r="G711" s="44"/>
      <c r="H711" s="45"/>
      <c r="I711" s="44"/>
      <c r="J711" s="44"/>
      <c r="K711" s="143"/>
      <c r="L711" s="144"/>
      <c r="M711" s="143"/>
      <c r="N711" s="143"/>
      <c r="O711" s="44"/>
      <c r="P711" s="44"/>
      <c r="Q711" s="45"/>
      <c r="R711" s="147"/>
      <c r="S711" s="147"/>
      <c r="T711" s="147"/>
      <c r="U711" s="148"/>
      <c r="V711" s="149"/>
      <c r="W711" s="150"/>
      <c r="X711" s="151"/>
      <c r="Y711" s="44"/>
      <c r="Z711" s="44"/>
      <c r="AA711" s="152"/>
      <c r="AB711" s="152"/>
      <c r="AC711" s="152"/>
      <c r="AD711" s="152"/>
      <c r="AE711" s="152"/>
      <c r="AF711" s="152"/>
      <c r="AG711" s="152"/>
      <c r="AH711" s="44"/>
      <c r="AI711" s="44"/>
      <c r="AJ711" s="44"/>
      <c r="AK711" s="44"/>
      <c r="AL711" s="44"/>
      <c r="AM711" s="44"/>
      <c r="AN711" s="44"/>
    </row>
    <row r="712" spans="1:40">
      <c r="A712" s="44"/>
      <c r="B712" s="44"/>
      <c r="C712" s="44"/>
      <c r="D712" s="44"/>
      <c r="E712" s="44"/>
      <c r="F712" s="43"/>
      <c r="G712" s="44"/>
      <c r="H712" s="45"/>
      <c r="I712" s="44"/>
      <c r="J712" s="44"/>
      <c r="K712" s="143"/>
      <c r="L712" s="144"/>
      <c r="M712" s="143"/>
      <c r="N712" s="143"/>
      <c r="O712" s="44"/>
      <c r="P712" s="44"/>
      <c r="Q712" s="45"/>
      <c r="R712" s="147"/>
      <c r="S712" s="147"/>
      <c r="T712" s="147"/>
      <c r="U712" s="148"/>
      <c r="V712" s="149"/>
      <c r="W712" s="150"/>
      <c r="X712" s="151"/>
      <c r="Y712" s="44"/>
      <c r="Z712" s="44"/>
      <c r="AA712" s="152"/>
      <c r="AB712" s="152"/>
      <c r="AC712" s="152"/>
      <c r="AD712" s="152"/>
      <c r="AE712" s="152"/>
      <c r="AF712" s="152"/>
      <c r="AG712" s="152"/>
      <c r="AH712" s="44"/>
      <c r="AI712" s="44"/>
      <c r="AJ712" s="44"/>
      <c r="AK712" s="44"/>
      <c r="AL712" s="44"/>
      <c r="AM712" s="44"/>
      <c r="AN712" s="44"/>
    </row>
    <row r="713" spans="1:40">
      <c r="A713" s="44"/>
      <c r="B713" s="44"/>
      <c r="C713" s="44"/>
      <c r="D713" s="44"/>
      <c r="E713" s="44"/>
      <c r="F713" s="43"/>
      <c r="G713" s="44"/>
      <c r="H713" s="45"/>
      <c r="I713" s="44"/>
      <c r="J713" s="44"/>
      <c r="K713" s="143"/>
      <c r="L713" s="144"/>
      <c r="M713" s="143"/>
      <c r="N713" s="143"/>
      <c r="O713" s="44"/>
      <c r="P713" s="44"/>
      <c r="Q713" s="45"/>
      <c r="R713" s="147"/>
      <c r="S713" s="147"/>
      <c r="T713" s="147"/>
      <c r="U713" s="148"/>
      <c r="V713" s="149"/>
      <c r="W713" s="150"/>
      <c r="X713" s="151"/>
      <c r="Y713" s="44"/>
      <c r="Z713" s="44"/>
      <c r="AA713" s="152"/>
      <c r="AB713" s="152"/>
      <c r="AC713" s="152"/>
      <c r="AD713" s="152"/>
      <c r="AE713" s="152"/>
      <c r="AF713" s="152"/>
      <c r="AG713" s="152"/>
      <c r="AH713" s="44"/>
      <c r="AI713" s="44"/>
      <c r="AJ713" s="44"/>
      <c r="AK713" s="44"/>
      <c r="AL713" s="44"/>
      <c r="AM713" s="44"/>
      <c r="AN713" s="44"/>
    </row>
    <row r="714" spans="1:40">
      <c r="A714" s="44"/>
      <c r="B714" s="44"/>
      <c r="C714" s="44"/>
      <c r="D714" s="44"/>
      <c r="E714" s="44"/>
      <c r="F714" s="43"/>
      <c r="G714" s="44"/>
      <c r="H714" s="45"/>
      <c r="I714" s="44"/>
      <c r="J714" s="44"/>
      <c r="K714" s="143"/>
      <c r="L714" s="144"/>
      <c r="M714" s="143"/>
      <c r="N714" s="143"/>
      <c r="O714" s="44"/>
      <c r="P714" s="44"/>
      <c r="Q714" s="45"/>
      <c r="R714" s="147"/>
      <c r="S714" s="147"/>
      <c r="T714" s="147"/>
      <c r="U714" s="148"/>
      <c r="V714" s="149"/>
      <c r="W714" s="150"/>
      <c r="X714" s="151"/>
      <c r="Y714" s="44"/>
      <c r="Z714" s="44"/>
      <c r="AA714" s="152"/>
      <c r="AB714" s="152"/>
      <c r="AC714" s="152"/>
      <c r="AD714" s="152"/>
      <c r="AE714" s="152"/>
      <c r="AF714" s="152"/>
      <c r="AG714" s="152"/>
      <c r="AH714" s="44"/>
      <c r="AI714" s="44"/>
      <c r="AJ714" s="44"/>
      <c r="AK714" s="44"/>
      <c r="AL714" s="44"/>
      <c r="AM714" s="44"/>
      <c r="AN714" s="44"/>
    </row>
    <row r="715" spans="1:40">
      <c r="A715" s="44"/>
      <c r="B715" s="44"/>
      <c r="C715" s="44"/>
      <c r="D715" s="44"/>
      <c r="E715" s="44"/>
      <c r="F715" s="43"/>
      <c r="G715" s="44"/>
      <c r="H715" s="45"/>
      <c r="I715" s="44"/>
      <c r="J715" s="44"/>
      <c r="K715" s="143"/>
      <c r="L715" s="144"/>
      <c r="M715" s="143"/>
      <c r="N715" s="143"/>
      <c r="O715" s="44"/>
      <c r="P715" s="44"/>
      <c r="Q715" s="45"/>
      <c r="R715" s="147"/>
      <c r="S715" s="147"/>
      <c r="T715" s="147"/>
      <c r="U715" s="148"/>
      <c r="V715" s="149"/>
      <c r="W715" s="150"/>
      <c r="X715" s="151"/>
      <c r="Y715" s="44"/>
      <c r="Z715" s="44"/>
      <c r="AA715" s="152"/>
      <c r="AB715" s="152"/>
      <c r="AC715" s="152"/>
      <c r="AD715" s="152"/>
      <c r="AE715" s="152"/>
      <c r="AF715" s="152"/>
      <c r="AG715" s="152"/>
      <c r="AH715" s="44"/>
      <c r="AI715" s="44"/>
      <c r="AJ715" s="44"/>
      <c r="AK715" s="44"/>
      <c r="AL715" s="44"/>
      <c r="AM715" s="44"/>
      <c r="AN715" s="44"/>
    </row>
    <row r="716" spans="1:40">
      <c r="A716" s="44"/>
      <c r="B716" s="44"/>
      <c r="C716" s="44"/>
      <c r="D716" s="44"/>
      <c r="E716" s="44"/>
      <c r="F716" s="43"/>
      <c r="G716" s="44"/>
      <c r="H716" s="45"/>
      <c r="I716" s="44"/>
      <c r="J716" s="44"/>
      <c r="K716" s="143"/>
      <c r="L716" s="144"/>
      <c r="M716" s="143"/>
      <c r="N716" s="143"/>
      <c r="O716" s="44"/>
      <c r="P716" s="44"/>
      <c r="Q716" s="45"/>
      <c r="R716" s="147"/>
      <c r="S716" s="147"/>
      <c r="T716" s="147"/>
      <c r="U716" s="148"/>
      <c r="V716" s="149"/>
      <c r="W716" s="150"/>
      <c r="X716" s="151"/>
      <c r="Y716" s="44"/>
      <c r="Z716" s="44"/>
      <c r="AA716" s="152"/>
      <c r="AB716" s="152"/>
      <c r="AC716" s="152"/>
      <c r="AD716" s="152"/>
      <c r="AE716" s="152"/>
      <c r="AF716" s="152"/>
      <c r="AG716" s="152"/>
      <c r="AH716" s="44"/>
      <c r="AI716" s="44"/>
      <c r="AJ716" s="44"/>
      <c r="AK716" s="44"/>
      <c r="AL716" s="44"/>
      <c r="AM716" s="44"/>
      <c r="AN716" s="44"/>
    </row>
    <row r="717" spans="1:40">
      <c r="A717" s="44"/>
      <c r="B717" s="44"/>
      <c r="C717" s="44"/>
      <c r="D717" s="44"/>
      <c r="E717" s="44"/>
      <c r="F717" s="43"/>
      <c r="G717" s="44"/>
      <c r="H717" s="45"/>
      <c r="I717" s="44"/>
      <c r="J717" s="44"/>
      <c r="K717" s="143"/>
      <c r="L717" s="144"/>
      <c r="M717" s="143"/>
      <c r="N717" s="143"/>
      <c r="O717" s="44"/>
      <c r="P717" s="44"/>
      <c r="Q717" s="45"/>
      <c r="R717" s="147"/>
      <c r="S717" s="147"/>
      <c r="T717" s="147"/>
      <c r="U717" s="148"/>
      <c r="V717" s="149"/>
      <c r="W717" s="150"/>
      <c r="X717" s="151"/>
      <c r="Y717" s="44"/>
      <c r="Z717" s="44"/>
      <c r="AA717" s="152"/>
      <c r="AB717" s="152"/>
      <c r="AC717" s="152"/>
      <c r="AD717" s="152"/>
      <c r="AE717" s="152"/>
      <c r="AF717" s="152"/>
      <c r="AG717" s="152"/>
      <c r="AH717" s="44"/>
      <c r="AI717" s="44"/>
      <c r="AJ717" s="44"/>
      <c r="AK717" s="44"/>
      <c r="AL717" s="44"/>
      <c r="AM717" s="44"/>
      <c r="AN717" s="44"/>
    </row>
    <row r="718" spans="1:40">
      <c r="A718" s="44"/>
      <c r="B718" s="44"/>
      <c r="C718" s="44"/>
      <c r="D718" s="44"/>
      <c r="E718" s="44"/>
      <c r="F718" s="43"/>
      <c r="G718" s="44"/>
      <c r="H718" s="45"/>
      <c r="I718" s="44"/>
      <c r="J718" s="44"/>
      <c r="K718" s="143"/>
      <c r="L718" s="144"/>
      <c r="M718" s="143"/>
      <c r="N718" s="143"/>
      <c r="O718" s="44"/>
      <c r="P718" s="44"/>
      <c r="Q718" s="45"/>
      <c r="R718" s="147"/>
      <c r="S718" s="147"/>
      <c r="T718" s="147"/>
      <c r="U718" s="148"/>
      <c r="V718" s="149"/>
      <c r="W718" s="150"/>
      <c r="X718" s="151"/>
      <c r="Y718" s="44"/>
      <c r="Z718" s="44"/>
      <c r="AA718" s="152"/>
      <c r="AB718" s="152"/>
      <c r="AC718" s="152"/>
      <c r="AD718" s="152"/>
      <c r="AE718" s="152"/>
      <c r="AF718" s="152"/>
      <c r="AG718" s="152"/>
      <c r="AH718" s="44"/>
      <c r="AI718" s="44"/>
      <c r="AJ718" s="44"/>
      <c r="AK718" s="44"/>
      <c r="AL718" s="44"/>
      <c r="AM718" s="44"/>
      <c r="AN718" s="44"/>
    </row>
    <row r="719" spans="1:40">
      <c r="A719" s="44"/>
      <c r="B719" s="44"/>
      <c r="C719" s="44"/>
      <c r="D719" s="44"/>
      <c r="E719" s="44"/>
      <c r="F719" s="43"/>
      <c r="G719" s="44"/>
      <c r="H719" s="45"/>
      <c r="I719" s="44"/>
      <c r="J719" s="44"/>
      <c r="K719" s="143"/>
      <c r="L719" s="144"/>
      <c r="M719" s="143"/>
      <c r="N719" s="143"/>
      <c r="O719" s="44"/>
      <c r="P719" s="44"/>
      <c r="Q719" s="45"/>
      <c r="R719" s="147"/>
      <c r="S719" s="147"/>
      <c r="T719" s="147"/>
      <c r="U719" s="148"/>
      <c r="V719" s="149"/>
      <c r="W719" s="150"/>
      <c r="X719" s="151"/>
      <c r="Y719" s="44"/>
      <c r="Z719" s="44"/>
      <c r="AA719" s="152"/>
      <c r="AB719" s="152"/>
      <c r="AC719" s="152"/>
      <c r="AD719" s="152"/>
      <c r="AE719" s="152"/>
      <c r="AF719" s="152"/>
      <c r="AG719" s="152"/>
      <c r="AH719" s="44"/>
      <c r="AI719" s="44"/>
      <c r="AJ719" s="44"/>
      <c r="AK719" s="44"/>
      <c r="AL719" s="44"/>
      <c r="AM719" s="44"/>
      <c r="AN719" s="44"/>
    </row>
    <row r="720" spans="1:40">
      <c r="A720" s="44"/>
      <c r="B720" s="44"/>
      <c r="C720" s="44"/>
      <c r="D720" s="44"/>
      <c r="E720" s="44"/>
      <c r="F720" s="43"/>
      <c r="G720" s="44"/>
      <c r="H720" s="45"/>
      <c r="I720" s="44"/>
      <c r="J720" s="44"/>
      <c r="K720" s="143"/>
      <c r="L720" s="144"/>
      <c r="M720" s="143"/>
      <c r="N720" s="143"/>
      <c r="O720" s="44"/>
      <c r="P720" s="44"/>
      <c r="Q720" s="45"/>
      <c r="R720" s="147"/>
      <c r="S720" s="147"/>
      <c r="T720" s="147"/>
      <c r="U720" s="148"/>
      <c r="V720" s="149"/>
      <c r="W720" s="150"/>
      <c r="X720" s="151"/>
      <c r="Y720" s="44"/>
      <c r="Z720" s="44"/>
      <c r="AA720" s="152"/>
      <c r="AB720" s="152"/>
      <c r="AC720" s="152"/>
      <c r="AD720" s="152"/>
      <c r="AE720" s="152"/>
      <c r="AF720" s="152"/>
      <c r="AG720" s="152"/>
      <c r="AH720" s="44"/>
      <c r="AI720" s="44"/>
      <c r="AJ720" s="44"/>
      <c r="AK720" s="44"/>
      <c r="AL720" s="44"/>
      <c r="AM720" s="44"/>
      <c r="AN720" s="44"/>
    </row>
    <row r="721" spans="1:40">
      <c r="A721" s="44"/>
      <c r="B721" s="44"/>
      <c r="C721" s="44"/>
      <c r="D721" s="44"/>
      <c r="E721" s="44"/>
      <c r="F721" s="43"/>
      <c r="G721" s="44"/>
      <c r="H721" s="45"/>
      <c r="I721" s="44"/>
      <c r="J721" s="44"/>
      <c r="K721" s="143"/>
      <c r="L721" s="144"/>
      <c r="M721" s="143"/>
      <c r="N721" s="143"/>
      <c r="O721" s="44"/>
      <c r="P721" s="44"/>
      <c r="Q721" s="45"/>
      <c r="R721" s="147"/>
      <c r="S721" s="147"/>
      <c r="T721" s="147"/>
      <c r="U721" s="148"/>
      <c r="V721" s="149"/>
      <c r="W721" s="150"/>
      <c r="X721" s="151"/>
      <c r="Y721" s="44"/>
      <c r="Z721" s="44"/>
      <c r="AA721" s="152"/>
      <c r="AB721" s="152"/>
      <c r="AC721" s="152"/>
      <c r="AD721" s="152"/>
      <c r="AE721" s="152"/>
      <c r="AF721" s="152"/>
      <c r="AG721" s="152"/>
      <c r="AH721" s="44"/>
      <c r="AI721" s="44"/>
      <c r="AJ721" s="44"/>
      <c r="AK721" s="44"/>
      <c r="AL721" s="44"/>
      <c r="AM721" s="44"/>
      <c r="AN721" s="44"/>
    </row>
    <row r="722" spans="1:40">
      <c r="A722" s="44"/>
      <c r="B722" s="44"/>
      <c r="C722" s="44"/>
      <c r="D722" s="44"/>
      <c r="E722" s="44"/>
      <c r="F722" s="43"/>
      <c r="G722" s="44"/>
      <c r="H722" s="45"/>
      <c r="I722" s="44"/>
      <c r="J722" s="44"/>
      <c r="K722" s="143"/>
      <c r="L722" s="144"/>
      <c r="M722" s="143"/>
      <c r="N722" s="143"/>
      <c r="O722" s="44"/>
      <c r="P722" s="44"/>
      <c r="Q722" s="45"/>
      <c r="R722" s="147"/>
      <c r="S722" s="147"/>
      <c r="T722" s="147"/>
      <c r="U722" s="148"/>
      <c r="V722" s="149"/>
      <c r="W722" s="150"/>
      <c r="X722" s="151"/>
      <c r="Y722" s="44"/>
      <c r="Z722" s="44"/>
      <c r="AA722" s="152"/>
      <c r="AB722" s="152"/>
      <c r="AC722" s="152"/>
      <c r="AD722" s="152"/>
      <c r="AE722" s="152"/>
      <c r="AF722" s="152"/>
      <c r="AG722" s="152"/>
      <c r="AH722" s="44"/>
      <c r="AI722" s="44"/>
      <c r="AJ722" s="44"/>
      <c r="AK722" s="44"/>
      <c r="AL722" s="44"/>
      <c r="AM722" s="44"/>
      <c r="AN722" s="44"/>
    </row>
    <row r="723" spans="1:40">
      <c r="A723" s="44"/>
      <c r="B723" s="44"/>
      <c r="C723" s="44"/>
      <c r="D723" s="44"/>
      <c r="E723" s="44"/>
      <c r="F723" s="43"/>
      <c r="G723" s="44"/>
      <c r="H723" s="45"/>
      <c r="I723" s="44"/>
      <c r="J723" s="44"/>
      <c r="K723" s="143"/>
      <c r="L723" s="144"/>
      <c r="M723" s="143"/>
      <c r="N723" s="143"/>
      <c r="O723" s="44"/>
      <c r="P723" s="44"/>
      <c r="Q723" s="45"/>
      <c r="R723" s="147"/>
      <c r="S723" s="147"/>
      <c r="T723" s="147"/>
      <c r="U723" s="148"/>
      <c r="V723" s="149"/>
      <c r="W723" s="150"/>
      <c r="X723" s="151"/>
      <c r="Y723" s="44"/>
      <c r="Z723" s="44"/>
      <c r="AA723" s="152"/>
      <c r="AB723" s="152"/>
      <c r="AC723" s="152"/>
      <c r="AD723" s="152"/>
      <c r="AE723" s="152"/>
      <c r="AF723" s="152"/>
      <c r="AG723" s="152"/>
      <c r="AH723" s="44"/>
      <c r="AI723" s="44"/>
      <c r="AJ723" s="44"/>
      <c r="AK723" s="44"/>
      <c r="AL723" s="44"/>
      <c r="AM723" s="44"/>
      <c r="AN723" s="44"/>
    </row>
    <row r="724" spans="1:40">
      <c r="A724" s="44"/>
      <c r="B724" s="44"/>
      <c r="C724" s="44"/>
      <c r="D724" s="44"/>
      <c r="E724" s="44"/>
      <c r="F724" s="43"/>
      <c r="G724" s="44"/>
      <c r="H724" s="45"/>
      <c r="I724" s="44"/>
      <c r="J724" s="44"/>
      <c r="K724" s="143"/>
      <c r="L724" s="144"/>
      <c r="M724" s="143"/>
      <c r="N724" s="143"/>
      <c r="O724" s="44"/>
      <c r="P724" s="44"/>
      <c r="Q724" s="45"/>
      <c r="R724" s="147"/>
      <c r="S724" s="147"/>
      <c r="T724" s="147"/>
      <c r="U724" s="148"/>
      <c r="V724" s="149"/>
      <c r="W724" s="150"/>
      <c r="X724" s="151"/>
      <c r="Y724" s="44"/>
      <c r="Z724" s="44"/>
      <c r="AA724" s="152"/>
      <c r="AB724" s="152"/>
      <c r="AC724" s="152"/>
      <c r="AD724" s="152"/>
      <c r="AE724" s="152"/>
      <c r="AF724" s="152"/>
      <c r="AG724" s="152"/>
      <c r="AH724" s="44"/>
      <c r="AI724" s="44"/>
      <c r="AJ724" s="44"/>
      <c r="AK724" s="44"/>
      <c r="AL724" s="44"/>
      <c r="AM724" s="44"/>
      <c r="AN724" s="44"/>
    </row>
    <row r="725" spans="1:40">
      <c r="A725" s="44"/>
      <c r="B725" s="44"/>
      <c r="C725" s="44"/>
      <c r="D725" s="44"/>
      <c r="E725" s="44"/>
      <c r="F725" s="43"/>
      <c r="G725" s="44"/>
      <c r="H725" s="45"/>
      <c r="I725" s="44"/>
      <c r="J725" s="44"/>
      <c r="K725" s="143"/>
      <c r="L725" s="144"/>
      <c r="M725" s="143"/>
      <c r="N725" s="143"/>
      <c r="O725" s="44"/>
      <c r="P725" s="44"/>
      <c r="Q725" s="45"/>
      <c r="R725" s="147"/>
      <c r="S725" s="147"/>
      <c r="T725" s="147"/>
      <c r="U725" s="148"/>
      <c r="V725" s="149"/>
      <c r="W725" s="150"/>
      <c r="X725" s="151"/>
      <c r="Y725" s="44"/>
      <c r="Z725" s="44"/>
      <c r="AA725" s="152"/>
      <c r="AB725" s="152"/>
      <c r="AC725" s="152"/>
      <c r="AD725" s="152"/>
      <c r="AE725" s="152"/>
      <c r="AF725" s="152"/>
      <c r="AG725" s="152"/>
      <c r="AH725" s="44"/>
      <c r="AI725" s="44"/>
      <c r="AJ725" s="44"/>
      <c r="AK725" s="44"/>
      <c r="AL725" s="44"/>
      <c r="AM725" s="44"/>
      <c r="AN725" s="44"/>
    </row>
    <row r="726" spans="1:40">
      <c r="A726" s="44"/>
      <c r="B726" s="44"/>
      <c r="C726" s="44"/>
      <c r="D726" s="44"/>
      <c r="E726" s="44"/>
      <c r="F726" s="43"/>
      <c r="G726" s="44"/>
      <c r="H726" s="45"/>
      <c r="I726" s="44"/>
      <c r="J726" s="44"/>
      <c r="K726" s="143"/>
      <c r="L726" s="144"/>
      <c r="M726" s="143"/>
      <c r="N726" s="143"/>
      <c r="O726" s="44"/>
      <c r="P726" s="44"/>
      <c r="Q726" s="45"/>
      <c r="R726" s="147"/>
      <c r="S726" s="147"/>
      <c r="T726" s="147"/>
      <c r="U726" s="148"/>
      <c r="V726" s="149"/>
      <c r="W726" s="150"/>
      <c r="X726" s="151"/>
      <c r="Y726" s="44"/>
      <c r="Z726" s="44"/>
      <c r="AA726" s="152"/>
      <c r="AB726" s="152"/>
      <c r="AC726" s="152"/>
      <c r="AD726" s="152"/>
      <c r="AE726" s="152"/>
      <c r="AF726" s="152"/>
      <c r="AG726" s="152"/>
      <c r="AH726" s="44"/>
      <c r="AI726" s="44"/>
      <c r="AJ726" s="44"/>
      <c r="AK726" s="44"/>
      <c r="AL726" s="44"/>
      <c r="AM726" s="44"/>
      <c r="AN726" s="44"/>
    </row>
    <row r="727" spans="1:40">
      <c r="A727" s="44"/>
      <c r="B727" s="44"/>
      <c r="C727" s="44"/>
      <c r="D727" s="44"/>
      <c r="E727" s="44"/>
      <c r="F727" s="43"/>
      <c r="G727" s="44"/>
      <c r="H727" s="45"/>
      <c r="I727" s="44"/>
      <c r="J727" s="44"/>
      <c r="K727" s="143"/>
      <c r="L727" s="144"/>
      <c r="M727" s="143"/>
      <c r="N727" s="143"/>
      <c r="O727" s="44"/>
      <c r="P727" s="44"/>
      <c r="Q727" s="45"/>
      <c r="R727" s="147"/>
      <c r="S727" s="147"/>
      <c r="T727" s="147"/>
      <c r="U727" s="148"/>
      <c r="V727" s="149"/>
      <c r="W727" s="150"/>
      <c r="X727" s="151"/>
      <c r="Y727" s="44"/>
      <c r="Z727" s="44"/>
      <c r="AA727" s="152"/>
      <c r="AB727" s="152"/>
      <c r="AC727" s="152"/>
      <c r="AD727" s="152"/>
      <c r="AE727" s="152"/>
      <c r="AF727" s="152"/>
      <c r="AG727" s="152"/>
      <c r="AH727" s="44"/>
      <c r="AI727" s="44"/>
      <c r="AJ727" s="44"/>
      <c r="AK727" s="44"/>
      <c r="AL727" s="44"/>
      <c r="AM727" s="44"/>
      <c r="AN727" s="44"/>
    </row>
    <row r="728" spans="1:40">
      <c r="A728" s="44"/>
      <c r="B728" s="44"/>
      <c r="C728" s="44"/>
      <c r="D728" s="44"/>
      <c r="E728" s="44"/>
      <c r="F728" s="43"/>
      <c r="G728" s="44"/>
      <c r="H728" s="45"/>
      <c r="I728" s="44"/>
      <c r="J728" s="44"/>
      <c r="K728" s="143"/>
      <c r="L728" s="144"/>
      <c r="M728" s="143"/>
      <c r="N728" s="143"/>
      <c r="O728" s="44"/>
      <c r="P728" s="44"/>
      <c r="Q728" s="45"/>
      <c r="R728" s="147"/>
      <c r="S728" s="147"/>
      <c r="T728" s="147"/>
      <c r="U728" s="148"/>
      <c r="V728" s="149"/>
      <c r="W728" s="150"/>
      <c r="X728" s="151"/>
      <c r="Y728" s="44"/>
      <c r="Z728" s="44"/>
      <c r="AA728" s="152"/>
      <c r="AB728" s="152"/>
      <c r="AC728" s="152"/>
      <c r="AD728" s="152"/>
      <c r="AE728" s="152"/>
      <c r="AF728" s="152"/>
      <c r="AG728" s="152"/>
      <c r="AH728" s="44"/>
      <c r="AI728" s="44"/>
      <c r="AJ728" s="44"/>
      <c r="AK728" s="44"/>
      <c r="AL728" s="44"/>
      <c r="AM728" s="44"/>
      <c r="AN728" s="44"/>
    </row>
    <row r="729" spans="1:40">
      <c r="A729" s="44"/>
      <c r="B729" s="44"/>
      <c r="C729" s="44"/>
      <c r="D729" s="44"/>
      <c r="E729" s="44"/>
      <c r="F729" s="43"/>
      <c r="G729" s="44"/>
      <c r="H729" s="45"/>
      <c r="I729" s="44"/>
      <c r="J729" s="44"/>
      <c r="K729" s="143"/>
      <c r="L729" s="144"/>
      <c r="M729" s="143"/>
      <c r="N729" s="143"/>
      <c r="O729" s="44"/>
      <c r="P729" s="44"/>
      <c r="Q729" s="45"/>
      <c r="R729" s="147"/>
      <c r="S729" s="147"/>
      <c r="T729" s="147"/>
      <c r="U729" s="148"/>
      <c r="V729" s="149"/>
      <c r="W729" s="150"/>
      <c r="X729" s="151"/>
      <c r="Y729" s="44"/>
      <c r="Z729" s="44"/>
      <c r="AA729" s="152"/>
      <c r="AB729" s="152"/>
      <c r="AC729" s="152"/>
      <c r="AD729" s="152"/>
      <c r="AE729" s="152"/>
      <c r="AF729" s="152"/>
      <c r="AG729" s="152"/>
      <c r="AH729" s="44"/>
      <c r="AI729" s="44"/>
      <c r="AJ729" s="44"/>
      <c r="AK729" s="44"/>
      <c r="AL729" s="44"/>
      <c r="AM729" s="44"/>
      <c r="AN729" s="44"/>
    </row>
    <row r="730" spans="1:40">
      <c r="A730" s="44"/>
      <c r="B730" s="44"/>
      <c r="C730" s="44"/>
      <c r="D730" s="44"/>
      <c r="E730" s="44"/>
      <c r="F730" s="43"/>
      <c r="G730" s="44"/>
      <c r="H730" s="45"/>
      <c r="I730" s="44"/>
      <c r="J730" s="44"/>
      <c r="K730" s="143"/>
      <c r="L730" s="144"/>
      <c r="M730" s="143"/>
      <c r="N730" s="143"/>
      <c r="O730" s="44"/>
      <c r="P730" s="44"/>
      <c r="Q730" s="45"/>
      <c r="R730" s="147"/>
      <c r="S730" s="147"/>
      <c r="T730" s="147"/>
      <c r="U730" s="148"/>
      <c r="V730" s="149"/>
      <c r="W730" s="150"/>
      <c r="X730" s="151"/>
      <c r="Y730" s="44"/>
      <c r="Z730" s="44"/>
      <c r="AA730" s="152"/>
      <c r="AB730" s="152"/>
      <c r="AC730" s="152"/>
      <c r="AD730" s="152"/>
      <c r="AE730" s="152"/>
      <c r="AF730" s="152"/>
      <c r="AG730" s="152"/>
      <c r="AH730" s="44"/>
      <c r="AI730" s="44"/>
      <c r="AJ730" s="44"/>
      <c r="AK730" s="44"/>
      <c r="AL730" s="44"/>
      <c r="AM730" s="44"/>
      <c r="AN730" s="44"/>
    </row>
    <row r="731" spans="1:40">
      <c r="A731" s="44"/>
      <c r="B731" s="44"/>
      <c r="C731" s="44"/>
      <c r="D731" s="44"/>
      <c r="E731" s="44"/>
      <c r="F731" s="43"/>
      <c r="G731" s="44"/>
      <c r="H731" s="45"/>
      <c r="I731" s="44"/>
      <c r="J731" s="44"/>
      <c r="K731" s="143"/>
      <c r="L731" s="144"/>
      <c r="M731" s="143"/>
      <c r="N731" s="143"/>
      <c r="O731" s="44"/>
      <c r="P731" s="44"/>
      <c r="Q731" s="45"/>
      <c r="R731" s="147"/>
      <c r="S731" s="147"/>
      <c r="T731" s="147"/>
      <c r="U731" s="148"/>
      <c r="V731" s="149"/>
      <c r="W731" s="150"/>
      <c r="X731" s="151"/>
      <c r="Y731" s="44"/>
      <c r="Z731" s="44"/>
      <c r="AA731" s="152"/>
      <c r="AB731" s="152"/>
      <c r="AC731" s="152"/>
      <c r="AD731" s="152"/>
      <c r="AE731" s="152"/>
      <c r="AF731" s="152"/>
      <c r="AG731" s="152"/>
      <c r="AH731" s="44"/>
      <c r="AI731" s="44"/>
      <c r="AJ731" s="44"/>
      <c r="AK731" s="44"/>
      <c r="AL731" s="44"/>
      <c r="AM731" s="44"/>
      <c r="AN731" s="44"/>
    </row>
    <row r="732" spans="1:40">
      <c r="A732" s="44"/>
      <c r="B732" s="44"/>
      <c r="C732" s="44"/>
      <c r="D732" s="44"/>
      <c r="E732" s="44"/>
      <c r="F732" s="43"/>
      <c r="G732" s="44"/>
      <c r="H732" s="45"/>
      <c r="I732" s="44"/>
      <c r="J732" s="44"/>
      <c r="K732" s="143"/>
      <c r="L732" s="144"/>
      <c r="M732" s="143"/>
      <c r="N732" s="143"/>
      <c r="O732" s="44"/>
      <c r="P732" s="44"/>
      <c r="Q732" s="45"/>
      <c r="R732" s="147"/>
      <c r="S732" s="147"/>
      <c r="T732" s="147"/>
      <c r="U732" s="148"/>
      <c r="V732" s="149"/>
      <c r="W732" s="150"/>
      <c r="X732" s="151"/>
      <c r="Y732" s="44"/>
      <c r="Z732" s="44"/>
      <c r="AA732" s="152"/>
      <c r="AB732" s="152"/>
      <c r="AC732" s="152"/>
      <c r="AD732" s="152"/>
      <c r="AE732" s="152"/>
      <c r="AF732" s="152"/>
      <c r="AG732" s="152"/>
      <c r="AH732" s="44"/>
      <c r="AI732" s="44"/>
      <c r="AJ732" s="44"/>
      <c r="AK732" s="44"/>
      <c r="AL732" s="44"/>
      <c r="AM732" s="44"/>
      <c r="AN732" s="44"/>
    </row>
    <row r="733" spans="1:40">
      <c r="A733" s="44"/>
      <c r="B733" s="44"/>
      <c r="C733" s="44"/>
      <c r="D733" s="44"/>
      <c r="E733" s="44"/>
      <c r="F733" s="43"/>
      <c r="G733" s="44"/>
      <c r="H733" s="45"/>
      <c r="I733" s="44"/>
      <c r="J733" s="44"/>
      <c r="K733" s="143"/>
      <c r="L733" s="144"/>
      <c r="M733" s="143"/>
      <c r="N733" s="143"/>
      <c r="O733" s="44"/>
      <c r="P733" s="44"/>
      <c r="Q733" s="45"/>
      <c r="R733" s="147"/>
      <c r="S733" s="147"/>
      <c r="T733" s="147"/>
      <c r="U733" s="148"/>
      <c r="V733" s="149"/>
      <c r="W733" s="150"/>
      <c r="X733" s="151"/>
      <c r="Y733" s="44"/>
      <c r="Z733" s="44"/>
      <c r="AA733" s="152"/>
      <c r="AB733" s="152"/>
      <c r="AC733" s="152"/>
      <c r="AD733" s="152"/>
      <c r="AE733" s="152"/>
      <c r="AF733" s="152"/>
      <c r="AG733" s="152"/>
      <c r="AH733" s="44"/>
      <c r="AI733" s="44"/>
      <c r="AJ733" s="44"/>
      <c r="AK733" s="44"/>
      <c r="AL733" s="44"/>
      <c r="AM733" s="44"/>
      <c r="AN733" s="44"/>
    </row>
    <row r="734" spans="1:40">
      <c r="A734" s="44"/>
      <c r="B734" s="44"/>
      <c r="C734" s="44"/>
      <c r="D734" s="44"/>
      <c r="E734" s="44"/>
      <c r="F734" s="43"/>
      <c r="G734" s="44"/>
      <c r="H734" s="45"/>
      <c r="I734" s="44"/>
      <c r="J734" s="44"/>
      <c r="K734" s="143"/>
      <c r="L734" s="144"/>
      <c r="M734" s="143"/>
      <c r="N734" s="143"/>
      <c r="O734" s="44"/>
      <c r="P734" s="44"/>
      <c r="Q734" s="45"/>
      <c r="R734" s="147"/>
      <c r="S734" s="147"/>
      <c r="T734" s="147"/>
      <c r="U734" s="148"/>
      <c r="V734" s="149"/>
      <c r="W734" s="150"/>
      <c r="X734" s="151"/>
      <c r="Y734" s="44"/>
      <c r="Z734" s="44"/>
      <c r="AA734" s="152"/>
      <c r="AB734" s="152"/>
      <c r="AC734" s="152"/>
      <c r="AD734" s="152"/>
      <c r="AE734" s="152"/>
      <c r="AF734" s="152"/>
      <c r="AG734" s="152"/>
      <c r="AH734" s="44"/>
      <c r="AI734" s="44"/>
      <c r="AJ734" s="44"/>
      <c r="AK734" s="44"/>
      <c r="AL734" s="44"/>
      <c r="AM734" s="44"/>
      <c r="AN734" s="44"/>
    </row>
    <row r="735" spans="1:40">
      <c r="A735" s="44"/>
      <c r="B735" s="44"/>
      <c r="C735" s="44"/>
      <c r="D735" s="44"/>
      <c r="E735" s="44"/>
      <c r="F735" s="43"/>
      <c r="G735" s="44"/>
      <c r="H735" s="45"/>
      <c r="I735" s="44"/>
      <c r="J735" s="44"/>
      <c r="K735" s="143"/>
      <c r="L735" s="144"/>
      <c r="M735" s="143"/>
      <c r="N735" s="143"/>
      <c r="O735" s="44"/>
      <c r="P735" s="44"/>
      <c r="Q735" s="45"/>
      <c r="R735" s="147"/>
      <c r="S735" s="147"/>
      <c r="T735" s="147"/>
      <c r="U735" s="148"/>
      <c r="V735" s="149"/>
      <c r="W735" s="150"/>
      <c r="X735" s="151"/>
      <c r="Y735" s="44"/>
      <c r="Z735" s="44"/>
      <c r="AA735" s="152"/>
      <c r="AB735" s="152"/>
      <c r="AC735" s="152"/>
      <c r="AD735" s="152"/>
      <c r="AE735" s="152"/>
      <c r="AF735" s="152"/>
      <c r="AG735" s="152"/>
      <c r="AH735" s="44"/>
      <c r="AI735" s="44"/>
      <c r="AJ735" s="44"/>
      <c r="AK735" s="44"/>
      <c r="AL735" s="44"/>
      <c r="AM735" s="44"/>
      <c r="AN735" s="44"/>
    </row>
    <row r="736" spans="1:40">
      <c r="A736" s="44"/>
      <c r="B736" s="44"/>
      <c r="C736" s="44"/>
      <c r="D736" s="44"/>
      <c r="E736" s="44"/>
      <c r="F736" s="43"/>
      <c r="G736" s="44"/>
      <c r="H736" s="45"/>
      <c r="I736" s="44"/>
      <c r="J736" s="44"/>
      <c r="K736" s="143"/>
      <c r="L736" s="144"/>
      <c r="M736" s="143"/>
      <c r="N736" s="143"/>
      <c r="O736" s="44"/>
      <c r="P736" s="44"/>
      <c r="Q736" s="45"/>
      <c r="R736" s="147"/>
      <c r="S736" s="147"/>
      <c r="T736" s="147"/>
      <c r="U736" s="148"/>
      <c r="V736" s="149"/>
      <c r="W736" s="150"/>
      <c r="X736" s="151"/>
      <c r="Y736" s="44"/>
      <c r="Z736" s="44"/>
      <c r="AA736" s="152"/>
      <c r="AB736" s="152"/>
      <c r="AC736" s="152"/>
      <c r="AD736" s="152"/>
      <c r="AE736" s="152"/>
      <c r="AF736" s="152"/>
      <c r="AG736" s="152"/>
      <c r="AH736" s="44"/>
      <c r="AI736" s="44"/>
      <c r="AJ736" s="44"/>
      <c r="AK736" s="44"/>
      <c r="AL736" s="44"/>
      <c r="AM736" s="44"/>
      <c r="AN736" s="44"/>
    </row>
    <row r="737" spans="1:40">
      <c r="A737" s="44"/>
      <c r="B737" s="44"/>
      <c r="C737" s="44"/>
      <c r="D737" s="44"/>
      <c r="E737" s="44"/>
      <c r="F737" s="43"/>
      <c r="G737" s="44"/>
      <c r="H737" s="45"/>
      <c r="I737" s="44"/>
      <c r="J737" s="44"/>
      <c r="K737" s="143"/>
      <c r="L737" s="144"/>
      <c r="M737" s="143"/>
      <c r="N737" s="143"/>
      <c r="O737" s="44"/>
      <c r="P737" s="44"/>
      <c r="Q737" s="45"/>
      <c r="R737" s="147"/>
      <c r="S737" s="147"/>
      <c r="T737" s="147"/>
      <c r="U737" s="148"/>
      <c r="V737" s="149"/>
      <c r="W737" s="150"/>
      <c r="X737" s="151"/>
      <c r="Y737" s="44"/>
      <c r="Z737" s="44"/>
      <c r="AA737" s="152"/>
      <c r="AB737" s="152"/>
      <c r="AC737" s="152"/>
      <c r="AD737" s="152"/>
      <c r="AE737" s="152"/>
      <c r="AF737" s="152"/>
      <c r="AG737" s="152"/>
      <c r="AH737" s="44"/>
      <c r="AI737" s="44"/>
      <c r="AJ737" s="44"/>
      <c r="AK737" s="44"/>
      <c r="AL737" s="44"/>
      <c r="AM737" s="44"/>
      <c r="AN737" s="44"/>
    </row>
    <row r="738" spans="1:40">
      <c r="A738" s="44"/>
      <c r="B738" s="44"/>
      <c r="C738" s="44"/>
      <c r="D738" s="44"/>
      <c r="E738" s="44"/>
      <c r="F738" s="43"/>
      <c r="G738" s="44"/>
      <c r="H738" s="45"/>
      <c r="I738" s="44"/>
      <c r="J738" s="44"/>
      <c r="K738" s="143"/>
      <c r="L738" s="144"/>
      <c r="M738" s="143"/>
      <c r="N738" s="143"/>
      <c r="O738" s="44"/>
      <c r="P738" s="44"/>
      <c r="Q738" s="45"/>
      <c r="R738" s="147"/>
      <c r="S738" s="147"/>
      <c r="T738" s="147"/>
      <c r="U738" s="148"/>
      <c r="V738" s="149"/>
      <c r="W738" s="150"/>
      <c r="X738" s="151"/>
      <c r="Y738" s="44"/>
      <c r="Z738" s="44"/>
      <c r="AA738" s="152"/>
      <c r="AB738" s="152"/>
      <c r="AC738" s="152"/>
      <c r="AD738" s="152"/>
      <c r="AE738" s="152"/>
      <c r="AF738" s="152"/>
      <c r="AG738" s="152"/>
      <c r="AH738" s="44"/>
      <c r="AI738" s="44"/>
      <c r="AJ738" s="44"/>
      <c r="AK738" s="44"/>
      <c r="AL738" s="44"/>
      <c r="AM738" s="44"/>
      <c r="AN738" s="44"/>
    </row>
    <row r="739" spans="1:40">
      <c r="A739" s="44"/>
      <c r="B739" s="44"/>
      <c r="C739" s="44"/>
      <c r="D739" s="44"/>
      <c r="E739" s="44"/>
      <c r="F739" s="43"/>
      <c r="G739" s="44"/>
      <c r="H739" s="45"/>
      <c r="I739" s="44"/>
      <c r="J739" s="44"/>
      <c r="K739" s="143"/>
      <c r="L739" s="144"/>
      <c r="M739" s="143"/>
      <c r="N739" s="143"/>
      <c r="O739" s="44"/>
      <c r="P739" s="44"/>
      <c r="Q739" s="45"/>
      <c r="R739" s="147"/>
      <c r="S739" s="147"/>
      <c r="T739" s="147"/>
      <c r="U739" s="148"/>
      <c r="V739" s="149"/>
      <c r="W739" s="150"/>
      <c r="X739" s="151"/>
      <c r="Y739" s="44"/>
      <c r="Z739" s="44"/>
      <c r="AA739" s="152"/>
      <c r="AB739" s="152"/>
      <c r="AC739" s="152"/>
      <c r="AD739" s="152"/>
      <c r="AE739" s="152"/>
      <c r="AF739" s="152"/>
      <c r="AG739" s="152"/>
      <c r="AH739" s="44"/>
      <c r="AI739" s="44"/>
      <c r="AJ739" s="44"/>
      <c r="AK739" s="44"/>
      <c r="AL739" s="44"/>
      <c r="AM739" s="44"/>
      <c r="AN739" s="44"/>
    </row>
    <row r="740" spans="1:40">
      <c r="A740" s="44"/>
      <c r="B740" s="44"/>
      <c r="C740" s="44"/>
      <c r="D740" s="44"/>
      <c r="E740" s="44"/>
      <c r="F740" s="43"/>
      <c r="G740" s="44"/>
      <c r="H740" s="45"/>
      <c r="I740" s="44"/>
      <c r="J740" s="44"/>
      <c r="K740" s="143"/>
      <c r="L740" s="144"/>
      <c r="M740" s="143"/>
      <c r="N740" s="143"/>
      <c r="O740" s="44"/>
      <c r="P740" s="44"/>
      <c r="Q740" s="45"/>
      <c r="R740" s="147"/>
      <c r="S740" s="147"/>
      <c r="T740" s="147"/>
      <c r="U740" s="148"/>
      <c r="V740" s="149"/>
      <c r="W740" s="150"/>
      <c r="X740" s="151"/>
      <c r="Y740" s="44"/>
      <c r="Z740" s="44"/>
      <c r="AA740" s="152"/>
      <c r="AB740" s="152"/>
      <c r="AC740" s="152"/>
      <c r="AD740" s="152"/>
      <c r="AE740" s="152"/>
      <c r="AF740" s="152"/>
      <c r="AG740" s="152"/>
      <c r="AH740" s="44"/>
      <c r="AI740" s="44"/>
      <c r="AJ740" s="44"/>
      <c r="AK740" s="44"/>
      <c r="AL740" s="44"/>
      <c r="AM740" s="44"/>
      <c r="AN740" s="44"/>
    </row>
    <row r="741" spans="1:40">
      <c r="A741" s="44"/>
      <c r="B741" s="44"/>
      <c r="C741" s="44"/>
      <c r="D741" s="44"/>
      <c r="E741" s="44"/>
      <c r="F741" s="43"/>
      <c r="G741" s="44"/>
      <c r="H741" s="45"/>
      <c r="I741" s="44"/>
      <c r="J741" s="44"/>
      <c r="K741" s="143"/>
      <c r="L741" s="144"/>
      <c r="M741" s="143"/>
      <c r="N741" s="143"/>
      <c r="O741" s="44"/>
      <c r="P741" s="44"/>
      <c r="Q741" s="45"/>
      <c r="R741" s="147"/>
      <c r="S741" s="147"/>
      <c r="T741" s="147"/>
      <c r="U741" s="148"/>
      <c r="V741" s="149"/>
      <c r="W741" s="150"/>
      <c r="X741" s="151"/>
      <c r="Y741" s="44"/>
      <c r="Z741" s="44"/>
      <c r="AA741" s="152"/>
      <c r="AB741" s="152"/>
      <c r="AC741" s="152"/>
      <c r="AD741" s="152"/>
      <c r="AE741" s="152"/>
      <c r="AF741" s="152"/>
      <c r="AG741" s="152"/>
      <c r="AH741" s="44"/>
      <c r="AI741" s="44"/>
      <c r="AJ741" s="44"/>
      <c r="AK741" s="44"/>
      <c r="AL741" s="44"/>
      <c r="AM741" s="44"/>
      <c r="AN741" s="44"/>
    </row>
    <row r="742" spans="1:40">
      <c r="A742" s="44"/>
      <c r="B742" s="44"/>
      <c r="C742" s="44"/>
      <c r="D742" s="44"/>
      <c r="E742" s="44"/>
      <c r="F742" s="43"/>
      <c r="G742" s="44"/>
      <c r="H742" s="45"/>
      <c r="I742" s="44"/>
      <c r="J742" s="44"/>
      <c r="K742" s="143"/>
      <c r="L742" s="144"/>
      <c r="M742" s="143"/>
      <c r="N742" s="143"/>
      <c r="O742" s="44"/>
      <c r="P742" s="44"/>
      <c r="Q742" s="45"/>
      <c r="R742" s="147"/>
      <c r="S742" s="147"/>
      <c r="T742" s="147"/>
      <c r="U742" s="148"/>
      <c r="V742" s="149"/>
      <c r="W742" s="150"/>
      <c r="X742" s="151"/>
      <c r="Y742" s="44"/>
      <c r="Z742" s="44"/>
      <c r="AA742" s="152"/>
      <c r="AB742" s="152"/>
      <c r="AC742" s="152"/>
      <c r="AD742" s="152"/>
      <c r="AE742" s="152"/>
      <c r="AF742" s="152"/>
      <c r="AG742" s="152"/>
      <c r="AH742" s="44"/>
      <c r="AI742" s="44"/>
      <c r="AJ742" s="44"/>
      <c r="AK742" s="44"/>
      <c r="AL742" s="44"/>
      <c r="AM742" s="44"/>
      <c r="AN742" s="44"/>
    </row>
    <row r="743" spans="1:40">
      <c r="A743" s="44"/>
      <c r="B743" s="44"/>
      <c r="C743" s="44"/>
      <c r="D743" s="44"/>
      <c r="E743" s="44"/>
      <c r="F743" s="43"/>
      <c r="G743" s="44"/>
      <c r="H743" s="45"/>
      <c r="I743" s="44"/>
      <c r="J743" s="44"/>
      <c r="K743" s="143"/>
      <c r="L743" s="144"/>
      <c r="M743" s="143"/>
      <c r="N743" s="143"/>
      <c r="O743" s="44"/>
      <c r="P743" s="44"/>
      <c r="Q743" s="45"/>
      <c r="R743" s="147"/>
      <c r="S743" s="147"/>
      <c r="T743" s="147"/>
      <c r="U743" s="148"/>
      <c r="V743" s="149"/>
      <c r="W743" s="150"/>
      <c r="X743" s="151"/>
      <c r="Y743" s="44"/>
      <c r="Z743" s="44"/>
      <c r="AA743" s="152"/>
      <c r="AB743" s="152"/>
      <c r="AC743" s="152"/>
      <c r="AD743" s="152"/>
      <c r="AE743" s="152"/>
      <c r="AF743" s="152"/>
      <c r="AG743" s="152"/>
      <c r="AH743" s="44"/>
      <c r="AI743" s="44"/>
      <c r="AJ743" s="44"/>
      <c r="AK743" s="44"/>
      <c r="AL743" s="44"/>
      <c r="AM743" s="44"/>
      <c r="AN743" s="44"/>
    </row>
    <row r="744" spans="1:40">
      <c r="A744" s="44"/>
      <c r="B744" s="44"/>
      <c r="C744" s="44"/>
      <c r="D744" s="44"/>
      <c r="E744" s="44"/>
      <c r="F744" s="43"/>
      <c r="G744" s="44"/>
      <c r="H744" s="45"/>
      <c r="I744" s="44"/>
      <c r="J744" s="44"/>
      <c r="K744" s="143"/>
      <c r="L744" s="144"/>
      <c r="M744" s="143"/>
      <c r="N744" s="143"/>
      <c r="O744" s="44"/>
      <c r="P744" s="44"/>
      <c r="Q744" s="45"/>
      <c r="R744" s="147"/>
      <c r="S744" s="147"/>
      <c r="T744" s="147"/>
      <c r="U744" s="148"/>
      <c r="V744" s="149"/>
      <c r="W744" s="150"/>
      <c r="X744" s="151"/>
      <c r="Y744" s="44"/>
      <c r="Z744" s="44"/>
      <c r="AA744" s="152"/>
      <c r="AB744" s="152"/>
      <c r="AC744" s="152"/>
      <c r="AD744" s="152"/>
      <c r="AE744" s="152"/>
      <c r="AF744" s="152"/>
      <c r="AG744" s="152"/>
      <c r="AH744" s="44"/>
      <c r="AI744" s="44"/>
      <c r="AJ744" s="44"/>
      <c r="AK744" s="44"/>
      <c r="AL744" s="44"/>
      <c r="AM744" s="44"/>
      <c r="AN744" s="44"/>
    </row>
    <row r="745" spans="1:40">
      <c r="A745" s="44"/>
      <c r="B745" s="44"/>
      <c r="C745" s="44"/>
      <c r="D745" s="44"/>
      <c r="E745" s="44"/>
      <c r="F745" s="43"/>
      <c r="G745" s="44"/>
      <c r="H745" s="45"/>
      <c r="I745" s="44"/>
      <c r="J745" s="44"/>
      <c r="K745" s="143"/>
      <c r="L745" s="144"/>
      <c r="M745" s="143"/>
      <c r="N745" s="143"/>
      <c r="O745" s="44"/>
      <c r="P745" s="44"/>
      <c r="Q745" s="45"/>
      <c r="R745" s="147"/>
      <c r="S745" s="147"/>
      <c r="T745" s="147"/>
      <c r="U745" s="148"/>
      <c r="V745" s="149"/>
      <c r="W745" s="150"/>
      <c r="X745" s="151"/>
      <c r="Y745" s="44"/>
      <c r="Z745" s="44"/>
      <c r="AA745" s="152"/>
      <c r="AB745" s="152"/>
      <c r="AC745" s="152"/>
      <c r="AD745" s="152"/>
      <c r="AE745" s="152"/>
      <c r="AF745" s="152"/>
      <c r="AG745" s="152"/>
      <c r="AH745" s="44"/>
      <c r="AI745" s="44"/>
      <c r="AJ745" s="44"/>
      <c r="AK745" s="44"/>
      <c r="AL745" s="44"/>
      <c r="AM745" s="44"/>
      <c r="AN745" s="44"/>
    </row>
    <row r="746" spans="1:40">
      <c r="A746" s="44"/>
      <c r="B746" s="44"/>
      <c r="C746" s="44"/>
      <c r="D746" s="44"/>
      <c r="E746" s="44"/>
      <c r="F746" s="43"/>
      <c r="G746" s="44"/>
      <c r="H746" s="45"/>
      <c r="I746" s="44"/>
      <c r="J746" s="44"/>
      <c r="K746" s="143"/>
      <c r="L746" s="144"/>
      <c r="M746" s="143"/>
      <c r="N746" s="143"/>
      <c r="O746" s="44"/>
      <c r="P746" s="44"/>
      <c r="Q746" s="45"/>
      <c r="R746" s="147"/>
      <c r="S746" s="147"/>
      <c r="T746" s="147"/>
      <c r="U746" s="148"/>
      <c r="V746" s="149"/>
      <c r="W746" s="150"/>
      <c r="X746" s="151"/>
      <c r="Y746" s="44"/>
      <c r="Z746" s="44"/>
      <c r="AA746" s="152"/>
      <c r="AB746" s="152"/>
      <c r="AC746" s="152"/>
      <c r="AD746" s="152"/>
      <c r="AE746" s="152"/>
      <c r="AF746" s="152"/>
      <c r="AG746" s="152"/>
      <c r="AH746" s="44"/>
      <c r="AI746" s="44"/>
      <c r="AJ746" s="44"/>
      <c r="AK746" s="44"/>
      <c r="AL746" s="44"/>
      <c r="AM746" s="44"/>
      <c r="AN746" s="44"/>
    </row>
    <row r="747" spans="1:40">
      <c r="A747" s="44"/>
      <c r="B747" s="44"/>
      <c r="C747" s="44"/>
      <c r="D747" s="44"/>
      <c r="E747" s="44"/>
      <c r="F747" s="43"/>
      <c r="G747" s="44"/>
      <c r="H747" s="45"/>
      <c r="I747" s="44"/>
      <c r="J747" s="44"/>
      <c r="K747" s="143"/>
      <c r="L747" s="144"/>
      <c r="M747" s="143"/>
      <c r="N747" s="143"/>
      <c r="O747" s="44"/>
      <c r="P747" s="44"/>
      <c r="Q747" s="45"/>
      <c r="R747" s="147"/>
      <c r="S747" s="147"/>
      <c r="T747" s="147"/>
      <c r="U747" s="148"/>
      <c r="V747" s="149"/>
      <c r="W747" s="150"/>
      <c r="X747" s="151"/>
      <c r="Y747" s="44"/>
      <c r="Z747" s="44"/>
      <c r="AA747" s="152"/>
      <c r="AB747" s="152"/>
      <c r="AC747" s="152"/>
      <c r="AD747" s="152"/>
      <c r="AE747" s="152"/>
      <c r="AF747" s="152"/>
      <c r="AG747" s="152"/>
      <c r="AH747" s="44"/>
      <c r="AI747" s="44"/>
      <c r="AJ747" s="44"/>
      <c r="AK747" s="44"/>
      <c r="AL747" s="44"/>
      <c r="AM747" s="44"/>
      <c r="AN747" s="44"/>
    </row>
    <row r="748" spans="1:40">
      <c r="A748" s="44"/>
      <c r="B748" s="44"/>
      <c r="C748" s="44"/>
      <c r="D748" s="44"/>
      <c r="E748" s="44"/>
      <c r="F748" s="43"/>
      <c r="G748" s="44"/>
      <c r="H748" s="45"/>
      <c r="I748" s="44"/>
      <c r="J748" s="44"/>
      <c r="K748" s="143"/>
      <c r="L748" s="144"/>
      <c r="M748" s="143"/>
      <c r="N748" s="143"/>
      <c r="O748" s="44"/>
      <c r="P748" s="44"/>
      <c r="Q748" s="45"/>
      <c r="R748" s="147"/>
      <c r="S748" s="147"/>
      <c r="T748" s="147"/>
      <c r="U748" s="148"/>
      <c r="V748" s="149"/>
      <c r="W748" s="150"/>
      <c r="X748" s="151"/>
      <c r="Y748" s="44"/>
      <c r="Z748" s="44"/>
      <c r="AA748" s="152"/>
      <c r="AB748" s="152"/>
      <c r="AC748" s="152"/>
      <c r="AD748" s="152"/>
      <c r="AE748" s="152"/>
      <c r="AF748" s="152"/>
      <c r="AG748" s="152"/>
      <c r="AH748" s="44"/>
      <c r="AI748" s="44"/>
      <c r="AJ748" s="44"/>
      <c r="AK748" s="44"/>
      <c r="AL748" s="44"/>
      <c r="AM748" s="44"/>
      <c r="AN748" s="44"/>
    </row>
    <row r="749" spans="1:40">
      <c r="A749" s="44"/>
      <c r="B749" s="44"/>
      <c r="C749" s="44"/>
      <c r="D749" s="44"/>
      <c r="E749" s="44"/>
      <c r="F749" s="43"/>
      <c r="G749" s="44"/>
      <c r="H749" s="45"/>
      <c r="I749" s="44"/>
      <c r="J749" s="44"/>
      <c r="K749" s="143"/>
      <c r="L749" s="144"/>
      <c r="M749" s="143"/>
      <c r="N749" s="143"/>
      <c r="O749" s="44"/>
      <c r="P749" s="44"/>
      <c r="Q749" s="45"/>
      <c r="R749" s="147"/>
      <c r="S749" s="147"/>
      <c r="T749" s="147"/>
      <c r="U749" s="148"/>
      <c r="V749" s="149"/>
      <c r="W749" s="150"/>
      <c r="X749" s="151"/>
      <c r="Y749" s="44"/>
      <c r="Z749" s="44"/>
      <c r="AA749" s="152"/>
      <c r="AB749" s="152"/>
      <c r="AC749" s="152"/>
      <c r="AD749" s="152"/>
      <c r="AE749" s="152"/>
      <c r="AF749" s="152"/>
      <c r="AG749" s="152"/>
      <c r="AH749" s="44"/>
      <c r="AI749" s="44"/>
      <c r="AJ749" s="44"/>
      <c r="AK749" s="44"/>
      <c r="AL749" s="44"/>
      <c r="AM749" s="44"/>
      <c r="AN749" s="44"/>
    </row>
    <row r="750" spans="1:40">
      <c r="A750" s="44"/>
      <c r="B750" s="44"/>
      <c r="C750" s="44"/>
      <c r="D750" s="44"/>
      <c r="E750" s="44"/>
      <c r="F750" s="43"/>
      <c r="G750" s="44"/>
      <c r="H750" s="45"/>
      <c r="I750" s="44"/>
      <c r="J750" s="44"/>
      <c r="K750" s="143"/>
      <c r="L750" s="144"/>
      <c r="M750" s="143"/>
      <c r="N750" s="143"/>
      <c r="O750" s="44"/>
      <c r="P750" s="44"/>
      <c r="Q750" s="45"/>
      <c r="R750" s="147"/>
      <c r="S750" s="147"/>
      <c r="T750" s="147"/>
      <c r="U750" s="148"/>
      <c r="V750" s="149"/>
      <c r="W750" s="150"/>
      <c r="X750" s="151"/>
      <c r="Y750" s="44"/>
      <c r="Z750" s="44"/>
      <c r="AA750" s="152"/>
      <c r="AB750" s="152"/>
      <c r="AC750" s="152"/>
      <c r="AD750" s="152"/>
      <c r="AE750" s="152"/>
      <c r="AF750" s="152"/>
      <c r="AG750" s="152"/>
      <c r="AH750" s="44"/>
      <c r="AI750" s="44"/>
      <c r="AJ750" s="44"/>
      <c r="AK750" s="44"/>
      <c r="AL750" s="44"/>
      <c r="AM750" s="44"/>
      <c r="AN750" s="44"/>
    </row>
    <row r="751" spans="1:40">
      <c r="A751" s="44"/>
      <c r="B751" s="44"/>
      <c r="C751" s="44"/>
      <c r="D751" s="44"/>
      <c r="E751" s="44"/>
      <c r="F751" s="43"/>
      <c r="G751" s="44"/>
      <c r="H751" s="45"/>
      <c r="I751" s="44"/>
      <c r="J751" s="44"/>
      <c r="K751" s="143"/>
      <c r="L751" s="144"/>
      <c r="M751" s="143"/>
      <c r="N751" s="143"/>
      <c r="O751" s="44"/>
      <c r="P751" s="44"/>
      <c r="Q751" s="45"/>
      <c r="R751" s="147"/>
      <c r="S751" s="147"/>
      <c r="T751" s="147"/>
      <c r="U751" s="148"/>
      <c r="V751" s="149"/>
      <c r="W751" s="150"/>
      <c r="X751" s="151"/>
      <c r="Y751" s="44"/>
      <c r="Z751" s="44"/>
      <c r="AA751" s="152"/>
      <c r="AB751" s="152"/>
      <c r="AC751" s="152"/>
      <c r="AD751" s="152"/>
      <c r="AE751" s="152"/>
      <c r="AF751" s="152"/>
      <c r="AG751" s="152"/>
      <c r="AH751" s="44"/>
      <c r="AI751" s="44"/>
      <c r="AJ751" s="44"/>
      <c r="AK751" s="44"/>
      <c r="AL751" s="44"/>
      <c r="AM751" s="44"/>
      <c r="AN751" s="44"/>
    </row>
    <row r="752" spans="1:40">
      <c r="A752" s="44"/>
      <c r="B752" s="44"/>
      <c r="C752" s="44"/>
      <c r="D752" s="44"/>
      <c r="E752" s="44"/>
      <c r="F752" s="43"/>
      <c r="G752" s="44"/>
      <c r="H752" s="45"/>
      <c r="I752" s="44"/>
      <c r="J752" s="44"/>
      <c r="K752" s="143"/>
      <c r="L752" s="144"/>
      <c r="M752" s="143"/>
      <c r="N752" s="143"/>
      <c r="O752" s="44"/>
      <c r="P752" s="44"/>
      <c r="Q752" s="45"/>
      <c r="R752" s="147"/>
      <c r="S752" s="147"/>
      <c r="T752" s="147"/>
      <c r="U752" s="148"/>
      <c r="V752" s="149"/>
      <c r="W752" s="150"/>
      <c r="X752" s="151"/>
      <c r="Y752" s="44"/>
      <c r="Z752" s="44"/>
      <c r="AA752" s="152"/>
      <c r="AB752" s="152"/>
      <c r="AC752" s="152"/>
      <c r="AD752" s="152"/>
      <c r="AE752" s="152"/>
      <c r="AF752" s="152"/>
      <c r="AG752" s="152"/>
      <c r="AH752" s="44"/>
      <c r="AI752" s="44"/>
      <c r="AJ752" s="44"/>
      <c r="AK752" s="44"/>
      <c r="AL752" s="44"/>
      <c r="AM752" s="44"/>
      <c r="AN752" s="44"/>
    </row>
    <row r="753" spans="1:40">
      <c r="A753" s="44"/>
      <c r="B753" s="44"/>
      <c r="C753" s="44"/>
      <c r="D753" s="44"/>
      <c r="E753" s="44"/>
      <c r="F753" s="43"/>
      <c r="G753" s="44"/>
      <c r="H753" s="45"/>
      <c r="I753" s="44"/>
      <c r="J753" s="44"/>
      <c r="K753" s="143"/>
      <c r="L753" s="144"/>
      <c r="M753" s="143"/>
      <c r="N753" s="143"/>
      <c r="O753" s="44"/>
      <c r="P753" s="44"/>
      <c r="Q753" s="45"/>
      <c r="R753" s="147"/>
      <c r="S753" s="147"/>
      <c r="T753" s="147"/>
      <c r="U753" s="148"/>
      <c r="V753" s="149"/>
      <c r="W753" s="150"/>
      <c r="X753" s="151"/>
      <c r="Y753" s="44"/>
      <c r="Z753" s="44"/>
      <c r="AA753" s="152"/>
      <c r="AB753" s="152"/>
      <c r="AC753" s="152"/>
      <c r="AD753" s="152"/>
      <c r="AE753" s="152"/>
      <c r="AF753" s="152"/>
      <c r="AG753" s="152"/>
      <c r="AH753" s="44"/>
      <c r="AI753" s="44"/>
      <c r="AJ753" s="44"/>
      <c r="AK753" s="44"/>
      <c r="AL753" s="44"/>
      <c r="AM753" s="44"/>
      <c r="AN753" s="44"/>
    </row>
    <row r="754" spans="1:40">
      <c r="A754" s="44"/>
      <c r="B754" s="44"/>
      <c r="C754" s="44"/>
      <c r="D754" s="44"/>
      <c r="E754" s="44"/>
      <c r="F754" s="43"/>
      <c r="G754" s="44"/>
      <c r="H754" s="45"/>
      <c r="I754" s="44"/>
      <c r="J754" s="44"/>
      <c r="K754" s="143"/>
      <c r="L754" s="144"/>
      <c r="M754" s="143"/>
      <c r="N754" s="143"/>
      <c r="O754" s="44"/>
      <c r="P754" s="44"/>
      <c r="Q754" s="45"/>
      <c r="R754" s="147"/>
      <c r="S754" s="147"/>
      <c r="T754" s="147"/>
      <c r="U754" s="148"/>
      <c r="V754" s="149"/>
      <c r="W754" s="150"/>
      <c r="X754" s="151"/>
      <c r="Y754" s="44"/>
      <c r="Z754" s="44"/>
      <c r="AA754" s="152"/>
      <c r="AB754" s="152"/>
      <c r="AC754" s="152"/>
      <c r="AD754" s="152"/>
      <c r="AE754" s="152"/>
      <c r="AF754" s="152"/>
      <c r="AG754" s="152"/>
      <c r="AH754" s="44"/>
      <c r="AI754" s="44"/>
      <c r="AJ754" s="44"/>
      <c r="AK754" s="44"/>
      <c r="AL754" s="44"/>
      <c r="AM754" s="44"/>
      <c r="AN754" s="44"/>
    </row>
    <row r="755" spans="1:40">
      <c r="A755" s="44"/>
      <c r="B755" s="44"/>
      <c r="C755" s="44"/>
      <c r="D755" s="44"/>
      <c r="E755" s="44"/>
      <c r="F755" s="43"/>
      <c r="G755" s="44"/>
      <c r="H755" s="45"/>
      <c r="I755" s="44"/>
      <c r="J755" s="44"/>
      <c r="K755" s="143"/>
      <c r="L755" s="144"/>
      <c r="M755" s="143"/>
      <c r="N755" s="143"/>
      <c r="O755" s="44"/>
      <c r="P755" s="44"/>
      <c r="Q755" s="45"/>
      <c r="R755" s="147"/>
      <c r="S755" s="147"/>
      <c r="T755" s="147"/>
      <c r="U755" s="148"/>
      <c r="V755" s="149"/>
      <c r="W755" s="150"/>
      <c r="X755" s="151"/>
      <c r="Y755" s="44"/>
      <c r="Z755" s="44"/>
      <c r="AA755" s="152"/>
      <c r="AB755" s="152"/>
      <c r="AC755" s="152"/>
      <c r="AD755" s="152"/>
      <c r="AE755" s="152"/>
      <c r="AF755" s="152"/>
      <c r="AG755" s="152"/>
      <c r="AH755" s="44"/>
      <c r="AI755" s="44"/>
      <c r="AJ755" s="44"/>
      <c r="AK755" s="44"/>
      <c r="AL755" s="44"/>
      <c r="AM755" s="44"/>
      <c r="AN755" s="44"/>
    </row>
    <row r="756" spans="1:40">
      <c r="A756" s="44"/>
      <c r="B756" s="44"/>
      <c r="C756" s="44"/>
      <c r="D756" s="44"/>
      <c r="E756" s="44"/>
      <c r="F756" s="43"/>
      <c r="G756" s="44"/>
      <c r="H756" s="45"/>
      <c r="I756" s="44"/>
      <c r="J756" s="44"/>
      <c r="K756" s="143"/>
      <c r="L756" s="144"/>
      <c r="M756" s="143"/>
      <c r="N756" s="143"/>
      <c r="O756" s="44"/>
      <c r="P756" s="44"/>
      <c r="Q756" s="45"/>
      <c r="R756" s="147"/>
      <c r="S756" s="147"/>
      <c r="T756" s="147"/>
      <c r="U756" s="148"/>
      <c r="V756" s="149"/>
      <c r="W756" s="150"/>
      <c r="X756" s="151"/>
      <c r="Y756" s="44"/>
      <c r="Z756" s="44"/>
      <c r="AA756" s="152"/>
      <c r="AB756" s="152"/>
      <c r="AC756" s="152"/>
      <c r="AD756" s="152"/>
      <c r="AE756" s="152"/>
      <c r="AF756" s="152"/>
      <c r="AG756" s="152"/>
      <c r="AH756" s="44"/>
      <c r="AI756" s="44"/>
      <c r="AJ756" s="44"/>
      <c r="AK756" s="44"/>
      <c r="AL756" s="44"/>
      <c r="AM756" s="44"/>
      <c r="AN756" s="44"/>
    </row>
    <row r="757" spans="1:40">
      <c r="A757" s="44"/>
      <c r="B757" s="44"/>
      <c r="C757" s="44"/>
      <c r="D757" s="44"/>
      <c r="E757" s="44"/>
      <c r="F757" s="43"/>
      <c r="G757" s="44"/>
      <c r="H757" s="45"/>
      <c r="I757" s="44"/>
      <c r="J757" s="44"/>
      <c r="K757" s="143"/>
      <c r="L757" s="144"/>
      <c r="M757" s="143"/>
      <c r="N757" s="143"/>
      <c r="O757" s="44"/>
      <c r="P757" s="44"/>
      <c r="Q757" s="45"/>
      <c r="R757" s="147"/>
      <c r="S757" s="147"/>
      <c r="T757" s="147"/>
      <c r="U757" s="148"/>
      <c r="V757" s="149"/>
      <c r="W757" s="150"/>
      <c r="X757" s="151"/>
      <c r="Y757" s="44"/>
      <c r="Z757" s="44"/>
      <c r="AA757" s="152"/>
      <c r="AB757" s="152"/>
      <c r="AC757" s="152"/>
      <c r="AD757" s="152"/>
      <c r="AE757" s="152"/>
      <c r="AF757" s="152"/>
      <c r="AG757" s="152"/>
      <c r="AH757" s="44"/>
      <c r="AI757" s="44"/>
      <c r="AJ757" s="44"/>
      <c r="AK757" s="44"/>
      <c r="AL757" s="44"/>
      <c r="AM757" s="44"/>
      <c r="AN757" s="44"/>
    </row>
    <row r="758" spans="1:40">
      <c r="A758" s="44"/>
      <c r="B758" s="44"/>
      <c r="C758" s="44"/>
      <c r="D758" s="44"/>
      <c r="E758" s="44"/>
      <c r="F758" s="43"/>
      <c r="G758" s="44"/>
      <c r="H758" s="45"/>
      <c r="I758" s="44"/>
      <c r="J758" s="44"/>
      <c r="K758" s="143"/>
      <c r="L758" s="144"/>
      <c r="M758" s="143"/>
      <c r="N758" s="143"/>
      <c r="O758" s="44"/>
      <c r="P758" s="44"/>
      <c r="Q758" s="45"/>
      <c r="R758" s="147"/>
      <c r="S758" s="147"/>
      <c r="T758" s="147"/>
      <c r="U758" s="148"/>
      <c r="V758" s="149"/>
      <c r="W758" s="150"/>
      <c r="X758" s="151"/>
      <c r="Y758" s="44"/>
      <c r="Z758" s="44"/>
      <c r="AA758" s="152"/>
      <c r="AB758" s="152"/>
      <c r="AC758" s="152"/>
      <c r="AD758" s="152"/>
      <c r="AE758" s="152"/>
      <c r="AF758" s="152"/>
      <c r="AG758" s="152"/>
      <c r="AH758" s="44"/>
      <c r="AI758" s="44"/>
      <c r="AJ758" s="44"/>
      <c r="AK758" s="44"/>
      <c r="AL758" s="44"/>
      <c r="AM758" s="44"/>
      <c r="AN758" s="44"/>
    </row>
    <row r="759" spans="1:40">
      <c r="A759" s="44"/>
      <c r="B759" s="44"/>
      <c r="C759" s="44"/>
      <c r="D759" s="44"/>
      <c r="E759" s="44"/>
      <c r="F759" s="43"/>
      <c r="G759" s="44"/>
      <c r="H759" s="45"/>
      <c r="I759" s="44"/>
      <c r="J759" s="44"/>
      <c r="K759" s="143"/>
      <c r="L759" s="144"/>
      <c r="M759" s="143"/>
      <c r="N759" s="143"/>
      <c r="O759" s="44"/>
      <c r="P759" s="44"/>
      <c r="Q759" s="45"/>
      <c r="R759" s="147"/>
      <c r="S759" s="147"/>
      <c r="T759" s="147"/>
      <c r="U759" s="148"/>
      <c r="V759" s="149"/>
      <c r="W759" s="150"/>
      <c r="X759" s="151"/>
      <c r="Y759" s="44"/>
      <c r="Z759" s="44"/>
      <c r="AA759" s="152"/>
      <c r="AB759" s="152"/>
      <c r="AC759" s="152"/>
      <c r="AD759" s="152"/>
      <c r="AE759" s="152"/>
      <c r="AF759" s="152"/>
      <c r="AG759" s="152"/>
      <c r="AH759" s="44"/>
      <c r="AI759" s="44"/>
      <c r="AJ759" s="44"/>
      <c r="AK759" s="44"/>
      <c r="AL759" s="44"/>
      <c r="AM759" s="44"/>
      <c r="AN759" s="44"/>
    </row>
    <row r="760" spans="1:40">
      <c r="A760" s="44"/>
      <c r="B760" s="44"/>
      <c r="C760" s="44"/>
      <c r="D760" s="44"/>
      <c r="E760" s="44"/>
      <c r="F760" s="43"/>
      <c r="G760" s="44"/>
      <c r="H760" s="45"/>
      <c r="I760" s="44"/>
      <c r="J760" s="44"/>
      <c r="K760" s="143"/>
      <c r="L760" s="144"/>
      <c r="M760" s="143"/>
      <c r="N760" s="143"/>
      <c r="O760" s="44"/>
      <c r="P760" s="44"/>
      <c r="Q760" s="45"/>
      <c r="R760" s="147"/>
      <c r="S760" s="147"/>
      <c r="T760" s="147"/>
      <c r="U760" s="148"/>
      <c r="V760" s="149"/>
      <c r="W760" s="150"/>
      <c r="X760" s="151"/>
      <c r="Y760" s="44"/>
      <c r="Z760" s="44"/>
      <c r="AA760" s="152"/>
      <c r="AB760" s="152"/>
      <c r="AC760" s="152"/>
      <c r="AD760" s="152"/>
      <c r="AE760" s="152"/>
      <c r="AF760" s="152"/>
      <c r="AG760" s="152"/>
      <c r="AH760" s="44"/>
      <c r="AI760" s="44"/>
      <c r="AJ760" s="44"/>
      <c r="AK760" s="44"/>
      <c r="AL760" s="44"/>
      <c r="AM760" s="44"/>
      <c r="AN760" s="44"/>
    </row>
    <row r="761" spans="1:40">
      <c r="A761" s="44"/>
      <c r="B761" s="44"/>
      <c r="C761" s="44"/>
      <c r="D761" s="44"/>
      <c r="E761" s="44"/>
      <c r="F761" s="43"/>
      <c r="G761" s="44"/>
      <c r="H761" s="45"/>
      <c r="I761" s="44"/>
      <c r="J761" s="44"/>
      <c r="K761" s="143"/>
      <c r="L761" s="144"/>
      <c r="M761" s="143"/>
      <c r="N761" s="143"/>
      <c r="O761" s="44"/>
      <c r="P761" s="44"/>
      <c r="Q761" s="45"/>
      <c r="R761" s="147"/>
      <c r="S761" s="147"/>
      <c r="T761" s="147"/>
      <c r="U761" s="148"/>
      <c r="V761" s="149"/>
      <c r="W761" s="150"/>
      <c r="X761" s="151"/>
      <c r="Y761" s="44"/>
      <c r="Z761" s="44"/>
      <c r="AA761" s="152"/>
      <c r="AB761" s="152"/>
      <c r="AC761" s="152"/>
      <c r="AD761" s="152"/>
      <c r="AE761" s="152"/>
      <c r="AF761" s="152"/>
      <c r="AG761" s="152"/>
      <c r="AH761" s="44"/>
      <c r="AI761" s="44"/>
      <c r="AJ761" s="44"/>
      <c r="AK761" s="44"/>
      <c r="AL761" s="44"/>
      <c r="AM761" s="44"/>
      <c r="AN761" s="44"/>
    </row>
    <row r="762" spans="1:40">
      <c r="A762" s="44"/>
      <c r="B762" s="44"/>
      <c r="C762" s="44"/>
      <c r="D762" s="44"/>
      <c r="E762" s="44"/>
      <c r="F762" s="43"/>
      <c r="G762" s="44"/>
      <c r="H762" s="45"/>
      <c r="I762" s="44"/>
      <c r="J762" s="44"/>
      <c r="K762" s="143"/>
      <c r="L762" s="144"/>
      <c r="M762" s="143"/>
      <c r="N762" s="143"/>
      <c r="O762" s="44"/>
      <c r="P762" s="44"/>
      <c r="Q762" s="45"/>
      <c r="R762" s="147"/>
      <c r="S762" s="147"/>
      <c r="T762" s="147"/>
      <c r="U762" s="148"/>
      <c r="V762" s="149"/>
      <c r="W762" s="150"/>
      <c r="X762" s="151"/>
      <c r="Y762" s="44"/>
      <c r="Z762" s="44"/>
      <c r="AA762" s="152"/>
      <c r="AB762" s="152"/>
      <c r="AC762" s="152"/>
      <c r="AD762" s="152"/>
      <c r="AE762" s="152"/>
      <c r="AF762" s="152"/>
      <c r="AG762" s="152"/>
      <c r="AH762" s="44"/>
      <c r="AI762" s="44"/>
      <c r="AJ762" s="44"/>
      <c r="AK762" s="44"/>
      <c r="AL762" s="44"/>
      <c r="AM762" s="44"/>
      <c r="AN762" s="44"/>
    </row>
    <row r="763" spans="1:40">
      <c r="A763" s="44"/>
      <c r="B763" s="44"/>
      <c r="C763" s="44"/>
      <c r="D763" s="44"/>
      <c r="E763" s="44"/>
      <c r="F763" s="43"/>
      <c r="G763" s="44"/>
      <c r="H763" s="45"/>
      <c r="I763" s="44"/>
      <c r="J763" s="44"/>
      <c r="K763" s="143"/>
      <c r="L763" s="144"/>
      <c r="M763" s="143"/>
      <c r="N763" s="143"/>
      <c r="O763" s="44"/>
      <c r="P763" s="44"/>
      <c r="Q763" s="45"/>
      <c r="R763" s="147"/>
      <c r="S763" s="147"/>
      <c r="T763" s="147"/>
      <c r="U763" s="148"/>
      <c r="V763" s="149"/>
      <c r="W763" s="150"/>
      <c r="X763" s="151"/>
      <c r="Y763" s="44"/>
      <c r="Z763" s="44"/>
      <c r="AA763" s="152"/>
      <c r="AB763" s="152"/>
      <c r="AC763" s="152"/>
      <c r="AD763" s="152"/>
      <c r="AE763" s="152"/>
      <c r="AF763" s="152"/>
      <c r="AG763" s="152"/>
      <c r="AH763" s="44"/>
      <c r="AI763" s="44"/>
      <c r="AJ763" s="44"/>
      <c r="AK763" s="44"/>
      <c r="AL763" s="44"/>
      <c r="AM763" s="44"/>
      <c r="AN763" s="44"/>
    </row>
    <row r="764" spans="1:40">
      <c r="A764" s="44"/>
      <c r="B764" s="44"/>
      <c r="C764" s="44"/>
      <c r="D764" s="44"/>
      <c r="E764" s="44"/>
      <c r="F764" s="43"/>
      <c r="G764" s="44"/>
      <c r="H764" s="45"/>
      <c r="I764" s="44"/>
      <c r="J764" s="44"/>
      <c r="K764" s="143"/>
      <c r="L764" s="144"/>
      <c r="M764" s="143"/>
      <c r="N764" s="143"/>
      <c r="O764" s="44"/>
      <c r="P764" s="44"/>
      <c r="Q764" s="45"/>
      <c r="R764" s="147"/>
      <c r="S764" s="147"/>
      <c r="T764" s="147"/>
      <c r="U764" s="148"/>
      <c r="V764" s="149"/>
      <c r="W764" s="150"/>
      <c r="X764" s="151"/>
      <c r="Y764" s="44"/>
      <c r="Z764" s="44"/>
      <c r="AA764" s="152"/>
      <c r="AB764" s="152"/>
      <c r="AC764" s="152"/>
      <c r="AD764" s="152"/>
      <c r="AE764" s="152"/>
      <c r="AF764" s="152"/>
      <c r="AG764" s="152"/>
      <c r="AH764" s="44"/>
      <c r="AI764" s="44"/>
      <c r="AJ764" s="44"/>
      <c r="AK764" s="44"/>
      <c r="AL764" s="44"/>
      <c r="AM764" s="44"/>
      <c r="AN764" s="44"/>
    </row>
    <row r="765" spans="1:40">
      <c r="A765" s="44"/>
      <c r="B765" s="44"/>
      <c r="C765" s="44"/>
      <c r="D765" s="44"/>
      <c r="E765" s="44"/>
      <c r="F765" s="43"/>
      <c r="G765" s="44"/>
      <c r="H765" s="45"/>
      <c r="I765" s="44"/>
      <c r="J765" s="44"/>
      <c r="K765" s="143"/>
      <c r="L765" s="144"/>
      <c r="M765" s="143"/>
      <c r="N765" s="143"/>
      <c r="O765" s="44"/>
      <c r="P765" s="44"/>
      <c r="Q765" s="45"/>
      <c r="R765" s="147"/>
      <c r="S765" s="147"/>
      <c r="T765" s="147"/>
      <c r="U765" s="148"/>
      <c r="V765" s="149"/>
      <c r="W765" s="150"/>
      <c r="X765" s="151"/>
      <c r="Y765" s="44"/>
      <c r="Z765" s="44"/>
      <c r="AA765" s="152"/>
      <c r="AB765" s="152"/>
      <c r="AC765" s="152"/>
      <c r="AD765" s="152"/>
      <c r="AE765" s="152"/>
      <c r="AF765" s="152"/>
      <c r="AG765" s="152"/>
      <c r="AH765" s="44"/>
      <c r="AI765" s="44"/>
      <c r="AJ765" s="44"/>
      <c r="AK765" s="44"/>
      <c r="AL765" s="44"/>
      <c r="AM765" s="44"/>
      <c r="AN765" s="44"/>
    </row>
    <row r="766" spans="1:40">
      <c r="A766" s="44"/>
      <c r="B766" s="44"/>
      <c r="C766" s="44"/>
      <c r="D766" s="44"/>
      <c r="E766" s="44"/>
      <c r="F766" s="43"/>
      <c r="G766" s="44"/>
      <c r="H766" s="45"/>
      <c r="I766" s="44"/>
      <c r="J766" s="44"/>
      <c r="K766" s="143"/>
      <c r="L766" s="144"/>
      <c r="M766" s="143"/>
      <c r="N766" s="143"/>
      <c r="O766" s="44"/>
      <c r="P766" s="44"/>
      <c r="Q766" s="45"/>
      <c r="R766" s="147"/>
      <c r="S766" s="147"/>
      <c r="T766" s="147"/>
      <c r="U766" s="148"/>
      <c r="V766" s="149"/>
      <c r="W766" s="150"/>
      <c r="X766" s="151"/>
      <c r="Y766" s="44"/>
      <c r="Z766" s="44"/>
      <c r="AA766" s="152"/>
      <c r="AB766" s="152"/>
      <c r="AC766" s="152"/>
      <c r="AD766" s="152"/>
      <c r="AE766" s="152"/>
      <c r="AF766" s="152"/>
      <c r="AG766" s="152"/>
      <c r="AH766" s="44"/>
      <c r="AI766" s="44"/>
      <c r="AJ766" s="44"/>
      <c r="AK766" s="44"/>
      <c r="AL766" s="44"/>
      <c r="AM766" s="44"/>
      <c r="AN766" s="44"/>
    </row>
    <row r="767" spans="1:40">
      <c r="A767" s="44"/>
      <c r="B767" s="44"/>
      <c r="C767" s="44"/>
      <c r="D767" s="44"/>
      <c r="E767" s="44"/>
      <c r="F767" s="43"/>
      <c r="G767" s="44"/>
      <c r="H767" s="45"/>
      <c r="I767" s="44"/>
      <c r="J767" s="44"/>
      <c r="K767" s="143"/>
      <c r="L767" s="144"/>
      <c r="M767" s="143"/>
      <c r="N767" s="143"/>
      <c r="O767" s="44"/>
      <c r="P767" s="44"/>
      <c r="Q767" s="45"/>
      <c r="R767" s="147"/>
      <c r="S767" s="147"/>
      <c r="T767" s="147"/>
      <c r="U767" s="148"/>
      <c r="V767" s="149"/>
      <c r="W767" s="150"/>
      <c r="X767" s="151"/>
      <c r="Y767" s="44"/>
      <c r="Z767" s="44"/>
      <c r="AA767" s="152"/>
      <c r="AB767" s="152"/>
      <c r="AC767" s="152"/>
      <c r="AD767" s="152"/>
      <c r="AE767" s="152"/>
      <c r="AF767" s="152"/>
      <c r="AG767" s="152"/>
      <c r="AH767" s="44"/>
      <c r="AI767" s="44"/>
      <c r="AJ767" s="44"/>
      <c r="AK767" s="44"/>
      <c r="AL767" s="44"/>
      <c r="AM767" s="44"/>
      <c r="AN767" s="44"/>
    </row>
    <row r="768" spans="1:40">
      <c r="A768" s="44"/>
      <c r="B768" s="44"/>
      <c r="C768" s="44"/>
      <c r="D768" s="44"/>
      <c r="E768" s="44"/>
      <c r="F768" s="43"/>
      <c r="G768" s="44"/>
      <c r="H768" s="45"/>
      <c r="I768" s="44"/>
      <c r="J768" s="44"/>
      <c r="K768" s="143"/>
      <c r="L768" s="144"/>
      <c r="M768" s="143"/>
      <c r="N768" s="143"/>
      <c r="O768" s="44"/>
      <c r="P768" s="44"/>
      <c r="Q768" s="45"/>
      <c r="R768" s="147"/>
      <c r="S768" s="147"/>
      <c r="T768" s="147"/>
      <c r="U768" s="148"/>
      <c r="V768" s="149"/>
      <c r="W768" s="150"/>
      <c r="X768" s="151"/>
      <c r="Y768" s="44"/>
      <c r="Z768" s="44"/>
      <c r="AA768" s="152"/>
      <c r="AB768" s="152"/>
      <c r="AC768" s="152"/>
      <c r="AD768" s="152"/>
      <c r="AE768" s="152"/>
      <c r="AF768" s="152"/>
      <c r="AG768" s="152"/>
      <c r="AH768" s="44"/>
      <c r="AI768" s="44"/>
      <c r="AJ768" s="44"/>
      <c r="AK768" s="44"/>
      <c r="AL768" s="44"/>
      <c r="AM768" s="44"/>
      <c r="AN768" s="44"/>
    </row>
    <row r="769" spans="1:40">
      <c r="A769" s="44"/>
      <c r="B769" s="44"/>
      <c r="C769" s="44"/>
      <c r="D769" s="44"/>
      <c r="E769" s="44"/>
      <c r="F769" s="43"/>
      <c r="G769" s="44"/>
      <c r="H769" s="45"/>
      <c r="I769" s="44"/>
      <c r="J769" s="44"/>
      <c r="K769" s="143"/>
      <c r="L769" s="144"/>
      <c r="M769" s="143"/>
      <c r="N769" s="143"/>
      <c r="O769" s="44"/>
      <c r="P769" s="44"/>
      <c r="Q769" s="45"/>
      <c r="R769" s="147"/>
      <c r="S769" s="147"/>
      <c r="T769" s="147"/>
      <c r="U769" s="148"/>
      <c r="V769" s="149"/>
      <c r="W769" s="150"/>
      <c r="X769" s="151"/>
      <c r="Y769" s="44"/>
      <c r="Z769" s="44"/>
      <c r="AA769" s="152"/>
      <c r="AB769" s="152"/>
      <c r="AC769" s="152"/>
      <c r="AD769" s="152"/>
      <c r="AE769" s="152"/>
      <c r="AF769" s="152"/>
      <c r="AG769" s="152"/>
      <c r="AH769" s="44"/>
      <c r="AI769" s="44"/>
      <c r="AJ769" s="44"/>
      <c r="AK769" s="44"/>
      <c r="AL769" s="44"/>
      <c r="AM769" s="44"/>
      <c r="AN769" s="44"/>
    </row>
    <row r="770" spans="1:40">
      <c r="A770" s="44"/>
      <c r="B770" s="44"/>
      <c r="C770" s="44"/>
      <c r="D770" s="44"/>
      <c r="E770" s="44"/>
      <c r="F770" s="43"/>
      <c r="G770" s="44"/>
      <c r="H770" s="45"/>
      <c r="I770" s="44"/>
      <c r="J770" s="44"/>
      <c r="K770" s="143"/>
      <c r="L770" s="144"/>
      <c r="M770" s="143"/>
      <c r="N770" s="143"/>
      <c r="O770" s="44"/>
      <c r="P770" s="44"/>
      <c r="Q770" s="45"/>
      <c r="R770" s="147"/>
      <c r="S770" s="147"/>
      <c r="T770" s="147"/>
      <c r="U770" s="148"/>
      <c r="V770" s="149"/>
      <c r="W770" s="150"/>
      <c r="X770" s="151"/>
      <c r="Y770" s="44"/>
      <c r="Z770" s="44"/>
      <c r="AA770" s="152"/>
      <c r="AB770" s="152"/>
      <c r="AC770" s="152"/>
      <c r="AD770" s="152"/>
      <c r="AE770" s="152"/>
      <c r="AF770" s="152"/>
      <c r="AG770" s="152"/>
      <c r="AH770" s="44"/>
      <c r="AI770" s="44"/>
      <c r="AJ770" s="44"/>
      <c r="AK770" s="44"/>
      <c r="AL770" s="44"/>
      <c r="AM770" s="44"/>
      <c r="AN770" s="44"/>
    </row>
    <row r="771" spans="1:40">
      <c r="A771" s="44"/>
      <c r="B771" s="44"/>
      <c r="C771" s="44"/>
      <c r="D771" s="44"/>
      <c r="E771" s="44"/>
      <c r="F771" s="43"/>
      <c r="G771" s="44"/>
      <c r="H771" s="45"/>
      <c r="I771" s="44"/>
      <c r="J771" s="44"/>
      <c r="K771" s="143"/>
      <c r="L771" s="144"/>
      <c r="M771" s="143"/>
      <c r="N771" s="143"/>
      <c r="O771" s="44"/>
      <c r="P771" s="44"/>
      <c r="Q771" s="45"/>
      <c r="R771" s="147"/>
      <c r="S771" s="147"/>
      <c r="T771" s="147"/>
      <c r="U771" s="148"/>
      <c r="V771" s="149"/>
      <c r="W771" s="150"/>
      <c r="X771" s="151"/>
      <c r="Y771" s="44"/>
      <c r="Z771" s="44"/>
      <c r="AA771" s="152"/>
      <c r="AB771" s="152"/>
      <c r="AC771" s="152"/>
      <c r="AD771" s="152"/>
      <c r="AE771" s="152"/>
      <c r="AF771" s="152"/>
      <c r="AG771" s="152"/>
      <c r="AH771" s="44"/>
      <c r="AI771" s="44"/>
      <c r="AJ771" s="44"/>
      <c r="AK771" s="44"/>
      <c r="AL771" s="44"/>
      <c r="AM771" s="44"/>
      <c r="AN771" s="44"/>
    </row>
    <row r="772" spans="1:40">
      <c r="A772" s="44"/>
      <c r="B772" s="44"/>
      <c r="C772" s="44"/>
      <c r="D772" s="44"/>
      <c r="E772" s="44"/>
      <c r="F772" s="43"/>
      <c r="G772" s="44"/>
      <c r="H772" s="45"/>
      <c r="I772" s="44"/>
      <c r="J772" s="44"/>
      <c r="K772" s="143"/>
      <c r="L772" s="144"/>
      <c r="M772" s="143"/>
      <c r="N772" s="143"/>
      <c r="O772" s="44"/>
      <c r="P772" s="44"/>
      <c r="Q772" s="45"/>
      <c r="R772" s="147"/>
      <c r="S772" s="147"/>
      <c r="T772" s="147"/>
      <c r="U772" s="148"/>
      <c r="V772" s="149"/>
      <c r="W772" s="150"/>
      <c r="X772" s="151"/>
      <c r="Y772" s="44"/>
      <c r="Z772" s="44"/>
      <c r="AA772" s="152"/>
      <c r="AB772" s="152"/>
      <c r="AC772" s="152"/>
      <c r="AD772" s="152"/>
      <c r="AE772" s="152"/>
      <c r="AF772" s="152"/>
      <c r="AG772" s="152"/>
      <c r="AH772" s="44"/>
      <c r="AI772" s="44"/>
      <c r="AJ772" s="44"/>
      <c r="AK772" s="44"/>
      <c r="AL772" s="44"/>
      <c r="AM772" s="44"/>
      <c r="AN772" s="44"/>
    </row>
    <row r="773" spans="1:40">
      <c r="A773" s="44"/>
      <c r="B773" s="44"/>
      <c r="C773" s="44"/>
      <c r="D773" s="44"/>
      <c r="E773" s="44"/>
      <c r="F773" s="43"/>
      <c r="G773" s="44"/>
      <c r="H773" s="45"/>
      <c r="I773" s="44"/>
      <c r="J773" s="44"/>
      <c r="K773" s="143"/>
      <c r="L773" s="144"/>
      <c r="M773" s="143"/>
      <c r="N773" s="143"/>
      <c r="O773" s="44"/>
      <c r="P773" s="44"/>
      <c r="Q773" s="45"/>
      <c r="R773" s="147"/>
      <c r="S773" s="147"/>
      <c r="T773" s="147"/>
      <c r="U773" s="148"/>
      <c r="V773" s="149"/>
      <c r="W773" s="150"/>
      <c r="X773" s="151"/>
      <c r="Y773" s="44"/>
      <c r="Z773" s="44"/>
      <c r="AA773" s="152"/>
      <c r="AB773" s="152"/>
      <c r="AC773" s="152"/>
      <c r="AD773" s="152"/>
      <c r="AE773" s="152"/>
      <c r="AF773" s="152"/>
      <c r="AG773" s="152"/>
      <c r="AH773" s="44"/>
      <c r="AI773" s="44"/>
      <c r="AJ773" s="44"/>
      <c r="AK773" s="44"/>
      <c r="AL773" s="44"/>
      <c r="AM773" s="44"/>
      <c r="AN773" s="44"/>
    </row>
    <row r="774" spans="1:40">
      <c r="A774" s="44"/>
      <c r="B774" s="44"/>
      <c r="C774" s="44"/>
      <c r="D774" s="44"/>
      <c r="E774" s="44"/>
      <c r="F774" s="43"/>
      <c r="G774" s="44"/>
      <c r="H774" s="45"/>
      <c r="I774" s="44"/>
      <c r="J774" s="44"/>
      <c r="K774" s="143"/>
      <c r="L774" s="144"/>
      <c r="M774" s="143"/>
      <c r="N774" s="143"/>
      <c r="O774" s="44"/>
      <c r="P774" s="44"/>
      <c r="Q774" s="45"/>
      <c r="R774" s="147"/>
      <c r="S774" s="147"/>
      <c r="T774" s="147"/>
      <c r="U774" s="148"/>
      <c r="V774" s="149"/>
      <c r="W774" s="150"/>
      <c r="X774" s="151"/>
      <c r="Y774" s="44"/>
      <c r="Z774" s="44"/>
      <c r="AA774" s="152"/>
      <c r="AB774" s="152"/>
      <c r="AC774" s="152"/>
      <c r="AD774" s="152"/>
      <c r="AE774" s="152"/>
      <c r="AF774" s="152"/>
      <c r="AG774" s="152"/>
      <c r="AH774" s="44"/>
      <c r="AI774" s="44"/>
      <c r="AJ774" s="44"/>
      <c r="AK774" s="44"/>
      <c r="AL774" s="44"/>
      <c r="AM774" s="44"/>
      <c r="AN774" s="44"/>
    </row>
    <row r="775" spans="1:40">
      <c r="A775" s="44"/>
      <c r="B775" s="44"/>
      <c r="C775" s="44"/>
      <c r="D775" s="44"/>
      <c r="E775" s="44"/>
      <c r="F775" s="43"/>
      <c r="G775" s="44"/>
      <c r="H775" s="45"/>
      <c r="I775" s="44"/>
      <c r="J775" s="44"/>
      <c r="K775" s="143"/>
      <c r="L775" s="144"/>
      <c r="M775" s="143"/>
      <c r="N775" s="143"/>
      <c r="O775" s="44"/>
      <c r="P775" s="44"/>
      <c r="Q775" s="45"/>
      <c r="R775" s="147"/>
      <c r="S775" s="147"/>
      <c r="T775" s="147"/>
      <c r="U775" s="148"/>
      <c r="V775" s="149"/>
      <c r="W775" s="150"/>
      <c r="X775" s="151"/>
      <c r="Y775" s="44"/>
      <c r="Z775" s="44"/>
      <c r="AA775" s="152"/>
      <c r="AB775" s="152"/>
      <c r="AC775" s="152"/>
      <c r="AD775" s="152"/>
      <c r="AE775" s="152"/>
      <c r="AF775" s="152"/>
      <c r="AG775" s="152"/>
      <c r="AH775" s="44"/>
      <c r="AI775" s="44"/>
      <c r="AJ775" s="44"/>
      <c r="AK775" s="44"/>
      <c r="AL775" s="44"/>
      <c r="AM775" s="44"/>
      <c r="AN775" s="44"/>
    </row>
    <row r="776" spans="1:40">
      <c r="A776" s="44"/>
      <c r="B776" s="44"/>
      <c r="C776" s="44"/>
      <c r="D776" s="44"/>
      <c r="E776" s="44"/>
      <c r="F776" s="43"/>
      <c r="G776" s="44"/>
      <c r="H776" s="45"/>
      <c r="I776" s="44"/>
      <c r="J776" s="44"/>
      <c r="K776" s="143"/>
      <c r="L776" s="144"/>
      <c r="M776" s="143"/>
      <c r="N776" s="143"/>
      <c r="O776" s="44"/>
      <c r="P776" s="44"/>
      <c r="Q776" s="45"/>
      <c r="R776" s="147"/>
      <c r="S776" s="147"/>
      <c r="T776" s="147"/>
      <c r="U776" s="148"/>
      <c r="V776" s="149"/>
      <c r="W776" s="150"/>
      <c r="X776" s="151"/>
      <c r="Y776" s="44"/>
      <c r="Z776" s="44"/>
      <c r="AA776" s="152"/>
      <c r="AB776" s="152"/>
      <c r="AC776" s="152"/>
      <c r="AD776" s="152"/>
      <c r="AE776" s="152"/>
      <c r="AF776" s="152"/>
      <c r="AG776" s="152"/>
      <c r="AH776" s="44"/>
      <c r="AI776" s="44"/>
      <c r="AJ776" s="44"/>
      <c r="AK776" s="44"/>
      <c r="AL776" s="44"/>
      <c r="AM776" s="44"/>
      <c r="AN776" s="44"/>
    </row>
    <row r="777" spans="1:40">
      <c r="A777" s="44"/>
      <c r="B777" s="44"/>
      <c r="C777" s="44"/>
      <c r="D777" s="44"/>
      <c r="E777" s="44"/>
      <c r="F777" s="43"/>
      <c r="G777" s="44"/>
      <c r="H777" s="45"/>
      <c r="I777" s="44"/>
      <c r="J777" s="44"/>
      <c r="K777" s="143"/>
      <c r="L777" s="144"/>
      <c r="M777" s="143"/>
      <c r="N777" s="143"/>
      <c r="O777" s="44"/>
      <c r="P777" s="44"/>
      <c r="Q777" s="45"/>
      <c r="R777" s="147"/>
      <c r="S777" s="147"/>
      <c r="T777" s="147"/>
      <c r="U777" s="148"/>
      <c r="V777" s="149"/>
      <c r="W777" s="150"/>
      <c r="X777" s="151"/>
      <c r="Y777" s="44"/>
      <c r="Z777" s="44"/>
      <c r="AA777" s="152"/>
      <c r="AB777" s="152"/>
      <c r="AC777" s="152"/>
      <c r="AD777" s="152"/>
      <c r="AE777" s="152"/>
      <c r="AF777" s="152"/>
      <c r="AG777" s="152"/>
      <c r="AH777" s="44"/>
      <c r="AI777" s="44"/>
      <c r="AJ777" s="44"/>
      <c r="AK777" s="44"/>
      <c r="AL777" s="44"/>
      <c r="AM777" s="44"/>
      <c r="AN777" s="44"/>
    </row>
    <row r="778" spans="1:40">
      <c r="A778" s="44"/>
      <c r="B778" s="44"/>
      <c r="C778" s="44"/>
      <c r="D778" s="44"/>
      <c r="E778" s="44"/>
      <c r="F778" s="43"/>
      <c r="G778" s="44"/>
      <c r="H778" s="45"/>
      <c r="I778" s="44"/>
      <c r="J778" s="44"/>
      <c r="K778" s="143"/>
      <c r="L778" s="144"/>
      <c r="M778" s="143"/>
      <c r="N778" s="143"/>
      <c r="O778" s="44"/>
      <c r="P778" s="44"/>
      <c r="Q778" s="45"/>
      <c r="R778" s="147"/>
      <c r="S778" s="147"/>
      <c r="T778" s="147"/>
      <c r="U778" s="148"/>
      <c r="V778" s="149"/>
      <c r="W778" s="150"/>
      <c r="X778" s="151"/>
      <c r="Y778" s="44"/>
      <c r="Z778" s="44"/>
      <c r="AA778" s="152"/>
      <c r="AB778" s="152"/>
      <c r="AC778" s="152"/>
      <c r="AD778" s="152"/>
      <c r="AE778" s="152"/>
      <c r="AF778" s="152"/>
      <c r="AG778" s="152"/>
      <c r="AH778" s="44"/>
      <c r="AI778" s="44"/>
      <c r="AJ778" s="44"/>
      <c r="AK778" s="44"/>
      <c r="AL778" s="44"/>
      <c r="AM778" s="44"/>
      <c r="AN778" s="44"/>
    </row>
    <row r="779" spans="1:40">
      <c r="A779" s="44"/>
      <c r="B779" s="44"/>
      <c r="C779" s="44"/>
      <c r="D779" s="44"/>
      <c r="E779" s="44"/>
      <c r="F779" s="43"/>
      <c r="G779" s="44"/>
      <c r="H779" s="45"/>
      <c r="I779" s="44"/>
      <c r="J779" s="44"/>
      <c r="K779" s="143"/>
      <c r="L779" s="144"/>
      <c r="M779" s="143"/>
      <c r="N779" s="143"/>
      <c r="O779" s="44"/>
      <c r="P779" s="44"/>
      <c r="Q779" s="45"/>
      <c r="R779" s="147"/>
      <c r="S779" s="147"/>
      <c r="T779" s="147"/>
      <c r="U779" s="148"/>
      <c r="V779" s="149"/>
      <c r="W779" s="150"/>
      <c r="X779" s="151"/>
      <c r="Y779" s="44"/>
      <c r="Z779" s="44"/>
      <c r="AA779" s="152"/>
      <c r="AB779" s="152"/>
      <c r="AC779" s="152"/>
      <c r="AD779" s="152"/>
      <c r="AE779" s="152"/>
      <c r="AF779" s="152"/>
      <c r="AG779" s="152"/>
      <c r="AH779" s="44"/>
      <c r="AI779" s="44"/>
      <c r="AJ779" s="44"/>
      <c r="AK779" s="44"/>
      <c r="AL779" s="44"/>
      <c r="AM779" s="44"/>
      <c r="AN779" s="44"/>
    </row>
    <row r="780" spans="1:40">
      <c r="A780" s="44"/>
      <c r="B780" s="44"/>
      <c r="C780" s="44"/>
      <c r="D780" s="44"/>
      <c r="E780" s="44"/>
      <c r="F780" s="43"/>
      <c r="G780" s="44"/>
      <c r="H780" s="45"/>
      <c r="I780" s="44"/>
      <c r="J780" s="44"/>
      <c r="K780" s="143"/>
      <c r="L780" s="144"/>
      <c r="M780" s="143"/>
      <c r="N780" s="143"/>
      <c r="O780" s="44"/>
      <c r="P780" s="44"/>
      <c r="Q780" s="45"/>
      <c r="R780" s="147"/>
      <c r="S780" s="147"/>
      <c r="T780" s="147"/>
      <c r="U780" s="148"/>
      <c r="V780" s="149"/>
      <c r="W780" s="150"/>
      <c r="X780" s="151"/>
      <c r="Y780" s="44"/>
      <c r="Z780" s="44"/>
      <c r="AA780" s="152"/>
      <c r="AB780" s="152"/>
      <c r="AC780" s="152"/>
      <c r="AD780" s="152"/>
      <c r="AE780" s="152"/>
      <c r="AF780" s="152"/>
      <c r="AG780" s="152"/>
      <c r="AH780" s="44"/>
      <c r="AI780" s="44"/>
      <c r="AJ780" s="44"/>
      <c r="AK780" s="44"/>
      <c r="AL780" s="44"/>
      <c r="AM780" s="44"/>
      <c r="AN780" s="44"/>
    </row>
    <row r="781" spans="1:40">
      <c r="A781" s="44"/>
      <c r="B781" s="44"/>
      <c r="C781" s="44"/>
      <c r="D781" s="44"/>
      <c r="E781" s="44"/>
      <c r="F781" s="43"/>
      <c r="G781" s="44"/>
      <c r="H781" s="45"/>
      <c r="I781" s="44"/>
      <c r="J781" s="44"/>
      <c r="K781" s="143"/>
      <c r="L781" s="144"/>
      <c r="M781" s="143"/>
      <c r="N781" s="143"/>
      <c r="O781" s="44"/>
      <c r="P781" s="44"/>
      <c r="Q781" s="45"/>
      <c r="R781" s="147"/>
      <c r="S781" s="147"/>
      <c r="T781" s="147"/>
      <c r="U781" s="148"/>
      <c r="V781" s="149"/>
      <c r="W781" s="150"/>
      <c r="X781" s="151"/>
      <c r="Y781" s="44"/>
      <c r="Z781" s="44"/>
      <c r="AA781" s="152"/>
      <c r="AB781" s="152"/>
      <c r="AC781" s="152"/>
      <c r="AD781" s="152"/>
      <c r="AE781" s="152"/>
      <c r="AF781" s="152"/>
      <c r="AG781" s="152"/>
      <c r="AH781" s="44"/>
      <c r="AI781" s="44"/>
      <c r="AJ781" s="44"/>
      <c r="AK781" s="44"/>
      <c r="AL781" s="44"/>
      <c r="AM781" s="44"/>
      <c r="AN781" s="44"/>
    </row>
    <row r="782" spans="1:40">
      <c r="A782" s="44"/>
      <c r="B782" s="44"/>
      <c r="C782" s="44"/>
      <c r="D782" s="44"/>
      <c r="E782" s="44"/>
      <c r="F782" s="43"/>
      <c r="G782" s="44"/>
      <c r="H782" s="45"/>
      <c r="I782" s="44"/>
      <c r="J782" s="44"/>
      <c r="K782" s="143"/>
      <c r="L782" s="144"/>
      <c r="M782" s="143"/>
      <c r="N782" s="143"/>
      <c r="O782" s="44"/>
      <c r="P782" s="44"/>
      <c r="Q782" s="45"/>
      <c r="R782" s="147"/>
      <c r="S782" s="147"/>
      <c r="T782" s="147"/>
      <c r="U782" s="148"/>
      <c r="V782" s="149"/>
      <c r="W782" s="150"/>
      <c r="X782" s="151"/>
      <c r="Y782" s="44"/>
      <c r="Z782" s="44"/>
      <c r="AA782" s="152"/>
      <c r="AB782" s="152"/>
      <c r="AC782" s="152"/>
      <c r="AD782" s="152"/>
      <c r="AE782" s="152"/>
      <c r="AF782" s="152"/>
      <c r="AG782" s="152"/>
      <c r="AH782" s="44"/>
      <c r="AI782" s="44"/>
      <c r="AJ782" s="44"/>
      <c r="AK782" s="44"/>
      <c r="AL782" s="44"/>
      <c r="AM782" s="44"/>
      <c r="AN782" s="44"/>
    </row>
    <row r="783" spans="1:40">
      <c r="A783" s="44"/>
      <c r="B783" s="44"/>
      <c r="C783" s="44"/>
      <c r="D783" s="44"/>
      <c r="E783" s="44"/>
      <c r="F783" s="43"/>
      <c r="G783" s="44"/>
      <c r="H783" s="45"/>
      <c r="I783" s="44"/>
      <c r="J783" s="44"/>
      <c r="K783" s="143"/>
      <c r="L783" s="144"/>
      <c r="M783" s="143"/>
      <c r="N783" s="143"/>
      <c r="O783" s="44"/>
      <c r="P783" s="44"/>
      <c r="Q783" s="45"/>
      <c r="R783" s="147"/>
      <c r="S783" s="147"/>
      <c r="T783" s="147"/>
      <c r="U783" s="148"/>
      <c r="V783" s="149"/>
      <c r="W783" s="150"/>
      <c r="X783" s="151"/>
      <c r="Y783" s="44"/>
      <c r="Z783" s="44"/>
      <c r="AA783" s="152"/>
      <c r="AB783" s="152"/>
      <c r="AC783" s="152"/>
      <c r="AD783" s="152"/>
      <c r="AE783" s="152"/>
      <c r="AF783" s="152"/>
      <c r="AG783" s="152"/>
      <c r="AH783" s="44"/>
      <c r="AI783" s="44"/>
      <c r="AJ783" s="44"/>
      <c r="AK783" s="44"/>
      <c r="AL783" s="44"/>
      <c r="AM783" s="44"/>
      <c r="AN783" s="44"/>
    </row>
    <row r="784" spans="1:40">
      <c r="A784" s="44"/>
      <c r="B784" s="44"/>
      <c r="C784" s="44"/>
      <c r="D784" s="44"/>
      <c r="E784" s="44"/>
      <c r="F784" s="43"/>
      <c r="G784" s="44"/>
      <c r="H784" s="45"/>
      <c r="I784" s="44"/>
      <c r="J784" s="44"/>
      <c r="K784" s="143"/>
      <c r="L784" s="144"/>
      <c r="M784" s="143"/>
      <c r="N784" s="143"/>
      <c r="O784" s="44"/>
      <c r="P784" s="44"/>
      <c r="Q784" s="45"/>
      <c r="R784" s="147"/>
      <c r="S784" s="147"/>
      <c r="T784" s="147"/>
      <c r="U784" s="148"/>
      <c r="V784" s="149"/>
      <c r="W784" s="150"/>
      <c r="X784" s="151"/>
      <c r="Y784" s="44"/>
      <c r="Z784" s="44"/>
      <c r="AA784" s="152"/>
      <c r="AB784" s="152"/>
      <c r="AC784" s="152"/>
      <c r="AD784" s="152"/>
      <c r="AE784" s="152"/>
      <c r="AF784" s="152"/>
      <c r="AG784" s="152"/>
      <c r="AH784" s="44"/>
      <c r="AI784" s="44"/>
      <c r="AJ784" s="44"/>
      <c r="AK784" s="44"/>
      <c r="AL784" s="44"/>
      <c r="AM784" s="44"/>
      <c r="AN784" s="44"/>
    </row>
    <row r="785" spans="1:40">
      <c r="A785" s="44"/>
      <c r="B785" s="44"/>
      <c r="C785" s="44"/>
      <c r="D785" s="44"/>
      <c r="E785" s="44"/>
      <c r="F785" s="43"/>
      <c r="G785" s="44"/>
      <c r="H785" s="45"/>
      <c r="I785" s="44"/>
      <c r="J785" s="44"/>
      <c r="K785" s="143"/>
      <c r="L785" s="144"/>
      <c r="M785" s="143"/>
      <c r="N785" s="143"/>
      <c r="O785" s="44"/>
      <c r="P785" s="44"/>
      <c r="Q785" s="45"/>
      <c r="R785" s="147"/>
      <c r="S785" s="147"/>
      <c r="T785" s="147"/>
      <c r="U785" s="148"/>
      <c r="V785" s="149"/>
      <c r="W785" s="150"/>
      <c r="X785" s="151"/>
      <c r="Y785" s="44"/>
      <c r="Z785" s="44"/>
      <c r="AA785" s="152"/>
      <c r="AB785" s="152"/>
      <c r="AC785" s="152"/>
      <c r="AD785" s="152"/>
      <c r="AE785" s="152"/>
      <c r="AF785" s="152"/>
      <c r="AG785" s="152"/>
      <c r="AH785" s="44"/>
      <c r="AI785" s="44"/>
      <c r="AJ785" s="44"/>
      <c r="AK785" s="44"/>
      <c r="AL785" s="44"/>
      <c r="AM785" s="44"/>
      <c r="AN785" s="44"/>
    </row>
    <row r="786" spans="1:40">
      <c r="A786" s="44"/>
      <c r="B786" s="44"/>
      <c r="C786" s="44"/>
      <c r="D786" s="44"/>
      <c r="E786" s="44"/>
      <c r="F786" s="43"/>
      <c r="G786" s="44"/>
      <c r="H786" s="45"/>
      <c r="I786" s="44"/>
      <c r="J786" s="44"/>
      <c r="K786" s="143"/>
      <c r="L786" s="144"/>
      <c r="M786" s="143"/>
      <c r="N786" s="143"/>
      <c r="O786" s="44"/>
      <c r="P786" s="44"/>
      <c r="Q786" s="45"/>
      <c r="R786" s="147"/>
      <c r="S786" s="147"/>
      <c r="T786" s="147"/>
      <c r="U786" s="148"/>
      <c r="V786" s="149"/>
      <c r="W786" s="150"/>
      <c r="X786" s="151"/>
      <c r="Y786" s="44"/>
      <c r="Z786" s="44"/>
      <c r="AA786" s="152"/>
      <c r="AB786" s="152"/>
      <c r="AC786" s="152"/>
      <c r="AD786" s="152"/>
      <c r="AE786" s="152"/>
      <c r="AF786" s="152"/>
      <c r="AG786" s="152"/>
      <c r="AH786" s="44"/>
      <c r="AI786" s="44"/>
      <c r="AJ786" s="44"/>
      <c r="AK786" s="44"/>
      <c r="AL786" s="44"/>
      <c r="AM786" s="44"/>
      <c r="AN786" s="44"/>
    </row>
    <row r="787" spans="1:40">
      <c r="A787" s="44"/>
      <c r="B787" s="44"/>
      <c r="C787" s="44"/>
      <c r="D787" s="44"/>
      <c r="E787" s="44"/>
      <c r="F787" s="43"/>
      <c r="G787" s="44"/>
      <c r="H787" s="45"/>
      <c r="I787" s="44"/>
      <c r="J787" s="44"/>
      <c r="K787" s="143"/>
      <c r="L787" s="144"/>
      <c r="M787" s="143"/>
      <c r="N787" s="143"/>
      <c r="O787" s="44"/>
      <c r="P787" s="44"/>
      <c r="Q787" s="45"/>
      <c r="R787" s="147"/>
      <c r="S787" s="147"/>
      <c r="T787" s="147"/>
      <c r="U787" s="148"/>
      <c r="V787" s="149"/>
      <c r="W787" s="150"/>
      <c r="X787" s="151"/>
      <c r="Y787" s="44"/>
      <c r="Z787" s="44"/>
      <c r="AA787" s="152"/>
      <c r="AB787" s="152"/>
      <c r="AC787" s="152"/>
      <c r="AD787" s="152"/>
      <c r="AE787" s="152"/>
      <c r="AF787" s="152"/>
      <c r="AG787" s="152"/>
      <c r="AH787" s="44"/>
      <c r="AI787" s="44"/>
      <c r="AJ787" s="44"/>
      <c r="AK787" s="44"/>
      <c r="AL787" s="44"/>
      <c r="AM787" s="44"/>
      <c r="AN787" s="44"/>
    </row>
    <row r="788" spans="1:40">
      <c r="A788" s="44"/>
      <c r="B788" s="44"/>
      <c r="C788" s="44"/>
      <c r="D788" s="44"/>
      <c r="E788" s="44"/>
      <c r="F788" s="43"/>
      <c r="G788" s="44"/>
      <c r="H788" s="45"/>
      <c r="I788" s="44"/>
      <c r="J788" s="44"/>
      <c r="K788" s="143"/>
      <c r="L788" s="144"/>
      <c r="M788" s="143"/>
      <c r="N788" s="143"/>
      <c r="O788" s="44"/>
      <c r="P788" s="44"/>
      <c r="Q788" s="45"/>
      <c r="R788" s="147"/>
      <c r="S788" s="147"/>
      <c r="T788" s="147"/>
      <c r="U788" s="148"/>
      <c r="V788" s="149"/>
      <c r="W788" s="150"/>
      <c r="X788" s="151"/>
      <c r="Y788" s="44"/>
      <c r="Z788" s="44"/>
      <c r="AA788" s="152"/>
      <c r="AB788" s="152"/>
      <c r="AC788" s="152"/>
      <c r="AD788" s="152"/>
      <c r="AE788" s="152"/>
      <c r="AF788" s="152"/>
      <c r="AG788" s="152"/>
      <c r="AH788" s="44"/>
      <c r="AI788" s="44"/>
      <c r="AJ788" s="44"/>
      <c r="AK788" s="44"/>
      <c r="AL788" s="44"/>
      <c r="AM788" s="44"/>
      <c r="AN788" s="44"/>
    </row>
    <row r="789" spans="1:40">
      <c r="A789" s="44"/>
      <c r="B789" s="44"/>
      <c r="C789" s="44"/>
      <c r="D789" s="44"/>
      <c r="E789" s="44"/>
      <c r="F789" s="43"/>
      <c r="G789" s="44"/>
      <c r="H789" s="45"/>
      <c r="I789" s="44"/>
      <c r="J789" s="44"/>
      <c r="K789" s="143"/>
      <c r="L789" s="144"/>
      <c r="M789" s="143"/>
      <c r="N789" s="143"/>
      <c r="O789" s="44"/>
      <c r="P789" s="44"/>
      <c r="Q789" s="45"/>
      <c r="R789" s="147"/>
      <c r="S789" s="147"/>
      <c r="T789" s="147"/>
      <c r="U789" s="148"/>
      <c r="V789" s="149"/>
      <c r="W789" s="150"/>
      <c r="X789" s="151"/>
      <c r="Y789" s="44"/>
      <c r="Z789" s="44"/>
      <c r="AA789" s="152"/>
      <c r="AB789" s="152"/>
      <c r="AC789" s="152"/>
      <c r="AD789" s="152"/>
      <c r="AE789" s="152"/>
      <c r="AF789" s="152"/>
      <c r="AG789" s="152"/>
      <c r="AH789" s="44"/>
      <c r="AI789" s="44"/>
      <c r="AJ789" s="44"/>
      <c r="AK789" s="44"/>
      <c r="AL789" s="44"/>
      <c r="AM789" s="44"/>
      <c r="AN789" s="44"/>
    </row>
    <row r="790" spans="1:40">
      <c r="A790" s="44"/>
      <c r="B790" s="44"/>
      <c r="C790" s="44"/>
      <c r="D790" s="44"/>
      <c r="E790" s="44"/>
      <c r="F790" s="43"/>
      <c r="G790" s="44"/>
      <c r="H790" s="45"/>
      <c r="I790" s="44"/>
      <c r="J790" s="44"/>
      <c r="K790" s="143"/>
      <c r="L790" s="144"/>
      <c r="M790" s="143"/>
      <c r="N790" s="143"/>
      <c r="O790" s="44"/>
      <c r="P790" s="44"/>
      <c r="Q790" s="45"/>
      <c r="R790" s="147"/>
      <c r="S790" s="147"/>
      <c r="T790" s="147"/>
      <c r="U790" s="148"/>
      <c r="V790" s="149"/>
      <c r="W790" s="150"/>
      <c r="X790" s="151"/>
      <c r="Y790" s="44"/>
      <c r="Z790" s="44"/>
      <c r="AA790" s="152"/>
      <c r="AB790" s="152"/>
      <c r="AC790" s="152"/>
      <c r="AD790" s="152"/>
      <c r="AE790" s="152"/>
      <c r="AF790" s="152"/>
      <c r="AG790" s="152"/>
      <c r="AH790" s="44"/>
      <c r="AI790" s="44"/>
      <c r="AJ790" s="44"/>
      <c r="AK790" s="44"/>
      <c r="AL790" s="44"/>
      <c r="AM790" s="44"/>
      <c r="AN790" s="44"/>
    </row>
    <row r="791" spans="1:40">
      <c r="A791" s="44"/>
      <c r="B791" s="44"/>
      <c r="C791" s="44"/>
      <c r="D791" s="44"/>
      <c r="E791" s="44"/>
      <c r="F791" s="43"/>
      <c r="G791" s="44"/>
      <c r="H791" s="45"/>
      <c r="I791" s="44"/>
      <c r="J791" s="44"/>
      <c r="K791" s="143"/>
      <c r="L791" s="144"/>
      <c r="M791" s="143"/>
      <c r="N791" s="143"/>
      <c r="O791" s="44"/>
      <c r="P791" s="44"/>
      <c r="Q791" s="45"/>
      <c r="R791" s="147"/>
      <c r="S791" s="147"/>
      <c r="T791" s="147"/>
      <c r="U791" s="148"/>
      <c r="V791" s="149"/>
      <c r="W791" s="150"/>
      <c r="X791" s="151"/>
      <c r="Y791" s="44"/>
      <c r="Z791" s="44"/>
      <c r="AA791" s="152"/>
      <c r="AB791" s="152"/>
      <c r="AC791" s="152"/>
      <c r="AD791" s="152"/>
      <c r="AE791" s="152"/>
      <c r="AF791" s="152"/>
      <c r="AG791" s="152"/>
      <c r="AH791" s="44"/>
      <c r="AI791" s="44"/>
      <c r="AJ791" s="44"/>
      <c r="AK791" s="44"/>
      <c r="AL791" s="44"/>
      <c r="AM791" s="44"/>
      <c r="AN791" s="44"/>
    </row>
    <row r="792" spans="1:40">
      <c r="A792" s="44"/>
      <c r="B792" s="44"/>
      <c r="C792" s="44"/>
      <c r="D792" s="44"/>
      <c r="E792" s="44"/>
      <c r="F792" s="43"/>
      <c r="G792" s="44"/>
      <c r="H792" s="45"/>
      <c r="I792" s="44"/>
      <c r="J792" s="44"/>
      <c r="K792" s="143"/>
      <c r="L792" s="144"/>
      <c r="M792" s="143"/>
      <c r="N792" s="143"/>
      <c r="O792" s="44"/>
      <c r="P792" s="44"/>
      <c r="Q792" s="45"/>
      <c r="R792" s="147"/>
      <c r="S792" s="147"/>
      <c r="T792" s="147"/>
      <c r="U792" s="148"/>
      <c r="V792" s="149"/>
      <c r="W792" s="150"/>
      <c r="X792" s="151"/>
      <c r="Y792" s="44"/>
      <c r="Z792" s="44"/>
      <c r="AA792" s="152"/>
      <c r="AB792" s="152"/>
      <c r="AC792" s="152"/>
      <c r="AD792" s="152"/>
      <c r="AE792" s="152"/>
      <c r="AF792" s="152"/>
      <c r="AG792" s="152"/>
      <c r="AH792" s="44"/>
      <c r="AI792" s="44"/>
      <c r="AJ792" s="44"/>
      <c r="AK792" s="44"/>
      <c r="AL792" s="44"/>
      <c r="AM792" s="44"/>
      <c r="AN792" s="44"/>
    </row>
    <row r="793" spans="1:40">
      <c r="A793" s="44"/>
      <c r="B793" s="44"/>
      <c r="C793" s="44"/>
      <c r="D793" s="44"/>
      <c r="E793" s="44"/>
      <c r="F793" s="43"/>
      <c r="G793" s="44"/>
      <c r="H793" s="45"/>
      <c r="I793" s="44"/>
      <c r="J793" s="44"/>
      <c r="K793" s="143"/>
      <c r="L793" s="144"/>
      <c r="M793" s="143"/>
      <c r="N793" s="143"/>
      <c r="O793" s="44"/>
      <c r="P793" s="44"/>
      <c r="Q793" s="45"/>
      <c r="R793" s="147"/>
      <c r="S793" s="147"/>
      <c r="T793" s="147"/>
      <c r="U793" s="148"/>
      <c r="V793" s="149"/>
      <c r="W793" s="150"/>
      <c r="X793" s="151"/>
      <c r="Y793" s="44"/>
      <c r="Z793" s="44"/>
      <c r="AA793" s="152"/>
      <c r="AB793" s="152"/>
      <c r="AC793" s="152"/>
      <c r="AD793" s="152"/>
      <c r="AE793" s="152"/>
      <c r="AF793" s="152"/>
      <c r="AG793" s="152"/>
      <c r="AH793" s="44"/>
      <c r="AI793" s="44"/>
      <c r="AJ793" s="44"/>
      <c r="AK793" s="44"/>
      <c r="AL793" s="44"/>
      <c r="AM793" s="44"/>
      <c r="AN793" s="44"/>
    </row>
    <row r="794" spans="1:40">
      <c r="A794" s="44"/>
      <c r="B794" s="44"/>
      <c r="C794" s="44"/>
      <c r="D794" s="44"/>
      <c r="E794" s="44"/>
      <c r="F794" s="43"/>
      <c r="G794" s="44"/>
      <c r="H794" s="45"/>
      <c r="I794" s="44"/>
      <c r="J794" s="44"/>
      <c r="K794" s="143"/>
      <c r="L794" s="144"/>
      <c r="M794" s="143"/>
      <c r="N794" s="143"/>
      <c r="O794" s="44"/>
      <c r="P794" s="44"/>
      <c r="Q794" s="45"/>
      <c r="R794" s="147"/>
      <c r="S794" s="147"/>
      <c r="T794" s="147"/>
      <c r="U794" s="148"/>
      <c r="V794" s="149"/>
      <c r="W794" s="150"/>
      <c r="X794" s="151"/>
      <c r="Y794" s="44"/>
      <c r="Z794" s="44"/>
      <c r="AA794" s="152"/>
      <c r="AB794" s="152"/>
      <c r="AC794" s="152"/>
      <c r="AD794" s="152"/>
      <c r="AE794" s="152"/>
      <c r="AF794" s="152"/>
      <c r="AG794" s="152"/>
      <c r="AH794" s="44"/>
      <c r="AI794" s="44"/>
      <c r="AJ794" s="44"/>
      <c r="AK794" s="44"/>
      <c r="AL794" s="44"/>
      <c r="AM794" s="44"/>
      <c r="AN794" s="44"/>
    </row>
    <row r="795" spans="1:40">
      <c r="A795" s="44"/>
      <c r="B795" s="44"/>
      <c r="C795" s="44"/>
      <c r="D795" s="44"/>
      <c r="E795" s="44"/>
      <c r="F795" s="43"/>
      <c r="G795" s="44"/>
      <c r="H795" s="45"/>
      <c r="I795" s="44"/>
      <c r="J795" s="44"/>
      <c r="K795" s="143"/>
      <c r="L795" s="144"/>
      <c r="M795" s="143"/>
      <c r="N795" s="143"/>
      <c r="O795" s="44"/>
      <c r="P795" s="44"/>
      <c r="Q795" s="45"/>
      <c r="R795" s="147"/>
      <c r="S795" s="147"/>
      <c r="T795" s="147"/>
      <c r="U795" s="148"/>
      <c r="V795" s="149"/>
      <c r="W795" s="150"/>
      <c r="X795" s="151"/>
      <c r="Y795" s="44"/>
      <c r="Z795" s="44"/>
      <c r="AA795" s="152"/>
      <c r="AB795" s="152"/>
      <c r="AC795" s="152"/>
      <c r="AD795" s="152"/>
      <c r="AE795" s="152"/>
      <c r="AF795" s="152"/>
      <c r="AG795" s="152"/>
      <c r="AH795" s="44"/>
      <c r="AI795" s="44"/>
      <c r="AJ795" s="44"/>
      <c r="AK795" s="44"/>
      <c r="AL795" s="44"/>
      <c r="AM795" s="44"/>
      <c r="AN795" s="44"/>
    </row>
    <row r="796" spans="1:40">
      <c r="A796" s="44"/>
      <c r="B796" s="44"/>
      <c r="C796" s="44"/>
      <c r="D796" s="44"/>
      <c r="E796" s="44"/>
      <c r="F796" s="43"/>
      <c r="G796" s="44"/>
      <c r="H796" s="45"/>
      <c r="I796" s="44"/>
      <c r="J796" s="44"/>
      <c r="K796" s="143"/>
      <c r="L796" s="144"/>
      <c r="M796" s="143"/>
      <c r="N796" s="143"/>
      <c r="O796" s="44"/>
      <c r="P796" s="44"/>
      <c r="Q796" s="45"/>
      <c r="R796" s="147"/>
      <c r="S796" s="147"/>
      <c r="T796" s="147"/>
      <c r="U796" s="148"/>
      <c r="V796" s="149"/>
      <c r="W796" s="150"/>
      <c r="X796" s="151"/>
      <c r="Y796" s="44"/>
      <c r="Z796" s="44"/>
      <c r="AA796" s="152"/>
      <c r="AB796" s="152"/>
      <c r="AC796" s="152"/>
      <c r="AD796" s="152"/>
      <c r="AE796" s="152"/>
      <c r="AF796" s="152"/>
      <c r="AG796" s="152"/>
      <c r="AH796" s="44"/>
      <c r="AI796" s="44"/>
      <c r="AJ796" s="44"/>
      <c r="AK796" s="44"/>
      <c r="AL796" s="44"/>
      <c r="AM796" s="44"/>
      <c r="AN796" s="44"/>
    </row>
    <row r="797" spans="1:40">
      <c r="A797" s="44"/>
      <c r="B797" s="44"/>
      <c r="C797" s="44"/>
      <c r="D797" s="44"/>
      <c r="E797" s="44"/>
      <c r="F797" s="43"/>
      <c r="G797" s="44"/>
      <c r="H797" s="45"/>
      <c r="I797" s="44"/>
      <c r="J797" s="44"/>
      <c r="K797" s="143"/>
      <c r="L797" s="144"/>
      <c r="M797" s="143"/>
      <c r="N797" s="143"/>
      <c r="O797" s="44"/>
      <c r="P797" s="44"/>
      <c r="Q797" s="45"/>
      <c r="R797" s="147"/>
      <c r="S797" s="147"/>
      <c r="T797" s="147"/>
      <c r="U797" s="148"/>
      <c r="V797" s="149"/>
      <c r="W797" s="150"/>
      <c r="X797" s="151"/>
      <c r="Y797" s="44"/>
      <c r="Z797" s="44"/>
      <c r="AA797" s="152"/>
      <c r="AB797" s="152"/>
      <c r="AC797" s="152"/>
      <c r="AD797" s="152"/>
      <c r="AE797" s="152"/>
      <c r="AF797" s="152"/>
      <c r="AG797" s="152"/>
      <c r="AH797" s="44"/>
      <c r="AI797" s="44"/>
      <c r="AJ797" s="44"/>
      <c r="AK797" s="44"/>
      <c r="AL797" s="44"/>
      <c r="AM797" s="44"/>
      <c r="AN797" s="44"/>
    </row>
    <row r="798" spans="1:40">
      <c r="A798" s="44"/>
      <c r="B798" s="44"/>
      <c r="C798" s="44"/>
      <c r="D798" s="44"/>
      <c r="E798" s="44"/>
      <c r="F798" s="43"/>
      <c r="G798" s="44"/>
      <c r="H798" s="45"/>
      <c r="I798" s="44"/>
      <c r="J798" s="44"/>
      <c r="K798" s="143"/>
      <c r="L798" s="144"/>
      <c r="M798" s="143"/>
      <c r="N798" s="143"/>
      <c r="O798" s="44"/>
      <c r="P798" s="44"/>
      <c r="Q798" s="45"/>
      <c r="R798" s="147"/>
      <c r="S798" s="147"/>
      <c r="T798" s="147"/>
      <c r="U798" s="148"/>
      <c r="V798" s="149"/>
      <c r="W798" s="150"/>
      <c r="X798" s="151"/>
      <c r="Y798" s="44"/>
      <c r="Z798" s="44"/>
      <c r="AA798" s="152"/>
      <c r="AB798" s="152"/>
      <c r="AC798" s="152"/>
      <c r="AD798" s="152"/>
      <c r="AE798" s="152"/>
      <c r="AF798" s="152"/>
      <c r="AG798" s="152"/>
      <c r="AH798" s="44"/>
      <c r="AI798" s="44"/>
      <c r="AJ798" s="44"/>
      <c r="AK798" s="44"/>
      <c r="AL798" s="44"/>
      <c r="AM798" s="44"/>
      <c r="AN798" s="44"/>
    </row>
    <row r="799" spans="1:40">
      <c r="A799" s="44"/>
      <c r="B799" s="44"/>
      <c r="C799" s="44"/>
      <c r="D799" s="44"/>
      <c r="E799" s="44"/>
      <c r="F799" s="43"/>
      <c r="G799" s="44"/>
      <c r="H799" s="45"/>
      <c r="I799" s="44"/>
      <c r="J799" s="44"/>
      <c r="K799" s="143"/>
      <c r="L799" s="144"/>
      <c r="M799" s="143"/>
      <c r="N799" s="143"/>
      <c r="O799" s="44"/>
      <c r="P799" s="44"/>
      <c r="Q799" s="45"/>
      <c r="R799" s="147"/>
      <c r="S799" s="147"/>
      <c r="T799" s="147"/>
      <c r="U799" s="148"/>
      <c r="V799" s="149"/>
      <c r="W799" s="150"/>
      <c r="X799" s="151"/>
      <c r="Y799" s="44"/>
      <c r="Z799" s="44"/>
      <c r="AA799" s="152"/>
      <c r="AB799" s="152"/>
      <c r="AC799" s="152"/>
      <c r="AD799" s="152"/>
      <c r="AE799" s="152"/>
      <c r="AF799" s="152"/>
      <c r="AG799" s="152"/>
      <c r="AH799" s="44"/>
      <c r="AI799" s="44"/>
      <c r="AJ799" s="44"/>
      <c r="AK799" s="44"/>
      <c r="AL799" s="44"/>
      <c r="AM799" s="44"/>
      <c r="AN799" s="44"/>
    </row>
    <row r="800" spans="1:40">
      <c r="A800" s="44"/>
      <c r="B800" s="44"/>
      <c r="C800" s="44"/>
      <c r="D800" s="44"/>
      <c r="E800" s="44"/>
      <c r="F800" s="43"/>
      <c r="G800" s="44"/>
      <c r="H800" s="45"/>
      <c r="I800" s="44"/>
      <c r="J800" s="44"/>
      <c r="K800" s="143"/>
      <c r="L800" s="144"/>
      <c r="M800" s="143"/>
      <c r="N800" s="143"/>
      <c r="O800" s="44"/>
      <c r="P800" s="44"/>
      <c r="Q800" s="45"/>
      <c r="R800" s="147"/>
      <c r="S800" s="147"/>
      <c r="T800" s="147"/>
      <c r="U800" s="148"/>
      <c r="V800" s="149"/>
      <c r="W800" s="150"/>
      <c r="X800" s="151"/>
      <c r="Y800" s="44"/>
      <c r="Z800" s="44"/>
      <c r="AA800" s="152"/>
      <c r="AB800" s="152"/>
      <c r="AC800" s="152"/>
      <c r="AD800" s="152"/>
      <c r="AE800" s="152"/>
      <c r="AF800" s="152"/>
      <c r="AG800" s="152"/>
      <c r="AH800" s="44"/>
      <c r="AI800" s="44"/>
      <c r="AJ800" s="44"/>
      <c r="AK800" s="44"/>
      <c r="AL800" s="44"/>
      <c r="AM800" s="44"/>
      <c r="AN800" s="44"/>
    </row>
    <row r="801" spans="1:40">
      <c r="A801" s="44"/>
      <c r="B801" s="44"/>
      <c r="C801" s="44"/>
      <c r="D801" s="44"/>
      <c r="E801" s="44"/>
      <c r="F801" s="43"/>
      <c r="G801" s="44"/>
      <c r="H801" s="45"/>
      <c r="I801" s="44"/>
      <c r="J801" s="44"/>
      <c r="K801" s="143"/>
      <c r="L801" s="144"/>
      <c r="M801" s="143"/>
      <c r="N801" s="143"/>
      <c r="O801" s="44"/>
      <c r="P801" s="44"/>
      <c r="Q801" s="45"/>
      <c r="R801" s="147"/>
      <c r="S801" s="147"/>
      <c r="T801" s="147"/>
      <c r="U801" s="148"/>
      <c r="V801" s="149"/>
      <c r="W801" s="150"/>
      <c r="X801" s="151"/>
      <c r="Y801" s="44"/>
      <c r="Z801" s="44"/>
      <c r="AA801" s="152"/>
      <c r="AB801" s="152"/>
      <c r="AC801" s="152"/>
      <c r="AD801" s="152"/>
      <c r="AE801" s="152"/>
      <c r="AF801" s="152"/>
      <c r="AG801" s="152"/>
      <c r="AH801" s="44"/>
      <c r="AI801" s="44"/>
      <c r="AJ801" s="44"/>
      <c r="AK801" s="44"/>
      <c r="AL801" s="44"/>
      <c r="AM801" s="44"/>
      <c r="AN801" s="44"/>
    </row>
    <row r="802" spans="1:40">
      <c r="A802" s="44"/>
      <c r="B802" s="44"/>
      <c r="C802" s="63"/>
      <c r="D802" s="44"/>
      <c r="E802" s="44"/>
      <c r="F802" s="43"/>
      <c r="G802" s="44"/>
      <c r="H802" s="45"/>
      <c r="I802" s="44"/>
      <c r="J802" s="44"/>
      <c r="K802" s="143"/>
      <c r="L802" s="144"/>
      <c r="M802" s="143"/>
      <c r="N802" s="143"/>
      <c r="O802" s="44"/>
      <c r="P802" s="44"/>
      <c r="Q802" s="45"/>
      <c r="R802" s="147"/>
      <c r="S802" s="147"/>
      <c r="T802" s="147"/>
      <c r="U802" s="148"/>
      <c r="V802" s="149"/>
      <c r="W802" s="150"/>
      <c r="X802" s="151"/>
      <c r="Y802" s="44"/>
      <c r="Z802" s="44"/>
      <c r="AA802" s="152"/>
      <c r="AB802" s="152"/>
      <c r="AC802" s="152"/>
      <c r="AD802" s="152"/>
      <c r="AE802" s="152"/>
      <c r="AF802" s="152"/>
      <c r="AG802" s="152"/>
      <c r="AH802" s="44"/>
      <c r="AI802" s="44"/>
      <c r="AJ802" s="44"/>
      <c r="AK802" s="44"/>
      <c r="AL802" s="44"/>
      <c r="AM802" s="44"/>
      <c r="AN802" s="44"/>
    </row>
    <row r="803" spans="1:40">
      <c r="A803" s="44"/>
      <c r="B803" s="44"/>
      <c r="C803" s="44"/>
      <c r="D803" s="44"/>
      <c r="E803" s="44"/>
      <c r="F803" s="43"/>
      <c r="G803" s="44"/>
      <c r="H803" s="45"/>
      <c r="I803" s="44"/>
      <c r="J803" s="44"/>
      <c r="K803" s="143"/>
      <c r="L803" s="144"/>
      <c r="M803" s="143"/>
      <c r="N803" s="143"/>
      <c r="O803" s="44"/>
      <c r="P803" s="44"/>
      <c r="Q803" s="45"/>
      <c r="R803" s="147"/>
      <c r="S803" s="147"/>
      <c r="T803" s="147"/>
      <c r="U803" s="148"/>
      <c r="V803" s="149"/>
      <c r="W803" s="150"/>
      <c r="X803" s="151"/>
      <c r="Y803" s="44"/>
      <c r="Z803" s="44"/>
      <c r="AA803" s="152"/>
      <c r="AB803" s="152"/>
      <c r="AC803" s="152"/>
      <c r="AD803" s="152"/>
      <c r="AE803" s="152"/>
      <c r="AF803" s="152"/>
      <c r="AG803" s="152"/>
      <c r="AH803" s="44"/>
      <c r="AI803" s="44"/>
      <c r="AJ803" s="44"/>
      <c r="AK803" s="44"/>
      <c r="AL803" s="44"/>
      <c r="AM803" s="44"/>
      <c r="AN803" s="44"/>
    </row>
    <row r="804" spans="1:40">
      <c r="A804" s="44"/>
      <c r="B804" s="44"/>
      <c r="C804" s="44"/>
      <c r="D804" s="44"/>
      <c r="E804" s="44"/>
      <c r="F804" s="43"/>
      <c r="G804" s="44"/>
      <c r="H804" s="45"/>
      <c r="I804" s="44"/>
      <c r="J804" s="44"/>
      <c r="K804" s="143"/>
      <c r="L804" s="144"/>
      <c r="M804" s="143"/>
      <c r="N804" s="143"/>
      <c r="O804" s="44"/>
      <c r="P804" s="44"/>
      <c r="Q804" s="45"/>
      <c r="R804" s="147"/>
      <c r="S804" s="147"/>
      <c r="T804" s="147"/>
      <c r="U804" s="148"/>
      <c r="V804" s="149"/>
      <c r="W804" s="150"/>
      <c r="X804" s="151"/>
      <c r="Y804" s="44"/>
      <c r="Z804" s="44"/>
      <c r="AA804" s="152"/>
      <c r="AB804" s="152"/>
      <c r="AC804" s="152"/>
      <c r="AD804" s="152"/>
      <c r="AE804" s="152"/>
      <c r="AF804" s="152"/>
      <c r="AG804" s="152"/>
      <c r="AH804" s="44"/>
      <c r="AI804" s="44"/>
      <c r="AJ804" s="44"/>
      <c r="AK804" s="44"/>
      <c r="AL804" s="44"/>
      <c r="AM804" s="44"/>
      <c r="AN804" s="44"/>
    </row>
    <row r="805" spans="1:40">
      <c r="A805" s="44"/>
      <c r="B805" s="44"/>
      <c r="C805" s="44"/>
      <c r="D805" s="44"/>
      <c r="E805" s="44"/>
      <c r="F805" s="43"/>
      <c r="G805" s="44"/>
      <c r="H805" s="45"/>
      <c r="I805" s="44"/>
      <c r="J805" s="44"/>
      <c r="K805" s="143"/>
      <c r="L805" s="144"/>
      <c r="M805" s="143"/>
      <c r="N805" s="143"/>
      <c r="O805" s="44"/>
      <c r="P805" s="44"/>
      <c r="Q805" s="45"/>
      <c r="R805" s="147"/>
      <c r="S805" s="147"/>
      <c r="T805" s="147"/>
      <c r="U805" s="148"/>
      <c r="V805" s="149"/>
      <c r="W805" s="150"/>
      <c r="X805" s="151"/>
      <c r="Y805" s="44"/>
      <c r="Z805" s="44"/>
      <c r="AA805" s="152"/>
      <c r="AB805" s="152"/>
      <c r="AC805" s="152"/>
      <c r="AD805" s="152"/>
      <c r="AE805" s="152"/>
      <c r="AF805" s="152"/>
      <c r="AG805" s="152"/>
      <c r="AH805" s="44"/>
      <c r="AI805" s="44"/>
      <c r="AJ805" s="44"/>
      <c r="AK805" s="44"/>
      <c r="AL805" s="44"/>
      <c r="AM805" s="44"/>
      <c r="AN805" s="44"/>
    </row>
    <row r="806" spans="1:40">
      <c r="A806" s="44"/>
      <c r="B806" s="44"/>
      <c r="C806" s="44"/>
      <c r="D806" s="44"/>
      <c r="E806" s="44"/>
      <c r="F806" s="43"/>
      <c r="G806" s="44"/>
      <c r="H806" s="45"/>
      <c r="I806" s="44"/>
      <c r="J806" s="44"/>
      <c r="K806" s="143"/>
      <c r="L806" s="144"/>
      <c r="M806" s="143"/>
      <c r="N806" s="143"/>
      <c r="O806" s="44"/>
      <c r="P806" s="44"/>
      <c r="Q806" s="45"/>
      <c r="R806" s="147"/>
      <c r="S806" s="147"/>
      <c r="T806" s="147"/>
      <c r="U806" s="148"/>
      <c r="V806" s="149"/>
      <c r="W806" s="150"/>
      <c r="X806" s="151"/>
      <c r="Y806" s="44"/>
      <c r="Z806" s="44"/>
      <c r="AA806" s="152"/>
      <c r="AB806" s="152"/>
      <c r="AC806" s="152"/>
      <c r="AD806" s="152"/>
      <c r="AE806" s="152"/>
      <c r="AF806" s="152"/>
      <c r="AG806" s="152"/>
      <c r="AH806" s="44"/>
      <c r="AI806" s="44"/>
      <c r="AJ806" s="44"/>
      <c r="AK806" s="44"/>
      <c r="AL806" s="44"/>
      <c r="AM806" s="44"/>
      <c r="AN806" s="44"/>
    </row>
    <row r="807" spans="1:40">
      <c r="A807" s="44"/>
      <c r="B807" s="44"/>
      <c r="C807" s="44"/>
      <c r="D807" s="44"/>
      <c r="E807" s="44"/>
      <c r="F807" s="43"/>
      <c r="G807" s="44"/>
      <c r="H807" s="45"/>
      <c r="I807" s="44"/>
      <c r="J807" s="44"/>
      <c r="K807" s="143"/>
      <c r="L807" s="144"/>
      <c r="M807" s="143"/>
      <c r="N807" s="143"/>
      <c r="O807" s="44"/>
      <c r="P807" s="44"/>
      <c r="Q807" s="45"/>
      <c r="R807" s="147"/>
      <c r="S807" s="147"/>
      <c r="T807" s="147"/>
      <c r="U807" s="148"/>
      <c r="V807" s="149"/>
      <c r="W807" s="150"/>
      <c r="X807" s="151"/>
      <c r="Y807" s="44"/>
      <c r="Z807" s="44"/>
      <c r="AA807" s="152"/>
      <c r="AB807" s="152"/>
      <c r="AC807" s="152"/>
      <c r="AD807" s="152"/>
      <c r="AE807" s="152"/>
      <c r="AF807" s="152"/>
      <c r="AG807" s="152"/>
      <c r="AH807" s="44"/>
      <c r="AI807" s="44"/>
      <c r="AJ807" s="44"/>
      <c r="AK807" s="44"/>
      <c r="AL807" s="44"/>
      <c r="AM807" s="44"/>
      <c r="AN807" s="44"/>
    </row>
    <row r="808" spans="1:40">
      <c r="A808" s="44"/>
      <c r="B808" s="44"/>
      <c r="C808" s="44"/>
      <c r="D808" s="44"/>
      <c r="E808" s="44"/>
      <c r="F808" s="43"/>
      <c r="G808" s="44"/>
      <c r="H808" s="45"/>
      <c r="I808" s="44"/>
      <c r="J808" s="44"/>
      <c r="K808" s="143"/>
      <c r="L808" s="144"/>
      <c r="M808" s="143"/>
      <c r="N808" s="143"/>
      <c r="O808" s="44"/>
      <c r="P808" s="44"/>
      <c r="Q808" s="45"/>
      <c r="R808" s="147"/>
      <c r="S808" s="147"/>
      <c r="T808" s="147"/>
      <c r="U808" s="148"/>
      <c r="V808" s="149"/>
      <c r="W808" s="150"/>
      <c r="X808" s="151"/>
      <c r="Y808" s="44"/>
      <c r="Z808" s="44"/>
      <c r="AA808" s="152"/>
      <c r="AB808" s="152"/>
      <c r="AC808" s="152"/>
      <c r="AD808" s="152"/>
      <c r="AE808" s="152"/>
      <c r="AF808" s="152"/>
      <c r="AG808" s="152"/>
      <c r="AH808" s="44"/>
      <c r="AI808" s="44"/>
      <c r="AJ808" s="44"/>
      <c r="AK808" s="44"/>
      <c r="AL808" s="44"/>
      <c r="AM808" s="44"/>
      <c r="AN808" s="44"/>
    </row>
    <row r="809" spans="1:40">
      <c r="A809" s="44"/>
      <c r="B809" s="44"/>
      <c r="C809" s="44"/>
      <c r="D809" s="44"/>
      <c r="E809" s="44"/>
      <c r="F809" s="43"/>
      <c r="G809" s="44"/>
      <c r="H809" s="45"/>
      <c r="I809" s="44"/>
      <c r="J809" s="44"/>
      <c r="K809" s="143"/>
      <c r="L809" s="144"/>
      <c r="M809" s="143"/>
      <c r="N809" s="143"/>
      <c r="O809" s="44"/>
      <c r="P809" s="44"/>
      <c r="Q809" s="45"/>
      <c r="R809" s="147"/>
      <c r="S809" s="147"/>
      <c r="T809" s="147"/>
      <c r="U809" s="148"/>
      <c r="V809" s="149"/>
      <c r="W809" s="150"/>
      <c r="X809" s="151"/>
      <c r="Y809" s="44"/>
      <c r="Z809" s="44"/>
      <c r="AA809" s="152"/>
      <c r="AB809" s="152"/>
      <c r="AC809" s="152"/>
      <c r="AD809" s="152"/>
      <c r="AE809" s="152"/>
      <c r="AF809" s="152"/>
      <c r="AG809" s="152"/>
      <c r="AH809" s="44"/>
      <c r="AI809" s="44"/>
      <c r="AJ809" s="44"/>
      <c r="AK809" s="44"/>
      <c r="AL809" s="44"/>
      <c r="AM809" s="44"/>
      <c r="AN809" s="44"/>
    </row>
    <row r="810" spans="1:40">
      <c r="A810" s="44"/>
      <c r="B810" s="44"/>
      <c r="C810" s="44"/>
      <c r="D810" s="44"/>
      <c r="E810" s="44"/>
      <c r="F810" s="43"/>
      <c r="G810" s="44"/>
      <c r="H810" s="45"/>
      <c r="I810" s="44"/>
      <c r="J810" s="44"/>
      <c r="K810" s="143"/>
      <c r="L810" s="144"/>
      <c r="M810" s="143"/>
      <c r="N810" s="143"/>
      <c r="O810" s="44"/>
      <c r="P810" s="44"/>
      <c r="Q810" s="45"/>
      <c r="R810" s="147"/>
      <c r="S810" s="147"/>
      <c r="T810" s="147"/>
      <c r="U810" s="148"/>
      <c r="V810" s="149"/>
      <c r="W810" s="150"/>
      <c r="X810" s="151"/>
      <c r="Y810" s="44"/>
      <c r="Z810" s="44"/>
      <c r="AA810" s="152"/>
      <c r="AB810" s="152"/>
      <c r="AC810" s="152"/>
      <c r="AD810" s="152"/>
      <c r="AE810" s="152"/>
      <c r="AF810" s="152"/>
      <c r="AG810" s="152"/>
      <c r="AH810" s="44"/>
      <c r="AI810" s="44"/>
      <c r="AJ810" s="44"/>
      <c r="AK810" s="44"/>
      <c r="AL810" s="44"/>
      <c r="AM810" s="44"/>
      <c r="AN810" s="44"/>
    </row>
    <row r="811" spans="1:40">
      <c r="A811" s="44"/>
      <c r="B811" s="44"/>
      <c r="C811" s="44"/>
      <c r="D811" s="44"/>
      <c r="E811" s="44"/>
      <c r="F811" s="43"/>
      <c r="G811" s="44"/>
      <c r="H811" s="45"/>
      <c r="I811" s="44"/>
      <c r="J811" s="44"/>
      <c r="K811" s="143"/>
      <c r="L811" s="144"/>
      <c r="M811" s="143"/>
      <c r="N811" s="143"/>
      <c r="O811" s="44"/>
      <c r="P811" s="44"/>
      <c r="Q811" s="45"/>
      <c r="R811" s="147"/>
      <c r="S811" s="147"/>
      <c r="T811" s="147"/>
      <c r="U811" s="148"/>
      <c r="V811" s="149"/>
      <c r="W811" s="150"/>
      <c r="X811" s="151"/>
      <c r="Y811" s="44"/>
      <c r="Z811" s="44"/>
      <c r="AA811" s="152"/>
      <c r="AB811" s="152"/>
      <c r="AC811" s="152"/>
      <c r="AD811" s="152"/>
      <c r="AE811" s="152"/>
      <c r="AF811" s="152"/>
      <c r="AG811" s="152"/>
      <c r="AH811" s="44"/>
      <c r="AI811" s="44"/>
      <c r="AJ811" s="44"/>
      <c r="AK811" s="44"/>
      <c r="AL811" s="44"/>
      <c r="AM811" s="44"/>
      <c r="AN811" s="44"/>
    </row>
    <row r="812" spans="1:40">
      <c r="A812" s="44"/>
      <c r="B812" s="44"/>
      <c r="C812" s="44"/>
      <c r="D812" s="44"/>
      <c r="E812" s="44"/>
      <c r="F812" s="43"/>
      <c r="G812" s="44"/>
      <c r="H812" s="45"/>
      <c r="I812" s="44"/>
      <c r="J812" s="44"/>
      <c r="K812" s="143"/>
      <c r="L812" s="144"/>
      <c r="M812" s="143"/>
      <c r="N812" s="143"/>
      <c r="O812" s="44"/>
      <c r="P812" s="44"/>
      <c r="Q812" s="45"/>
      <c r="R812" s="147"/>
      <c r="S812" s="147"/>
      <c r="T812" s="147"/>
      <c r="U812" s="148"/>
      <c r="V812" s="149"/>
      <c r="W812" s="150"/>
      <c r="X812" s="151"/>
      <c r="Y812" s="44"/>
      <c r="Z812" s="44"/>
      <c r="AA812" s="152"/>
      <c r="AB812" s="152"/>
      <c r="AC812" s="152"/>
      <c r="AD812" s="152"/>
      <c r="AE812" s="152"/>
      <c r="AF812" s="152"/>
      <c r="AG812" s="152"/>
      <c r="AH812" s="44"/>
      <c r="AI812" s="44"/>
      <c r="AJ812" s="44"/>
      <c r="AK812" s="44"/>
      <c r="AL812" s="44"/>
      <c r="AM812" s="44"/>
      <c r="AN812" s="44"/>
    </row>
    <row r="813" spans="1:40">
      <c r="A813" s="44"/>
      <c r="B813" s="44"/>
      <c r="C813" s="44"/>
      <c r="D813" s="44"/>
      <c r="E813" s="44"/>
      <c r="F813" s="43"/>
      <c r="G813" s="44"/>
      <c r="H813" s="45"/>
      <c r="I813" s="44"/>
      <c r="J813" s="44"/>
      <c r="K813" s="143"/>
      <c r="L813" s="144"/>
      <c r="M813" s="143"/>
      <c r="N813" s="143"/>
      <c r="O813" s="44"/>
      <c r="P813" s="44"/>
      <c r="Q813" s="45"/>
      <c r="R813" s="147"/>
      <c r="S813" s="147"/>
      <c r="T813" s="147"/>
      <c r="U813" s="148"/>
      <c r="V813" s="149"/>
      <c r="W813" s="150"/>
      <c r="X813" s="151"/>
      <c r="Y813" s="44"/>
      <c r="Z813" s="44"/>
      <c r="AA813" s="152"/>
      <c r="AB813" s="152"/>
      <c r="AC813" s="152"/>
      <c r="AD813" s="152"/>
      <c r="AE813" s="152"/>
      <c r="AF813" s="152"/>
      <c r="AG813" s="152"/>
      <c r="AH813" s="44"/>
      <c r="AI813" s="44"/>
      <c r="AJ813" s="44"/>
      <c r="AK813" s="44"/>
      <c r="AL813" s="44"/>
      <c r="AM813" s="44"/>
      <c r="AN813" s="44"/>
    </row>
    <row r="814" spans="1:40">
      <c r="A814" s="44"/>
      <c r="B814" s="44"/>
      <c r="C814" s="44"/>
      <c r="D814" s="44"/>
      <c r="E814" s="44"/>
      <c r="F814" s="43"/>
      <c r="G814" s="44"/>
      <c r="H814" s="45"/>
      <c r="I814" s="44"/>
      <c r="J814" s="44"/>
      <c r="K814" s="143"/>
      <c r="L814" s="144"/>
      <c r="M814" s="143"/>
      <c r="N814" s="143"/>
      <c r="O814" s="44"/>
      <c r="P814" s="44"/>
      <c r="Q814" s="45"/>
      <c r="R814" s="147"/>
      <c r="S814" s="147"/>
      <c r="T814" s="147"/>
      <c r="U814" s="148"/>
      <c r="V814" s="149"/>
      <c r="W814" s="150"/>
      <c r="X814" s="151"/>
      <c r="Y814" s="44"/>
      <c r="Z814" s="44"/>
      <c r="AA814" s="152"/>
      <c r="AB814" s="152"/>
      <c r="AC814" s="152"/>
      <c r="AD814" s="152"/>
      <c r="AE814" s="152"/>
      <c r="AF814" s="152"/>
      <c r="AG814" s="152"/>
      <c r="AH814" s="44"/>
      <c r="AI814" s="44"/>
      <c r="AJ814" s="44"/>
      <c r="AK814" s="44"/>
      <c r="AL814" s="44"/>
      <c r="AM814" s="44"/>
      <c r="AN814" s="44"/>
    </row>
    <row r="815" spans="1:40">
      <c r="A815" s="44"/>
      <c r="B815" s="44"/>
      <c r="C815" s="44"/>
      <c r="D815" s="44"/>
      <c r="E815" s="44"/>
      <c r="F815" s="43"/>
      <c r="G815" s="44"/>
      <c r="H815" s="45"/>
      <c r="I815" s="44"/>
      <c r="J815" s="44"/>
      <c r="K815" s="143"/>
      <c r="L815" s="144"/>
      <c r="M815" s="143"/>
      <c r="N815" s="143"/>
      <c r="O815" s="44"/>
      <c r="P815" s="44"/>
      <c r="Q815" s="45"/>
      <c r="R815" s="147"/>
      <c r="S815" s="147"/>
      <c r="T815" s="147"/>
      <c r="U815" s="148"/>
      <c r="V815" s="149"/>
      <c r="W815" s="150"/>
      <c r="X815" s="151"/>
      <c r="Y815" s="44"/>
      <c r="Z815" s="44"/>
      <c r="AA815" s="152"/>
      <c r="AB815" s="152"/>
      <c r="AC815" s="152"/>
      <c r="AD815" s="152"/>
      <c r="AE815" s="152"/>
      <c r="AF815" s="152"/>
      <c r="AG815" s="152"/>
      <c r="AH815" s="44"/>
      <c r="AI815" s="44"/>
      <c r="AJ815" s="44"/>
      <c r="AK815" s="44"/>
      <c r="AL815" s="44"/>
      <c r="AM815" s="44"/>
      <c r="AN815" s="44"/>
    </row>
    <row r="816" spans="1:40">
      <c r="A816" s="44"/>
      <c r="B816" s="44"/>
      <c r="C816" s="44"/>
      <c r="D816" s="44"/>
      <c r="E816" s="44"/>
      <c r="F816" s="43"/>
      <c r="G816" s="44"/>
      <c r="H816" s="45"/>
      <c r="I816" s="44"/>
      <c r="J816" s="44"/>
      <c r="K816" s="143"/>
      <c r="L816" s="144"/>
      <c r="M816" s="143"/>
      <c r="N816" s="143"/>
      <c r="O816" s="44"/>
      <c r="P816" s="44"/>
      <c r="Q816" s="45"/>
      <c r="R816" s="147"/>
      <c r="S816" s="147"/>
      <c r="T816" s="147"/>
      <c r="U816" s="148"/>
      <c r="V816" s="149"/>
      <c r="W816" s="150"/>
      <c r="X816" s="151"/>
      <c r="Y816" s="44"/>
      <c r="Z816" s="44"/>
      <c r="AA816" s="152"/>
      <c r="AB816" s="152"/>
      <c r="AC816" s="152"/>
      <c r="AD816" s="152"/>
      <c r="AE816" s="152"/>
      <c r="AF816" s="152"/>
      <c r="AG816" s="152"/>
      <c r="AH816" s="44"/>
      <c r="AI816" s="44"/>
      <c r="AJ816" s="44"/>
      <c r="AK816" s="44"/>
      <c r="AL816" s="44"/>
      <c r="AM816" s="44"/>
      <c r="AN816" s="44"/>
    </row>
    <row r="817" spans="1:40">
      <c r="A817" s="44"/>
      <c r="B817" s="44"/>
      <c r="C817" s="44"/>
      <c r="D817" s="44"/>
      <c r="E817" s="44"/>
      <c r="F817" s="43"/>
      <c r="G817" s="44"/>
      <c r="H817" s="45"/>
      <c r="I817" s="44"/>
      <c r="J817" s="44"/>
      <c r="K817" s="143"/>
      <c r="L817" s="144"/>
      <c r="M817" s="143"/>
      <c r="N817" s="143"/>
      <c r="O817" s="44"/>
      <c r="P817" s="44"/>
      <c r="Q817" s="45"/>
      <c r="R817" s="147"/>
      <c r="S817" s="147"/>
      <c r="T817" s="147"/>
      <c r="U817" s="148"/>
      <c r="V817" s="149"/>
      <c r="W817" s="150"/>
      <c r="X817" s="151"/>
      <c r="Y817" s="44"/>
      <c r="Z817" s="44"/>
      <c r="AA817" s="152"/>
      <c r="AB817" s="152"/>
      <c r="AC817" s="152"/>
      <c r="AD817" s="152"/>
      <c r="AE817" s="152"/>
      <c r="AF817" s="152"/>
      <c r="AG817" s="152"/>
      <c r="AH817" s="44"/>
      <c r="AI817" s="44"/>
      <c r="AJ817" s="44"/>
      <c r="AK817" s="44"/>
      <c r="AL817" s="44"/>
      <c r="AM817" s="44"/>
      <c r="AN817" s="44"/>
    </row>
    <row r="818" spans="1:40">
      <c r="A818" s="44"/>
      <c r="B818" s="44"/>
      <c r="C818" s="44"/>
      <c r="D818" s="44"/>
      <c r="E818" s="44"/>
      <c r="F818" s="43"/>
      <c r="G818" s="44"/>
      <c r="H818" s="45"/>
      <c r="I818" s="44"/>
      <c r="J818" s="44"/>
      <c r="K818" s="143"/>
      <c r="L818" s="144"/>
      <c r="M818" s="143"/>
      <c r="N818" s="143"/>
      <c r="O818" s="44"/>
      <c r="P818" s="44"/>
      <c r="Q818" s="45"/>
      <c r="R818" s="147"/>
      <c r="S818" s="147"/>
      <c r="T818" s="147"/>
      <c r="U818" s="148"/>
      <c r="V818" s="149"/>
      <c r="W818" s="150"/>
      <c r="X818" s="151"/>
      <c r="Y818" s="44"/>
      <c r="Z818" s="44"/>
      <c r="AA818" s="152"/>
      <c r="AB818" s="152"/>
      <c r="AC818" s="152"/>
      <c r="AD818" s="152"/>
      <c r="AE818" s="152"/>
      <c r="AF818" s="152"/>
      <c r="AG818" s="152"/>
      <c r="AH818" s="44"/>
      <c r="AI818" s="44"/>
      <c r="AJ818" s="44"/>
      <c r="AK818" s="44"/>
      <c r="AL818" s="44"/>
      <c r="AM818" s="44"/>
      <c r="AN818" s="44"/>
    </row>
    <row r="819" spans="1:40">
      <c r="A819" s="44"/>
      <c r="B819" s="44"/>
      <c r="C819" s="44"/>
      <c r="D819" s="44"/>
      <c r="E819" s="44"/>
      <c r="F819" s="43"/>
      <c r="G819" s="44"/>
      <c r="H819" s="45"/>
      <c r="I819" s="44"/>
      <c r="J819" s="44"/>
      <c r="K819" s="143"/>
      <c r="L819" s="144"/>
      <c r="M819" s="143"/>
      <c r="N819" s="143"/>
      <c r="O819" s="44"/>
      <c r="P819" s="44"/>
      <c r="Q819" s="45"/>
      <c r="R819" s="147"/>
      <c r="S819" s="147"/>
      <c r="T819" s="147"/>
      <c r="U819" s="148"/>
      <c r="V819" s="149"/>
      <c r="W819" s="150"/>
      <c r="X819" s="151"/>
      <c r="Y819" s="44"/>
      <c r="Z819" s="44"/>
      <c r="AA819" s="152"/>
      <c r="AB819" s="152"/>
      <c r="AC819" s="152"/>
      <c r="AD819" s="152"/>
      <c r="AE819" s="152"/>
      <c r="AF819" s="152"/>
      <c r="AG819" s="152"/>
      <c r="AH819" s="44"/>
      <c r="AI819" s="44"/>
      <c r="AJ819" s="44"/>
      <c r="AK819" s="44"/>
      <c r="AL819" s="44"/>
      <c r="AM819" s="44"/>
      <c r="AN819" s="44"/>
    </row>
    <row r="820" spans="1:40">
      <c r="A820" s="44"/>
      <c r="B820" s="44"/>
      <c r="C820" s="44"/>
      <c r="D820" s="44"/>
      <c r="E820" s="44"/>
      <c r="F820" s="43"/>
      <c r="G820" s="44"/>
      <c r="H820" s="45"/>
      <c r="I820" s="44"/>
      <c r="J820" s="44"/>
      <c r="K820" s="143"/>
      <c r="L820" s="144"/>
      <c r="M820" s="143"/>
      <c r="N820" s="143"/>
      <c r="O820" s="44"/>
      <c r="P820" s="44"/>
      <c r="Q820" s="45"/>
      <c r="R820" s="147"/>
      <c r="S820" s="147"/>
      <c r="T820" s="147"/>
      <c r="U820" s="148"/>
      <c r="V820" s="149"/>
      <c r="W820" s="150"/>
      <c r="X820" s="151"/>
      <c r="Y820" s="44"/>
      <c r="Z820" s="44"/>
      <c r="AA820" s="152"/>
      <c r="AB820" s="152"/>
      <c r="AC820" s="152"/>
      <c r="AD820" s="152"/>
      <c r="AE820" s="152"/>
      <c r="AF820" s="152"/>
      <c r="AG820" s="152"/>
      <c r="AH820" s="44"/>
      <c r="AI820" s="44"/>
      <c r="AJ820" s="44"/>
      <c r="AK820" s="44"/>
      <c r="AL820" s="44"/>
      <c r="AM820" s="44"/>
      <c r="AN820" s="44"/>
    </row>
    <row r="821" spans="1:40">
      <c r="A821" s="44"/>
      <c r="B821" s="44"/>
      <c r="C821" s="44"/>
      <c r="D821" s="44"/>
      <c r="E821" s="44"/>
      <c r="F821" s="43"/>
      <c r="G821" s="44"/>
      <c r="H821" s="45"/>
      <c r="I821" s="44"/>
      <c r="J821" s="44"/>
      <c r="K821" s="143"/>
      <c r="L821" s="144"/>
      <c r="M821" s="143"/>
      <c r="N821" s="143"/>
      <c r="O821" s="44"/>
      <c r="P821" s="44"/>
      <c r="Q821" s="45"/>
      <c r="R821" s="147"/>
      <c r="S821" s="147"/>
      <c r="T821" s="147"/>
      <c r="U821" s="148"/>
      <c r="V821" s="149"/>
      <c r="W821" s="150"/>
      <c r="X821" s="151"/>
      <c r="Y821" s="44"/>
      <c r="Z821" s="44"/>
      <c r="AA821" s="152"/>
      <c r="AB821" s="152"/>
      <c r="AC821" s="152"/>
      <c r="AD821" s="152"/>
      <c r="AE821" s="152"/>
      <c r="AF821" s="152"/>
      <c r="AG821" s="152"/>
      <c r="AH821" s="165"/>
      <c r="AI821" s="165"/>
      <c r="AJ821" s="165"/>
      <c r="AK821" s="165"/>
      <c r="AL821" s="165"/>
      <c r="AM821" s="165"/>
      <c r="AN821" s="165"/>
    </row>
    <row r="822" spans="1:40">
      <c r="A822" s="44"/>
      <c r="B822" s="44"/>
      <c r="C822" s="165"/>
      <c r="D822" s="44"/>
      <c r="E822" s="44"/>
      <c r="F822" s="43"/>
      <c r="G822" s="44"/>
      <c r="H822" s="45"/>
      <c r="I822" s="44"/>
      <c r="J822" s="44"/>
      <c r="K822" s="230"/>
      <c r="L822" s="144"/>
      <c r="M822" s="230"/>
      <c r="N822" s="230"/>
      <c r="O822" s="44"/>
      <c r="P822" s="44"/>
      <c r="Q822" s="45"/>
      <c r="R822" s="147"/>
      <c r="S822" s="147"/>
      <c r="T822" s="147"/>
      <c r="U822" s="148"/>
      <c r="V822" s="149"/>
      <c r="W822" s="150"/>
      <c r="X822" s="151"/>
      <c r="Y822" s="44"/>
      <c r="Z822" s="44"/>
      <c r="AA822" s="152"/>
      <c r="AB822" s="152"/>
      <c r="AC822" s="152"/>
      <c r="AD822" s="152"/>
      <c r="AE822" s="152"/>
      <c r="AF822" s="152"/>
      <c r="AG822" s="152"/>
      <c r="AH822" s="165"/>
      <c r="AI822" s="165"/>
      <c r="AJ822" s="165"/>
      <c r="AK822" s="165"/>
      <c r="AL822" s="165"/>
      <c r="AM822" s="165"/>
      <c r="AN822" s="165"/>
    </row>
    <row r="823" spans="1:40">
      <c r="A823" s="44"/>
      <c r="B823" s="44"/>
      <c r="C823" s="165"/>
      <c r="D823" s="44"/>
      <c r="E823" s="44"/>
      <c r="F823" s="43"/>
      <c r="G823" s="44"/>
      <c r="H823" s="45"/>
      <c r="I823" s="44"/>
      <c r="J823" s="44"/>
      <c r="K823" s="230"/>
      <c r="L823" s="144"/>
      <c r="M823" s="230"/>
      <c r="N823" s="230"/>
      <c r="O823" s="44"/>
      <c r="P823" s="44"/>
      <c r="Q823" s="45"/>
      <c r="R823" s="147"/>
      <c r="S823" s="147"/>
      <c r="T823" s="147"/>
      <c r="U823" s="148"/>
      <c r="V823" s="149"/>
      <c r="W823" s="150"/>
      <c r="X823" s="151"/>
      <c r="Y823" s="44"/>
      <c r="Z823" s="44"/>
      <c r="AA823" s="152"/>
      <c r="AB823" s="152"/>
      <c r="AC823" s="152"/>
      <c r="AD823" s="152"/>
      <c r="AE823" s="152"/>
      <c r="AF823" s="152"/>
      <c r="AG823" s="152"/>
      <c r="AH823" s="165"/>
      <c r="AI823" s="165"/>
      <c r="AJ823" s="165"/>
      <c r="AK823" s="165"/>
      <c r="AL823" s="165"/>
      <c r="AM823" s="165"/>
      <c r="AN823" s="165"/>
    </row>
    <row r="824" spans="1:40">
      <c r="A824" s="44"/>
      <c r="B824" s="44"/>
      <c r="C824" s="165"/>
      <c r="D824" s="44"/>
      <c r="E824" s="44"/>
      <c r="F824" s="43"/>
      <c r="G824" s="44"/>
      <c r="H824" s="45"/>
      <c r="I824" s="44"/>
      <c r="J824" s="44"/>
      <c r="K824" s="230"/>
      <c r="L824" s="144"/>
      <c r="M824" s="230"/>
      <c r="N824" s="230"/>
      <c r="O824" s="44"/>
      <c r="P824" s="44"/>
      <c r="Q824" s="45"/>
      <c r="R824" s="147"/>
      <c r="S824" s="147"/>
      <c r="T824" s="147"/>
      <c r="U824" s="148"/>
      <c r="V824" s="149"/>
      <c r="W824" s="150"/>
      <c r="X824" s="151"/>
      <c r="Y824" s="44"/>
      <c r="Z824" s="44"/>
      <c r="AA824" s="152"/>
      <c r="AB824" s="152"/>
      <c r="AC824" s="152"/>
      <c r="AD824" s="152"/>
      <c r="AE824" s="152"/>
      <c r="AF824" s="152"/>
      <c r="AG824" s="152"/>
      <c r="AH824" s="165"/>
      <c r="AI824" s="165"/>
      <c r="AJ824" s="165"/>
      <c r="AK824" s="165"/>
      <c r="AL824" s="165"/>
      <c r="AM824" s="165"/>
      <c r="AN824" s="165"/>
    </row>
    <row r="825" spans="1:40">
      <c r="A825" s="44"/>
      <c r="B825" s="44"/>
      <c r="C825" s="165"/>
      <c r="D825" s="44"/>
      <c r="E825" s="44"/>
      <c r="F825" s="43"/>
      <c r="G825" s="44"/>
      <c r="H825" s="45"/>
      <c r="I825" s="44"/>
      <c r="J825" s="44"/>
      <c r="K825" s="230"/>
      <c r="L825" s="144"/>
      <c r="M825" s="230"/>
      <c r="N825" s="230"/>
      <c r="O825" s="44"/>
      <c r="P825" s="44"/>
      <c r="Q825" s="45"/>
      <c r="R825" s="147"/>
      <c r="S825" s="147"/>
      <c r="T825" s="147"/>
      <c r="U825" s="148"/>
      <c r="V825" s="149"/>
      <c r="W825" s="150"/>
      <c r="X825" s="151"/>
      <c r="Y825" s="44"/>
      <c r="Z825" s="44"/>
      <c r="AA825" s="152"/>
      <c r="AB825" s="152"/>
      <c r="AC825" s="152"/>
      <c r="AD825" s="152"/>
      <c r="AE825" s="152"/>
      <c r="AF825" s="152"/>
      <c r="AG825" s="152"/>
      <c r="AH825" s="165"/>
      <c r="AI825" s="165"/>
      <c r="AJ825" s="165"/>
      <c r="AK825" s="165"/>
      <c r="AL825" s="165"/>
      <c r="AM825" s="165"/>
      <c r="AN825" s="165"/>
    </row>
    <row r="826" spans="1:40">
      <c r="A826" s="44"/>
      <c r="B826" s="44"/>
      <c r="C826" s="165"/>
      <c r="D826" s="44"/>
      <c r="E826" s="44"/>
      <c r="F826" s="43"/>
      <c r="G826" s="44"/>
      <c r="H826" s="45"/>
      <c r="I826" s="44"/>
      <c r="J826" s="44"/>
      <c r="K826" s="230"/>
      <c r="L826" s="144"/>
      <c r="M826" s="230"/>
      <c r="N826" s="230"/>
      <c r="O826" s="44"/>
      <c r="P826" s="44"/>
      <c r="Q826" s="45"/>
      <c r="R826" s="147"/>
      <c r="S826" s="147"/>
      <c r="T826" s="147"/>
      <c r="U826" s="148"/>
      <c r="V826" s="149"/>
      <c r="W826" s="150"/>
      <c r="X826" s="151"/>
      <c r="Y826" s="44"/>
      <c r="Z826" s="44"/>
      <c r="AA826" s="152"/>
      <c r="AB826" s="152"/>
      <c r="AC826" s="152"/>
      <c r="AD826" s="152"/>
      <c r="AE826" s="152"/>
      <c r="AF826" s="152"/>
      <c r="AG826" s="152"/>
      <c r="AH826" s="165"/>
      <c r="AI826" s="165"/>
      <c r="AJ826" s="165"/>
      <c r="AK826" s="165"/>
      <c r="AL826" s="165"/>
      <c r="AM826" s="165"/>
      <c r="AN826" s="165"/>
    </row>
    <row r="827" spans="1:40">
      <c r="A827" s="44"/>
      <c r="B827" s="44"/>
      <c r="C827" s="165"/>
      <c r="D827" s="44"/>
      <c r="E827" s="44"/>
      <c r="F827" s="43"/>
      <c r="G827" s="44"/>
      <c r="H827" s="45"/>
      <c r="I827" s="44"/>
      <c r="J827" s="44"/>
      <c r="K827" s="230"/>
      <c r="L827" s="144"/>
      <c r="M827" s="230"/>
      <c r="N827" s="230"/>
      <c r="O827" s="44"/>
      <c r="P827" s="44"/>
      <c r="Q827" s="45"/>
      <c r="R827" s="147"/>
      <c r="S827" s="147"/>
      <c r="T827" s="147"/>
      <c r="U827" s="148"/>
      <c r="V827" s="149"/>
      <c r="W827" s="150"/>
      <c r="X827" s="151"/>
      <c r="Y827" s="44"/>
      <c r="Z827" s="44"/>
      <c r="AA827" s="152"/>
      <c r="AB827" s="152"/>
      <c r="AC827" s="152"/>
      <c r="AD827" s="152"/>
      <c r="AE827" s="152"/>
      <c r="AF827" s="152"/>
      <c r="AG827" s="152"/>
      <c r="AH827" s="165"/>
      <c r="AI827" s="165"/>
      <c r="AJ827" s="165"/>
      <c r="AK827" s="165"/>
      <c r="AL827" s="165"/>
      <c r="AM827" s="165"/>
      <c r="AN827" s="165"/>
    </row>
    <row r="828" spans="1:40">
      <c r="A828" s="44"/>
      <c r="B828" s="44"/>
      <c r="C828" s="165"/>
      <c r="D828" s="44"/>
      <c r="E828" s="44"/>
      <c r="F828" s="43"/>
      <c r="G828" s="44"/>
      <c r="H828" s="45"/>
      <c r="I828" s="44"/>
      <c r="J828" s="44"/>
      <c r="K828" s="230"/>
      <c r="L828" s="144"/>
      <c r="M828" s="230"/>
      <c r="N828" s="230"/>
      <c r="O828" s="44"/>
      <c r="P828" s="44"/>
      <c r="Q828" s="45"/>
      <c r="R828" s="147"/>
      <c r="S828" s="147"/>
      <c r="T828" s="147"/>
      <c r="U828" s="148"/>
      <c r="V828" s="149"/>
      <c r="W828" s="150"/>
      <c r="X828" s="151"/>
      <c r="Y828" s="44"/>
      <c r="Z828" s="44"/>
      <c r="AA828" s="152"/>
      <c r="AB828" s="152"/>
      <c r="AC828" s="152"/>
      <c r="AD828" s="152"/>
      <c r="AE828" s="152"/>
      <c r="AF828" s="152"/>
      <c r="AG828" s="152"/>
      <c r="AH828" s="165"/>
      <c r="AI828" s="165"/>
      <c r="AJ828" s="165"/>
      <c r="AK828" s="165"/>
      <c r="AL828" s="165"/>
      <c r="AM828" s="165"/>
      <c r="AN828" s="165"/>
    </row>
    <row r="829" spans="1:40">
      <c r="A829" s="44"/>
      <c r="B829" s="44"/>
      <c r="C829" s="165"/>
      <c r="D829" s="44"/>
      <c r="E829" s="44"/>
      <c r="F829" s="43"/>
      <c r="G829" s="44"/>
      <c r="H829" s="45"/>
      <c r="I829" s="44"/>
      <c r="J829" s="44"/>
      <c r="K829" s="230"/>
      <c r="L829" s="144"/>
      <c r="M829" s="230"/>
      <c r="N829" s="230"/>
      <c r="O829" s="44"/>
      <c r="P829" s="44"/>
      <c r="Q829" s="45"/>
      <c r="R829" s="147"/>
      <c r="S829" s="147"/>
      <c r="T829" s="147"/>
      <c r="U829" s="148"/>
      <c r="V829" s="149"/>
      <c r="W829" s="150"/>
      <c r="X829" s="151"/>
      <c r="Y829" s="44"/>
      <c r="Z829" s="44"/>
      <c r="AA829" s="152"/>
      <c r="AB829" s="152"/>
      <c r="AC829" s="152"/>
      <c r="AD829" s="152"/>
      <c r="AE829" s="152"/>
      <c r="AF829" s="152"/>
      <c r="AG829" s="152"/>
      <c r="AH829" s="165"/>
      <c r="AI829" s="165"/>
      <c r="AJ829" s="165"/>
      <c r="AK829" s="165"/>
      <c r="AL829" s="165"/>
      <c r="AM829" s="165"/>
      <c r="AN829" s="165"/>
    </row>
    <row r="830" spans="1:40">
      <c r="A830" s="44"/>
      <c r="B830" s="44"/>
      <c r="C830" s="165"/>
      <c r="D830" s="44"/>
      <c r="E830" s="44"/>
      <c r="F830" s="43"/>
      <c r="G830" s="44"/>
      <c r="H830" s="45"/>
      <c r="I830" s="44"/>
      <c r="J830" s="44"/>
      <c r="K830" s="230"/>
      <c r="L830" s="144"/>
      <c r="M830" s="230"/>
      <c r="N830" s="230"/>
      <c r="O830" s="44"/>
      <c r="P830" s="44"/>
      <c r="Q830" s="45"/>
      <c r="R830" s="147"/>
      <c r="S830" s="147"/>
      <c r="T830" s="147"/>
      <c r="U830" s="148"/>
      <c r="V830" s="149"/>
      <c r="W830" s="150"/>
      <c r="X830" s="151"/>
      <c r="Y830" s="44"/>
      <c r="Z830" s="44"/>
      <c r="AA830" s="152"/>
      <c r="AB830" s="152"/>
      <c r="AC830" s="152"/>
      <c r="AD830" s="152"/>
      <c r="AE830" s="152"/>
      <c r="AF830" s="152"/>
      <c r="AG830" s="152"/>
      <c r="AH830" s="165"/>
      <c r="AI830" s="165"/>
      <c r="AJ830" s="165"/>
      <c r="AK830" s="165"/>
      <c r="AL830" s="165"/>
      <c r="AM830" s="165"/>
      <c r="AN830" s="165"/>
    </row>
    <row r="831" spans="1:40">
      <c r="A831" s="44"/>
      <c r="B831" s="44"/>
      <c r="C831" s="165"/>
      <c r="D831" s="44"/>
      <c r="E831" s="44"/>
      <c r="F831" s="43"/>
      <c r="G831" s="44"/>
      <c r="H831" s="45"/>
      <c r="I831" s="44"/>
      <c r="J831" s="44"/>
      <c r="K831" s="230"/>
      <c r="L831" s="144"/>
      <c r="M831" s="230"/>
      <c r="N831" s="230"/>
      <c r="O831" s="44"/>
      <c r="P831" s="44"/>
      <c r="Q831" s="45"/>
      <c r="R831" s="147"/>
      <c r="S831" s="147"/>
      <c r="T831" s="147"/>
      <c r="U831" s="148"/>
      <c r="V831" s="149"/>
      <c r="W831" s="150"/>
      <c r="X831" s="151"/>
      <c r="Y831" s="44"/>
      <c r="Z831" s="44"/>
      <c r="AA831" s="152"/>
      <c r="AB831" s="152"/>
      <c r="AC831" s="152"/>
      <c r="AD831" s="152"/>
      <c r="AE831" s="152"/>
      <c r="AF831" s="152"/>
      <c r="AG831" s="152"/>
      <c r="AH831" s="165"/>
      <c r="AI831" s="165"/>
      <c r="AJ831" s="165"/>
      <c r="AK831" s="165"/>
      <c r="AL831" s="165"/>
      <c r="AM831" s="165"/>
      <c r="AN831" s="165"/>
    </row>
    <row r="832" spans="1:40">
      <c r="A832" s="44"/>
      <c r="B832" s="44"/>
      <c r="C832" s="165"/>
      <c r="D832" s="44"/>
      <c r="E832" s="44"/>
      <c r="F832" s="43"/>
      <c r="G832" s="44"/>
      <c r="H832" s="45"/>
      <c r="I832" s="44"/>
      <c r="J832" s="44"/>
      <c r="K832" s="230"/>
      <c r="L832" s="144"/>
      <c r="M832" s="230"/>
      <c r="N832" s="230"/>
      <c r="O832" s="44"/>
      <c r="P832" s="44"/>
      <c r="Q832" s="45"/>
      <c r="R832" s="147"/>
      <c r="S832" s="147"/>
      <c r="T832" s="147"/>
      <c r="U832" s="148"/>
      <c r="V832" s="149"/>
      <c r="W832" s="150"/>
      <c r="X832" s="151"/>
      <c r="Y832" s="44"/>
      <c r="Z832" s="44"/>
      <c r="AA832" s="152"/>
      <c r="AB832" s="152"/>
      <c r="AC832" s="152"/>
      <c r="AD832" s="152"/>
      <c r="AE832" s="152"/>
      <c r="AF832" s="152"/>
      <c r="AG832" s="152"/>
      <c r="AH832" s="165"/>
      <c r="AI832" s="165"/>
      <c r="AJ832" s="165"/>
      <c r="AK832" s="165"/>
      <c r="AL832" s="165"/>
      <c r="AM832" s="165"/>
      <c r="AN832" s="165"/>
    </row>
    <row r="833" spans="1:40">
      <c r="A833" s="44"/>
      <c r="B833" s="44"/>
      <c r="C833" s="165"/>
      <c r="D833" s="44"/>
      <c r="E833" s="44"/>
      <c r="F833" s="43"/>
      <c r="G833" s="44"/>
      <c r="H833" s="45"/>
      <c r="I833" s="44"/>
      <c r="J833" s="44"/>
      <c r="K833" s="230"/>
      <c r="L833" s="144"/>
      <c r="M833" s="230"/>
      <c r="N833" s="230"/>
      <c r="O833" s="44"/>
      <c r="P833" s="44"/>
      <c r="Q833" s="45"/>
      <c r="R833" s="147"/>
      <c r="S833" s="147"/>
      <c r="T833" s="147"/>
      <c r="U833" s="148"/>
      <c r="V833" s="149"/>
      <c r="W833" s="150"/>
      <c r="X833" s="151"/>
      <c r="Y833" s="44"/>
      <c r="Z833" s="44"/>
      <c r="AA833" s="152"/>
      <c r="AB833" s="152"/>
      <c r="AC833" s="152"/>
      <c r="AD833" s="152"/>
      <c r="AE833" s="152"/>
      <c r="AF833" s="152"/>
      <c r="AG833" s="152"/>
      <c r="AH833" s="165"/>
      <c r="AI833" s="165"/>
      <c r="AJ833" s="165"/>
      <c r="AK833" s="165"/>
      <c r="AL833" s="165"/>
      <c r="AM833" s="165"/>
      <c r="AN833" s="165"/>
    </row>
    <row r="834" spans="1:40">
      <c r="A834" s="44"/>
      <c r="B834" s="44"/>
      <c r="C834" s="165"/>
      <c r="D834" s="44"/>
      <c r="E834" s="44"/>
      <c r="F834" s="43"/>
      <c r="G834" s="44"/>
      <c r="H834" s="45"/>
      <c r="I834" s="44"/>
      <c r="J834" s="44"/>
      <c r="K834" s="230"/>
      <c r="L834" s="144"/>
      <c r="M834" s="230"/>
      <c r="N834" s="230"/>
      <c r="O834" s="44"/>
      <c r="P834" s="44"/>
      <c r="Q834" s="45"/>
      <c r="R834" s="147"/>
      <c r="S834" s="147"/>
      <c r="T834" s="147"/>
      <c r="U834" s="148"/>
      <c r="V834" s="149"/>
      <c r="W834" s="150"/>
      <c r="X834" s="151"/>
      <c r="Y834" s="44"/>
      <c r="Z834" s="44"/>
      <c r="AA834" s="152"/>
      <c r="AB834" s="152"/>
      <c r="AC834" s="152"/>
      <c r="AD834" s="152"/>
      <c r="AE834" s="152"/>
      <c r="AF834" s="152"/>
      <c r="AG834" s="152"/>
      <c r="AH834" s="165"/>
      <c r="AI834" s="165"/>
      <c r="AJ834" s="165"/>
      <c r="AK834" s="165"/>
      <c r="AL834" s="165"/>
      <c r="AM834" s="165"/>
      <c r="AN834" s="165"/>
    </row>
    <row r="835" spans="1:40">
      <c r="A835" s="44"/>
      <c r="B835" s="44"/>
      <c r="C835" s="165"/>
      <c r="D835" s="44"/>
      <c r="E835" s="44"/>
      <c r="F835" s="43"/>
      <c r="G835" s="44"/>
      <c r="H835" s="45"/>
      <c r="I835" s="44"/>
      <c r="J835" s="44"/>
      <c r="K835" s="230"/>
      <c r="L835" s="144"/>
      <c r="M835" s="230"/>
      <c r="N835" s="230"/>
      <c r="O835" s="44"/>
      <c r="P835" s="44"/>
      <c r="Q835" s="45"/>
      <c r="R835" s="147"/>
      <c r="S835" s="147"/>
      <c r="T835" s="147"/>
      <c r="U835" s="148"/>
      <c r="V835" s="149"/>
      <c r="W835" s="150"/>
      <c r="X835" s="151"/>
      <c r="Y835" s="44"/>
      <c r="Z835" s="44"/>
      <c r="AA835" s="152"/>
      <c r="AB835" s="152"/>
      <c r="AC835" s="152"/>
      <c r="AD835" s="152"/>
      <c r="AE835" s="152"/>
      <c r="AF835" s="152"/>
      <c r="AG835" s="152"/>
      <c r="AH835" s="165"/>
      <c r="AI835" s="165"/>
      <c r="AJ835" s="165"/>
      <c r="AK835" s="165"/>
      <c r="AL835" s="165"/>
      <c r="AM835" s="165"/>
      <c r="AN835" s="165"/>
    </row>
    <row r="836" spans="1:40">
      <c r="A836" s="44"/>
      <c r="B836" s="44"/>
      <c r="C836" s="165"/>
      <c r="D836" s="44"/>
      <c r="E836" s="44"/>
      <c r="F836" s="43"/>
      <c r="G836" s="44"/>
      <c r="H836" s="45"/>
      <c r="I836" s="44"/>
      <c r="J836" s="44"/>
      <c r="K836" s="230"/>
      <c r="L836" s="144"/>
      <c r="M836" s="230"/>
      <c r="N836" s="230"/>
      <c r="O836" s="44"/>
      <c r="P836" s="44"/>
      <c r="Q836" s="45"/>
      <c r="R836" s="147"/>
      <c r="S836" s="147"/>
      <c r="T836" s="147"/>
      <c r="U836" s="148"/>
      <c r="V836" s="149"/>
      <c r="W836" s="150"/>
      <c r="X836" s="151"/>
      <c r="Y836" s="44"/>
      <c r="Z836" s="44"/>
      <c r="AA836" s="152"/>
      <c r="AB836" s="152"/>
      <c r="AC836" s="152"/>
      <c r="AD836" s="152"/>
      <c r="AE836" s="152"/>
      <c r="AF836" s="152"/>
      <c r="AG836" s="152"/>
      <c r="AH836" s="165"/>
      <c r="AI836" s="165"/>
      <c r="AJ836" s="165"/>
      <c r="AK836" s="165"/>
      <c r="AL836" s="165"/>
      <c r="AM836" s="165"/>
      <c r="AN836" s="165"/>
    </row>
    <row r="837" spans="1:40">
      <c r="A837" s="44"/>
      <c r="B837" s="44"/>
      <c r="C837" s="165"/>
      <c r="D837" s="44"/>
      <c r="E837" s="44"/>
      <c r="F837" s="43"/>
      <c r="G837" s="44"/>
      <c r="H837" s="45"/>
      <c r="I837" s="44"/>
      <c r="J837" s="44"/>
      <c r="K837" s="230"/>
      <c r="L837" s="144"/>
      <c r="M837" s="230"/>
      <c r="N837" s="230"/>
      <c r="O837" s="44"/>
      <c r="P837" s="44"/>
      <c r="Q837" s="45"/>
      <c r="R837" s="147"/>
      <c r="S837" s="147"/>
      <c r="T837" s="147"/>
      <c r="U837" s="148"/>
      <c r="V837" s="149"/>
      <c r="W837" s="150"/>
      <c r="X837" s="151"/>
      <c r="Y837" s="44"/>
      <c r="Z837" s="44"/>
      <c r="AA837" s="152"/>
      <c r="AB837" s="152"/>
      <c r="AC837" s="152"/>
      <c r="AD837" s="152"/>
      <c r="AE837" s="152"/>
      <c r="AF837" s="152"/>
      <c r="AG837" s="152"/>
      <c r="AH837" s="165"/>
      <c r="AI837" s="165"/>
      <c r="AJ837" s="165"/>
      <c r="AK837" s="165"/>
      <c r="AL837" s="165"/>
      <c r="AM837" s="165"/>
      <c r="AN837" s="165"/>
    </row>
    <row r="838" spans="1:40">
      <c r="A838" s="44"/>
      <c r="B838" s="44"/>
      <c r="C838" s="165"/>
      <c r="D838" s="44"/>
      <c r="E838" s="44"/>
      <c r="F838" s="43"/>
      <c r="G838" s="44"/>
      <c r="H838" s="45"/>
      <c r="I838" s="44"/>
      <c r="J838" s="44"/>
      <c r="K838" s="230"/>
      <c r="L838" s="144"/>
      <c r="M838" s="230"/>
      <c r="N838" s="230"/>
      <c r="O838" s="44"/>
      <c r="P838" s="44"/>
      <c r="Q838" s="45"/>
      <c r="R838" s="147"/>
      <c r="S838" s="147"/>
      <c r="T838" s="147"/>
      <c r="U838" s="148"/>
      <c r="V838" s="149"/>
      <c r="W838" s="150"/>
      <c r="X838" s="151"/>
      <c r="Y838" s="44"/>
      <c r="Z838" s="44"/>
      <c r="AA838" s="152"/>
      <c r="AB838" s="152"/>
      <c r="AC838" s="152"/>
      <c r="AD838" s="152"/>
      <c r="AE838" s="152"/>
      <c r="AF838" s="152"/>
      <c r="AG838" s="152"/>
      <c r="AH838" s="165"/>
      <c r="AI838" s="165"/>
      <c r="AJ838" s="165"/>
      <c r="AK838" s="165"/>
      <c r="AL838" s="165"/>
      <c r="AM838" s="165"/>
      <c r="AN838" s="165"/>
    </row>
    <row r="839" spans="1:40">
      <c r="A839" s="44"/>
      <c r="B839" s="44"/>
      <c r="C839" s="165"/>
      <c r="D839" s="44"/>
      <c r="E839" s="44"/>
      <c r="F839" s="43"/>
      <c r="G839" s="44"/>
      <c r="H839" s="45"/>
      <c r="I839" s="44"/>
      <c r="J839" s="44"/>
      <c r="K839" s="230"/>
      <c r="L839" s="144"/>
      <c r="M839" s="230"/>
      <c r="N839" s="230"/>
      <c r="O839" s="44"/>
      <c r="P839" s="44"/>
      <c r="Q839" s="45"/>
      <c r="R839" s="147"/>
      <c r="S839" s="147"/>
      <c r="T839" s="147"/>
      <c r="U839" s="148"/>
      <c r="V839" s="149"/>
      <c r="W839" s="150"/>
      <c r="X839" s="151"/>
      <c r="Y839" s="44"/>
      <c r="Z839" s="44"/>
      <c r="AA839" s="152"/>
      <c r="AB839" s="152"/>
      <c r="AC839" s="152"/>
      <c r="AD839" s="152"/>
      <c r="AE839" s="152"/>
      <c r="AF839" s="152"/>
      <c r="AG839" s="152"/>
      <c r="AH839" s="165"/>
      <c r="AI839" s="165"/>
      <c r="AJ839" s="165"/>
      <c r="AK839" s="165"/>
      <c r="AL839" s="165"/>
      <c r="AM839" s="165"/>
      <c r="AN839" s="165"/>
    </row>
    <row r="840" spans="1:40">
      <c r="A840" s="44"/>
      <c r="B840" s="44"/>
      <c r="C840" s="165"/>
      <c r="D840" s="44"/>
      <c r="E840" s="44"/>
      <c r="F840" s="43"/>
      <c r="G840" s="44"/>
      <c r="H840" s="45"/>
      <c r="I840" s="44"/>
      <c r="J840" s="44"/>
      <c r="K840" s="230"/>
      <c r="L840" s="144"/>
      <c r="M840" s="230"/>
      <c r="N840" s="230"/>
      <c r="O840" s="44"/>
      <c r="P840" s="44"/>
      <c r="Q840" s="45"/>
      <c r="R840" s="147"/>
      <c r="S840" s="147"/>
      <c r="T840" s="147"/>
      <c r="U840" s="148"/>
      <c r="V840" s="149"/>
      <c r="W840" s="150"/>
      <c r="X840" s="151"/>
      <c r="Y840" s="44"/>
      <c r="Z840" s="44"/>
      <c r="AA840" s="152"/>
      <c r="AB840" s="152"/>
      <c r="AC840" s="152"/>
      <c r="AD840" s="152"/>
      <c r="AE840" s="152"/>
      <c r="AF840" s="152"/>
      <c r="AG840" s="152"/>
      <c r="AH840" s="165"/>
      <c r="AI840" s="165"/>
      <c r="AJ840" s="165"/>
      <c r="AK840" s="165"/>
      <c r="AL840" s="165"/>
      <c r="AM840" s="165"/>
      <c r="AN840" s="165"/>
    </row>
    <row r="841" spans="1:40">
      <c r="A841" s="44"/>
      <c r="B841" s="44"/>
      <c r="C841" s="165"/>
      <c r="D841" s="44"/>
      <c r="E841" s="44"/>
      <c r="F841" s="43"/>
      <c r="G841" s="44"/>
      <c r="H841" s="45"/>
      <c r="I841" s="44"/>
      <c r="J841" s="44"/>
      <c r="K841" s="230"/>
      <c r="L841" s="144"/>
      <c r="M841" s="230"/>
      <c r="N841" s="230"/>
      <c r="O841" s="44"/>
      <c r="P841" s="44"/>
      <c r="Q841" s="45"/>
      <c r="R841" s="147"/>
      <c r="S841" s="147"/>
      <c r="T841" s="147"/>
      <c r="U841" s="148"/>
      <c r="V841" s="149"/>
      <c r="W841" s="150"/>
      <c r="X841" s="151"/>
      <c r="Y841" s="44"/>
      <c r="Z841" s="44"/>
      <c r="AA841" s="152"/>
      <c r="AB841" s="152"/>
      <c r="AC841" s="152"/>
      <c r="AD841" s="152"/>
      <c r="AE841" s="152"/>
      <c r="AF841" s="152"/>
      <c r="AG841" s="152"/>
      <c r="AH841" s="165"/>
      <c r="AI841" s="165"/>
      <c r="AJ841" s="165"/>
      <c r="AK841" s="165"/>
      <c r="AL841" s="165"/>
      <c r="AM841" s="165"/>
      <c r="AN841" s="165"/>
    </row>
    <row r="842" spans="1:40">
      <c r="A842" s="44"/>
      <c r="B842" s="44"/>
      <c r="C842" s="165"/>
      <c r="D842" s="44"/>
      <c r="E842" s="44"/>
      <c r="F842" s="43"/>
      <c r="G842" s="44"/>
      <c r="H842" s="45"/>
      <c r="I842" s="44"/>
      <c r="J842" s="44"/>
      <c r="K842" s="230"/>
      <c r="L842" s="144"/>
      <c r="M842" s="230"/>
      <c r="N842" s="230"/>
      <c r="O842" s="44"/>
      <c r="P842" s="44"/>
      <c r="Q842" s="45"/>
      <c r="R842" s="147"/>
      <c r="S842" s="147"/>
      <c r="T842" s="147"/>
      <c r="U842" s="148"/>
      <c r="V842" s="149"/>
      <c r="W842" s="150"/>
      <c r="X842" s="151"/>
      <c r="Y842" s="44"/>
      <c r="Z842" s="44"/>
      <c r="AA842" s="152"/>
      <c r="AB842" s="152"/>
      <c r="AC842" s="152"/>
      <c r="AD842" s="152"/>
      <c r="AE842" s="152"/>
      <c r="AF842" s="152"/>
      <c r="AG842" s="152"/>
      <c r="AH842" s="165"/>
      <c r="AI842" s="165"/>
      <c r="AJ842" s="165"/>
      <c r="AK842" s="165"/>
      <c r="AL842" s="165"/>
      <c r="AM842" s="165"/>
      <c r="AN842" s="165"/>
    </row>
    <row r="843" spans="1:40">
      <c r="A843" s="44"/>
      <c r="B843" s="44"/>
      <c r="C843" s="165"/>
      <c r="D843" s="44"/>
      <c r="E843" s="44"/>
      <c r="F843" s="43"/>
      <c r="G843" s="44"/>
      <c r="H843" s="45"/>
      <c r="I843" s="44"/>
      <c r="J843" s="44"/>
      <c r="K843" s="230"/>
      <c r="L843" s="144"/>
      <c r="M843" s="230"/>
      <c r="N843" s="230"/>
      <c r="O843" s="44"/>
      <c r="P843" s="44"/>
      <c r="Q843" s="45"/>
      <c r="R843" s="147"/>
      <c r="S843" s="147"/>
      <c r="T843" s="147"/>
      <c r="U843" s="148"/>
      <c r="V843" s="149"/>
      <c r="W843" s="150"/>
      <c r="X843" s="151"/>
      <c r="Y843" s="44"/>
      <c r="Z843" s="44"/>
      <c r="AA843" s="152"/>
      <c r="AB843" s="152"/>
      <c r="AC843" s="152"/>
      <c r="AD843" s="152"/>
      <c r="AE843" s="152"/>
      <c r="AF843" s="152"/>
      <c r="AG843" s="152"/>
      <c r="AH843" s="165"/>
      <c r="AI843" s="165"/>
      <c r="AJ843" s="165"/>
      <c r="AK843" s="165"/>
      <c r="AL843" s="165"/>
      <c r="AM843" s="165"/>
      <c r="AN843" s="165"/>
    </row>
    <row r="844" spans="1:40">
      <c r="A844" s="44"/>
      <c r="B844" s="44"/>
      <c r="C844" s="165"/>
      <c r="D844" s="44"/>
      <c r="E844" s="44"/>
      <c r="F844" s="43"/>
      <c r="G844" s="44"/>
      <c r="H844" s="45"/>
      <c r="I844" s="44"/>
      <c r="J844" s="44"/>
      <c r="K844" s="230"/>
      <c r="L844" s="144"/>
      <c r="M844" s="230"/>
      <c r="N844" s="230"/>
      <c r="O844" s="44"/>
      <c r="P844" s="44"/>
      <c r="Q844" s="45"/>
      <c r="R844" s="147"/>
      <c r="S844" s="147"/>
      <c r="T844" s="147"/>
      <c r="U844" s="148"/>
      <c r="V844" s="149"/>
      <c r="W844" s="150"/>
      <c r="X844" s="151"/>
      <c r="Y844" s="44"/>
      <c r="Z844" s="44"/>
      <c r="AA844" s="152"/>
      <c r="AB844" s="152"/>
      <c r="AC844" s="152"/>
      <c r="AD844" s="152"/>
      <c r="AE844" s="152"/>
      <c r="AF844" s="152"/>
      <c r="AG844" s="152"/>
      <c r="AH844" s="165"/>
      <c r="AI844" s="165"/>
      <c r="AJ844" s="165"/>
      <c r="AK844" s="165"/>
      <c r="AL844" s="165"/>
      <c r="AM844" s="165"/>
      <c r="AN844" s="165"/>
    </row>
    <row r="845" spans="1:40">
      <c r="A845" s="44"/>
      <c r="B845" s="44"/>
      <c r="C845" s="165"/>
      <c r="D845" s="44"/>
      <c r="E845" s="44"/>
      <c r="F845" s="43"/>
      <c r="G845" s="44"/>
      <c r="H845" s="45"/>
      <c r="I845" s="44"/>
      <c r="J845" s="44"/>
      <c r="K845" s="230"/>
      <c r="L845" s="144"/>
      <c r="M845" s="230"/>
      <c r="N845" s="230"/>
      <c r="O845" s="44"/>
      <c r="P845" s="44"/>
      <c r="Q845" s="45"/>
      <c r="R845" s="147"/>
      <c r="S845" s="147"/>
      <c r="T845" s="147"/>
      <c r="U845" s="148"/>
      <c r="V845" s="149"/>
      <c r="W845" s="150"/>
      <c r="X845" s="151"/>
      <c r="Y845" s="44"/>
      <c r="Z845" s="44"/>
      <c r="AA845" s="152"/>
      <c r="AB845" s="152"/>
      <c r="AC845" s="152"/>
      <c r="AD845" s="152"/>
      <c r="AE845" s="152"/>
      <c r="AF845" s="152"/>
      <c r="AG845" s="152"/>
      <c r="AH845" s="165"/>
      <c r="AI845" s="165"/>
      <c r="AJ845" s="165"/>
      <c r="AK845" s="165"/>
      <c r="AL845" s="165"/>
      <c r="AM845" s="165"/>
      <c r="AN845" s="165"/>
    </row>
    <row r="846" spans="1:40">
      <c r="A846" s="44"/>
      <c r="B846" s="44"/>
      <c r="C846" s="165"/>
      <c r="D846" s="44"/>
      <c r="E846" s="44"/>
      <c r="F846" s="43"/>
      <c r="G846" s="44"/>
      <c r="H846" s="45"/>
      <c r="I846" s="44"/>
      <c r="J846" s="44"/>
      <c r="K846" s="230"/>
      <c r="L846" s="144"/>
      <c r="M846" s="230"/>
      <c r="N846" s="230"/>
      <c r="O846" s="44"/>
      <c r="P846" s="44"/>
      <c r="Q846" s="45"/>
      <c r="R846" s="147"/>
      <c r="S846" s="147"/>
      <c r="T846" s="147"/>
      <c r="U846" s="148"/>
      <c r="V846" s="149"/>
      <c r="W846" s="150"/>
      <c r="X846" s="151"/>
      <c r="Y846" s="44"/>
      <c r="Z846" s="44"/>
      <c r="AA846" s="152"/>
      <c r="AB846" s="152"/>
      <c r="AC846" s="152"/>
      <c r="AD846" s="152"/>
      <c r="AE846" s="152"/>
      <c r="AF846" s="152"/>
      <c r="AG846" s="152"/>
      <c r="AH846" s="165"/>
      <c r="AI846" s="165"/>
      <c r="AJ846" s="165"/>
      <c r="AK846" s="165"/>
      <c r="AL846" s="165"/>
      <c r="AM846" s="165"/>
      <c r="AN846" s="165"/>
    </row>
    <row r="847" spans="1:40">
      <c r="A847" s="44"/>
      <c r="B847" s="44"/>
      <c r="C847" s="165"/>
      <c r="D847" s="44"/>
      <c r="E847" s="44"/>
      <c r="F847" s="43"/>
      <c r="G847" s="44"/>
      <c r="H847" s="45"/>
      <c r="I847" s="44"/>
      <c r="J847" s="44"/>
      <c r="K847" s="230"/>
      <c r="L847" s="144"/>
      <c r="M847" s="230"/>
      <c r="N847" s="230"/>
      <c r="O847" s="44"/>
      <c r="P847" s="44"/>
      <c r="Q847" s="45"/>
      <c r="R847" s="147"/>
      <c r="S847" s="147"/>
      <c r="T847" s="147"/>
      <c r="U847" s="148"/>
      <c r="V847" s="149"/>
      <c r="W847" s="150"/>
      <c r="X847" s="151"/>
      <c r="Y847" s="44"/>
      <c r="Z847" s="44"/>
      <c r="AA847" s="152"/>
      <c r="AB847" s="152"/>
      <c r="AC847" s="152"/>
      <c r="AD847" s="152"/>
      <c r="AE847" s="152"/>
      <c r="AF847" s="152"/>
      <c r="AG847" s="152"/>
      <c r="AH847" s="165"/>
      <c r="AI847" s="165"/>
      <c r="AJ847" s="165"/>
      <c r="AK847" s="165"/>
      <c r="AL847" s="165"/>
      <c r="AM847" s="165"/>
      <c r="AN847" s="165"/>
    </row>
    <row r="848" spans="1:40">
      <c r="A848" s="44"/>
      <c r="B848" s="44"/>
      <c r="C848" s="165"/>
      <c r="D848" s="44"/>
      <c r="E848" s="44"/>
      <c r="F848" s="43"/>
      <c r="G848" s="44"/>
      <c r="H848" s="45"/>
      <c r="I848" s="44"/>
      <c r="J848" s="44"/>
      <c r="K848" s="230"/>
      <c r="L848" s="144"/>
      <c r="M848" s="230"/>
      <c r="N848" s="230"/>
      <c r="O848" s="44"/>
      <c r="P848" s="44"/>
      <c r="Q848" s="45"/>
      <c r="R848" s="147"/>
      <c r="S848" s="147"/>
      <c r="T848" s="147"/>
      <c r="U848" s="148"/>
      <c r="V848" s="149"/>
      <c r="W848" s="150"/>
      <c r="X848" s="151"/>
      <c r="Y848" s="44"/>
      <c r="Z848" s="44"/>
      <c r="AA848" s="152"/>
      <c r="AB848" s="152"/>
      <c r="AC848" s="152"/>
      <c r="AD848" s="152"/>
      <c r="AE848" s="152"/>
      <c r="AF848" s="152"/>
      <c r="AG848" s="152"/>
      <c r="AH848" s="165"/>
      <c r="AI848" s="165"/>
      <c r="AJ848" s="165"/>
      <c r="AK848" s="165"/>
      <c r="AL848" s="165"/>
      <c r="AM848" s="165"/>
      <c r="AN848" s="165"/>
    </row>
    <row r="849" spans="1:40">
      <c r="A849" s="44"/>
      <c r="B849" s="44"/>
      <c r="C849" s="165"/>
      <c r="D849" s="44"/>
      <c r="E849" s="44"/>
      <c r="F849" s="43"/>
      <c r="G849" s="44"/>
      <c r="H849" s="45"/>
      <c r="I849" s="44"/>
      <c r="J849" s="44"/>
      <c r="K849" s="230"/>
      <c r="L849" s="144"/>
      <c r="M849" s="230"/>
      <c r="N849" s="230"/>
      <c r="O849" s="44"/>
      <c r="P849" s="44"/>
      <c r="Q849" s="45"/>
      <c r="R849" s="147"/>
      <c r="S849" s="147"/>
      <c r="T849" s="147"/>
      <c r="U849" s="148"/>
      <c r="V849" s="149"/>
      <c r="W849" s="150"/>
      <c r="X849" s="151"/>
      <c r="Y849" s="44"/>
      <c r="Z849" s="44"/>
      <c r="AA849" s="152"/>
      <c r="AB849" s="152"/>
      <c r="AC849" s="152"/>
      <c r="AD849" s="152"/>
      <c r="AE849" s="152"/>
      <c r="AF849" s="152"/>
      <c r="AG849" s="152"/>
      <c r="AH849" s="165"/>
      <c r="AI849" s="165"/>
      <c r="AJ849" s="165"/>
      <c r="AK849" s="165"/>
      <c r="AL849" s="165"/>
      <c r="AM849" s="165"/>
      <c r="AN849" s="165"/>
    </row>
    <row r="850" spans="1:40">
      <c r="A850" s="44"/>
      <c r="B850" s="44"/>
      <c r="C850" s="165"/>
      <c r="D850" s="44"/>
      <c r="E850" s="44"/>
      <c r="F850" s="43"/>
      <c r="G850" s="44"/>
      <c r="H850" s="45"/>
      <c r="I850" s="44"/>
      <c r="J850" s="44"/>
      <c r="K850" s="230"/>
      <c r="L850" s="144"/>
      <c r="M850" s="230"/>
      <c r="N850" s="230"/>
      <c r="O850" s="44"/>
      <c r="P850" s="44"/>
      <c r="Q850" s="45"/>
      <c r="R850" s="147"/>
      <c r="S850" s="147"/>
      <c r="T850" s="147"/>
      <c r="U850" s="148"/>
      <c r="V850" s="149"/>
      <c r="W850" s="150"/>
      <c r="X850" s="151"/>
      <c r="Y850" s="44"/>
      <c r="Z850" s="44"/>
      <c r="AA850" s="152"/>
      <c r="AB850" s="152"/>
      <c r="AC850" s="152"/>
      <c r="AD850" s="152"/>
      <c r="AE850" s="152"/>
      <c r="AF850" s="152"/>
      <c r="AG850" s="152"/>
      <c r="AH850" s="165"/>
      <c r="AI850" s="165"/>
      <c r="AJ850" s="165"/>
      <c r="AK850" s="165"/>
      <c r="AL850" s="165"/>
      <c r="AM850" s="165"/>
      <c r="AN850" s="165"/>
    </row>
    <row r="851" spans="1:40">
      <c r="A851" s="44"/>
      <c r="B851" s="44"/>
      <c r="C851" s="165"/>
      <c r="D851" s="44"/>
      <c r="E851" s="44"/>
      <c r="F851" s="43"/>
      <c r="G851" s="44"/>
      <c r="H851" s="45"/>
      <c r="I851" s="44"/>
      <c r="J851" s="44"/>
      <c r="K851" s="230"/>
      <c r="L851" s="144"/>
      <c r="M851" s="230"/>
      <c r="N851" s="230"/>
      <c r="O851" s="44"/>
      <c r="P851" s="44"/>
      <c r="Q851" s="45"/>
      <c r="R851" s="147"/>
      <c r="S851" s="147"/>
      <c r="T851" s="147"/>
      <c r="U851" s="148"/>
      <c r="V851" s="149"/>
      <c r="W851" s="150"/>
      <c r="X851" s="151"/>
      <c r="Y851" s="44"/>
      <c r="Z851" s="44"/>
      <c r="AA851" s="152"/>
      <c r="AB851" s="152"/>
      <c r="AC851" s="152"/>
      <c r="AD851" s="152"/>
      <c r="AE851" s="152"/>
      <c r="AF851" s="152"/>
      <c r="AG851" s="152"/>
      <c r="AH851" s="165"/>
      <c r="AI851" s="165"/>
      <c r="AJ851" s="165"/>
      <c r="AK851" s="165"/>
      <c r="AL851" s="165"/>
      <c r="AM851" s="165"/>
      <c r="AN851" s="165"/>
    </row>
    <row r="852" spans="1:40">
      <c r="A852" s="44"/>
      <c r="B852" s="44"/>
      <c r="C852" s="165"/>
      <c r="D852" s="44"/>
      <c r="E852" s="44"/>
      <c r="F852" s="43"/>
      <c r="G852" s="44"/>
      <c r="H852" s="45"/>
      <c r="I852" s="44"/>
      <c r="J852" s="44"/>
      <c r="K852" s="230"/>
      <c r="L852" s="144"/>
      <c r="M852" s="230"/>
      <c r="N852" s="230"/>
      <c r="O852" s="44"/>
      <c r="P852" s="44"/>
      <c r="Q852" s="45"/>
      <c r="R852" s="147"/>
      <c r="S852" s="147"/>
      <c r="T852" s="147"/>
      <c r="U852" s="148"/>
      <c r="V852" s="149"/>
      <c r="W852" s="150"/>
      <c r="X852" s="151"/>
      <c r="Y852" s="44"/>
      <c r="Z852" s="44"/>
      <c r="AA852" s="152"/>
      <c r="AB852" s="152"/>
      <c r="AC852" s="152"/>
      <c r="AD852" s="152"/>
      <c r="AE852" s="152"/>
      <c r="AF852" s="152"/>
      <c r="AG852" s="152"/>
      <c r="AH852" s="165"/>
      <c r="AI852" s="165"/>
      <c r="AJ852" s="165"/>
      <c r="AK852" s="165"/>
      <c r="AL852" s="165"/>
      <c r="AM852" s="165"/>
      <c r="AN852" s="165"/>
    </row>
    <row r="853" spans="1:40">
      <c r="A853" s="44"/>
      <c r="B853" s="44"/>
      <c r="C853" s="165"/>
      <c r="D853" s="44"/>
      <c r="E853" s="44"/>
      <c r="F853" s="43"/>
      <c r="G853" s="44"/>
      <c r="H853" s="45"/>
      <c r="I853" s="44"/>
      <c r="J853" s="44"/>
      <c r="K853" s="230"/>
      <c r="L853" s="144"/>
      <c r="M853" s="230"/>
      <c r="N853" s="230"/>
      <c r="O853" s="44"/>
      <c r="P853" s="44"/>
      <c r="Q853" s="45"/>
      <c r="R853" s="147"/>
      <c r="S853" s="147"/>
      <c r="T853" s="147"/>
      <c r="U853" s="148"/>
      <c r="V853" s="149"/>
      <c r="W853" s="150"/>
      <c r="X853" s="151"/>
      <c r="Y853" s="44"/>
      <c r="Z853" s="44"/>
      <c r="AA853" s="152"/>
      <c r="AB853" s="152"/>
      <c r="AC853" s="152"/>
      <c r="AD853" s="152"/>
      <c r="AE853" s="152"/>
      <c r="AF853" s="152"/>
      <c r="AG853" s="152"/>
      <c r="AH853" s="165"/>
      <c r="AI853" s="165"/>
      <c r="AJ853" s="165"/>
      <c r="AK853" s="165"/>
      <c r="AL853" s="165"/>
      <c r="AM853" s="165"/>
      <c r="AN853" s="165"/>
    </row>
    <row r="854" spans="1:40">
      <c r="A854" s="44"/>
      <c r="B854" s="44"/>
      <c r="C854" s="165"/>
      <c r="D854" s="44"/>
      <c r="E854" s="44"/>
      <c r="F854" s="43"/>
      <c r="G854" s="44"/>
      <c r="H854" s="45"/>
      <c r="I854" s="44"/>
      <c r="J854" s="44"/>
      <c r="K854" s="230"/>
      <c r="L854" s="144"/>
      <c r="M854" s="230"/>
      <c r="N854" s="230"/>
      <c r="O854" s="44"/>
      <c r="P854" s="44"/>
      <c r="Q854" s="45"/>
      <c r="R854" s="147"/>
      <c r="S854" s="147"/>
      <c r="T854" s="147"/>
      <c r="U854" s="148"/>
      <c r="V854" s="149"/>
      <c r="W854" s="150"/>
      <c r="X854" s="151"/>
      <c r="Y854" s="44"/>
      <c r="Z854" s="44"/>
      <c r="AA854" s="152"/>
      <c r="AB854" s="152"/>
      <c r="AC854" s="152"/>
      <c r="AD854" s="152"/>
      <c r="AE854" s="152"/>
      <c r="AF854" s="152"/>
      <c r="AG854" s="152"/>
      <c r="AH854" s="165"/>
      <c r="AI854" s="165"/>
      <c r="AJ854" s="165"/>
      <c r="AK854" s="165"/>
      <c r="AL854" s="165"/>
      <c r="AM854" s="165"/>
      <c r="AN854" s="165"/>
    </row>
    <row r="855" spans="1:40">
      <c r="A855" s="44"/>
      <c r="B855" s="44"/>
      <c r="C855" s="165"/>
      <c r="D855" s="44"/>
      <c r="E855" s="44"/>
      <c r="F855" s="43"/>
      <c r="G855" s="44"/>
      <c r="H855" s="45"/>
      <c r="I855" s="44"/>
      <c r="J855" s="44"/>
      <c r="K855" s="230"/>
      <c r="L855" s="144"/>
      <c r="M855" s="230"/>
      <c r="N855" s="230"/>
      <c r="O855" s="44"/>
      <c r="P855" s="44"/>
      <c r="Q855" s="45"/>
      <c r="R855" s="147"/>
      <c r="S855" s="147"/>
      <c r="T855" s="147"/>
      <c r="U855" s="148"/>
      <c r="V855" s="149"/>
      <c r="W855" s="150"/>
      <c r="X855" s="151"/>
      <c r="Y855" s="44"/>
      <c r="Z855" s="44"/>
      <c r="AA855" s="152"/>
      <c r="AB855" s="152"/>
      <c r="AC855" s="152"/>
      <c r="AD855" s="152"/>
      <c r="AE855" s="152"/>
      <c r="AF855" s="152"/>
      <c r="AG855" s="152"/>
      <c r="AH855" s="165"/>
      <c r="AI855" s="165"/>
      <c r="AJ855" s="165"/>
      <c r="AK855" s="165"/>
      <c r="AL855" s="165"/>
      <c r="AM855" s="165"/>
      <c r="AN855" s="165"/>
    </row>
    <row r="856" spans="1:40">
      <c r="A856" s="44"/>
      <c r="B856" s="44"/>
      <c r="C856" s="165"/>
      <c r="D856" s="44"/>
      <c r="E856" s="44"/>
      <c r="F856" s="43"/>
      <c r="G856" s="44"/>
      <c r="H856" s="45"/>
      <c r="I856" s="44"/>
      <c r="J856" s="44"/>
      <c r="K856" s="230"/>
      <c r="L856" s="144"/>
      <c r="M856" s="230"/>
      <c r="N856" s="230"/>
      <c r="O856" s="44"/>
      <c r="P856" s="44"/>
      <c r="Q856" s="45"/>
      <c r="R856" s="147"/>
      <c r="S856" s="147"/>
      <c r="T856" s="147"/>
      <c r="U856" s="148"/>
      <c r="V856" s="149"/>
      <c r="W856" s="150"/>
      <c r="X856" s="151"/>
      <c r="Y856" s="44"/>
      <c r="Z856" s="44"/>
      <c r="AA856" s="152"/>
      <c r="AB856" s="152"/>
      <c r="AC856" s="152"/>
      <c r="AD856" s="152"/>
      <c r="AE856" s="152"/>
      <c r="AF856" s="152"/>
      <c r="AG856" s="152"/>
      <c r="AH856" s="165"/>
      <c r="AI856" s="165"/>
      <c r="AJ856" s="165"/>
      <c r="AK856" s="165"/>
      <c r="AL856" s="165"/>
      <c r="AM856" s="165"/>
      <c r="AN856" s="165"/>
    </row>
    <row r="857" spans="1:40">
      <c r="A857" s="44"/>
      <c r="B857" s="44"/>
      <c r="C857" s="165"/>
      <c r="D857" s="44"/>
      <c r="E857" s="44"/>
      <c r="F857" s="43"/>
      <c r="G857" s="44"/>
      <c r="H857" s="45"/>
      <c r="I857" s="44"/>
      <c r="J857" s="44"/>
      <c r="K857" s="230"/>
      <c r="L857" s="144"/>
      <c r="M857" s="230"/>
      <c r="N857" s="230"/>
      <c r="O857" s="44"/>
      <c r="P857" s="44"/>
      <c r="Q857" s="45"/>
      <c r="R857" s="147"/>
      <c r="S857" s="147"/>
      <c r="T857" s="147"/>
      <c r="U857" s="148"/>
      <c r="V857" s="149"/>
      <c r="W857" s="150"/>
      <c r="X857" s="151"/>
      <c r="Y857" s="44"/>
      <c r="Z857" s="44"/>
      <c r="AA857" s="152"/>
      <c r="AB857" s="152"/>
      <c r="AC857" s="152"/>
      <c r="AD857" s="152"/>
      <c r="AE857" s="152"/>
      <c r="AF857" s="152"/>
      <c r="AG857" s="152"/>
      <c r="AH857" s="165"/>
      <c r="AI857" s="165"/>
      <c r="AJ857" s="165"/>
      <c r="AK857" s="165"/>
      <c r="AL857" s="165"/>
      <c r="AM857" s="165"/>
      <c r="AN857" s="165"/>
    </row>
    <row r="858" spans="1:40">
      <c r="A858" s="44"/>
      <c r="B858" s="44"/>
      <c r="C858" s="165"/>
      <c r="D858" s="44"/>
      <c r="E858" s="44"/>
      <c r="F858" s="43"/>
      <c r="G858" s="44"/>
      <c r="H858" s="45"/>
      <c r="I858" s="44"/>
      <c r="J858" s="44"/>
      <c r="K858" s="230"/>
      <c r="L858" s="144"/>
      <c r="M858" s="230"/>
      <c r="N858" s="230"/>
      <c r="O858" s="44"/>
      <c r="P858" s="44"/>
      <c r="Q858" s="45"/>
      <c r="R858" s="147"/>
      <c r="S858" s="147"/>
      <c r="T858" s="147"/>
      <c r="U858" s="148"/>
      <c r="V858" s="149"/>
      <c r="W858" s="150"/>
      <c r="X858" s="151"/>
      <c r="Y858" s="44"/>
      <c r="Z858" s="44"/>
      <c r="AA858" s="152"/>
      <c r="AB858" s="152"/>
      <c r="AC858" s="152"/>
      <c r="AD858" s="152"/>
      <c r="AE858" s="152"/>
      <c r="AF858" s="152"/>
      <c r="AG858" s="152"/>
      <c r="AH858" s="165"/>
      <c r="AI858" s="165"/>
      <c r="AJ858" s="165"/>
      <c r="AK858" s="165"/>
      <c r="AL858" s="165"/>
      <c r="AM858" s="165"/>
      <c r="AN858" s="165"/>
    </row>
    <row r="859" spans="1:40">
      <c r="A859" s="44"/>
      <c r="B859" s="44"/>
      <c r="C859" s="165"/>
      <c r="D859" s="44"/>
      <c r="E859" s="44"/>
      <c r="F859" s="43"/>
      <c r="G859" s="44"/>
      <c r="H859" s="45"/>
      <c r="I859" s="44"/>
      <c r="J859" s="44"/>
      <c r="K859" s="230"/>
      <c r="L859" s="144"/>
      <c r="M859" s="230"/>
      <c r="N859" s="230"/>
      <c r="O859" s="44"/>
      <c r="P859" s="44"/>
      <c r="Q859" s="45"/>
      <c r="R859" s="147"/>
      <c r="S859" s="147"/>
      <c r="T859" s="147"/>
      <c r="U859" s="148"/>
      <c r="V859" s="149"/>
      <c r="W859" s="150"/>
      <c r="X859" s="151"/>
      <c r="Y859" s="44"/>
      <c r="Z859" s="44"/>
      <c r="AA859" s="152"/>
      <c r="AB859" s="152"/>
      <c r="AC859" s="152"/>
      <c r="AD859" s="152"/>
      <c r="AE859" s="152"/>
      <c r="AF859" s="152"/>
      <c r="AG859" s="152"/>
      <c r="AH859" s="165"/>
      <c r="AI859" s="165"/>
      <c r="AJ859" s="165"/>
      <c r="AK859" s="165"/>
      <c r="AL859" s="165"/>
      <c r="AM859" s="165"/>
      <c r="AN859" s="165"/>
    </row>
    <row r="860" spans="1:40">
      <c r="A860" s="44"/>
      <c r="B860" s="44"/>
      <c r="C860" s="165"/>
      <c r="D860" s="44"/>
      <c r="E860" s="44"/>
      <c r="F860" s="43"/>
      <c r="G860" s="44"/>
      <c r="H860" s="45"/>
      <c r="I860" s="44"/>
      <c r="J860" s="44"/>
      <c r="K860" s="230"/>
      <c r="L860" s="144"/>
      <c r="M860" s="230"/>
      <c r="N860" s="230"/>
      <c r="O860" s="44"/>
      <c r="P860" s="44"/>
      <c r="Q860" s="45"/>
      <c r="R860" s="147"/>
      <c r="S860" s="147"/>
      <c r="T860" s="147"/>
      <c r="U860" s="148"/>
      <c r="V860" s="149"/>
      <c r="W860" s="150"/>
      <c r="X860" s="151"/>
      <c r="Y860" s="44"/>
      <c r="Z860" s="44"/>
      <c r="AA860" s="152"/>
      <c r="AB860" s="152"/>
      <c r="AC860" s="152"/>
      <c r="AD860" s="152"/>
      <c r="AE860" s="152"/>
      <c r="AF860" s="152"/>
      <c r="AG860" s="152"/>
      <c r="AH860" s="165"/>
      <c r="AI860" s="165"/>
      <c r="AJ860" s="165"/>
      <c r="AK860" s="165"/>
      <c r="AL860" s="165"/>
      <c r="AM860" s="165"/>
      <c r="AN860" s="165"/>
    </row>
    <row r="861" spans="1:40">
      <c r="A861" s="44"/>
      <c r="B861" s="44"/>
      <c r="C861" s="165"/>
      <c r="D861" s="44"/>
      <c r="E861" s="44"/>
      <c r="F861" s="43"/>
      <c r="G861" s="44"/>
      <c r="H861" s="45"/>
      <c r="I861" s="44"/>
      <c r="J861" s="44"/>
      <c r="K861" s="230"/>
      <c r="L861" s="144"/>
      <c r="M861" s="230"/>
      <c r="N861" s="230"/>
      <c r="O861" s="44"/>
      <c r="P861" s="44"/>
      <c r="Q861" s="45"/>
      <c r="R861" s="147"/>
      <c r="S861" s="147"/>
      <c r="T861" s="147"/>
      <c r="U861" s="148"/>
      <c r="V861" s="149"/>
      <c r="W861" s="150"/>
      <c r="X861" s="151"/>
      <c r="Y861" s="44"/>
      <c r="Z861" s="44"/>
      <c r="AA861" s="152"/>
      <c r="AB861" s="152"/>
      <c r="AC861" s="152"/>
      <c r="AD861" s="152"/>
      <c r="AE861" s="152"/>
      <c r="AF861" s="152"/>
      <c r="AG861" s="152"/>
      <c r="AH861" s="165"/>
      <c r="AI861" s="165"/>
      <c r="AJ861" s="165"/>
      <c r="AK861" s="165"/>
      <c r="AL861" s="165"/>
      <c r="AM861" s="165"/>
      <c r="AN861" s="165"/>
    </row>
    <row r="862" spans="1:40">
      <c r="A862" s="44"/>
      <c r="B862" s="44"/>
      <c r="C862" s="165"/>
      <c r="D862" s="44"/>
      <c r="E862" s="44"/>
      <c r="F862" s="43"/>
      <c r="G862" s="44"/>
      <c r="H862" s="45"/>
      <c r="I862" s="44"/>
      <c r="J862" s="44"/>
      <c r="K862" s="230"/>
      <c r="L862" s="144"/>
      <c r="M862" s="230"/>
      <c r="N862" s="230"/>
      <c r="O862" s="44"/>
      <c r="P862" s="44"/>
      <c r="Q862" s="45"/>
      <c r="R862" s="147"/>
      <c r="S862" s="147"/>
      <c r="T862" s="147"/>
      <c r="U862" s="148"/>
      <c r="V862" s="149"/>
      <c r="W862" s="150"/>
      <c r="X862" s="151"/>
      <c r="Y862" s="44"/>
      <c r="Z862" s="44"/>
      <c r="AA862" s="152"/>
      <c r="AB862" s="152"/>
      <c r="AC862" s="152"/>
      <c r="AD862" s="152"/>
      <c r="AE862" s="152"/>
      <c r="AF862" s="152"/>
      <c r="AG862" s="152"/>
      <c r="AH862" s="165"/>
      <c r="AI862" s="165"/>
      <c r="AJ862" s="165"/>
      <c r="AK862" s="165"/>
      <c r="AL862" s="165"/>
      <c r="AM862" s="165"/>
      <c r="AN862" s="165"/>
    </row>
    <row r="863" spans="1:40">
      <c r="A863" s="44"/>
      <c r="B863" s="44"/>
      <c r="C863" s="165"/>
      <c r="D863" s="44"/>
      <c r="E863" s="44"/>
      <c r="F863" s="43"/>
      <c r="G863" s="44"/>
      <c r="H863" s="45"/>
      <c r="I863" s="44"/>
      <c r="J863" s="44"/>
      <c r="K863" s="230"/>
      <c r="L863" s="144"/>
      <c r="M863" s="230"/>
      <c r="N863" s="230"/>
      <c r="O863" s="44"/>
      <c r="P863" s="44"/>
      <c r="Q863" s="45"/>
      <c r="R863" s="147"/>
      <c r="S863" s="147"/>
      <c r="T863" s="147"/>
      <c r="U863" s="148"/>
      <c r="V863" s="149"/>
      <c r="W863" s="150"/>
      <c r="X863" s="151"/>
      <c r="Y863" s="44"/>
      <c r="Z863" s="44"/>
      <c r="AA863" s="152"/>
      <c r="AB863" s="152"/>
      <c r="AC863" s="152"/>
      <c r="AD863" s="152"/>
      <c r="AE863" s="152"/>
      <c r="AF863" s="152"/>
      <c r="AG863" s="152"/>
      <c r="AH863" s="165"/>
      <c r="AI863" s="165"/>
      <c r="AJ863" s="165"/>
      <c r="AK863" s="165"/>
      <c r="AL863" s="165"/>
      <c r="AM863" s="165"/>
      <c r="AN863" s="165"/>
    </row>
    <row r="864" spans="1:40">
      <c r="A864" s="44"/>
      <c r="B864" s="44"/>
      <c r="C864" s="165"/>
      <c r="D864" s="44"/>
      <c r="E864" s="44"/>
      <c r="F864" s="43"/>
      <c r="G864" s="44"/>
      <c r="H864" s="45"/>
      <c r="I864" s="44"/>
      <c r="J864" s="44"/>
      <c r="K864" s="230"/>
      <c r="L864" s="144"/>
      <c r="M864" s="230"/>
      <c r="N864" s="230"/>
      <c r="O864" s="44"/>
      <c r="P864" s="44"/>
      <c r="Q864" s="45"/>
      <c r="R864" s="147"/>
      <c r="S864" s="147"/>
      <c r="T864" s="147"/>
      <c r="U864" s="148"/>
      <c r="V864" s="149"/>
      <c r="W864" s="150"/>
      <c r="X864" s="151"/>
      <c r="Y864" s="44"/>
      <c r="Z864" s="44"/>
      <c r="AA864" s="152"/>
      <c r="AB864" s="152"/>
      <c r="AC864" s="152"/>
      <c r="AD864" s="152"/>
      <c r="AE864" s="152"/>
      <c r="AF864" s="152"/>
      <c r="AG864" s="152"/>
      <c r="AH864" s="165"/>
      <c r="AI864" s="165"/>
      <c r="AJ864" s="165"/>
      <c r="AK864" s="165"/>
      <c r="AL864" s="165"/>
      <c r="AM864" s="165"/>
      <c r="AN864" s="165"/>
    </row>
    <row r="865" spans="1:40">
      <c r="A865" s="44"/>
      <c r="B865" s="44"/>
      <c r="C865" s="165"/>
      <c r="D865" s="44"/>
      <c r="E865" s="44"/>
      <c r="F865" s="43"/>
      <c r="G865" s="44"/>
      <c r="H865" s="45"/>
      <c r="I865" s="44"/>
      <c r="J865" s="44"/>
      <c r="K865" s="230"/>
      <c r="L865" s="144"/>
      <c r="M865" s="230"/>
      <c r="N865" s="230"/>
      <c r="O865" s="44"/>
      <c r="P865" s="44"/>
      <c r="Q865" s="45"/>
      <c r="R865" s="147"/>
      <c r="S865" s="147"/>
      <c r="T865" s="147"/>
      <c r="U865" s="148"/>
      <c r="V865" s="149"/>
      <c r="W865" s="150"/>
      <c r="X865" s="151"/>
      <c r="Y865" s="44"/>
      <c r="Z865" s="44"/>
      <c r="AA865" s="152"/>
      <c r="AB865" s="152"/>
      <c r="AC865" s="152"/>
      <c r="AD865" s="152"/>
      <c r="AE865" s="152"/>
      <c r="AF865" s="152"/>
      <c r="AG865" s="152"/>
      <c r="AH865" s="165"/>
      <c r="AI865" s="165"/>
      <c r="AJ865" s="165"/>
      <c r="AK865" s="165"/>
      <c r="AL865" s="165"/>
      <c r="AM865" s="165"/>
      <c r="AN865" s="165"/>
    </row>
    <row r="866" spans="1:40">
      <c r="A866" s="44"/>
      <c r="B866" s="44"/>
      <c r="C866" s="165"/>
      <c r="D866" s="44"/>
      <c r="E866" s="44"/>
      <c r="F866" s="43"/>
      <c r="G866" s="44"/>
      <c r="H866" s="45"/>
      <c r="I866" s="44"/>
      <c r="J866" s="44"/>
      <c r="K866" s="230"/>
      <c r="L866" s="144"/>
      <c r="M866" s="230"/>
      <c r="N866" s="230"/>
      <c r="O866" s="44"/>
      <c r="P866" s="44"/>
      <c r="Q866" s="45"/>
      <c r="R866" s="147"/>
      <c r="S866" s="147"/>
      <c r="T866" s="147"/>
      <c r="U866" s="148"/>
      <c r="V866" s="149"/>
      <c r="W866" s="150"/>
      <c r="X866" s="151"/>
      <c r="Y866" s="44"/>
      <c r="Z866" s="44"/>
      <c r="AA866" s="152"/>
      <c r="AB866" s="152"/>
      <c r="AC866" s="152"/>
      <c r="AD866" s="152"/>
      <c r="AE866" s="152"/>
      <c r="AF866" s="152"/>
      <c r="AG866" s="152"/>
      <c r="AH866" s="165"/>
      <c r="AI866" s="165"/>
      <c r="AJ866" s="165"/>
      <c r="AK866" s="165"/>
      <c r="AL866" s="165"/>
      <c r="AM866" s="165"/>
      <c r="AN866" s="165"/>
    </row>
    <row r="867" spans="1:40">
      <c r="A867" s="44"/>
      <c r="B867" s="44"/>
      <c r="C867" s="165"/>
      <c r="D867" s="44"/>
      <c r="E867" s="44"/>
      <c r="F867" s="43"/>
      <c r="G867" s="44"/>
      <c r="H867" s="45"/>
      <c r="I867" s="44"/>
      <c r="J867" s="44"/>
      <c r="K867" s="230"/>
      <c r="L867" s="144"/>
      <c r="M867" s="230"/>
      <c r="N867" s="230"/>
      <c r="O867" s="44"/>
      <c r="P867" s="44"/>
      <c r="Q867" s="45"/>
      <c r="R867" s="147"/>
      <c r="S867" s="147"/>
      <c r="T867" s="147"/>
      <c r="U867" s="148"/>
      <c r="V867" s="149"/>
      <c r="W867" s="150"/>
      <c r="X867" s="151"/>
      <c r="Y867" s="44"/>
      <c r="Z867" s="44"/>
      <c r="AA867" s="152"/>
      <c r="AB867" s="152"/>
      <c r="AC867" s="152"/>
      <c r="AD867" s="152"/>
      <c r="AE867" s="152"/>
      <c r="AF867" s="152"/>
      <c r="AG867" s="152"/>
      <c r="AH867" s="165"/>
      <c r="AI867" s="165"/>
      <c r="AJ867" s="165"/>
      <c r="AK867" s="165"/>
      <c r="AL867" s="165"/>
      <c r="AM867" s="165"/>
      <c r="AN867" s="165"/>
    </row>
    <row r="868" spans="1:40">
      <c r="A868" s="44"/>
      <c r="B868" s="44"/>
      <c r="C868" s="165"/>
      <c r="D868" s="44"/>
      <c r="E868" s="44"/>
      <c r="F868" s="43"/>
      <c r="G868" s="44"/>
      <c r="H868" s="45"/>
      <c r="I868" s="44"/>
      <c r="J868" s="44"/>
      <c r="K868" s="230"/>
      <c r="L868" s="144"/>
      <c r="M868" s="230"/>
      <c r="N868" s="230"/>
      <c r="O868" s="44"/>
      <c r="P868" s="44"/>
      <c r="Q868" s="45"/>
      <c r="R868" s="147"/>
      <c r="S868" s="147"/>
      <c r="T868" s="147"/>
      <c r="U868" s="148"/>
      <c r="V868" s="149"/>
      <c r="W868" s="150"/>
      <c r="X868" s="151"/>
      <c r="Y868" s="44"/>
      <c r="Z868" s="44"/>
      <c r="AA868" s="152"/>
      <c r="AB868" s="152"/>
      <c r="AC868" s="152"/>
      <c r="AD868" s="152"/>
      <c r="AE868" s="152"/>
      <c r="AF868" s="152"/>
      <c r="AG868" s="152"/>
      <c r="AH868" s="165"/>
      <c r="AI868" s="165"/>
      <c r="AJ868" s="165"/>
      <c r="AK868" s="165"/>
      <c r="AL868" s="165"/>
      <c r="AM868" s="165"/>
      <c r="AN868" s="165"/>
    </row>
    <row r="869" spans="1:40">
      <c r="A869" s="44"/>
      <c r="B869" s="44"/>
      <c r="C869" s="165"/>
      <c r="D869" s="44"/>
      <c r="E869" s="44"/>
      <c r="F869" s="43"/>
      <c r="G869" s="44"/>
      <c r="H869" s="45"/>
      <c r="I869" s="44"/>
      <c r="J869" s="44"/>
      <c r="K869" s="230"/>
      <c r="L869" s="144"/>
      <c r="M869" s="230"/>
      <c r="N869" s="230"/>
      <c r="O869" s="44"/>
      <c r="P869" s="44"/>
      <c r="Q869" s="45"/>
      <c r="R869" s="147"/>
      <c r="S869" s="147"/>
      <c r="T869" s="147"/>
      <c r="U869" s="148"/>
      <c r="V869" s="149"/>
      <c r="W869" s="150"/>
      <c r="X869" s="151"/>
      <c r="Y869" s="44"/>
      <c r="Z869" s="44"/>
      <c r="AA869" s="152"/>
      <c r="AB869" s="152"/>
      <c r="AC869" s="152"/>
      <c r="AD869" s="152"/>
      <c r="AE869" s="152"/>
      <c r="AF869" s="152"/>
      <c r="AG869" s="152"/>
      <c r="AH869" s="165"/>
      <c r="AI869" s="165"/>
      <c r="AJ869" s="165"/>
      <c r="AK869" s="165"/>
      <c r="AL869" s="165"/>
      <c r="AM869" s="165"/>
      <c r="AN869" s="165"/>
    </row>
    <row r="870" spans="1:40">
      <c r="A870" s="44"/>
      <c r="B870" s="44"/>
      <c r="C870" s="165"/>
      <c r="D870" s="44"/>
      <c r="E870" s="44"/>
      <c r="F870" s="43"/>
      <c r="G870" s="44"/>
      <c r="H870" s="45"/>
      <c r="I870" s="44"/>
      <c r="J870" s="44"/>
      <c r="K870" s="230"/>
      <c r="L870" s="144"/>
      <c r="M870" s="230"/>
      <c r="N870" s="230"/>
      <c r="O870" s="44"/>
      <c r="P870" s="44"/>
      <c r="Q870" s="45"/>
      <c r="R870" s="147"/>
      <c r="S870" s="147"/>
      <c r="T870" s="147"/>
      <c r="U870" s="148"/>
      <c r="V870" s="149"/>
      <c r="W870" s="150"/>
      <c r="X870" s="151"/>
      <c r="Y870" s="44"/>
      <c r="Z870" s="44"/>
      <c r="AA870" s="152"/>
      <c r="AB870" s="152"/>
      <c r="AC870" s="152"/>
      <c r="AD870" s="152"/>
      <c r="AE870" s="152"/>
      <c r="AF870" s="152"/>
      <c r="AG870" s="152"/>
      <c r="AH870" s="165"/>
      <c r="AI870" s="165"/>
      <c r="AJ870" s="165"/>
      <c r="AK870" s="165"/>
      <c r="AL870" s="165"/>
      <c r="AM870" s="165"/>
      <c r="AN870" s="165"/>
    </row>
    <row r="871" spans="1:40">
      <c r="A871" s="44"/>
      <c r="B871" s="44"/>
      <c r="C871" s="165"/>
      <c r="D871" s="44"/>
      <c r="E871" s="44"/>
      <c r="F871" s="43"/>
      <c r="G871" s="44"/>
      <c r="H871" s="45"/>
      <c r="I871" s="44"/>
      <c r="J871" s="44"/>
      <c r="K871" s="230"/>
      <c r="L871" s="144"/>
      <c r="M871" s="230"/>
      <c r="N871" s="230"/>
      <c r="O871" s="44"/>
      <c r="P871" s="44"/>
      <c r="Q871" s="45"/>
      <c r="R871" s="147"/>
      <c r="S871" s="147"/>
      <c r="T871" s="147"/>
      <c r="U871" s="148"/>
      <c r="V871" s="149"/>
      <c r="W871" s="150"/>
      <c r="X871" s="151"/>
      <c r="Y871" s="44"/>
      <c r="Z871" s="44"/>
      <c r="AA871" s="152"/>
      <c r="AB871" s="152"/>
      <c r="AC871" s="152"/>
      <c r="AD871" s="152"/>
      <c r="AE871" s="152"/>
      <c r="AF871" s="152"/>
      <c r="AG871" s="152"/>
      <c r="AH871" s="165"/>
      <c r="AI871" s="165"/>
      <c r="AJ871" s="165"/>
      <c r="AK871" s="165"/>
      <c r="AL871" s="165"/>
      <c r="AM871" s="165"/>
      <c r="AN871" s="165"/>
    </row>
    <row r="872" spans="1:40">
      <c r="A872" s="44"/>
      <c r="B872" s="44"/>
      <c r="C872" s="165"/>
      <c r="D872" s="44"/>
      <c r="E872" s="44"/>
      <c r="F872" s="43"/>
      <c r="G872" s="44"/>
      <c r="H872" s="45"/>
      <c r="I872" s="44"/>
      <c r="J872" s="44"/>
      <c r="K872" s="230"/>
      <c r="L872" s="144"/>
      <c r="M872" s="230"/>
      <c r="N872" s="230"/>
      <c r="O872" s="44"/>
      <c r="P872" s="44"/>
      <c r="Q872" s="45"/>
      <c r="R872" s="147"/>
      <c r="S872" s="147"/>
      <c r="T872" s="147"/>
      <c r="U872" s="148"/>
      <c r="V872" s="149"/>
      <c r="W872" s="150"/>
      <c r="X872" s="151"/>
      <c r="Y872" s="44"/>
      <c r="Z872" s="44"/>
      <c r="AA872" s="152"/>
      <c r="AB872" s="152"/>
      <c r="AC872" s="152"/>
      <c r="AD872" s="152"/>
      <c r="AE872" s="152"/>
      <c r="AF872" s="152"/>
      <c r="AG872" s="152"/>
      <c r="AH872" s="165"/>
      <c r="AI872" s="165"/>
      <c r="AJ872" s="165"/>
      <c r="AK872" s="165"/>
      <c r="AL872" s="165"/>
      <c r="AM872" s="165"/>
      <c r="AN872" s="165"/>
    </row>
    <row r="873" spans="1:40">
      <c r="A873" s="44"/>
      <c r="B873" s="44"/>
      <c r="C873" s="165"/>
      <c r="D873" s="44"/>
      <c r="E873" s="44"/>
      <c r="F873" s="43"/>
      <c r="G873" s="44"/>
      <c r="H873" s="45"/>
      <c r="I873" s="44"/>
      <c r="J873" s="44"/>
      <c r="K873" s="230"/>
      <c r="L873" s="144"/>
      <c r="M873" s="230"/>
      <c r="N873" s="230"/>
      <c r="O873" s="44"/>
      <c r="P873" s="44"/>
      <c r="Q873" s="45"/>
      <c r="R873" s="147"/>
      <c r="S873" s="147"/>
      <c r="T873" s="147"/>
      <c r="U873" s="148"/>
      <c r="V873" s="149"/>
      <c r="W873" s="150"/>
      <c r="X873" s="151"/>
      <c r="Y873" s="44"/>
      <c r="Z873" s="44"/>
      <c r="AA873" s="152"/>
      <c r="AB873" s="152"/>
      <c r="AC873" s="152"/>
      <c r="AD873" s="152"/>
      <c r="AE873" s="152"/>
      <c r="AF873" s="152"/>
      <c r="AG873" s="152"/>
      <c r="AH873" s="165"/>
      <c r="AI873" s="165"/>
      <c r="AJ873" s="165"/>
      <c r="AK873" s="165"/>
      <c r="AL873" s="165"/>
      <c r="AM873" s="165"/>
      <c r="AN873" s="165"/>
    </row>
    <row r="874" spans="1:40">
      <c r="A874" s="44"/>
      <c r="B874" s="44"/>
      <c r="C874" s="165"/>
      <c r="D874" s="44"/>
      <c r="E874" s="44"/>
      <c r="F874" s="43"/>
      <c r="G874" s="44"/>
      <c r="H874" s="45"/>
      <c r="I874" s="44"/>
      <c r="J874" s="44"/>
      <c r="K874" s="230"/>
      <c r="L874" s="144"/>
      <c r="M874" s="230"/>
      <c r="N874" s="230"/>
      <c r="O874" s="44"/>
      <c r="P874" s="44"/>
      <c r="Q874" s="45"/>
      <c r="R874" s="147"/>
      <c r="S874" s="147"/>
      <c r="T874" s="147"/>
      <c r="U874" s="148"/>
      <c r="V874" s="149"/>
      <c r="W874" s="150"/>
      <c r="X874" s="151"/>
      <c r="Y874" s="44"/>
      <c r="Z874" s="44"/>
      <c r="AA874" s="152"/>
      <c r="AB874" s="152"/>
      <c r="AC874" s="152"/>
      <c r="AD874" s="152"/>
      <c r="AE874" s="152"/>
      <c r="AF874" s="152"/>
      <c r="AG874" s="152"/>
      <c r="AH874" s="165"/>
      <c r="AI874" s="165"/>
      <c r="AJ874" s="165"/>
      <c r="AK874" s="165"/>
      <c r="AL874" s="165"/>
      <c r="AM874" s="165"/>
      <c r="AN874" s="165"/>
    </row>
    <row r="875" spans="1:40">
      <c r="A875" s="44"/>
      <c r="B875" s="44"/>
      <c r="C875" s="165"/>
      <c r="D875" s="44"/>
      <c r="E875" s="44"/>
      <c r="F875" s="43"/>
      <c r="G875" s="44"/>
      <c r="H875" s="45"/>
      <c r="I875" s="44"/>
      <c r="J875" s="44"/>
      <c r="K875" s="230"/>
      <c r="L875" s="144"/>
      <c r="M875" s="230"/>
      <c r="N875" s="230"/>
      <c r="O875" s="44"/>
      <c r="P875" s="44"/>
      <c r="Q875" s="45"/>
      <c r="R875" s="147"/>
      <c r="S875" s="147"/>
      <c r="T875" s="147"/>
      <c r="U875" s="148"/>
      <c r="V875" s="149"/>
      <c r="W875" s="150"/>
      <c r="X875" s="151"/>
      <c r="Y875" s="44"/>
      <c r="Z875" s="44"/>
      <c r="AA875" s="152"/>
      <c r="AB875" s="152"/>
      <c r="AC875" s="152"/>
      <c r="AD875" s="152"/>
      <c r="AE875" s="152"/>
      <c r="AF875" s="152"/>
      <c r="AG875" s="152"/>
      <c r="AH875" s="165"/>
      <c r="AI875" s="165"/>
      <c r="AJ875" s="165"/>
      <c r="AK875" s="165"/>
      <c r="AL875" s="165"/>
      <c r="AM875" s="165"/>
      <c r="AN875" s="165"/>
    </row>
    <row r="876" spans="1:40">
      <c r="A876" s="44"/>
      <c r="B876" s="44"/>
      <c r="C876" s="165"/>
      <c r="D876" s="44"/>
      <c r="E876" s="44"/>
      <c r="F876" s="43"/>
      <c r="G876" s="44"/>
      <c r="H876" s="45"/>
      <c r="I876" s="44"/>
      <c r="J876" s="44"/>
      <c r="K876" s="230"/>
      <c r="L876" s="144"/>
      <c r="M876" s="230"/>
      <c r="N876" s="230"/>
      <c r="O876" s="44"/>
      <c r="P876" s="44"/>
      <c r="Q876" s="45"/>
      <c r="R876" s="147"/>
      <c r="S876" s="147"/>
      <c r="T876" s="147"/>
      <c r="U876" s="148"/>
      <c r="V876" s="149"/>
      <c r="W876" s="150"/>
      <c r="X876" s="151"/>
      <c r="Y876" s="44"/>
      <c r="Z876" s="44"/>
      <c r="AA876" s="152"/>
      <c r="AB876" s="152"/>
      <c r="AC876" s="152"/>
      <c r="AD876" s="152"/>
      <c r="AE876" s="152"/>
      <c r="AF876" s="152"/>
      <c r="AG876" s="152"/>
      <c r="AH876" s="165"/>
      <c r="AI876" s="165"/>
      <c r="AJ876" s="165"/>
      <c r="AK876" s="165"/>
      <c r="AL876" s="165"/>
      <c r="AM876" s="165"/>
      <c r="AN876" s="165"/>
    </row>
    <row r="877" spans="1:40">
      <c r="A877" s="44"/>
      <c r="B877" s="44"/>
      <c r="C877" s="165"/>
      <c r="D877" s="44"/>
      <c r="E877" s="44"/>
      <c r="F877" s="43"/>
      <c r="G877" s="44"/>
      <c r="H877" s="45"/>
      <c r="I877" s="44"/>
      <c r="J877" s="44"/>
      <c r="K877" s="230"/>
      <c r="L877" s="144"/>
      <c r="M877" s="230"/>
      <c r="N877" s="230"/>
      <c r="O877" s="44"/>
      <c r="P877" s="44"/>
      <c r="Q877" s="45"/>
      <c r="R877" s="147"/>
      <c r="S877" s="147"/>
      <c r="T877" s="147"/>
      <c r="U877" s="148"/>
      <c r="V877" s="149"/>
      <c r="W877" s="150"/>
      <c r="X877" s="151"/>
      <c r="Y877" s="44"/>
      <c r="Z877" s="44"/>
      <c r="AA877" s="152"/>
      <c r="AB877" s="152"/>
      <c r="AC877" s="152"/>
      <c r="AD877" s="152"/>
      <c r="AE877" s="152"/>
      <c r="AF877" s="152"/>
      <c r="AG877" s="152"/>
      <c r="AH877" s="165"/>
      <c r="AI877" s="165"/>
      <c r="AJ877" s="165"/>
      <c r="AK877" s="165"/>
      <c r="AL877" s="165"/>
      <c r="AM877" s="165"/>
      <c r="AN877" s="165"/>
    </row>
    <row r="878" spans="1:40">
      <c r="A878" s="44"/>
      <c r="B878" s="44"/>
      <c r="C878" s="165"/>
      <c r="D878" s="44"/>
      <c r="E878" s="44"/>
      <c r="F878" s="43"/>
      <c r="G878" s="44"/>
      <c r="H878" s="45"/>
      <c r="I878" s="44"/>
      <c r="J878" s="44"/>
      <c r="K878" s="230"/>
      <c r="L878" s="144"/>
      <c r="M878" s="230"/>
      <c r="N878" s="230"/>
      <c r="O878" s="44"/>
      <c r="P878" s="44"/>
      <c r="Q878" s="45"/>
      <c r="R878" s="147"/>
      <c r="S878" s="147"/>
      <c r="T878" s="147"/>
      <c r="U878" s="148"/>
      <c r="V878" s="149"/>
      <c r="W878" s="150"/>
      <c r="X878" s="151"/>
      <c r="Y878" s="44"/>
      <c r="Z878" s="44"/>
      <c r="AA878" s="152"/>
      <c r="AB878" s="152"/>
      <c r="AC878" s="152"/>
      <c r="AD878" s="152"/>
      <c r="AE878" s="152"/>
      <c r="AF878" s="152"/>
      <c r="AG878" s="152"/>
      <c r="AH878" s="165"/>
      <c r="AI878" s="165"/>
      <c r="AJ878" s="165"/>
      <c r="AK878" s="165"/>
      <c r="AL878" s="165"/>
      <c r="AM878" s="165"/>
      <c r="AN878" s="165"/>
    </row>
    <row r="879" spans="1:40">
      <c r="A879" s="44"/>
      <c r="B879" s="44"/>
      <c r="C879" s="165"/>
      <c r="D879" s="44"/>
      <c r="E879" s="44"/>
      <c r="F879" s="43"/>
      <c r="G879" s="44"/>
      <c r="H879" s="45"/>
      <c r="I879" s="44"/>
      <c r="J879" s="44"/>
      <c r="K879" s="230"/>
      <c r="L879" s="144"/>
      <c r="M879" s="230"/>
      <c r="N879" s="230"/>
      <c r="O879" s="44"/>
      <c r="P879" s="44"/>
      <c r="Q879" s="45"/>
      <c r="R879" s="147"/>
      <c r="S879" s="147"/>
      <c r="T879" s="147"/>
      <c r="U879" s="148"/>
      <c r="V879" s="149"/>
      <c r="W879" s="150"/>
      <c r="X879" s="151"/>
      <c r="Y879" s="44"/>
      <c r="Z879" s="44"/>
      <c r="AA879" s="152"/>
      <c r="AB879" s="152"/>
      <c r="AC879" s="152"/>
      <c r="AD879" s="152"/>
      <c r="AE879" s="152"/>
      <c r="AF879" s="152"/>
      <c r="AG879" s="152"/>
      <c r="AH879" s="165"/>
      <c r="AI879" s="165"/>
      <c r="AJ879" s="165"/>
      <c r="AK879" s="165"/>
      <c r="AL879" s="165"/>
      <c r="AM879" s="165"/>
      <c r="AN879" s="165"/>
    </row>
    <row r="880" spans="1:40">
      <c r="A880" s="44"/>
      <c r="B880" s="44"/>
      <c r="C880" s="165"/>
      <c r="D880" s="44"/>
      <c r="E880" s="44"/>
      <c r="F880" s="43"/>
      <c r="G880" s="44"/>
      <c r="H880" s="45"/>
      <c r="I880" s="44"/>
      <c r="J880" s="44"/>
      <c r="K880" s="230"/>
      <c r="L880" s="144"/>
      <c r="M880" s="230"/>
      <c r="N880" s="230"/>
      <c r="O880" s="44"/>
      <c r="P880" s="44"/>
      <c r="Q880" s="45"/>
      <c r="R880" s="147"/>
      <c r="S880" s="147"/>
      <c r="T880" s="147"/>
      <c r="U880" s="148"/>
      <c r="V880" s="149"/>
      <c r="W880" s="150"/>
      <c r="X880" s="151"/>
      <c r="Y880" s="44"/>
      <c r="Z880" s="44"/>
      <c r="AA880" s="152"/>
      <c r="AB880" s="152"/>
      <c r="AC880" s="152"/>
      <c r="AD880" s="152"/>
      <c r="AE880" s="152"/>
      <c r="AF880" s="152"/>
      <c r="AG880" s="152"/>
      <c r="AH880" s="165"/>
      <c r="AI880" s="165"/>
      <c r="AJ880" s="165"/>
      <c r="AK880" s="165"/>
      <c r="AL880" s="165"/>
      <c r="AM880" s="165"/>
      <c r="AN880" s="165"/>
    </row>
    <row r="881" spans="1:40">
      <c r="A881" s="44"/>
      <c r="B881" s="44"/>
      <c r="C881" s="165"/>
      <c r="D881" s="44"/>
      <c r="E881" s="44"/>
      <c r="F881" s="43"/>
      <c r="G881" s="44"/>
      <c r="H881" s="45"/>
      <c r="I881" s="44"/>
      <c r="J881" s="44"/>
      <c r="K881" s="230"/>
      <c r="L881" s="144"/>
      <c r="M881" s="230"/>
      <c r="N881" s="230"/>
      <c r="O881" s="44"/>
      <c r="P881" s="44"/>
      <c r="Q881" s="45"/>
      <c r="R881" s="147"/>
      <c r="S881" s="147"/>
      <c r="T881" s="147"/>
      <c r="U881" s="148"/>
      <c r="V881" s="149"/>
      <c r="W881" s="150"/>
      <c r="X881" s="151"/>
      <c r="Y881" s="44"/>
      <c r="Z881" s="44"/>
      <c r="AA881" s="152"/>
      <c r="AB881" s="152"/>
      <c r="AC881" s="152"/>
      <c r="AD881" s="152"/>
      <c r="AE881" s="152"/>
      <c r="AF881" s="152"/>
      <c r="AG881" s="152"/>
      <c r="AH881" s="165"/>
      <c r="AI881" s="165"/>
      <c r="AJ881" s="165"/>
      <c r="AK881" s="165"/>
      <c r="AL881" s="165"/>
      <c r="AM881" s="165"/>
      <c r="AN881" s="165"/>
    </row>
    <row r="882" spans="1:40">
      <c r="A882" s="44"/>
      <c r="B882" s="44"/>
      <c r="C882" s="165"/>
      <c r="D882" s="44"/>
      <c r="E882" s="44"/>
      <c r="F882" s="43"/>
      <c r="G882" s="44"/>
      <c r="H882" s="45"/>
      <c r="I882" s="44"/>
      <c r="J882" s="44"/>
      <c r="K882" s="230"/>
      <c r="L882" s="144"/>
      <c r="M882" s="230"/>
      <c r="N882" s="230"/>
      <c r="O882" s="44"/>
      <c r="P882" s="44"/>
      <c r="Q882" s="45"/>
      <c r="R882" s="147"/>
      <c r="S882" s="147"/>
      <c r="T882" s="147"/>
      <c r="U882" s="148"/>
      <c r="V882" s="149"/>
      <c r="W882" s="150"/>
      <c r="X882" s="151"/>
      <c r="Y882" s="44"/>
      <c r="Z882" s="44"/>
      <c r="AA882" s="152"/>
      <c r="AB882" s="152"/>
      <c r="AC882" s="152"/>
      <c r="AD882" s="152"/>
      <c r="AE882" s="152"/>
      <c r="AF882" s="152"/>
      <c r="AG882" s="152"/>
      <c r="AH882" s="165"/>
      <c r="AI882" s="165"/>
      <c r="AJ882" s="165"/>
      <c r="AK882" s="165"/>
      <c r="AL882" s="165"/>
      <c r="AM882" s="165"/>
      <c r="AN882" s="165"/>
    </row>
    <row r="883" spans="1:40">
      <c r="A883" s="44"/>
      <c r="B883" s="44"/>
      <c r="C883" s="165"/>
      <c r="D883" s="44"/>
      <c r="E883" s="44"/>
      <c r="F883" s="43"/>
      <c r="G883" s="44"/>
      <c r="H883" s="45"/>
      <c r="I883" s="44"/>
      <c r="J883" s="44"/>
      <c r="K883" s="230"/>
      <c r="L883" s="144"/>
      <c r="M883" s="230"/>
      <c r="N883" s="230"/>
      <c r="O883" s="44"/>
      <c r="P883" s="44"/>
      <c r="Q883" s="45"/>
      <c r="R883" s="147"/>
      <c r="S883" s="147"/>
      <c r="T883" s="147"/>
      <c r="U883" s="148"/>
      <c r="V883" s="149"/>
      <c r="W883" s="150"/>
      <c r="X883" s="151"/>
      <c r="Y883" s="44"/>
      <c r="Z883" s="44"/>
      <c r="AA883" s="152"/>
      <c r="AB883" s="152"/>
      <c r="AC883" s="152"/>
      <c r="AD883" s="152"/>
      <c r="AE883" s="152"/>
      <c r="AF883" s="152"/>
      <c r="AG883" s="152"/>
      <c r="AH883" s="165"/>
      <c r="AI883" s="165"/>
      <c r="AJ883" s="165"/>
      <c r="AK883" s="165"/>
      <c r="AL883" s="165"/>
      <c r="AM883" s="165"/>
      <c r="AN883" s="165"/>
    </row>
    <row r="884" spans="1:40">
      <c r="A884" s="44"/>
      <c r="B884" s="44"/>
      <c r="C884" s="165"/>
      <c r="D884" s="44"/>
      <c r="E884" s="44"/>
      <c r="F884" s="43"/>
      <c r="G884" s="44"/>
      <c r="H884" s="45"/>
      <c r="I884" s="44"/>
      <c r="J884" s="44"/>
      <c r="K884" s="230"/>
      <c r="L884" s="144"/>
      <c r="M884" s="230"/>
      <c r="N884" s="230"/>
      <c r="O884" s="44"/>
      <c r="P884" s="44"/>
      <c r="Q884" s="45"/>
      <c r="R884" s="147"/>
      <c r="S884" s="147"/>
      <c r="T884" s="147"/>
      <c r="U884" s="148"/>
      <c r="V884" s="149"/>
      <c r="W884" s="150"/>
      <c r="X884" s="151"/>
      <c r="Y884" s="44"/>
      <c r="Z884" s="44"/>
      <c r="AA884" s="152"/>
      <c r="AB884" s="152"/>
      <c r="AC884" s="152"/>
      <c r="AD884" s="152"/>
      <c r="AE884" s="152"/>
      <c r="AF884" s="152"/>
      <c r="AG884" s="152"/>
      <c r="AH884" s="165"/>
      <c r="AI884" s="165"/>
      <c r="AJ884" s="165"/>
      <c r="AK884" s="165"/>
      <c r="AL884" s="165"/>
      <c r="AM884" s="165"/>
      <c r="AN884" s="165"/>
    </row>
    <row r="885" spans="1:40">
      <c r="A885" s="44"/>
      <c r="B885" s="44"/>
      <c r="C885" s="165"/>
      <c r="D885" s="44"/>
      <c r="E885" s="44"/>
      <c r="F885" s="43"/>
      <c r="G885" s="44"/>
      <c r="H885" s="45"/>
      <c r="I885" s="44"/>
      <c r="J885" s="44"/>
      <c r="K885" s="230"/>
      <c r="L885" s="144"/>
      <c r="M885" s="230"/>
      <c r="N885" s="230"/>
      <c r="O885" s="44"/>
      <c r="P885" s="44"/>
      <c r="Q885" s="45"/>
      <c r="R885" s="147"/>
      <c r="S885" s="147"/>
      <c r="T885" s="147"/>
      <c r="U885" s="148"/>
      <c r="V885" s="149"/>
      <c r="W885" s="150"/>
      <c r="X885" s="151"/>
      <c r="Y885" s="44"/>
      <c r="Z885" s="44"/>
      <c r="AA885" s="152"/>
      <c r="AB885" s="152"/>
      <c r="AC885" s="152"/>
      <c r="AD885" s="152"/>
      <c r="AE885" s="152"/>
      <c r="AF885" s="152"/>
      <c r="AG885" s="152"/>
      <c r="AH885" s="165"/>
      <c r="AI885" s="165"/>
      <c r="AJ885" s="165"/>
      <c r="AK885" s="165"/>
      <c r="AL885" s="165"/>
      <c r="AM885" s="165"/>
      <c r="AN885" s="165"/>
    </row>
    <row r="886" spans="1:40">
      <c r="A886" s="44"/>
      <c r="B886" s="44"/>
      <c r="C886" s="165"/>
      <c r="D886" s="44"/>
      <c r="E886" s="44"/>
      <c r="F886" s="43"/>
      <c r="G886" s="44"/>
      <c r="H886" s="45"/>
      <c r="I886" s="44"/>
      <c r="J886" s="44"/>
      <c r="K886" s="230"/>
      <c r="L886" s="144"/>
      <c r="M886" s="230"/>
      <c r="N886" s="230"/>
      <c r="O886" s="44"/>
      <c r="P886" s="44"/>
      <c r="Q886" s="45"/>
      <c r="R886" s="147"/>
      <c r="S886" s="147"/>
      <c r="T886" s="147"/>
      <c r="U886" s="148"/>
      <c r="V886" s="149"/>
      <c r="W886" s="150"/>
      <c r="X886" s="151"/>
      <c r="Y886" s="44"/>
      <c r="Z886" s="44"/>
      <c r="AA886" s="152"/>
      <c r="AB886" s="152"/>
      <c r="AC886" s="152"/>
      <c r="AD886" s="152"/>
      <c r="AE886" s="152"/>
      <c r="AF886" s="152"/>
      <c r="AG886" s="152"/>
      <c r="AH886" s="165"/>
      <c r="AI886" s="165"/>
      <c r="AJ886" s="165"/>
      <c r="AK886" s="165"/>
      <c r="AL886" s="165"/>
      <c r="AM886" s="165"/>
      <c r="AN886" s="165"/>
    </row>
    <row r="887" spans="1:40">
      <c r="A887" s="44"/>
      <c r="B887" s="44"/>
      <c r="C887" s="165"/>
      <c r="D887" s="44"/>
      <c r="E887" s="44"/>
      <c r="F887" s="43"/>
      <c r="G887" s="44"/>
      <c r="H887" s="45"/>
      <c r="I887" s="44"/>
      <c r="J887" s="44"/>
      <c r="K887" s="230"/>
      <c r="L887" s="144"/>
      <c r="M887" s="230"/>
      <c r="N887" s="230"/>
      <c r="O887" s="44"/>
      <c r="P887" s="44"/>
      <c r="Q887" s="45"/>
      <c r="R887" s="147"/>
      <c r="S887" s="147"/>
      <c r="T887" s="147"/>
      <c r="U887" s="148"/>
      <c r="V887" s="149"/>
      <c r="W887" s="150"/>
      <c r="X887" s="151"/>
      <c r="Y887" s="44"/>
      <c r="Z887" s="44"/>
      <c r="AA887" s="152"/>
      <c r="AB887" s="152"/>
      <c r="AC887" s="152"/>
      <c r="AD887" s="152"/>
      <c r="AE887" s="152"/>
      <c r="AF887" s="152"/>
      <c r="AG887" s="152"/>
      <c r="AH887" s="165"/>
      <c r="AI887" s="165"/>
      <c r="AJ887" s="165"/>
      <c r="AK887" s="165"/>
      <c r="AL887" s="165"/>
      <c r="AM887" s="165"/>
      <c r="AN887" s="165"/>
    </row>
    <row r="888" spans="1:40">
      <c r="A888" s="44"/>
      <c r="B888" s="44"/>
      <c r="C888" s="165"/>
      <c r="D888" s="44"/>
      <c r="E888" s="44"/>
      <c r="F888" s="43"/>
      <c r="G888" s="44"/>
      <c r="H888" s="45"/>
      <c r="I888" s="44"/>
      <c r="J888" s="44"/>
      <c r="K888" s="230"/>
      <c r="L888" s="144"/>
      <c r="M888" s="230"/>
      <c r="N888" s="230"/>
      <c r="O888" s="44"/>
      <c r="P888" s="44"/>
      <c r="Q888" s="45"/>
      <c r="R888" s="147"/>
      <c r="S888" s="147"/>
      <c r="T888" s="147"/>
      <c r="U888" s="148"/>
      <c r="V888" s="149"/>
      <c r="W888" s="150"/>
      <c r="X888" s="151"/>
      <c r="Y888" s="44"/>
      <c r="Z888" s="44"/>
      <c r="AA888" s="152"/>
      <c r="AB888" s="152"/>
      <c r="AC888" s="152"/>
      <c r="AD888" s="152"/>
      <c r="AE888" s="152"/>
      <c r="AF888" s="152"/>
      <c r="AG888" s="152"/>
      <c r="AH888" s="165"/>
      <c r="AI888" s="165"/>
      <c r="AJ888" s="165"/>
      <c r="AK888" s="165"/>
      <c r="AL888" s="165"/>
      <c r="AM888" s="165"/>
      <c r="AN888" s="165"/>
    </row>
    <row r="889" spans="1:40">
      <c r="A889" s="44"/>
      <c r="B889" s="44"/>
      <c r="C889" s="165"/>
      <c r="D889" s="44"/>
      <c r="E889" s="44"/>
      <c r="F889" s="43"/>
      <c r="G889" s="44"/>
      <c r="H889" s="45"/>
      <c r="I889" s="44"/>
      <c r="J889" s="44"/>
      <c r="K889" s="230"/>
      <c r="L889" s="144"/>
      <c r="M889" s="230"/>
      <c r="N889" s="230"/>
      <c r="O889" s="44"/>
      <c r="P889" s="44"/>
      <c r="Q889" s="45"/>
      <c r="R889" s="147"/>
      <c r="S889" s="147"/>
      <c r="T889" s="147"/>
      <c r="U889" s="148"/>
      <c r="V889" s="149"/>
      <c r="W889" s="150"/>
      <c r="X889" s="151"/>
      <c r="Y889" s="44"/>
      <c r="Z889" s="44"/>
      <c r="AA889" s="152"/>
      <c r="AB889" s="152"/>
      <c r="AC889" s="152"/>
      <c r="AD889" s="152"/>
      <c r="AE889" s="152"/>
      <c r="AF889" s="152"/>
      <c r="AG889" s="152"/>
      <c r="AH889" s="165"/>
      <c r="AI889" s="165"/>
      <c r="AJ889" s="165"/>
      <c r="AK889" s="165"/>
      <c r="AL889" s="165"/>
      <c r="AM889" s="165"/>
      <c r="AN889" s="165"/>
    </row>
    <row r="890" spans="1:40">
      <c r="A890" s="44"/>
      <c r="B890" s="44"/>
      <c r="C890" s="165"/>
      <c r="D890" s="44"/>
      <c r="E890" s="44"/>
      <c r="F890" s="43"/>
      <c r="G890" s="44"/>
      <c r="H890" s="45"/>
      <c r="I890" s="44"/>
      <c r="J890" s="44"/>
      <c r="K890" s="230"/>
      <c r="L890" s="144"/>
      <c r="M890" s="230"/>
      <c r="N890" s="230"/>
      <c r="O890" s="44"/>
      <c r="P890" s="44"/>
      <c r="Q890" s="45"/>
      <c r="R890" s="147"/>
      <c r="S890" s="147"/>
      <c r="T890" s="147"/>
      <c r="U890" s="148"/>
      <c r="V890" s="149"/>
      <c r="W890" s="150"/>
      <c r="X890" s="151"/>
      <c r="Y890" s="44"/>
      <c r="Z890" s="44"/>
      <c r="AA890" s="152"/>
      <c r="AB890" s="152"/>
      <c r="AC890" s="152"/>
      <c r="AD890" s="152"/>
      <c r="AE890" s="152"/>
      <c r="AF890" s="152"/>
      <c r="AG890" s="152"/>
      <c r="AH890" s="165"/>
      <c r="AI890" s="165"/>
      <c r="AJ890" s="165"/>
      <c r="AK890" s="165"/>
      <c r="AL890" s="165"/>
      <c r="AM890" s="165"/>
      <c r="AN890" s="165"/>
    </row>
    <row r="891" spans="1:40">
      <c r="A891" s="44"/>
      <c r="B891" s="44"/>
      <c r="C891" s="165"/>
      <c r="D891" s="44"/>
      <c r="E891" s="44"/>
      <c r="F891" s="43"/>
      <c r="G891" s="44"/>
      <c r="H891" s="45"/>
      <c r="I891" s="44"/>
      <c r="J891" s="44"/>
      <c r="K891" s="230"/>
      <c r="L891" s="144"/>
      <c r="M891" s="230"/>
      <c r="N891" s="230"/>
      <c r="O891" s="44"/>
      <c r="P891" s="44"/>
      <c r="Q891" s="45"/>
      <c r="R891" s="147"/>
      <c r="S891" s="147"/>
      <c r="T891" s="147"/>
      <c r="U891" s="148"/>
      <c r="V891" s="149"/>
      <c r="W891" s="150"/>
      <c r="X891" s="151"/>
      <c r="Y891" s="44"/>
      <c r="Z891" s="44"/>
      <c r="AA891" s="152"/>
      <c r="AB891" s="152"/>
      <c r="AC891" s="152"/>
      <c r="AD891" s="152"/>
      <c r="AE891" s="152"/>
      <c r="AF891" s="152"/>
      <c r="AG891" s="152"/>
      <c r="AH891" s="165"/>
      <c r="AI891" s="165"/>
      <c r="AJ891" s="165"/>
      <c r="AK891" s="165"/>
      <c r="AL891" s="165"/>
      <c r="AM891" s="165"/>
      <c r="AN891" s="165"/>
    </row>
    <row r="892" spans="1:40">
      <c r="A892" s="44"/>
      <c r="B892" s="44"/>
      <c r="C892" s="165"/>
      <c r="D892" s="44"/>
      <c r="E892" s="44"/>
      <c r="F892" s="43"/>
      <c r="G892" s="44"/>
      <c r="H892" s="45"/>
      <c r="I892" s="44"/>
      <c r="J892" s="44"/>
      <c r="K892" s="230"/>
      <c r="L892" s="144"/>
      <c r="M892" s="230"/>
      <c r="N892" s="230"/>
      <c r="O892" s="44"/>
      <c r="P892" s="44"/>
      <c r="Q892" s="45"/>
      <c r="R892" s="147"/>
      <c r="S892" s="147"/>
      <c r="T892" s="147"/>
      <c r="U892" s="148"/>
      <c r="V892" s="149"/>
      <c r="W892" s="150"/>
      <c r="X892" s="151"/>
      <c r="Y892" s="44"/>
      <c r="Z892" s="44"/>
      <c r="AA892" s="152"/>
      <c r="AB892" s="152"/>
      <c r="AC892" s="152"/>
      <c r="AD892" s="152"/>
      <c r="AE892" s="152"/>
      <c r="AF892" s="152"/>
      <c r="AG892" s="152"/>
      <c r="AH892" s="165"/>
      <c r="AI892" s="165"/>
      <c r="AJ892" s="165"/>
      <c r="AK892" s="165"/>
      <c r="AL892" s="165"/>
      <c r="AM892" s="165"/>
      <c r="AN892" s="165"/>
    </row>
    <row r="893" spans="1:40">
      <c r="A893" s="44"/>
      <c r="B893" s="44"/>
      <c r="C893" s="165"/>
      <c r="D893" s="44"/>
      <c r="E893" s="44"/>
      <c r="F893" s="43"/>
      <c r="G893" s="44"/>
      <c r="H893" s="45"/>
      <c r="I893" s="44"/>
      <c r="J893" s="44"/>
      <c r="K893" s="230"/>
      <c r="L893" s="144"/>
      <c r="M893" s="230"/>
      <c r="N893" s="230"/>
      <c r="O893" s="44"/>
      <c r="P893" s="44"/>
      <c r="Q893" s="45"/>
      <c r="R893" s="147"/>
      <c r="S893" s="147"/>
      <c r="T893" s="147"/>
      <c r="U893" s="148"/>
      <c r="V893" s="149"/>
      <c r="W893" s="150"/>
      <c r="X893" s="151"/>
      <c r="Y893" s="44"/>
      <c r="Z893" s="44"/>
      <c r="AA893" s="152"/>
      <c r="AB893" s="152"/>
      <c r="AC893" s="152"/>
      <c r="AD893" s="152"/>
      <c r="AE893" s="152"/>
      <c r="AF893" s="152"/>
      <c r="AG893" s="152"/>
      <c r="AH893" s="165"/>
      <c r="AI893" s="165"/>
      <c r="AJ893" s="165"/>
      <c r="AK893" s="165"/>
      <c r="AL893" s="165"/>
      <c r="AM893" s="165"/>
      <c r="AN893" s="165"/>
    </row>
    <row r="894" spans="1:40">
      <c r="A894" s="44"/>
      <c r="B894" s="44"/>
      <c r="C894" s="165"/>
      <c r="D894" s="44"/>
      <c r="E894" s="44"/>
      <c r="F894" s="43"/>
      <c r="G894" s="44"/>
      <c r="H894" s="45"/>
      <c r="I894" s="44"/>
      <c r="J894" s="44"/>
      <c r="K894" s="230"/>
      <c r="L894" s="144"/>
      <c r="M894" s="230"/>
      <c r="N894" s="230"/>
      <c r="O894" s="44"/>
      <c r="P894" s="44"/>
      <c r="Q894" s="45"/>
      <c r="R894" s="147"/>
      <c r="S894" s="147"/>
      <c r="T894" s="147"/>
      <c r="U894" s="148"/>
      <c r="V894" s="149"/>
      <c r="W894" s="150"/>
      <c r="X894" s="151"/>
      <c r="Y894" s="44"/>
      <c r="Z894" s="44"/>
      <c r="AA894" s="152"/>
      <c r="AB894" s="152"/>
      <c r="AC894" s="152"/>
      <c r="AD894" s="152"/>
      <c r="AE894" s="152"/>
      <c r="AF894" s="152"/>
      <c r="AG894" s="152"/>
      <c r="AH894" s="165"/>
      <c r="AI894" s="165"/>
      <c r="AJ894" s="165"/>
      <c r="AK894" s="165"/>
      <c r="AL894" s="165"/>
      <c r="AM894" s="165"/>
      <c r="AN894" s="165"/>
    </row>
    <row r="895" spans="1:40">
      <c r="A895" s="44"/>
      <c r="B895" s="44"/>
      <c r="C895" s="165"/>
      <c r="D895" s="44"/>
      <c r="E895" s="44"/>
      <c r="F895" s="43"/>
      <c r="G895" s="44"/>
      <c r="H895" s="45"/>
      <c r="I895" s="44"/>
      <c r="J895" s="44"/>
      <c r="K895" s="230"/>
      <c r="L895" s="144"/>
      <c r="M895" s="230"/>
      <c r="N895" s="230"/>
      <c r="O895" s="44"/>
      <c r="P895" s="44"/>
      <c r="Q895" s="45"/>
      <c r="R895" s="147"/>
      <c r="S895" s="147"/>
      <c r="T895" s="147"/>
      <c r="U895" s="148"/>
      <c r="V895" s="149"/>
      <c r="W895" s="150"/>
      <c r="X895" s="151"/>
      <c r="Y895" s="44"/>
      <c r="Z895" s="44"/>
      <c r="AA895" s="152"/>
      <c r="AB895" s="152"/>
      <c r="AC895" s="152"/>
      <c r="AD895" s="152"/>
      <c r="AE895" s="152"/>
      <c r="AF895" s="152"/>
      <c r="AG895" s="152"/>
      <c r="AH895" s="165"/>
      <c r="AI895" s="165"/>
      <c r="AJ895" s="165"/>
      <c r="AK895" s="165"/>
      <c r="AL895" s="165"/>
      <c r="AM895" s="165"/>
      <c r="AN895" s="165"/>
    </row>
    <row r="896" spans="1:40">
      <c r="A896" s="44"/>
      <c r="B896" s="44"/>
      <c r="C896" s="165"/>
      <c r="D896" s="44"/>
      <c r="E896" s="44"/>
      <c r="F896" s="43"/>
      <c r="G896" s="44"/>
      <c r="H896" s="45"/>
      <c r="I896" s="44"/>
      <c r="J896" s="44"/>
      <c r="K896" s="230"/>
      <c r="L896" s="144"/>
      <c r="M896" s="230"/>
      <c r="N896" s="230"/>
      <c r="O896" s="44"/>
      <c r="P896" s="44"/>
      <c r="Q896" s="45"/>
      <c r="R896" s="147"/>
      <c r="S896" s="147"/>
      <c r="T896" s="147"/>
      <c r="U896" s="148"/>
      <c r="V896" s="149"/>
      <c r="W896" s="150"/>
      <c r="X896" s="151"/>
      <c r="Y896" s="44"/>
      <c r="Z896" s="44"/>
      <c r="AA896" s="152"/>
      <c r="AB896" s="152"/>
      <c r="AC896" s="152"/>
      <c r="AD896" s="152"/>
      <c r="AE896" s="152"/>
      <c r="AF896" s="152"/>
      <c r="AG896" s="152"/>
      <c r="AH896" s="165"/>
      <c r="AI896" s="165"/>
      <c r="AJ896" s="165"/>
      <c r="AK896" s="165"/>
      <c r="AL896" s="165"/>
      <c r="AM896" s="165"/>
      <c r="AN896" s="165"/>
    </row>
    <row r="897" spans="1:40">
      <c r="A897" s="44"/>
      <c r="B897" s="44"/>
      <c r="C897" s="165"/>
      <c r="D897" s="44"/>
      <c r="E897" s="44"/>
      <c r="F897" s="43"/>
      <c r="G897" s="44"/>
      <c r="H897" s="45"/>
      <c r="I897" s="44"/>
      <c r="J897" s="44"/>
      <c r="K897" s="230"/>
      <c r="L897" s="144"/>
      <c r="M897" s="230"/>
      <c r="N897" s="230"/>
      <c r="O897" s="44"/>
      <c r="P897" s="44"/>
      <c r="Q897" s="45"/>
      <c r="R897" s="147"/>
      <c r="S897" s="147"/>
      <c r="T897" s="147"/>
      <c r="U897" s="148"/>
      <c r="V897" s="149"/>
      <c r="W897" s="150"/>
      <c r="X897" s="151"/>
      <c r="Y897" s="44"/>
      <c r="Z897" s="44"/>
      <c r="AA897" s="152"/>
      <c r="AB897" s="152"/>
      <c r="AC897" s="152"/>
      <c r="AD897" s="152"/>
      <c r="AE897" s="152"/>
      <c r="AF897" s="152"/>
      <c r="AG897" s="152"/>
      <c r="AH897" s="165"/>
      <c r="AI897" s="165"/>
      <c r="AJ897" s="165"/>
      <c r="AK897" s="165"/>
      <c r="AL897" s="165"/>
      <c r="AM897" s="165"/>
      <c r="AN897" s="165"/>
    </row>
    <row r="898" spans="1:40">
      <c r="A898" s="44"/>
      <c r="B898" s="44"/>
      <c r="C898" s="165"/>
      <c r="D898" s="44"/>
      <c r="E898" s="44"/>
      <c r="F898" s="43"/>
      <c r="G898" s="44"/>
      <c r="H898" s="45"/>
      <c r="I898" s="44"/>
      <c r="J898" s="44"/>
      <c r="K898" s="230"/>
      <c r="L898" s="144"/>
      <c r="M898" s="230"/>
      <c r="N898" s="230"/>
      <c r="O898" s="44"/>
      <c r="P898" s="44"/>
      <c r="Q898" s="45"/>
      <c r="R898" s="147"/>
      <c r="S898" s="147"/>
      <c r="T898" s="147"/>
      <c r="U898" s="148"/>
      <c r="V898" s="149"/>
      <c r="W898" s="150"/>
      <c r="X898" s="151"/>
      <c r="Y898" s="44"/>
      <c r="Z898" s="44"/>
      <c r="AA898" s="152"/>
      <c r="AB898" s="152"/>
      <c r="AC898" s="152"/>
      <c r="AD898" s="152"/>
      <c r="AE898" s="152"/>
      <c r="AF898" s="152"/>
      <c r="AG898" s="152"/>
      <c r="AH898" s="165"/>
      <c r="AI898" s="165"/>
      <c r="AJ898" s="165"/>
      <c r="AK898" s="165"/>
      <c r="AL898" s="165"/>
      <c r="AM898" s="165"/>
      <c r="AN898" s="165"/>
    </row>
    <row r="899" spans="1:40">
      <c r="A899" s="44"/>
      <c r="B899" s="44"/>
      <c r="C899" s="165"/>
      <c r="D899" s="44"/>
      <c r="E899" s="44"/>
      <c r="F899" s="43"/>
      <c r="G899" s="44"/>
      <c r="H899" s="45"/>
      <c r="I899" s="44"/>
      <c r="J899" s="44"/>
      <c r="K899" s="230"/>
      <c r="L899" s="144"/>
      <c r="M899" s="230"/>
      <c r="N899" s="230"/>
      <c r="O899" s="44"/>
      <c r="P899" s="44"/>
      <c r="Q899" s="45"/>
      <c r="R899" s="147"/>
      <c r="S899" s="147"/>
      <c r="T899" s="147"/>
      <c r="U899" s="148"/>
      <c r="V899" s="149"/>
      <c r="W899" s="150"/>
      <c r="X899" s="151"/>
      <c r="Y899" s="44"/>
      <c r="Z899" s="44"/>
      <c r="AA899" s="152"/>
      <c r="AB899" s="152"/>
      <c r="AC899" s="152"/>
      <c r="AD899" s="152"/>
      <c r="AE899" s="152"/>
      <c r="AF899" s="152"/>
      <c r="AG899" s="152"/>
      <c r="AH899" s="165"/>
      <c r="AI899" s="165"/>
      <c r="AJ899" s="165"/>
      <c r="AK899" s="165"/>
      <c r="AL899" s="165"/>
      <c r="AM899" s="165"/>
      <c r="AN899" s="165"/>
    </row>
    <row r="900" spans="1:40">
      <c r="A900" s="44"/>
      <c r="B900" s="44"/>
      <c r="C900" s="165"/>
      <c r="D900" s="44"/>
      <c r="E900" s="44"/>
      <c r="F900" s="43"/>
      <c r="G900" s="44"/>
      <c r="H900" s="45"/>
      <c r="I900" s="44"/>
      <c r="J900" s="44"/>
      <c r="K900" s="230"/>
      <c r="L900" s="144"/>
      <c r="M900" s="230"/>
      <c r="N900" s="230"/>
      <c r="O900" s="44"/>
      <c r="P900" s="44"/>
      <c r="Q900" s="45"/>
      <c r="R900" s="147"/>
      <c r="S900" s="147"/>
      <c r="T900" s="147"/>
      <c r="U900" s="148"/>
      <c r="V900" s="149"/>
      <c r="W900" s="150"/>
      <c r="X900" s="151"/>
      <c r="Y900" s="44"/>
      <c r="Z900" s="44"/>
      <c r="AA900" s="152"/>
      <c r="AB900" s="152"/>
      <c r="AC900" s="152"/>
      <c r="AD900" s="152"/>
      <c r="AE900" s="152"/>
      <c r="AF900" s="152"/>
      <c r="AG900" s="152"/>
      <c r="AH900" s="165"/>
      <c r="AI900" s="165"/>
      <c r="AJ900" s="165"/>
      <c r="AK900" s="165"/>
      <c r="AL900" s="165"/>
      <c r="AM900" s="165"/>
      <c r="AN900" s="165"/>
    </row>
    <row r="901" spans="1:40">
      <c r="A901" s="44"/>
      <c r="B901" s="44"/>
      <c r="C901" s="165"/>
      <c r="D901" s="44"/>
      <c r="E901" s="44"/>
      <c r="F901" s="43"/>
      <c r="G901" s="44"/>
      <c r="H901" s="45"/>
      <c r="I901" s="44"/>
      <c r="J901" s="44"/>
      <c r="K901" s="230"/>
      <c r="L901" s="144"/>
      <c r="M901" s="230"/>
      <c r="N901" s="230"/>
      <c r="O901" s="44"/>
      <c r="P901" s="44"/>
      <c r="Q901" s="45"/>
      <c r="R901" s="147"/>
      <c r="S901" s="147"/>
      <c r="T901" s="147"/>
      <c r="U901" s="148"/>
      <c r="V901" s="149"/>
      <c r="W901" s="150"/>
      <c r="X901" s="151"/>
      <c r="Y901" s="44"/>
      <c r="Z901" s="44"/>
      <c r="AA901" s="152"/>
      <c r="AB901" s="152"/>
      <c r="AC901" s="152"/>
      <c r="AD901" s="152"/>
      <c r="AE901" s="152"/>
      <c r="AF901" s="152"/>
      <c r="AG901" s="152"/>
      <c r="AH901" s="165"/>
      <c r="AI901" s="165"/>
      <c r="AJ901" s="165"/>
      <c r="AK901" s="165"/>
      <c r="AL901" s="165"/>
      <c r="AM901" s="165"/>
      <c r="AN901" s="165"/>
    </row>
    <row r="902" spans="1:40">
      <c r="A902" s="44"/>
      <c r="B902" s="44"/>
      <c r="C902" s="165"/>
      <c r="D902" s="44"/>
      <c r="E902" s="44"/>
      <c r="F902" s="43"/>
      <c r="G902" s="44"/>
      <c r="H902" s="45"/>
      <c r="I902" s="44"/>
      <c r="J902" s="44"/>
      <c r="K902" s="230"/>
      <c r="L902" s="144"/>
      <c r="M902" s="230"/>
      <c r="N902" s="230"/>
      <c r="O902" s="44"/>
      <c r="P902" s="44"/>
      <c r="Q902" s="45"/>
      <c r="R902" s="147"/>
      <c r="S902" s="147"/>
      <c r="T902" s="147"/>
      <c r="U902" s="148"/>
      <c r="V902" s="149"/>
      <c r="W902" s="150"/>
      <c r="X902" s="151"/>
      <c r="Y902" s="44"/>
      <c r="Z902" s="44"/>
      <c r="AA902" s="152"/>
      <c r="AB902" s="152"/>
      <c r="AC902" s="152"/>
      <c r="AD902" s="152"/>
      <c r="AE902" s="152"/>
      <c r="AF902" s="152"/>
      <c r="AG902" s="152"/>
      <c r="AH902" s="165"/>
      <c r="AI902" s="165"/>
      <c r="AJ902" s="165"/>
      <c r="AK902" s="165"/>
      <c r="AL902" s="165"/>
      <c r="AM902" s="165"/>
      <c r="AN902" s="165"/>
    </row>
    <row r="903" spans="1:40">
      <c r="A903" s="44"/>
      <c r="B903" s="44"/>
      <c r="C903" s="165"/>
      <c r="D903" s="44"/>
      <c r="E903" s="44"/>
      <c r="F903" s="43"/>
      <c r="G903" s="44"/>
      <c r="H903" s="45"/>
      <c r="I903" s="44"/>
      <c r="J903" s="44"/>
      <c r="K903" s="230"/>
      <c r="L903" s="144"/>
      <c r="M903" s="230"/>
      <c r="N903" s="230"/>
      <c r="O903" s="44"/>
      <c r="P903" s="44"/>
      <c r="Q903" s="45"/>
      <c r="R903" s="147"/>
      <c r="S903" s="147"/>
      <c r="T903" s="147"/>
      <c r="U903" s="148"/>
      <c r="V903" s="149"/>
      <c r="W903" s="150"/>
      <c r="X903" s="151"/>
      <c r="Y903" s="44"/>
      <c r="Z903" s="44"/>
      <c r="AA903" s="152"/>
      <c r="AB903" s="152"/>
      <c r="AC903" s="152"/>
      <c r="AD903" s="152"/>
      <c r="AE903" s="152"/>
      <c r="AF903" s="152"/>
      <c r="AG903" s="152"/>
      <c r="AH903" s="165"/>
      <c r="AI903" s="165"/>
      <c r="AJ903" s="165"/>
      <c r="AK903" s="165"/>
      <c r="AL903" s="165"/>
      <c r="AM903" s="165"/>
      <c r="AN903" s="165"/>
    </row>
    <row r="904" spans="1:40">
      <c r="A904" s="44"/>
      <c r="B904" s="44"/>
      <c r="C904" s="165"/>
      <c r="D904" s="44"/>
      <c r="E904" s="44"/>
      <c r="F904" s="43"/>
      <c r="G904" s="44"/>
      <c r="H904" s="45"/>
      <c r="I904" s="44"/>
      <c r="J904" s="44"/>
      <c r="K904" s="230"/>
      <c r="L904" s="144"/>
      <c r="M904" s="230"/>
      <c r="N904" s="230"/>
      <c r="O904" s="44"/>
      <c r="P904" s="44"/>
      <c r="Q904" s="45"/>
      <c r="R904" s="147"/>
      <c r="S904" s="147"/>
      <c r="T904" s="147"/>
      <c r="U904" s="148"/>
      <c r="V904" s="149"/>
      <c r="W904" s="150"/>
      <c r="X904" s="151"/>
      <c r="Y904" s="44"/>
      <c r="Z904" s="44"/>
      <c r="AA904" s="152"/>
      <c r="AB904" s="152"/>
      <c r="AC904" s="152"/>
      <c r="AD904" s="152"/>
      <c r="AE904" s="152"/>
      <c r="AF904" s="152"/>
      <c r="AG904" s="152"/>
      <c r="AH904" s="165"/>
      <c r="AI904" s="165"/>
      <c r="AJ904" s="165"/>
      <c r="AK904" s="165"/>
      <c r="AL904" s="165"/>
      <c r="AM904" s="165"/>
      <c r="AN904" s="165"/>
    </row>
    <row r="905" spans="1:40">
      <c r="A905" s="44"/>
      <c r="B905" s="44"/>
      <c r="C905" s="165"/>
      <c r="D905" s="44"/>
      <c r="E905" s="44"/>
      <c r="F905" s="43"/>
      <c r="G905" s="44"/>
      <c r="H905" s="45"/>
      <c r="I905" s="44"/>
      <c r="J905" s="44"/>
      <c r="K905" s="230"/>
      <c r="L905" s="144"/>
      <c r="M905" s="230"/>
      <c r="N905" s="230"/>
      <c r="O905" s="44"/>
      <c r="P905" s="44"/>
      <c r="Q905" s="45"/>
      <c r="R905" s="147"/>
      <c r="S905" s="147"/>
      <c r="T905" s="147"/>
      <c r="U905" s="148"/>
      <c r="V905" s="149"/>
      <c r="W905" s="150"/>
      <c r="X905" s="151"/>
      <c r="Y905" s="44"/>
      <c r="Z905" s="44"/>
      <c r="AA905" s="152"/>
      <c r="AB905" s="152"/>
      <c r="AC905" s="152"/>
      <c r="AD905" s="152"/>
      <c r="AE905" s="152"/>
      <c r="AF905" s="152"/>
      <c r="AG905" s="152"/>
      <c r="AH905" s="165"/>
      <c r="AI905" s="165"/>
      <c r="AJ905" s="165"/>
      <c r="AK905" s="165"/>
      <c r="AL905" s="165"/>
      <c r="AM905" s="165"/>
      <c r="AN905" s="165"/>
    </row>
    <row r="906" spans="1:40">
      <c r="A906" s="44"/>
      <c r="B906" s="44"/>
      <c r="C906" s="165"/>
      <c r="D906" s="44"/>
      <c r="E906" s="44"/>
      <c r="F906" s="43"/>
      <c r="G906" s="44"/>
      <c r="H906" s="45"/>
      <c r="I906" s="44"/>
      <c r="J906" s="44"/>
      <c r="K906" s="230"/>
      <c r="L906" s="144"/>
      <c r="M906" s="230"/>
      <c r="N906" s="230"/>
      <c r="O906" s="44"/>
      <c r="P906" s="44"/>
      <c r="Q906" s="45"/>
      <c r="R906" s="147"/>
      <c r="S906" s="147"/>
      <c r="T906" s="147"/>
      <c r="U906" s="148"/>
      <c r="V906" s="149"/>
      <c r="W906" s="150"/>
      <c r="X906" s="151"/>
      <c r="Y906" s="44"/>
      <c r="Z906" s="44"/>
      <c r="AA906" s="152"/>
      <c r="AB906" s="152"/>
      <c r="AC906" s="152"/>
      <c r="AD906" s="152"/>
      <c r="AE906" s="152"/>
      <c r="AF906" s="152"/>
      <c r="AG906" s="152"/>
      <c r="AH906" s="165"/>
      <c r="AI906" s="165"/>
      <c r="AJ906" s="165"/>
      <c r="AK906" s="165"/>
      <c r="AL906" s="165"/>
      <c r="AM906" s="165"/>
      <c r="AN906" s="165"/>
    </row>
    <row r="907" spans="1:40">
      <c r="A907" s="44"/>
      <c r="B907" s="44"/>
      <c r="C907" s="165"/>
      <c r="D907" s="44"/>
      <c r="E907" s="44"/>
      <c r="F907" s="43"/>
      <c r="G907" s="44"/>
      <c r="H907" s="45"/>
      <c r="I907" s="44"/>
      <c r="J907" s="44"/>
      <c r="K907" s="230"/>
      <c r="L907" s="144"/>
      <c r="M907" s="230"/>
      <c r="N907" s="230"/>
      <c r="O907" s="44"/>
      <c r="P907" s="44"/>
      <c r="Q907" s="45"/>
      <c r="R907" s="147"/>
      <c r="S907" s="147"/>
      <c r="T907" s="147"/>
      <c r="U907" s="148"/>
      <c r="V907" s="149"/>
      <c r="W907" s="150"/>
      <c r="X907" s="151"/>
      <c r="Y907" s="44"/>
      <c r="Z907" s="44"/>
      <c r="AA907" s="152"/>
      <c r="AB907" s="152"/>
      <c r="AC907" s="152"/>
      <c r="AD907" s="152"/>
      <c r="AE907" s="152"/>
      <c r="AF907" s="152"/>
      <c r="AG907" s="152"/>
      <c r="AH907" s="165"/>
      <c r="AI907" s="165"/>
      <c r="AJ907" s="165"/>
      <c r="AK907" s="165"/>
      <c r="AL907" s="165"/>
      <c r="AM907" s="165"/>
      <c r="AN907" s="165"/>
    </row>
    <row r="908" spans="1:40">
      <c r="A908" s="44"/>
      <c r="B908" s="44"/>
      <c r="C908" s="165"/>
      <c r="D908" s="44"/>
      <c r="E908" s="44"/>
      <c r="F908" s="43"/>
      <c r="G908" s="44"/>
      <c r="H908" s="45"/>
      <c r="I908" s="44"/>
      <c r="J908" s="44"/>
      <c r="K908" s="230"/>
      <c r="L908" s="144"/>
      <c r="M908" s="230"/>
      <c r="N908" s="230"/>
      <c r="O908" s="44"/>
      <c r="P908" s="44"/>
      <c r="Q908" s="45"/>
      <c r="R908" s="147"/>
      <c r="S908" s="147"/>
      <c r="T908" s="147"/>
      <c r="U908" s="148"/>
      <c r="V908" s="149"/>
      <c r="W908" s="150"/>
      <c r="X908" s="151"/>
      <c r="Y908" s="44"/>
      <c r="Z908" s="44"/>
      <c r="AA908" s="152"/>
      <c r="AB908" s="152"/>
      <c r="AC908" s="152"/>
      <c r="AD908" s="152"/>
      <c r="AE908" s="152"/>
      <c r="AF908" s="152"/>
      <c r="AG908" s="152"/>
      <c r="AH908" s="165"/>
      <c r="AI908" s="165"/>
      <c r="AJ908" s="165"/>
      <c r="AK908" s="165"/>
      <c r="AL908" s="165"/>
      <c r="AM908" s="165"/>
      <c r="AN908" s="165"/>
    </row>
    <row r="909" spans="1:40">
      <c r="A909" s="44"/>
      <c r="B909" s="44"/>
      <c r="C909" s="165"/>
      <c r="D909" s="44"/>
      <c r="E909" s="44"/>
      <c r="F909" s="43"/>
      <c r="G909" s="44"/>
      <c r="H909" s="45"/>
      <c r="I909" s="44"/>
      <c r="J909" s="44"/>
      <c r="K909" s="230"/>
      <c r="L909" s="144"/>
      <c r="M909" s="230"/>
      <c r="N909" s="230"/>
      <c r="O909" s="44"/>
      <c r="P909" s="44"/>
      <c r="Q909" s="45"/>
      <c r="R909" s="147"/>
      <c r="S909" s="147"/>
      <c r="T909" s="147"/>
      <c r="U909" s="148"/>
      <c r="V909" s="149"/>
      <c r="W909" s="150"/>
      <c r="X909" s="151"/>
      <c r="Y909" s="44"/>
      <c r="Z909" s="44"/>
      <c r="AA909" s="152"/>
      <c r="AB909" s="152"/>
      <c r="AC909" s="152"/>
      <c r="AD909" s="152"/>
      <c r="AE909" s="152"/>
      <c r="AF909" s="152"/>
      <c r="AG909" s="152"/>
      <c r="AH909" s="165"/>
      <c r="AI909" s="165"/>
      <c r="AJ909" s="165"/>
      <c r="AK909" s="165"/>
      <c r="AL909" s="165"/>
      <c r="AM909" s="165"/>
      <c r="AN909" s="165"/>
    </row>
    <row r="910" spans="1:40">
      <c r="A910" s="44"/>
      <c r="B910" s="44"/>
      <c r="C910" s="165"/>
      <c r="D910" s="44"/>
      <c r="E910" s="44"/>
      <c r="F910" s="43"/>
      <c r="G910" s="44"/>
      <c r="H910" s="45"/>
      <c r="I910" s="44"/>
      <c r="J910" s="44"/>
      <c r="K910" s="230"/>
      <c r="L910" s="144"/>
      <c r="M910" s="230"/>
      <c r="N910" s="230"/>
      <c r="O910" s="44"/>
      <c r="P910" s="44"/>
      <c r="Q910" s="45"/>
      <c r="R910" s="147"/>
      <c r="S910" s="147"/>
      <c r="T910" s="147"/>
      <c r="U910" s="148"/>
      <c r="V910" s="149"/>
      <c r="W910" s="150"/>
      <c r="X910" s="151"/>
      <c r="Y910" s="44"/>
      <c r="Z910" s="44"/>
      <c r="AA910" s="152"/>
      <c r="AB910" s="152"/>
      <c r="AC910" s="152"/>
      <c r="AD910" s="152"/>
      <c r="AE910" s="152"/>
      <c r="AF910" s="152"/>
      <c r="AG910" s="152"/>
      <c r="AH910" s="165"/>
      <c r="AI910" s="165"/>
      <c r="AJ910" s="165"/>
      <c r="AK910" s="165"/>
      <c r="AL910" s="165"/>
      <c r="AM910" s="165"/>
      <c r="AN910" s="165"/>
    </row>
    <row r="911" spans="1:40">
      <c r="A911" s="44"/>
      <c r="B911" s="44"/>
      <c r="C911" s="165"/>
      <c r="D911" s="44"/>
      <c r="E911" s="44"/>
      <c r="F911" s="43"/>
      <c r="G911" s="44"/>
      <c r="H911" s="45"/>
      <c r="I911" s="44"/>
      <c r="J911" s="44"/>
      <c r="K911" s="230"/>
      <c r="L911" s="144"/>
      <c r="M911" s="230"/>
      <c r="N911" s="230"/>
      <c r="O911" s="44"/>
      <c r="P911" s="44"/>
      <c r="Q911" s="45"/>
      <c r="R911" s="147"/>
      <c r="S911" s="147"/>
      <c r="T911" s="147"/>
      <c r="U911" s="148"/>
      <c r="V911" s="149"/>
      <c r="W911" s="150"/>
      <c r="X911" s="151"/>
      <c r="Y911" s="44"/>
      <c r="Z911" s="44"/>
      <c r="AA911" s="152"/>
      <c r="AB911" s="152"/>
      <c r="AC911" s="152"/>
      <c r="AD911" s="152"/>
      <c r="AE911" s="152"/>
      <c r="AF911" s="152"/>
      <c r="AG911" s="152"/>
      <c r="AH911" s="165"/>
      <c r="AI911" s="165"/>
      <c r="AJ911" s="165"/>
      <c r="AK911" s="165"/>
      <c r="AL911" s="165"/>
      <c r="AM911" s="165"/>
      <c r="AN911" s="165"/>
    </row>
    <row r="912" spans="1:40">
      <c r="A912" s="44"/>
      <c r="B912" s="44"/>
      <c r="C912" s="165"/>
      <c r="D912" s="44"/>
      <c r="E912" s="44"/>
      <c r="F912" s="43"/>
      <c r="G912" s="44"/>
      <c r="H912" s="45"/>
      <c r="I912" s="44"/>
      <c r="J912" s="44"/>
      <c r="K912" s="230"/>
      <c r="L912" s="144"/>
      <c r="M912" s="230"/>
      <c r="N912" s="230"/>
      <c r="O912" s="44"/>
      <c r="P912" s="44"/>
      <c r="Q912" s="45"/>
      <c r="R912" s="147"/>
      <c r="S912" s="147"/>
      <c r="T912" s="147"/>
      <c r="U912" s="148"/>
      <c r="V912" s="149"/>
      <c r="W912" s="150"/>
      <c r="X912" s="151"/>
      <c r="Y912" s="44"/>
      <c r="Z912" s="44"/>
      <c r="AA912" s="152"/>
      <c r="AB912" s="152"/>
      <c r="AC912" s="152"/>
      <c r="AD912" s="152"/>
      <c r="AE912" s="152"/>
      <c r="AF912" s="152"/>
      <c r="AG912" s="152"/>
      <c r="AH912" s="165"/>
      <c r="AI912" s="165"/>
      <c r="AJ912" s="165"/>
      <c r="AK912" s="165"/>
      <c r="AL912" s="165"/>
      <c r="AM912" s="165"/>
      <c r="AN912" s="165"/>
    </row>
    <row r="913" spans="1:40">
      <c r="A913" s="44"/>
      <c r="B913" s="44"/>
      <c r="C913" s="165"/>
      <c r="D913" s="44"/>
      <c r="E913" s="44"/>
      <c r="F913" s="43"/>
      <c r="G913" s="44"/>
      <c r="H913" s="45"/>
      <c r="I913" s="44"/>
      <c r="J913" s="44"/>
      <c r="K913" s="230"/>
      <c r="L913" s="144"/>
      <c r="M913" s="230"/>
      <c r="N913" s="230"/>
      <c r="O913" s="44"/>
      <c r="P913" s="44"/>
      <c r="Q913" s="45"/>
      <c r="R913" s="147"/>
      <c r="S913" s="147"/>
      <c r="T913" s="147"/>
      <c r="U913" s="148"/>
      <c r="V913" s="149"/>
      <c r="W913" s="150"/>
      <c r="X913" s="151"/>
      <c r="Y913" s="44"/>
      <c r="Z913" s="44"/>
      <c r="AA913" s="152"/>
      <c r="AB913" s="152"/>
      <c r="AC913" s="152"/>
      <c r="AD913" s="152"/>
      <c r="AE913" s="152"/>
      <c r="AF913" s="152"/>
      <c r="AG913" s="152"/>
      <c r="AH913" s="165"/>
      <c r="AI913" s="165"/>
      <c r="AJ913" s="165"/>
      <c r="AK913" s="165"/>
      <c r="AL913" s="165"/>
      <c r="AM913" s="165"/>
      <c r="AN913" s="165"/>
    </row>
    <row r="914" spans="1:40">
      <c r="A914" s="44"/>
      <c r="B914" s="44"/>
      <c r="C914" s="165"/>
      <c r="D914" s="44"/>
      <c r="E914" s="44"/>
      <c r="F914" s="43"/>
      <c r="G914" s="44"/>
      <c r="H914" s="45"/>
      <c r="I914" s="44"/>
      <c r="J914" s="44"/>
      <c r="K914" s="230"/>
      <c r="L914" s="144"/>
      <c r="M914" s="230"/>
      <c r="N914" s="230"/>
      <c r="O914" s="44"/>
      <c r="P914" s="44"/>
      <c r="Q914" s="45"/>
      <c r="R914" s="147"/>
      <c r="S914" s="147"/>
      <c r="T914" s="147"/>
      <c r="U914" s="148"/>
      <c r="V914" s="149"/>
      <c r="W914" s="150"/>
      <c r="X914" s="151"/>
      <c r="Y914" s="44"/>
      <c r="Z914" s="44"/>
      <c r="AA914" s="152"/>
      <c r="AB914" s="152"/>
      <c r="AC914" s="152"/>
      <c r="AD914" s="152"/>
      <c r="AE914" s="152"/>
      <c r="AF914" s="152"/>
      <c r="AG914" s="152"/>
      <c r="AH914" s="165"/>
      <c r="AI914" s="165"/>
      <c r="AJ914" s="165"/>
      <c r="AK914" s="165"/>
      <c r="AL914" s="165"/>
      <c r="AM914" s="165"/>
      <c r="AN914" s="165"/>
    </row>
    <row r="915" spans="1:40">
      <c r="A915" s="44"/>
      <c r="B915" s="44"/>
      <c r="C915" s="165"/>
      <c r="D915" s="44"/>
      <c r="E915" s="44"/>
      <c r="F915" s="43"/>
      <c r="G915" s="44"/>
      <c r="H915" s="45"/>
      <c r="I915" s="44"/>
      <c r="J915" s="44"/>
      <c r="K915" s="230"/>
      <c r="L915" s="144"/>
      <c r="M915" s="230"/>
      <c r="N915" s="230"/>
      <c r="O915" s="44"/>
      <c r="P915" s="44"/>
      <c r="Q915" s="45"/>
      <c r="R915" s="147"/>
      <c r="S915" s="147"/>
      <c r="T915" s="147"/>
      <c r="U915" s="148"/>
      <c r="V915" s="149"/>
      <c r="W915" s="150"/>
      <c r="X915" s="151"/>
      <c r="Y915" s="44"/>
      <c r="Z915" s="44"/>
      <c r="AA915" s="152"/>
      <c r="AB915" s="152"/>
      <c r="AC915" s="152"/>
      <c r="AD915" s="152"/>
      <c r="AE915" s="152"/>
      <c r="AF915" s="152"/>
      <c r="AG915" s="152"/>
      <c r="AH915" s="165"/>
      <c r="AI915" s="165"/>
      <c r="AJ915" s="165"/>
      <c r="AK915" s="165"/>
      <c r="AL915" s="165"/>
      <c r="AM915" s="165"/>
      <c r="AN915" s="165"/>
    </row>
    <row r="916" spans="1:40">
      <c r="A916" s="44"/>
      <c r="B916" s="63"/>
      <c r="C916" s="165"/>
      <c r="D916" s="63"/>
      <c r="E916" s="44"/>
      <c r="F916" s="43"/>
      <c r="G916" s="44"/>
      <c r="H916" s="45"/>
      <c r="I916" s="44"/>
      <c r="J916" s="44"/>
      <c r="K916" s="230"/>
      <c r="L916" s="144"/>
      <c r="M916" s="230"/>
      <c r="N916" s="230"/>
      <c r="O916" s="44"/>
      <c r="P916" s="231"/>
      <c r="Q916" s="45"/>
      <c r="R916" s="147"/>
      <c r="S916" s="147"/>
      <c r="T916" s="147"/>
      <c r="U916" s="148"/>
      <c r="V916" s="149"/>
      <c r="W916" s="167"/>
      <c r="X916" s="151"/>
      <c r="Y916" s="44"/>
      <c r="Z916" s="44"/>
      <c r="AA916" s="152"/>
      <c r="AB916" s="152"/>
      <c r="AC916" s="152"/>
      <c r="AD916" s="152"/>
      <c r="AE916" s="152"/>
      <c r="AF916" s="152"/>
      <c r="AG916" s="152"/>
      <c r="AH916" s="165"/>
      <c r="AI916" s="165"/>
      <c r="AJ916" s="165"/>
      <c r="AK916" s="165"/>
      <c r="AL916" s="165"/>
      <c r="AM916" s="165"/>
      <c r="AN916" s="165"/>
    </row>
    <row r="917" spans="1:40">
      <c r="A917" s="63"/>
      <c r="B917" s="63"/>
      <c r="C917" s="165"/>
      <c r="D917" s="63"/>
      <c r="E917" s="44"/>
      <c r="F917" s="188"/>
      <c r="G917" s="63"/>
      <c r="H917" s="58"/>
      <c r="I917" s="44"/>
      <c r="J917" s="44"/>
      <c r="K917" s="230"/>
      <c r="L917" s="144"/>
      <c r="M917" s="230"/>
      <c r="N917" s="230"/>
      <c r="O917" s="143"/>
      <c r="P917" s="231"/>
      <c r="Q917" s="45"/>
      <c r="R917" s="176"/>
      <c r="S917" s="176"/>
      <c r="T917" s="176"/>
      <c r="U917" s="170"/>
      <c r="V917" s="171"/>
      <c r="W917" s="175"/>
      <c r="X917" s="163"/>
      <c r="Y917" s="63"/>
      <c r="Z917" s="63"/>
      <c r="AA917" s="152"/>
      <c r="AB917" s="152"/>
      <c r="AC917" s="152"/>
      <c r="AD917" s="152"/>
      <c r="AE917" s="152"/>
      <c r="AF917" s="152"/>
      <c r="AG917" s="152"/>
      <c r="AH917" s="165"/>
      <c r="AI917" s="165"/>
      <c r="AJ917" s="165"/>
      <c r="AK917" s="165"/>
      <c r="AL917" s="165"/>
      <c r="AM917" s="165"/>
      <c r="AN917" s="165"/>
    </row>
    <row r="918" spans="1:40">
      <c r="A918" s="63"/>
      <c r="B918" s="63"/>
      <c r="C918" s="165"/>
      <c r="D918" s="63"/>
      <c r="E918" s="44"/>
      <c r="F918" s="188"/>
      <c r="G918" s="63"/>
      <c r="H918" s="58"/>
      <c r="I918" s="44"/>
      <c r="J918" s="44"/>
      <c r="K918" s="230"/>
      <c r="L918" s="144"/>
      <c r="M918" s="230"/>
      <c r="N918" s="230"/>
      <c r="O918" s="143"/>
      <c r="P918" s="231"/>
      <c r="Q918" s="45"/>
      <c r="R918" s="159"/>
      <c r="S918" s="159"/>
      <c r="T918" s="159"/>
      <c r="U918" s="148"/>
      <c r="V918" s="149"/>
      <c r="W918" s="150"/>
      <c r="X918" s="163"/>
      <c r="Y918" s="63"/>
      <c r="Z918" s="63"/>
      <c r="AA918" s="152"/>
      <c r="AB918" s="152"/>
      <c r="AC918" s="152"/>
      <c r="AD918" s="152"/>
      <c r="AE918" s="152"/>
      <c r="AF918" s="152"/>
      <c r="AG918" s="152"/>
      <c r="AH918" s="165"/>
      <c r="AI918" s="165"/>
      <c r="AJ918" s="165"/>
      <c r="AK918" s="165"/>
      <c r="AL918" s="165"/>
      <c r="AM918" s="165"/>
      <c r="AN918" s="165"/>
    </row>
    <row r="919" spans="1:40">
      <c r="A919" s="63"/>
      <c r="B919" s="63"/>
      <c r="C919" s="165"/>
      <c r="D919" s="63"/>
      <c r="E919" s="44"/>
      <c r="F919" s="188"/>
      <c r="G919" s="63"/>
      <c r="H919" s="58"/>
      <c r="I919" s="44"/>
      <c r="J919" s="44"/>
      <c r="K919" s="230"/>
      <c r="L919" s="144"/>
      <c r="M919" s="230"/>
      <c r="N919" s="230"/>
      <c r="O919" s="143"/>
      <c r="P919" s="231"/>
      <c r="Q919" s="45"/>
      <c r="R919" s="159"/>
      <c r="S919" s="159"/>
      <c r="T919" s="159"/>
      <c r="U919" s="148"/>
      <c r="V919" s="149"/>
      <c r="W919" s="150"/>
      <c r="X919" s="163"/>
      <c r="Y919" s="63"/>
      <c r="Z919" s="63"/>
      <c r="AA919" s="152"/>
      <c r="AB919" s="152"/>
      <c r="AC919" s="152"/>
      <c r="AD919" s="152"/>
      <c r="AE919" s="152"/>
      <c r="AF919" s="152"/>
      <c r="AG919" s="152"/>
      <c r="AH919" s="165"/>
      <c r="AI919" s="165"/>
      <c r="AJ919" s="165"/>
      <c r="AK919" s="165"/>
      <c r="AL919" s="165"/>
      <c r="AM919" s="165"/>
      <c r="AN919" s="165"/>
    </row>
    <row r="920" spans="1:40">
      <c r="A920" s="63"/>
      <c r="B920" s="63"/>
      <c r="C920" s="165"/>
      <c r="D920" s="63"/>
      <c r="E920" s="44"/>
      <c r="F920" s="188"/>
      <c r="G920" s="63"/>
      <c r="H920" s="58"/>
      <c r="I920" s="44"/>
      <c r="J920" s="44"/>
      <c r="K920" s="230"/>
      <c r="L920" s="144"/>
      <c r="M920" s="230"/>
      <c r="N920" s="230"/>
      <c r="O920" s="143"/>
      <c r="P920" s="231"/>
      <c r="Q920" s="45"/>
      <c r="R920" s="159"/>
      <c r="S920" s="159"/>
      <c r="T920" s="159"/>
      <c r="U920" s="148"/>
      <c r="V920" s="149"/>
      <c r="W920" s="150"/>
      <c r="X920" s="163"/>
      <c r="Y920" s="63"/>
      <c r="Z920" s="63"/>
      <c r="AA920" s="152"/>
      <c r="AB920" s="152"/>
      <c r="AC920" s="152"/>
      <c r="AD920" s="152"/>
      <c r="AE920" s="152"/>
      <c r="AF920" s="152"/>
      <c r="AG920" s="152"/>
      <c r="AH920" s="165"/>
      <c r="AI920" s="165"/>
      <c r="AJ920" s="165"/>
      <c r="AK920" s="165"/>
      <c r="AL920" s="165"/>
      <c r="AM920" s="165"/>
      <c r="AN920" s="165"/>
    </row>
    <row r="921" spans="1:40">
      <c r="A921" s="63"/>
      <c r="B921" s="63"/>
      <c r="C921" s="165"/>
      <c r="D921" s="63"/>
      <c r="E921" s="44"/>
      <c r="F921" s="58"/>
      <c r="G921" s="58"/>
      <c r="H921" s="58"/>
      <c r="I921" s="44"/>
      <c r="J921" s="44"/>
      <c r="K921" s="230"/>
      <c r="L921" s="144"/>
      <c r="M921" s="230"/>
      <c r="N921" s="230"/>
      <c r="O921" s="143"/>
      <c r="P921" s="231"/>
      <c r="Q921" s="45"/>
      <c r="R921" s="159"/>
      <c r="S921" s="159"/>
      <c r="T921" s="159"/>
      <c r="U921" s="148"/>
      <c r="V921" s="149"/>
      <c r="W921" s="150"/>
      <c r="X921" s="163"/>
      <c r="Y921" s="63"/>
      <c r="Z921" s="63"/>
      <c r="AA921" s="152"/>
      <c r="AB921" s="152"/>
      <c r="AC921" s="152"/>
      <c r="AD921" s="152"/>
      <c r="AE921" s="152"/>
      <c r="AF921" s="152"/>
      <c r="AG921" s="152"/>
      <c r="AH921" s="165"/>
      <c r="AI921" s="165"/>
      <c r="AJ921" s="165"/>
      <c r="AK921" s="165"/>
      <c r="AL921" s="165"/>
      <c r="AM921" s="165"/>
      <c r="AN921" s="165"/>
    </row>
    <row r="922" spans="1:40">
      <c r="A922" s="63"/>
      <c r="B922" s="63"/>
      <c r="C922" s="165"/>
      <c r="D922" s="63"/>
      <c r="E922" s="44"/>
      <c r="F922" s="188"/>
      <c r="G922" s="58"/>
      <c r="H922" s="58"/>
      <c r="I922" s="44"/>
      <c r="J922" s="44"/>
      <c r="K922" s="230"/>
      <c r="L922" s="144"/>
      <c r="M922" s="230"/>
      <c r="N922" s="230"/>
      <c r="O922" s="143"/>
      <c r="P922" s="231"/>
      <c r="Q922" s="45"/>
      <c r="R922" s="159"/>
      <c r="S922" s="159"/>
      <c r="T922" s="159"/>
      <c r="U922" s="148"/>
      <c r="V922" s="149"/>
      <c r="W922" s="150"/>
      <c r="X922" s="163"/>
      <c r="Y922" s="63"/>
      <c r="Z922" s="63"/>
      <c r="AA922" s="152"/>
      <c r="AB922" s="152"/>
      <c r="AC922" s="152"/>
      <c r="AD922" s="152"/>
      <c r="AE922" s="152"/>
      <c r="AF922" s="152"/>
      <c r="AG922" s="152"/>
      <c r="AH922" s="165"/>
      <c r="AI922" s="165"/>
      <c r="AJ922" s="165"/>
      <c r="AK922" s="165"/>
      <c r="AL922" s="165"/>
      <c r="AM922" s="165"/>
      <c r="AN922" s="165"/>
    </row>
    <row r="923" spans="1:40">
      <c r="A923" s="63"/>
      <c r="B923" s="63"/>
      <c r="C923" s="165"/>
      <c r="D923" s="63"/>
      <c r="E923" s="44"/>
      <c r="F923" s="188"/>
      <c r="G923" s="63"/>
      <c r="H923" s="45"/>
      <c r="I923" s="44"/>
      <c r="J923" s="44"/>
      <c r="K923" s="230"/>
      <c r="L923" s="144"/>
      <c r="M923" s="230"/>
      <c r="N923" s="230"/>
      <c r="O923" s="143"/>
      <c r="P923" s="231"/>
      <c r="Q923" s="45"/>
      <c r="R923" s="159"/>
      <c r="S923" s="159"/>
      <c r="T923" s="159"/>
      <c r="U923" s="148"/>
      <c r="V923" s="149"/>
      <c r="W923" s="150"/>
      <c r="X923" s="163"/>
      <c r="Y923" s="63"/>
      <c r="Z923" s="63"/>
      <c r="AA923" s="152"/>
      <c r="AB923" s="152"/>
      <c r="AC923" s="152"/>
      <c r="AD923" s="152"/>
      <c r="AE923" s="152"/>
      <c r="AF923" s="152"/>
      <c r="AG923" s="152"/>
      <c r="AH923" s="165"/>
      <c r="AI923" s="165"/>
      <c r="AJ923" s="165"/>
      <c r="AK923" s="165"/>
      <c r="AL923" s="165"/>
      <c r="AM923" s="165"/>
      <c r="AN923" s="165"/>
    </row>
    <row r="924" spans="1:40">
      <c r="A924" s="63"/>
      <c r="B924" s="63"/>
      <c r="C924" s="165"/>
      <c r="D924" s="63"/>
      <c r="E924" s="44"/>
      <c r="F924" s="188"/>
      <c r="G924" s="63"/>
      <c r="H924" s="58"/>
      <c r="I924" s="44"/>
      <c r="J924" s="44"/>
      <c r="K924" s="230"/>
      <c r="L924" s="144"/>
      <c r="M924" s="230"/>
      <c r="N924" s="230"/>
      <c r="O924" s="143"/>
      <c r="P924" s="231"/>
      <c r="Q924" s="45"/>
      <c r="R924" s="159"/>
      <c r="S924" s="159"/>
      <c r="T924" s="159"/>
      <c r="U924" s="148"/>
      <c r="V924" s="149"/>
      <c r="W924" s="150"/>
      <c r="X924" s="163"/>
      <c r="Y924" s="63"/>
      <c r="Z924" s="63"/>
      <c r="AA924" s="152"/>
      <c r="AB924" s="152"/>
      <c r="AC924" s="152"/>
      <c r="AD924" s="152"/>
      <c r="AE924" s="152"/>
      <c r="AF924" s="152"/>
      <c r="AG924" s="152"/>
      <c r="AH924" s="165"/>
      <c r="AI924" s="165"/>
      <c r="AJ924" s="165"/>
      <c r="AK924" s="165"/>
      <c r="AL924" s="165"/>
      <c r="AM924" s="165"/>
      <c r="AN924" s="165"/>
    </row>
    <row r="925" spans="1:40">
      <c r="A925" s="63"/>
      <c r="B925" s="63"/>
      <c r="C925" s="165"/>
      <c r="D925" s="63"/>
      <c r="E925" s="44"/>
      <c r="F925" s="188"/>
      <c r="G925" s="63"/>
      <c r="H925" s="58"/>
      <c r="I925" s="44"/>
      <c r="J925" s="44"/>
      <c r="K925" s="230"/>
      <c r="L925" s="144"/>
      <c r="M925" s="230"/>
      <c r="N925" s="230"/>
      <c r="O925" s="143"/>
      <c r="P925" s="231"/>
      <c r="Q925" s="45"/>
      <c r="R925" s="159"/>
      <c r="S925" s="159"/>
      <c r="T925" s="159"/>
      <c r="U925" s="148"/>
      <c r="V925" s="149"/>
      <c r="W925" s="150"/>
      <c r="X925" s="163"/>
      <c r="Y925" s="63"/>
      <c r="Z925" s="63"/>
      <c r="AA925" s="152"/>
      <c r="AB925" s="152"/>
      <c r="AC925" s="152"/>
      <c r="AD925" s="152"/>
      <c r="AE925" s="152"/>
      <c r="AF925" s="152"/>
      <c r="AG925" s="152"/>
      <c r="AH925" s="165"/>
      <c r="AI925" s="165"/>
      <c r="AJ925" s="165"/>
      <c r="AK925" s="165"/>
      <c r="AL925" s="165"/>
      <c r="AM925" s="165"/>
      <c r="AN925" s="165"/>
    </row>
    <row r="926" spans="1:40">
      <c r="A926" s="190"/>
      <c r="B926" s="63"/>
      <c r="C926" s="165"/>
      <c r="D926" s="63"/>
      <c r="E926" s="44"/>
      <c r="F926" s="188"/>
      <c r="G926" s="63"/>
      <c r="H926" s="45"/>
      <c r="I926" s="44"/>
      <c r="J926" s="44"/>
      <c r="K926" s="230"/>
      <c r="L926" s="144"/>
      <c r="M926" s="230"/>
      <c r="N926" s="230"/>
      <c r="O926" s="143"/>
      <c r="P926" s="231"/>
      <c r="Q926" s="45"/>
      <c r="R926" s="159"/>
      <c r="S926" s="159"/>
      <c r="T926" s="159"/>
      <c r="U926" s="148"/>
      <c r="V926" s="149"/>
      <c r="W926" s="150"/>
      <c r="X926" s="164"/>
      <c r="Y926" s="152"/>
      <c r="Z926" s="152"/>
      <c r="AA926" s="152"/>
      <c r="AB926" s="152"/>
      <c r="AC926" s="152"/>
      <c r="AD926" s="152"/>
      <c r="AE926" s="152"/>
      <c r="AF926" s="152"/>
      <c r="AG926" s="152"/>
      <c r="AH926" s="165"/>
      <c r="AI926" s="165"/>
      <c r="AJ926" s="165"/>
      <c r="AK926" s="165"/>
      <c r="AL926" s="165"/>
      <c r="AM926" s="165"/>
      <c r="AN926" s="165"/>
    </row>
    <row r="927" spans="1:40">
      <c r="A927" s="63"/>
      <c r="B927" s="63"/>
      <c r="C927" s="165"/>
      <c r="D927" s="63"/>
      <c r="E927" s="44"/>
      <c r="F927" s="188"/>
      <c r="G927" s="63"/>
      <c r="H927" s="45"/>
      <c r="I927" s="44"/>
      <c r="J927" s="44"/>
      <c r="K927" s="230"/>
      <c r="L927" s="144"/>
      <c r="M927" s="230"/>
      <c r="N927" s="230"/>
      <c r="O927" s="143"/>
      <c r="P927" s="231"/>
      <c r="Q927" s="45"/>
      <c r="R927" s="159"/>
      <c r="S927" s="159"/>
      <c r="T927" s="159"/>
      <c r="U927" s="148"/>
      <c r="V927" s="149"/>
      <c r="W927" s="150"/>
      <c r="X927" s="164"/>
      <c r="Y927" s="152"/>
      <c r="Z927" s="152"/>
      <c r="AA927" s="152"/>
      <c r="AB927" s="152"/>
      <c r="AC927" s="152"/>
      <c r="AD927" s="152"/>
      <c r="AE927" s="152"/>
      <c r="AF927" s="152"/>
      <c r="AG927" s="152"/>
      <c r="AH927" s="165"/>
      <c r="AI927" s="165"/>
      <c r="AJ927" s="165"/>
      <c r="AK927" s="165"/>
      <c r="AL927" s="165"/>
      <c r="AM927" s="165"/>
      <c r="AN927" s="165"/>
    </row>
    <row r="928" spans="1:40">
      <c r="A928" s="190"/>
      <c r="B928" s="63"/>
      <c r="C928" s="165"/>
      <c r="D928" s="63"/>
      <c r="E928" s="44"/>
      <c r="F928" s="188"/>
      <c r="G928" s="63"/>
      <c r="H928" s="58"/>
      <c r="I928" s="44"/>
      <c r="J928" s="44"/>
      <c r="K928" s="230"/>
      <c r="L928" s="144"/>
      <c r="M928" s="230"/>
      <c r="N928" s="230"/>
      <c r="O928" s="187"/>
      <c r="P928" s="231"/>
      <c r="Q928" s="45"/>
      <c r="R928" s="159"/>
      <c r="S928" s="159"/>
      <c r="T928" s="159"/>
      <c r="U928" s="148"/>
      <c r="V928" s="149"/>
      <c r="W928" s="150"/>
      <c r="X928" s="164"/>
      <c r="Y928" s="152"/>
      <c r="Z928" s="152"/>
      <c r="AA928" s="152"/>
      <c r="AB928" s="152"/>
      <c r="AC928" s="152"/>
      <c r="AD928" s="152"/>
      <c r="AE928" s="152"/>
      <c r="AF928" s="152"/>
      <c r="AG928" s="152"/>
      <c r="AH928" s="165"/>
      <c r="AI928" s="165"/>
      <c r="AJ928" s="165"/>
      <c r="AK928" s="165"/>
      <c r="AL928" s="165"/>
      <c r="AM928" s="165"/>
      <c r="AN928" s="165"/>
    </row>
    <row r="929" spans="1:40">
      <c r="A929" s="44"/>
      <c r="B929" s="44"/>
      <c r="C929" s="165"/>
      <c r="D929" s="44"/>
      <c r="E929" s="44"/>
      <c r="F929" s="44"/>
      <c r="G929" s="44"/>
      <c r="H929" s="45"/>
      <c r="I929" s="44"/>
      <c r="J929" s="44"/>
      <c r="K929" s="230"/>
      <c r="L929" s="144"/>
      <c r="M929" s="230"/>
      <c r="N929" s="230"/>
      <c r="O929" s="44"/>
      <c r="P929" s="44"/>
      <c r="Q929" s="45"/>
      <c r="R929" s="147"/>
      <c r="S929" s="147"/>
      <c r="T929" s="147"/>
      <c r="U929" s="148"/>
      <c r="V929" s="149"/>
      <c r="W929" s="150"/>
      <c r="X929" s="151"/>
      <c r="Y929" s="44"/>
      <c r="Z929" s="44"/>
      <c r="AA929" s="152"/>
      <c r="AB929" s="152"/>
      <c r="AC929" s="152"/>
      <c r="AD929" s="152"/>
      <c r="AE929" s="152"/>
      <c r="AF929" s="152"/>
      <c r="AG929" s="152"/>
      <c r="AH929" s="165"/>
      <c r="AI929" s="165"/>
      <c r="AJ929" s="165"/>
      <c r="AK929" s="165"/>
      <c r="AL929" s="165"/>
      <c r="AM929" s="165"/>
      <c r="AN929" s="165"/>
    </row>
    <row r="930" spans="1:40">
      <c r="A930" s="44"/>
      <c r="B930" s="44"/>
      <c r="C930" s="165"/>
      <c r="D930" s="44"/>
      <c r="E930" s="44"/>
      <c r="F930" s="44"/>
      <c r="G930" s="44"/>
      <c r="H930" s="45"/>
      <c r="I930" s="44"/>
      <c r="J930" s="44"/>
      <c r="K930" s="230"/>
      <c r="L930" s="144"/>
      <c r="M930" s="230"/>
      <c r="N930" s="230"/>
      <c r="O930" s="44"/>
      <c r="P930" s="44"/>
      <c r="Q930" s="45"/>
      <c r="R930" s="147"/>
      <c r="S930" s="147"/>
      <c r="T930" s="147"/>
      <c r="U930" s="148"/>
      <c r="V930" s="149"/>
      <c r="W930" s="150"/>
      <c r="X930" s="151"/>
      <c r="Y930" s="44"/>
      <c r="Z930" s="44"/>
      <c r="AA930" s="152"/>
      <c r="AB930" s="152"/>
      <c r="AC930" s="152"/>
      <c r="AD930" s="152"/>
      <c r="AE930" s="152"/>
      <c r="AF930" s="152"/>
      <c r="AG930" s="152"/>
      <c r="AH930" s="165"/>
      <c r="AI930" s="165"/>
      <c r="AJ930" s="165"/>
      <c r="AK930" s="165"/>
      <c r="AL930" s="165"/>
      <c r="AM930" s="165"/>
      <c r="AN930" s="165"/>
    </row>
    <row r="931" spans="1:40">
      <c r="A931" s="44"/>
      <c r="B931" s="44"/>
      <c r="C931" s="165"/>
      <c r="D931" s="44"/>
      <c r="E931" s="44"/>
      <c r="F931" s="44"/>
      <c r="G931" s="44"/>
      <c r="H931" s="45"/>
      <c r="I931" s="44"/>
      <c r="J931" s="44"/>
      <c r="K931" s="230"/>
      <c r="L931" s="144"/>
      <c r="M931" s="230"/>
      <c r="N931" s="230"/>
      <c r="O931" s="44"/>
      <c r="P931" s="44"/>
      <c r="Q931" s="45"/>
      <c r="R931" s="147"/>
      <c r="S931" s="147"/>
      <c r="T931" s="147"/>
      <c r="U931" s="148"/>
      <c r="V931" s="149"/>
      <c r="W931" s="150"/>
      <c r="X931" s="151"/>
      <c r="Y931" s="44"/>
      <c r="Z931" s="44"/>
      <c r="AA931" s="152"/>
      <c r="AB931" s="152"/>
      <c r="AC931" s="152"/>
      <c r="AD931" s="152"/>
      <c r="AE931" s="152"/>
      <c r="AF931" s="152"/>
      <c r="AG931" s="152"/>
      <c r="AH931" s="165"/>
      <c r="AI931" s="165"/>
      <c r="AJ931" s="165"/>
      <c r="AK931" s="165"/>
      <c r="AL931" s="165"/>
      <c r="AM931" s="165"/>
      <c r="AN931" s="165"/>
    </row>
    <row r="932" spans="1:40">
      <c r="A932" s="44"/>
      <c r="B932" s="44"/>
      <c r="C932" s="165"/>
      <c r="D932" s="44"/>
      <c r="E932" s="44"/>
      <c r="F932" s="44"/>
      <c r="G932" s="44"/>
      <c r="H932" s="45"/>
      <c r="I932" s="44"/>
      <c r="J932" s="44"/>
      <c r="K932" s="230"/>
      <c r="L932" s="144"/>
      <c r="M932" s="230"/>
      <c r="N932" s="230"/>
      <c r="O932" s="44"/>
      <c r="P932" s="44"/>
      <c r="Q932" s="45"/>
      <c r="R932" s="147"/>
      <c r="S932" s="147"/>
      <c r="T932" s="147"/>
      <c r="U932" s="148"/>
      <c r="V932" s="149"/>
      <c r="W932" s="150"/>
      <c r="X932" s="151"/>
      <c r="Y932" s="44"/>
      <c r="Z932" s="44"/>
      <c r="AA932" s="152"/>
      <c r="AB932" s="152"/>
      <c r="AC932" s="152"/>
      <c r="AD932" s="152"/>
      <c r="AE932" s="152"/>
      <c r="AF932" s="152"/>
      <c r="AG932" s="152"/>
      <c r="AH932" s="165"/>
      <c r="AI932" s="165"/>
      <c r="AJ932" s="165"/>
      <c r="AK932" s="165"/>
      <c r="AL932" s="165"/>
      <c r="AM932" s="165"/>
      <c r="AN932" s="165"/>
    </row>
    <row r="933" spans="1:40">
      <c r="A933" s="44"/>
      <c r="B933" s="44"/>
      <c r="C933" s="165"/>
      <c r="D933" s="44"/>
      <c r="E933" s="44"/>
      <c r="F933" s="44"/>
      <c r="G933" s="44"/>
      <c r="H933" s="45"/>
      <c r="I933" s="44"/>
      <c r="J933" s="44"/>
      <c r="K933" s="230"/>
      <c r="L933" s="144"/>
      <c r="M933" s="230"/>
      <c r="N933" s="230"/>
      <c r="O933" s="44"/>
      <c r="P933" s="44"/>
      <c r="Q933" s="45"/>
      <c r="R933" s="147"/>
      <c r="S933" s="147"/>
      <c r="T933" s="147"/>
      <c r="U933" s="148"/>
      <c r="V933" s="149"/>
      <c r="W933" s="150"/>
      <c r="X933" s="151"/>
      <c r="Y933" s="44"/>
      <c r="Z933" s="44"/>
      <c r="AA933" s="152"/>
      <c r="AB933" s="152"/>
      <c r="AC933" s="152"/>
      <c r="AD933" s="152"/>
      <c r="AE933" s="152"/>
      <c r="AF933" s="152"/>
      <c r="AG933" s="152"/>
      <c r="AH933" s="165"/>
      <c r="AI933" s="165"/>
      <c r="AJ933" s="165"/>
      <c r="AK933" s="165"/>
      <c r="AL933" s="165"/>
      <c r="AM933" s="165"/>
      <c r="AN933" s="165"/>
    </row>
    <row r="934" spans="1:40">
      <c r="A934" s="44"/>
      <c r="B934" s="44"/>
      <c r="C934" s="165"/>
      <c r="D934" s="44"/>
      <c r="E934" s="44"/>
      <c r="F934" s="44"/>
      <c r="G934" s="44"/>
      <c r="H934" s="45"/>
      <c r="I934" s="44"/>
      <c r="J934" s="44"/>
      <c r="K934" s="230"/>
      <c r="L934" s="144"/>
      <c r="M934" s="230"/>
      <c r="N934" s="230"/>
      <c r="O934" s="44"/>
      <c r="P934" s="44"/>
      <c r="Q934" s="45"/>
      <c r="R934" s="147"/>
      <c r="S934" s="147"/>
      <c r="T934" s="147"/>
      <c r="U934" s="148"/>
      <c r="V934" s="149"/>
      <c r="W934" s="150"/>
      <c r="X934" s="151"/>
      <c r="Y934" s="44"/>
      <c r="Z934" s="44"/>
      <c r="AA934" s="152"/>
      <c r="AB934" s="152"/>
      <c r="AC934" s="152"/>
      <c r="AD934" s="152"/>
      <c r="AE934" s="152"/>
      <c r="AF934" s="152"/>
      <c r="AG934" s="152"/>
      <c r="AH934" s="165"/>
      <c r="AI934" s="165"/>
      <c r="AJ934" s="165"/>
      <c r="AK934" s="165"/>
      <c r="AL934" s="165"/>
      <c r="AM934" s="165"/>
      <c r="AN934" s="165"/>
    </row>
    <row r="935" spans="1:40">
      <c r="A935" s="44"/>
      <c r="B935" s="44"/>
      <c r="C935" s="165"/>
      <c r="D935" s="44"/>
      <c r="E935" s="44"/>
      <c r="F935" s="44"/>
      <c r="G935" s="44"/>
      <c r="H935" s="45"/>
      <c r="I935" s="44"/>
      <c r="J935" s="44"/>
      <c r="K935" s="230"/>
      <c r="L935" s="144"/>
      <c r="M935" s="230"/>
      <c r="N935" s="230"/>
      <c r="O935" s="44"/>
      <c r="P935" s="44"/>
      <c r="Q935" s="45"/>
      <c r="R935" s="147"/>
      <c r="S935" s="147"/>
      <c r="T935" s="147"/>
      <c r="U935" s="148"/>
      <c r="V935" s="149"/>
      <c r="W935" s="150"/>
      <c r="X935" s="151"/>
      <c r="Y935" s="44"/>
      <c r="Z935" s="44"/>
      <c r="AA935" s="152"/>
      <c r="AB935" s="152"/>
      <c r="AC935" s="152"/>
      <c r="AD935" s="152"/>
      <c r="AE935" s="152"/>
      <c r="AF935" s="152"/>
      <c r="AG935" s="152"/>
      <c r="AH935" s="165"/>
      <c r="AI935" s="165"/>
      <c r="AJ935" s="165"/>
      <c r="AK935" s="165"/>
      <c r="AL935" s="165"/>
      <c r="AM935" s="165"/>
      <c r="AN935" s="165"/>
    </row>
    <row r="936" spans="1:40">
      <c r="A936" s="44"/>
      <c r="B936" s="44"/>
      <c r="C936" s="165"/>
      <c r="D936" s="44"/>
      <c r="E936" s="44"/>
      <c r="F936" s="44"/>
      <c r="G936" s="44"/>
      <c r="H936" s="44"/>
      <c r="I936" s="44"/>
      <c r="J936" s="44"/>
      <c r="K936" s="230"/>
      <c r="L936" s="44"/>
      <c r="M936" s="230"/>
      <c r="N936" s="230"/>
      <c r="O936" s="44"/>
      <c r="P936" s="44"/>
      <c r="Q936" s="45"/>
      <c r="R936" s="147"/>
      <c r="S936" s="147"/>
      <c r="T936" s="147"/>
      <c r="U936" s="148"/>
      <c r="V936" s="149"/>
      <c r="W936" s="150"/>
      <c r="X936" s="151"/>
      <c r="Y936" s="44"/>
      <c r="Z936" s="44"/>
      <c r="AA936" s="152"/>
      <c r="AB936" s="152"/>
      <c r="AC936" s="152"/>
      <c r="AD936" s="152"/>
      <c r="AE936" s="152"/>
      <c r="AF936" s="152"/>
      <c r="AG936" s="152"/>
      <c r="AH936" s="165"/>
      <c r="AI936" s="165"/>
      <c r="AJ936" s="165"/>
      <c r="AK936" s="165"/>
      <c r="AL936" s="165"/>
      <c r="AM936" s="165"/>
      <c r="AN936" s="165"/>
    </row>
    <row r="937" spans="1:40">
      <c r="A937" s="44"/>
      <c r="B937" s="44"/>
      <c r="C937" s="165"/>
      <c r="D937" s="44"/>
      <c r="E937" s="44"/>
      <c r="F937" s="44"/>
      <c r="G937" s="44"/>
      <c r="H937" s="44"/>
      <c r="I937" s="44"/>
      <c r="J937" s="44"/>
      <c r="K937" s="230"/>
      <c r="L937" s="44"/>
      <c r="M937" s="230"/>
      <c r="N937" s="230"/>
      <c r="O937" s="44"/>
      <c r="P937" s="44"/>
      <c r="Q937" s="45"/>
      <c r="R937" s="147"/>
      <c r="S937" s="147"/>
      <c r="T937" s="147"/>
      <c r="U937" s="148"/>
      <c r="V937" s="149"/>
      <c r="W937" s="150"/>
      <c r="X937" s="151"/>
      <c r="Y937" s="44"/>
      <c r="Z937" s="44"/>
      <c r="AA937" s="152"/>
      <c r="AB937" s="152"/>
      <c r="AC937" s="152"/>
      <c r="AD937" s="152"/>
      <c r="AE937" s="152"/>
      <c r="AF937" s="152"/>
      <c r="AG937" s="152"/>
      <c r="AH937" s="165"/>
      <c r="AI937" s="165"/>
      <c r="AJ937" s="165"/>
      <c r="AK937" s="165"/>
      <c r="AL937" s="165"/>
      <c r="AM937" s="165"/>
      <c r="AN937" s="165"/>
    </row>
    <row r="938" spans="1:40">
      <c r="A938" s="44"/>
      <c r="B938" s="44"/>
      <c r="C938" s="165"/>
      <c r="D938" s="44"/>
      <c r="E938" s="44"/>
      <c r="F938" s="44"/>
      <c r="G938" s="44"/>
      <c r="H938" s="44"/>
      <c r="I938" s="44"/>
      <c r="J938" s="44"/>
      <c r="K938" s="230"/>
      <c r="L938" s="44"/>
      <c r="M938" s="230"/>
      <c r="N938" s="230"/>
      <c r="O938" s="44"/>
      <c r="P938" s="44"/>
      <c r="Q938" s="45"/>
      <c r="R938" s="147"/>
      <c r="S938" s="147"/>
      <c r="T938" s="147"/>
      <c r="U938" s="148"/>
      <c r="V938" s="149"/>
      <c r="W938" s="150"/>
      <c r="X938" s="151"/>
      <c r="Y938" s="44"/>
      <c r="Z938" s="44"/>
      <c r="AA938" s="152"/>
      <c r="AB938" s="152"/>
      <c r="AC938" s="152"/>
      <c r="AD938" s="152"/>
      <c r="AE938" s="152"/>
      <c r="AF938" s="152"/>
      <c r="AG938" s="152"/>
      <c r="AH938" s="165"/>
      <c r="AI938" s="165"/>
      <c r="AJ938" s="165"/>
      <c r="AK938" s="165"/>
      <c r="AL938" s="165"/>
      <c r="AM938" s="165"/>
      <c r="AN938" s="165"/>
    </row>
    <row r="939" spans="1:40">
      <c r="A939" s="44"/>
      <c r="B939" s="44"/>
      <c r="C939" s="165"/>
      <c r="D939" s="44"/>
      <c r="E939" s="44"/>
      <c r="F939" s="44"/>
      <c r="G939" s="44"/>
      <c r="H939" s="44"/>
      <c r="I939" s="44"/>
      <c r="J939" s="44"/>
      <c r="K939" s="230"/>
      <c r="L939" s="44"/>
      <c r="M939" s="230"/>
      <c r="N939" s="230"/>
      <c r="O939" s="44"/>
      <c r="P939" s="44"/>
      <c r="Q939" s="45"/>
      <c r="R939" s="147"/>
      <c r="S939" s="147"/>
      <c r="T939" s="147"/>
      <c r="U939" s="148"/>
      <c r="V939" s="149"/>
      <c r="W939" s="150"/>
      <c r="X939" s="151"/>
      <c r="Y939" s="44"/>
      <c r="Z939" s="44"/>
      <c r="AA939" s="152"/>
      <c r="AB939" s="152"/>
      <c r="AC939" s="152"/>
      <c r="AD939" s="152"/>
      <c r="AE939" s="152"/>
      <c r="AF939" s="152"/>
      <c r="AG939" s="152"/>
      <c r="AH939" s="165"/>
      <c r="AI939" s="165"/>
      <c r="AJ939" s="165"/>
      <c r="AK939" s="165"/>
      <c r="AL939" s="165"/>
      <c r="AM939" s="165"/>
      <c r="AN939" s="165"/>
    </row>
    <row r="940" spans="1:40">
      <c r="A940" s="44"/>
      <c r="B940" s="44"/>
      <c r="C940" s="165"/>
      <c r="D940" s="44"/>
      <c r="E940" s="44"/>
      <c r="F940" s="44"/>
      <c r="G940" s="44"/>
      <c r="H940" s="44"/>
      <c r="I940" s="44"/>
      <c r="J940" s="44"/>
      <c r="K940" s="230"/>
      <c r="L940" s="44"/>
      <c r="M940" s="230"/>
      <c r="N940" s="230"/>
      <c r="O940" s="44"/>
      <c r="P940" s="44"/>
      <c r="Q940" s="45"/>
      <c r="R940" s="147"/>
      <c r="S940" s="147"/>
      <c r="T940" s="147"/>
      <c r="U940" s="148"/>
      <c r="V940" s="149"/>
      <c r="W940" s="150"/>
      <c r="X940" s="151"/>
      <c r="Y940" s="44"/>
      <c r="Z940" s="44"/>
      <c r="AA940" s="152"/>
      <c r="AB940" s="152"/>
      <c r="AC940" s="152"/>
      <c r="AD940" s="152"/>
      <c r="AE940" s="152"/>
      <c r="AF940" s="152"/>
      <c r="AG940" s="152"/>
      <c r="AH940" s="165"/>
      <c r="AI940" s="165"/>
      <c r="AJ940" s="165"/>
      <c r="AK940" s="165"/>
      <c r="AL940" s="165"/>
      <c r="AM940" s="165"/>
      <c r="AN940" s="165"/>
    </row>
    <row r="941" spans="1:40">
      <c r="A941" s="44"/>
      <c r="B941" s="44"/>
      <c r="C941" s="165"/>
      <c r="D941" s="44"/>
      <c r="E941" s="44"/>
      <c r="F941" s="44"/>
      <c r="G941" s="44"/>
      <c r="H941" s="44"/>
      <c r="I941" s="44"/>
      <c r="J941" s="44"/>
      <c r="K941" s="230"/>
      <c r="L941" s="44"/>
      <c r="M941" s="230"/>
      <c r="N941" s="230"/>
      <c r="O941" s="44"/>
      <c r="P941" s="44"/>
      <c r="Q941" s="45"/>
      <c r="R941" s="147"/>
      <c r="S941" s="147"/>
      <c r="T941" s="147"/>
      <c r="U941" s="148"/>
      <c r="V941" s="149"/>
      <c r="W941" s="150"/>
      <c r="X941" s="151"/>
      <c r="Y941" s="44"/>
      <c r="Z941" s="44"/>
      <c r="AA941" s="152"/>
      <c r="AB941" s="152"/>
      <c r="AC941" s="152"/>
      <c r="AD941" s="152"/>
      <c r="AE941" s="152"/>
      <c r="AF941" s="152"/>
      <c r="AG941" s="152"/>
      <c r="AH941" s="165"/>
      <c r="AI941" s="165"/>
      <c r="AJ941" s="165"/>
      <c r="AK941" s="165"/>
      <c r="AL941" s="165"/>
      <c r="AM941" s="165"/>
      <c r="AN941" s="165"/>
    </row>
    <row r="942" spans="1:40">
      <c r="A942" s="44"/>
      <c r="B942" s="44"/>
      <c r="C942" s="165"/>
      <c r="D942" s="44"/>
      <c r="E942" s="44"/>
      <c r="F942" s="44"/>
      <c r="G942" s="44"/>
      <c r="H942" s="44"/>
      <c r="I942" s="44"/>
      <c r="J942" s="44"/>
      <c r="K942" s="230"/>
      <c r="L942" s="44"/>
      <c r="M942" s="230"/>
      <c r="N942" s="230"/>
      <c r="O942" s="44"/>
      <c r="P942" s="44"/>
      <c r="Q942" s="45"/>
      <c r="R942" s="147"/>
      <c r="S942" s="147"/>
      <c r="T942" s="147"/>
      <c r="U942" s="148"/>
      <c r="V942" s="149"/>
      <c r="W942" s="150"/>
      <c r="X942" s="151"/>
      <c r="Y942" s="44"/>
      <c r="Z942" s="44"/>
      <c r="AA942" s="152"/>
      <c r="AB942" s="152"/>
      <c r="AC942" s="152"/>
      <c r="AD942" s="152"/>
      <c r="AE942" s="152"/>
      <c r="AF942" s="152"/>
      <c r="AG942" s="152"/>
      <c r="AH942" s="165"/>
      <c r="AI942" s="165"/>
      <c r="AJ942" s="165"/>
      <c r="AK942" s="165"/>
      <c r="AL942" s="165"/>
      <c r="AM942" s="165"/>
      <c r="AN942" s="165"/>
    </row>
    <row r="943" spans="1:40">
      <c r="A943" s="44"/>
      <c r="B943" s="44"/>
      <c r="C943" s="165"/>
      <c r="D943" s="44"/>
      <c r="E943" s="44"/>
      <c r="F943" s="44"/>
      <c r="G943" s="44"/>
      <c r="H943" s="44"/>
      <c r="I943" s="44"/>
      <c r="J943" s="44"/>
      <c r="K943" s="230"/>
      <c r="L943" s="44"/>
      <c r="M943" s="230"/>
      <c r="N943" s="230"/>
      <c r="O943" s="44"/>
      <c r="P943" s="44"/>
      <c r="Q943" s="45"/>
      <c r="R943" s="147"/>
      <c r="S943" s="147"/>
      <c r="T943" s="147"/>
      <c r="U943" s="148"/>
      <c r="V943" s="149"/>
      <c r="W943" s="150"/>
      <c r="X943" s="151"/>
      <c r="Y943" s="44"/>
      <c r="Z943" s="44"/>
      <c r="AA943" s="152"/>
      <c r="AB943" s="152"/>
      <c r="AC943" s="152"/>
      <c r="AD943" s="152"/>
      <c r="AE943" s="152"/>
      <c r="AF943" s="152"/>
      <c r="AG943" s="152"/>
      <c r="AH943" s="165"/>
      <c r="AI943" s="165"/>
      <c r="AJ943" s="165"/>
      <c r="AK943" s="165"/>
      <c r="AL943" s="165"/>
      <c r="AM943" s="165"/>
      <c r="AN943" s="165"/>
    </row>
    <row r="944" spans="1:40">
      <c r="A944" s="44"/>
      <c r="B944" s="44"/>
      <c r="C944" s="165"/>
      <c r="D944" s="44"/>
      <c r="E944" s="44"/>
      <c r="F944" s="44"/>
      <c r="G944" s="44"/>
      <c r="H944" s="44"/>
      <c r="I944" s="44"/>
      <c r="J944" s="44"/>
      <c r="K944" s="230"/>
      <c r="L944" s="44"/>
      <c r="M944" s="230"/>
      <c r="N944" s="230"/>
      <c r="O944" s="44"/>
      <c r="P944" s="44"/>
      <c r="Q944" s="45"/>
      <c r="R944" s="147"/>
      <c r="S944" s="147"/>
      <c r="T944" s="147"/>
      <c r="U944" s="148"/>
      <c r="V944" s="149"/>
      <c r="W944" s="150"/>
      <c r="X944" s="151"/>
      <c r="Y944" s="44"/>
      <c r="Z944" s="44"/>
      <c r="AA944" s="152"/>
      <c r="AB944" s="152"/>
      <c r="AC944" s="152"/>
      <c r="AD944" s="152"/>
      <c r="AE944" s="152"/>
      <c r="AF944" s="152"/>
      <c r="AG944" s="152"/>
      <c r="AH944" s="165"/>
      <c r="AI944" s="165"/>
      <c r="AJ944" s="165"/>
      <c r="AK944" s="165"/>
      <c r="AL944" s="165"/>
      <c r="AM944" s="165"/>
      <c r="AN944" s="165"/>
    </row>
    <row r="945" spans="1:40">
      <c r="A945" s="44"/>
      <c r="B945" s="44"/>
      <c r="C945" s="165"/>
      <c r="D945" s="44"/>
      <c r="E945" s="44"/>
      <c r="F945" s="44"/>
      <c r="G945" s="44"/>
      <c r="H945" s="44"/>
      <c r="I945" s="44"/>
      <c r="J945" s="44"/>
      <c r="K945" s="230"/>
      <c r="L945" s="44"/>
      <c r="M945" s="230"/>
      <c r="N945" s="230"/>
      <c r="O945" s="44"/>
      <c r="P945" s="44"/>
      <c r="Q945" s="45"/>
      <c r="R945" s="147"/>
      <c r="S945" s="147"/>
      <c r="T945" s="147"/>
      <c r="U945" s="148"/>
      <c r="V945" s="149"/>
      <c r="W945" s="150"/>
      <c r="X945" s="151"/>
      <c r="Y945" s="44"/>
      <c r="Z945" s="44"/>
      <c r="AA945" s="152"/>
      <c r="AB945" s="152"/>
      <c r="AC945" s="152"/>
      <c r="AD945" s="152"/>
      <c r="AE945" s="152"/>
      <c r="AF945" s="152"/>
      <c r="AG945" s="152"/>
      <c r="AH945" s="165"/>
      <c r="AI945" s="165"/>
      <c r="AJ945" s="165"/>
      <c r="AK945" s="165"/>
      <c r="AL945" s="165"/>
      <c r="AM945" s="165"/>
      <c r="AN945" s="165"/>
    </row>
    <row r="946" spans="1:40">
      <c r="A946" s="44"/>
      <c r="B946" s="44"/>
      <c r="C946" s="165"/>
      <c r="D946" s="44"/>
      <c r="E946" s="44"/>
      <c r="F946" s="44"/>
      <c r="G946" s="44"/>
      <c r="H946" s="44"/>
      <c r="I946" s="44"/>
      <c r="J946" s="44"/>
      <c r="K946" s="230"/>
      <c r="L946" s="44"/>
      <c r="M946" s="230"/>
      <c r="N946" s="230"/>
      <c r="O946" s="44"/>
      <c r="P946" s="44"/>
      <c r="Q946" s="45"/>
      <c r="R946" s="147"/>
      <c r="S946" s="147"/>
      <c r="T946" s="147"/>
      <c r="U946" s="148"/>
      <c r="V946" s="149"/>
      <c r="W946" s="150"/>
      <c r="X946" s="151"/>
      <c r="Y946" s="44"/>
      <c r="Z946" s="44"/>
      <c r="AA946" s="152"/>
      <c r="AB946" s="152"/>
      <c r="AC946" s="152"/>
      <c r="AD946" s="152"/>
      <c r="AE946" s="152"/>
      <c r="AF946" s="152"/>
      <c r="AG946" s="152"/>
      <c r="AH946" s="165"/>
      <c r="AI946" s="165"/>
      <c r="AJ946" s="165"/>
      <c r="AK946" s="165"/>
      <c r="AL946" s="165"/>
      <c r="AM946" s="165"/>
      <c r="AN946" s="165"/>
    </row>
    <row r="947" spans="1:40">
      <c r="A947" s="44"/>
      <c r="B947" s="44"/>
      <c r="C947" s="165"/>
      <c r="D947" s="44"/>
      <c r="E947" s="44"/>
      <c r="F947" s="44"/>
      <c r="G947" s="44"/>
      <c r="H947" s="44"/>
      <c r="I947" s="44"/>
      <c r="J947" s="44"/>
      <c r="K947" s="230"/>
      <c r="L947" s="44"/>
      <c r="M947" s="230"/>
      <c r="N947" s="230"/>
      <c r="O947" s="44"/>
      <c r="P947" s="44"/>
      <c r="Q947" s="45"/>
      <c r="R947" s="147"/>
      <c r="S947" s="147"/>
      <c r="T947" s="147"/>
      <c r="U947" s="148"/>
      <c r="V947" s="149"/>
      <c r="W947" s="150"/>
      <c r="X947" s="151"/>
      <c r="Y947" s="44"/>
      <c r="Z947" s="44"/>
      <c r="AA947" s="152"/>
      <c r="AB947" s="152"/>
      <c r="AC947" s="152"/>
      <c r="AD947" s="152"/>
      <c r="AE947" s="152"/>
      <c r="AF947" s="152"/>
      <c r="AG947" s="152"/>
      <c r="AH947" s="165"/>
      <c r="AI947" s="165"/>
      <c r="AJ947" s="165"/>
      <c r="AK947" s="165"/>
      <c r="AL947" s="165"/>
      <c r="AM947" s="165"/>
      <c r="AN947" s="165"/>
    </row>
    <row r="948" spans="1:40">
      <c r="A948" s="44"/>
      <c r="B948" s="44"/>
      <c r="C948" s="165"/>
      <c r="D948" s="44"/>
      <c r="E948" s="44"/>
      <c r="F948" s="44"/>
      <c r="G948" s="44"/>
      <c r="H948" s="44"/>
      <c r="I948" s="44"/>
      <c r="J948" s="44"/>
      <c r="K948" s="230"/>
      <c r="L948" s="44"/>
      <c r="M948" s="230"/>
      <c r="N948" s="230"/>
      <c r="O948" s="44"/>
      <c r="P948" s="44"/>
      <c r="Q948" s="45"/>
      <c r="R948" s="147"/>
      <c r="S948" s="147"/>
      <c r="T948" s="147"/>
      <c r="U948" s="148"/>
      <c r="V948" s="149"/>
      <c r="W948" s="150"/>
      <c r="X948" s="151"/>
      <c r="Y948" s="44"/>
      <c r="Z948" s="44"/>
      <c r="AA948" s="152"/>
      <c r="AB948" s="152"/>
      <c r="AC948" s="152"/>
      <c r="AD948" s="152"/>
      <c r="AE948" s="152"/>
      <c r="AF948" s="152"/>
      <c r="AG948" s="152"/>
      <c r="AH948" s="165"/>
      <c r="AI948" s="165"/>
      <c r="AJ948" s="165"/>
      <c r="AK948" s="165"/>
      <c r="AL948" s="165"/>
      <c r="AM948" s="165"/>
      <c r="AN948" s="165"/>
    </row>
    <row r="949" spans="1:40">
      <c r="A949" s="44"/>
      <c r="B949" s="44"/>
      <c r="C949" s="165"/>
      <c r="D949" s="44"/>
      <c r="E949" s="44"/>
      <c r="F949" s="44"/>
      <c r="G949" s="44"/>
      <c r="H949" s="44"/>
      <c r="I949" s="44"/>
      <c r="J949" s="44"/>
      <c r="K949" s="230"/>
      <c r="L949" s="44"/>
      <c r="M949" s="230"/>
      <c r="N949" s="230"/>
      <c r="O949" s="44"/>
      <c r="P949" s="44"/>
      <c r="Q949" s="45"/>
      <c r="R949" s="147"/>
      <c r="S949" s="147"/>
      <c r="T949" s="147"/>
      <c r="U949" s="148"/>
      <c r="V949" s="149"/>
      <c r="W949" s="150"/>
      <c r="X949" s="151"/>
      <c r="Y949" s="44"/>
      <c r="Z949" s="44"/>
      <c r="AA949" s="152"/>
      <c r="AB949" s="152"/>
      <c r="AC949" s="152"/>
      <c r="AD949" s="152"/>
      <c r="AE949" s="152"/>
      <c r="AF949" s="152"/>
      <c r="AG949" s="152"/>
      <c r="AH949" s="165"/>
      <c r="AI949" s="165"/>
      <c r="AJ949" s="165"/>
      <c r="AK949" s="165"/>
      <c r="AL949" s="165"/>
      <c r="AM949" s="165"/>
      <c r="AN949" s="165"/>
    </row>
    <row r="950" spans="1:40">
      <c r="A950" s="44"/>
      <c r="B950" s="44"/>
      <c r="C950" s="165"/>
      <c r="D950" s="44"/>
      <c r="E950" s="44"/>
      <c r="F950" s="44"/>
      <c r="G950" s="44"/>
      <c r="H950" s="44"/>
      <c r="I950" s="44"/>
      <c r="J950" s="44"/>
      <c r="K950" s="230"/>
      <c r="L950" s="44"/>
      <c r="M950" s="230"/>
      <c r="N950" s="230"/>
      <c r="O950" s="44"/>
      <c r="P950" s="44"/>
      <c r="Q950" s="45"/>
      <c r="R950" s="147"/>
      <c r="S950" s="147"/>
      <c r="T950" s="147"/>
      <c r="U950" s="148"/>
      <c r="V950" s="149"/>
      <c r="W950" s="150"/>
      <c r="X950" s="151"/>
      <c r="Y950" s="44"/>
      <c r="Z950" s="44"/>
      <c r="AA950" s="152"/>
      <c r="AB950" s="152"/>
      <c r="AC950" s="152"/>
      <c r="AD950" s="152"/>
      <c r="AE950" s="152"/>
      <c r="AF950" s="152"/>
      <c r="AG950" s="152"/>
      <c r="AH950" s="165"/>
      <c r="AI950" s="165"/>
      <c r="AJ950" s="165"/>
      <c r="AK950" s="165"/>
      <c r="AL950" s="165"/>
      <c r="AM950" s="165"/>
      <c r="AN950" s="165"/>
    </row>
    <row r="951" spans="1:40">
      <c r="A951" s="44"/>
      <c r="B951" s="44"/>
      <c r="C951" s="165"/>
      <c r="D951" s="44"/>
      <c r="E951" s="44"/>
      <c r="F951" s="44"/>
      <c r="G951" s="44"/>
      <c r="H951" s="44"/>
      <c r="I951" s="44"/>
      <c r="J951" s="44"/>
      <c r="K951" s="230"/>
      <c r="L951" s="44"/>
      <c r="M951" s="230"/>
      <c r="N951" s="230"/>
      <c r="O951" s="44"/>
      <c r="P951" s="44"/>
      <c r="Q951" s="45"/>
      <c r="R951" s="147"/>
      <c r="S951" s="147"/>
      <c r="T951" s="147"/>
      <c r="U951" s="148"/>
      <c r="V951" s="149"/>
      <c r="W951" s="150"/>
      <c r="X951" s="151"/>
      <c r="Y951" s="44"/>
      <c r="Z951" s="44"/>
      <c r="AA951" s="152"/>
      <c r="AB951" s="152"/>
      <c r="AC951" s="152"/>
      <c r="AD951" s="152"/>
      <c r="AE951" s="152"/>
      <c r="AF951" s="152"/>
      <c r="AG951" s="152"/>
      <c r="AH951" s="165"/>
      <c r="AI951" s="165"/>
      <c r="AJ951" s="165"/>
      <c r="AK951" s="165"/>
      <c r="AL951" s="165"/>
      <c r="AM951" s="165"/>
      <c r="AN951" s="165"/>
    </row>
    <row r="952" spans="1:40">
      <c r="A952" s="44"/>
      <c r="B952" s="44"/>
      <c r="C952" s="165"/>
      <c r="D952" s="44"/>
      <c r="E952" s="44"/>
      <c r="F952" s="44"/>
      <c r="G952" s="44"/>
      <c r="H952" s="44"/>
      <c r="I952" s="44"/>
      <c r="J952" s="44"/>
      <c r="K952" s="230"/>
      <c r="L952" s="44"/>
      <c r="M952" s="230"/>
      <c r="N952" s="230"/>
      <c r="O952" s="44"/>
      <c r="P952" s="44"/>
      <c r="Q952" s="45"/>
      <c r="R952" s="147"/>
      <c r="S952" s="147"/>
      <c r="T952" s="147"/>
      <c r="U952" s="148"/>
      <c r="V952" s="149"/>
      <c r="W952" s="150"/>
      <c r="X952" s="151"/>
      <c r="Y952" s="44"/>
      <c r="Z952" s="44"/>
      <c r="AA952" s="152"/>
      <c r="AB952" s="152"/>
      <c r="AC952" s="152"/>
      <c r="AD952" s="152"/>
      <c r="AE952" s="152"/>
      <c r="AF952" s="152"/>
      <c r="AG952" s="152"/>
      <c r="AH952" s="165"/>
      <c r="AI952" s="165"/>
      <c r="AJ952" s="165"/>
      <c r="AK952" s="165"/>
      <c r="AL952" s="165"/>
      <c r="AM952" s="165"/>
      <c r="AN952" s="165"/>
    </row>
    <row r="953" spans="1:40">
      <c r="A953" s="44"/>
      <c r="B953" s="44"/>
      <c r="C953" s="165"/>
      <c r="D953" s="44"/>
      <c r="E953" s="44"/>
      <c r="F953" s="44"/>
      <c r="G953" s="44"/>
      <c r="H953" s="44"/>
      <c r="I953" s="44"/>
      <c r="J953" s="44"/>
      <c r="K953" s="230"/>
      <c r="L953" s="44"/>
      <c r="M953" s="230"/>
      <c r="N953" s="230"/>
      <c r="O953" s="44"/>
      <c r="P953" s="44"/>
      <c r="Q953" s="45"/>
      <c r="R953" s="147"/>
      <c r="S953" s="147"/>
      <c r="T953" s="147"/>
      <c r="U953" s="148"/>
      <c r="V953" s="149"/>
      <c r="W953" s="150"/>
      <c r="X953" s="151"/>
      <c r="Y953" s="44"/>
      <c r="Z953" s="44"/>
      <c r="AA953" s="152"/>
      <c r="AB953" s="152"/>
      <c r="AC953" s="152"/>
      <c r="AD953" s="152"/>
      <c r="AE953" s="152"/>
      <c r="AF953" s="152"/>
      <c r="AG953" s="152"/>
      <c r="AH953" s="165"/>
      <c r="AI953" s="165"/>
      <c r="AJ953" s="165"/>
      <c r="AK953" s="165"/>
      <c r="AL953" s="165"/>
      <c r="AM953" s="165"/>
      <c r="AN953" s="165"/>
    </row>
    <row r="954" spans="1:40">
      <c r="A954" s="44"/>
      <c r="B954" s="44"/>
      <c r="C954" s="165"/>
      <c r="D954" s="44"/>
      <c r="E954" s="44"/>
      <c r="F954" s="44"/>
      <c r="G954" s="44"/>
      <c r="H954" s="44"/>
      <c r="I954" s="44"/>
      <c r="J954" s="44"/>
      <c r="K954" s="230"/>
      <c r="L954" s="44"/>
      <c r="M954" s="230"/>
      <c r="N954" s="230"/>
      <c r="O954" s="44"/>
      <c r="P954" s="44"/>
      <c r="Q954" s="45"/>
      <c r="R954" s="147"/>
      <c r="S954" s="147"/>
      <c r="T954" s="147"/>
      <c r="U954" s="148"/>
      <c r="V954" s="149"/>
      <c r="W954" s="150"/>
      <c r="X954" s="151"/>
      <c r="Y954" s="44"/>
      <c r="Z954" s="44"/>
      <c r="AA954" s="152"/>
      <c r="AB954" s="152"/>
      <c r="AC954" s="152"/>
      <c r="AD954" s="152"/>
      <c r="AE954" s="152"/>
      <c r="AF954" s="152"/>
      <c r="AG954" s="152"/>
      <c r="AH954" s="165"/>
      <c r="AI954" s="165"/>
      <c r="AJ954" s="165"/>
      <c r="AK954" s="165"/>
      <c r="AL954" s="165"/>
      <c r="AM954" s="165"/>
      <c r="AN954" s="165"/>
    </row>
    <row r="955" spans="1:40">
      <c r="A955" s="44"/>
      <c r="B955" s="44"/>
      <c r="C955" s="165"/>
      <c r="D955" s="44"/>
      <c r="E955" s="44"/>
      <c r="F955" s="44"/>
      <c r="G955" s="44"/>
      <c r="H955" s="44"/>
      <c r="I955" s="44"/>
      <c r="J955" s="44"/>
      <c r="K955" s="230"/>
      <c r="L955" s="44"/>
      <c r="M955" s="230"/>
      <c r="N955" s="230"/>
      <c r="O955" s="44"/>
      <c r="P955" s="44"/>
      <c r="Q955" s="45"/>
      <c r="R955" s="147"/>
      <c r="S955" s="147"/>
      <c r="T955" s="147"/>
      <c r="U955" s="148"/>
      <c r="V955" s="149"/>
      <c r="W955" s="150"/>
      <c r="X955" s="151"/>
      <c r="Y955" s="44"/>
      <c r="Z955" s="44"/>
      <c r="AA955" s="152"/>
      <c r="AB955" s="152"/>
      <c r="AC955" s="152"/>
      <c r="AD955" s="152"/>
      <c r="AE955" s="152"/>
      <c r="AF955" s="152"/>
      <c r="AG955" s="152"/>
      <c r="AH955" s="165"/>
      <c r="AI955" s="165"/>
      <c r="AJ955" s="165"/>
      <c r="AK955" s="165"/>
      <c r="AL955" s="165"/>
      <c r="AM955" s="165"/>
      <c r="AN955" s="165"/>
    </row>
    <row r="956" spans="1:40">
      <c r="A956" s="44"/>
      <c r="B956" s="44"/>
      <c r="C956" s="165"/>
      <c r="D956" s="44"/>
      <c r="E956" s="44"/>
      <c r="F956" s="44"/>
      <c r="G956" s="44"/>
      <c r="H956" s="44"/>
      <c r="I956" s="44"/>
      <c r="J956" s="44"/>
      <c r="K956" s="230"/>
      <c r="L956" s="44"/>
      <c r="M956" s="230"/>
      <c r="N956" s="230"/>
      <c r="O956" s="44"/>
      <c r="P956" s="44"/>
      <c r="Q956" s="45"/>
      <c r="R956" s="147"/>
      <c r="S956" s="147"/>
      <c r="T956" s="147"/>
      <c r="U956" s="148"/>
      <c r="V956" s="149"/>
      <c r="W956" s="150"/>
      <c r="X956" s="151"/>
      <c r="Y956" s="44"/>
      <c r="Z956" s="44"/>
      <c r="AA956" s="152"/>
      <c r="AB956" s="152"/>
      <c r="AC956" s="152"/>
      <c r="AD956" s="152"/>
      <c r="AE956" s="152"/>
      <c r="AF956" s="152"/>
      <c r="AG956" s="152"/>
      <c r="AH956" s="165"/>
      <c r="AI956" s="165"/>
      <c r="AJ956" s="165"/>
      <c r="AK956" s="165"/>
      <c r="AL956" s="165"/>
      <c r="AM956" s="165"/>
      <c r="AN956" s="165"/>
    </row>
    <row r="957" spans="1:40">
      <c r="A957" s="44"/>
      <c r="B957" s="44"/>
      <c r="C957" s="165"/>
      <c r="D957" s="44"/>
      <c r="E957" s="44"/>
      <c r="F957" s="44"/>
      <c r="G957" s="44"/>
      <c r="H957" s="44"/>
      <c r="I957" s="44"/>
      <c r="J957" s="44"/>
      <c r="K957" s="230"/>
      <c r="L957" s="44"/>
      <c r="M957" s="230"/>
      <c r="N957" s="230"/>
      <c r="O957" s="44"/>
      <c r="P957" s="44"/>
      <c r="Q957" s="45"/>
      <c r="R957" s="147"/>
      <c r="S957" s="147"/>
      <c r="T957" s="147"/>
      <c r="U957" s="148"/>
      <c r="V957" s="149"/>
      <c r="W957" s="150"/>
      <c r="X957" s="151"/>
      <c r="Y957" s="44"/>
      <c r="Z957" s="44"/>
      <c r="AA957" s="152"/>
      <c r="AB957" s="152"/>
      <c r="AC957" s="152"/>
      <c r="AD957" s="152"/>
      <c r="AE957" s="152"/>
      <c r="AF957" s="152"/>
      <c r="AG957" s="152"/>
      <c r="AH957" s="165"/>
      <c r="AI957" s="165"/>
      <c r="AJ957" s="165"/>
      <c r="AK957" s="165"/>
      <c r="AL957" s="165"/>
      <c r="AM957" s="165"/>
      <c r="AN957" s="165"/>
    </row>
    <row r="958" spans="1:40">
      <c r="A958" s="44"/>
      <c r="B958" s="44"/>
      <c r="C958" s="165"/>
      <c r="D958" s="44"/>
      <c r="E958" s="44"/>
      <c r="F958" s="44"/>
      <c r="G958" s="44"/>
      <c r="H958" s="44"/>
      <c r="I958" s="44"/>
      <c r="J958" s="44"/>
      <c r="K958" s="230"/>
      <c r="L958" s="44"/>
      <c r="M958" s="230"/>
      <c r="N958" s="230"/>
      <c r="O958" s="44"/>
      <c r="P958" s="44"/>
      <c r="Q958" s="45"/>
      <c r="R958" s="147"/>
      <c r="S958" s="147"/>
      <c r="T958" s="147"/>
      <c r="U958" s="148"/>
      <c r="V958" s="149"/>
      <c r="W958" s="150"/>
      <c r="X958" s="151"/>
      <c r="Y958" s="44"/>
      <c r="Z958" s="44"/>
      <c r="AA958" s="152"/>
      <c r="AB958" s="152"/>
      <c r="AC958" s="152"/>
      <c r="AD958" s="152"/>
      <c r="AE958" s="152"/>
      <c r="AF958" s="152"/>
      <c r="AG958" s="152"/>
      <c r="AH958" s="165"/>
      <c r="AI958" s="165"/>
      <c r="AJ958" s="165"/>
      <c r="AK958" s="165"/>
      <c r="AL958" s="165"/>
      <c r="AM958" s="165"/>
      <c r="AN958" s="165"/>
    </row>
    <row r="959" spans="1:40">
      <c r="A959" s="44"/>
      <c r="B959" s="44"/>
      <c r="C959" s="165"/>
      <c r="D959" s="44"/>
      <c r="E959" s="44"/>
      <c r="F959" s="44"/>
      <c r="G959" s="44"/>
      <c r="H959" s="44"/>
      <c r="I959" s="44"/>
      <c r="J959" s="44"/>
      <c r="K959" s="230"/>
      <c r="L959" s="44"/>
      <c r="M959" s="230"/>
      <c r="N959" s="230"/>
      <c r="O959" s="44"/>
      <c r="P959" s="44"/>
      <c r="Q959" s="45"/>
      <c r="R959" s="147"/>
      <c r="S959" s="147"/>
      <c r="T959" s="147"/>
      <c r="U959" s="148"/>
      <c r="V959" s="149"/>
      <c r="W959" s="150"/>
      <c r="X959" s="151"/>
      <c r="Y959" s="44"/>
      <c r="Z959" s="44"/>
      <c r="AA959" s="152"/>
      <c r="AB959" s="152"/>
      <c r="AC959" s="152"/>
      <c r="AD959" s="152"/>
      <c r="AE959" s="152"/>
      <c r="AF959" s="152"/>
      <c r="AG959" s="152"/>
      <c r="AH959" s="165"/>
      <c r="AI959" s="165"/>
      <c r="AJ959" s="165"/>
      <c r="AK959" s="165"/>
      <c r="AL959" s="165"/>
      <c r="AM959" s="165"/>
      <c r="AN959" s="165"/>
    </row>
    <row r="960" spans="1:40">
      <c r="A960" s="44"/>
      <c r="B960" s="44"/>
      <c r="C960" s="165"/>
      <c r="D960" s="44"/>
      <c r="E960" s="44"/>
      <c r="F960" s="44"/>
      <c r="G960" s="44"/>
      <c r="H960" s="44"/>
      <c r="I960" s="44"/>
      <c r="J960" s="44"/>
      <c r="K960" s="230"/>
      <c r="L960" s="44"/>
      <c r="M960" s="230"/>
      <c r="N960" s="230"/>
      <c r="O960" s="44"/>
      <c r="P960" s="44"/>
      <c r="Q960" s="45"/>
      <c r="R960" s="147"/>
      <c r="S960" s="147"/>
      <c r="T960" s="147"/>
      <c r="U960" s="148"/>
      <c r="V960" s="149"/>
      <c r="W960" s="150"/>
      <c r="X960" s="151"/>
      <c r="Y960" s="44"/>
      <c r="Z960" s="44"/>
      <c r="AA960" s="152"/>
      <c r="AB960" s="152"/>
      <c r="AC960" s="152"/>
      <c r="AD960" s="152"/>
      <c r="AE960" s="152"/>
      <c r="AF960" s="152"/>
      <c r="AG960" s="152"/>
      <c r="AH960" s="165"/>
      <c r="AI960" s="165"/>
      <c r="AJ960" s="165"/>
      <c r="AK960" s="165"/>
      <c r="AL960" s="165"/>
      <c r="AM960" s="165"/>
      <c r="AN960" s="165"/>
    </row>
    <row r="961" spans="1:40">
      <c r="A961" s="44"/>
      <c r="B961" s="44"/>
      <c r="C961" s="165"/>
      <c r="D961" s="44"/>
      <c r="E961" s="44"/>
      <c r="F961" s="44"/>
      <c r="G961" s="44"/>
      <c r="H961" s="44"/>
      <c r="I961" s="44"/>
      <c r="J961" s="44"/>
      <c r="K961" s="230"/>
      <c r="L961" s="44"/>
      <c r="M961" s="230"/>
      <c r="N961" s="230"/>
      <c r="O961" s="44"/>
      <c r="P961" s="44"/>
      <c r="Q961" s="45"/>
      <c r="R961" s="147"/>
      <c r="S961" s="147"/>
      <c r="T961" s="147"/>
      <c r="U961" s="148"/>
      <c r="V961" s="149"/>
      <c r="W961" s="150"/>
      <c r="X961" s="151"/>
      <c r="Y961" s="44"/>
      <c r="Z961" s="44"/>
      <c r="AA961" s="152"/>
      <c r="AB961" s="152"/>
      <c r="AC961" s="152"/>
      <c r="AD961" s="152"/>
      <c r="AE961" s="152"/>
      <c r="AF961" s="152"/>
      <c r="AG961" s="152"/>
      <c r="AH961" s="165"/>
      <c r="AI961" s="165"/>
      <c r="AJ961" s="165"/>
      <c r="AK961" s="165"/>
      <c r="AL961" s="165"/>
      <c r="AM961" s="165"/>
      <c r="AN961" s="165"/>
    </row>
    <row r="962" spans="1:40">
      <c r="A962" s="44"/>
      <c r="B962" s="44"/>
      <c r="C962" s="165"/>
      <c r="D962" s="44"/>
      <c r="E962" s="44"/>
      <c r="F962" s="44"/>
      <c r="G962" s="44"/>
      <c r="H962" s="44"/>
      <c r="I962" s="44"/>
      <c r="J962" s="44"/>
      <c r="K962" s="230"/>
      <c r="L962" s="44"/>
      <c r="M962" s="230"/>
      <c r="N962" s="230"/>
      <c r="O962" s="44"/>
      <c r="P962" s="44"/>
      <c r="Q962" s="45"/>
      <c r="R962" s="147"/>
      <c r="S962" s="147"/>
      <c r="T962" s="147"/>
      <c r="U962" s="148"/>
      <c r="V962" s="149"/>
      <c r="W962" s="150"/>
      <c r="X962" s="151"/>
      <c r="Y962" s="44"/>
      <c r="Z962" s="44"/>
      <c r="AA962" s="152"/>
      <c r="AB962" s="152"/>
      <c r="AC962" s="152"/>
      <c r="AD962" s="152"/>
      <c r="AE962" s="152"/>
      <c r="AF962" s="152"/>
      <c r="AG962" s="152"/>
      <c r="AH962" s="165"/>
      <c r="AI962" s="165"/>
      <c r="AJ962" s="165"/>
      <c r="AK962" s="165"/>
      <c r="AL962" s="165"/>
      <c r="AM962" s="165"/>
      <c r="AN962" s="165"/>
    </row>
    <row r="963" spans="1:40">
      <c r="A963" s="44"/>
      <c r="B963" s="44"/>
      <c r="C963" s="165"/>
      <c r="D963" s="44"/>
      <c r="E963" s="44"/>
      <c r="F963" s="44"/>
      <c r="G963" s="44"/>
      <c r="H963" s="44"/>
      <c r="I963" s="44"/>
      <c r="J963" s="44"/>
      <c r="K963" s="230"/>
      <c r="L963" s="44"/>
      <c r="M963" s="230"/>
      <c r="N963" s="230"/>
      <c r="O963" s="44"/>
      <c r="P963" s="44"/>
      <c r="Q963" s="45"/>
      <c r="R963" s="147"/>
      <c r="S963" s="147"/>
      <c r="T963" s="147"/>
      <c r="U963" s="148"/>
      <c r="V963" s="149"/>
      <c r="W963" s="150"/>
      <c r="X963" s="151"/>
      <c r="Y963" s="44"/>
      <c r="Z963" s="44"/>
      <c r="AA963" s="152"/>
      <c r="AB963" s="152"/>
      <c r="AC963" s="152"/>
      <c r="AD963" s="152"/>
      <c r="AE963" s="152"/>
      <c r="AF963" s="152"/>
      <c r="AG963" s="152"/>
      <c r="AH963" s="165"/>
      <c r="AI963" s="165"/>
      <c r="AJ963" s="165"/>
      <c r="AK963" s="165"/>
      <c r="AL963" s="165"/>
      <c r="AM963" s="165"/>
      <c r="AN963" s="165"/>
    </row>
    <row r="964" spans="1:40">
      <c r="A964" s="44"/>
      <c r="B964" s="44"/>
      <c r="C964" s="165"/>
      <c r="D964" s="44"/>
      <c r="E964" s="44"/>
      <c r="F964" s="44"/>
      <c r="G964" s="44"/>
      <c r="H964" s="44"/>
      <c r="I964" s="44"/>
      <c r="J964" s="44"/>
      <c r="K964" s="230"/>
      <c r="L964" s="44"/>
      <c r="M964" s="230"/>
      <c r="N964" s="230"/>
      <c r="O964" s="44"/>
      <c r="P964" s="44"/>
      <c r="Q964" s="45"/>
      <c r="R964" s="147"/>
      <c r="S964" s="147"/>
      <c r="T964" s="147"/>
      <c r="U964" s="148"/>
      <c r="V964" s="149"/>
      <c r="W964" s="150"/>
      <c r="X964" s="151"/>
      <c r="Y964" s="44"/>
      <c r="Z964" s="44"/>
      <c r="AA964" s="152"/>
      <c r="AB964" s="152"/>
      <c r="AC964" s="152"/>
      <c r="AD964" s="152"/>
      <c r="AE964" s="152"/>
      <c r="AF964" s="152"/>
      <c r="AG964" s="152"/>
      <c r="AH964" s="165"/>
      <c r="AI964" s="165"/>
      <c r="AJ964" s="165"/>
      <c r="AK964" s="165"/>
      <c r="AL964" s="165"/>
      <c r="AM964" s="165"/>
      <c r="AN964" s="165"/>
    </row>
    <row r="965" spans="1:40">
      <c r="A965" s="44"/>
      <c r="B965" s="44"/>
      <c r="C965" s="165"/>
      <c r="D965" s="44"/>
      <c r="E965" s="44"/>
      <c r="F965" s="44"/>
      <c r="G965" s="44"/>
      <c r="H965" s="44"/>
      <c r="I965" s="44"/>
      <c r="J965" s="44"/>
      <c r="K965" s="230"/>
      <c r="L965" s="44"/>
      <c r="M965" s="230"/>
      <c r="N965" s="230"/>
      <c r="O965" s="44"/>
      <c r="P965" s="44"/>
      <c r="Q965" s="45"/>
      <c r="R965" s="147"/>
      <c r="S965" s="147"/>
      <c r="T965" s="147"/>
      <c r="U965" s="148"/>
      <c r="V965" s="149"/>
      <c r="W965" s="150"/>
      <c r="X965" s="151"/>
      <c r="Y965" s="44"/>
      <c r="Z965" s="44"/>
      <c r="AA965" s="152"/>
      <c r="AB965" s="152"/>
      <c r="AC965" s="152"/>
      <c r="AD965" s="152"/>
      <c r="AE965" s="152"/>
      <c r="AF965" s="152"/>
      <c r="AG965" s="152"/>
      <c r="AH965" s="165"/>
      <c r="AI965" s="165"/>
      <c r="AJ965" s="165"/>
      <c r="AK965" s="165"/>
      <c r="AL965" s="165"/>
      <c r="AM965" s="165"/>
      <c r="AN965" s="165"/>
    </row>
    <row r="966" spans="1:40">
      <c r="A966" s="44"/>
      <c r="B966" s="44"/>
      <c r="C966" s="165"/>
      <c r="D966" s="44"/>
      <c r="E966" s="44"/>
      <c r="F966" s="44"/>
      <c r="G966" s="44"/>
      <c r="H966" s="44"/>
      <c r="I966" s="44"/>
      <c r="J966" s="44"/>
      <c r="K966" s="230"/>
      <c r="L966" s="44"/>
      <c r="M966" s="230"/>
      <c r="N966" s="230"/>
      <c r="O966" s="44"/>
      <c r="P966" s="44"/>
      <c r="Q966" s="45"/>
      <c r="R966" s="147"/>
      <c r="S966" s="147"/>
      <c r="T966" s="147"/>
      <c r="U966" s="148"/>
      <c r="V966" s="149"/>
      <c r="W966" s="150"/>
      <c r="X966" s="151"/>
      <c r="Y966" s="44"/>
      <c r="Z966" s="44"/>
      <c r="AA966" s="152"/>
      <c r="AB966" s="152"/>
      <c r="AC966" s="152"/>
      <c r="AD966" s="152"/>
      <c r="AE966" s="152"/>
      <c r="AF966" s="152"/>
      <c r="AG966" s="152"/>
      <c r="AH966" s="165"/>
      <c r="AI966" s="165"/>
      <c r="AJ966" s="165"/>
      <c r="AK966" s="165"/>
      <c r="AL966" s="165"/>
      <c r="AM966" s="165"/>
      <c r="AN966" s="165"/>
    </row>
    <row r="967" spans="1:40">
      <c r="A967" s="44"/>
      <c r="B967" s="44"/>
      <c r="C967" s="165"/>
      <c r="D967" s="44"/>
      <c r="E967" s="44"/>
      <c r="F967" s="44"/>
      <c r="G967" s="44"/>
      <c r="H967" s="44"/>
      <c r="I967" s="44"/>
      <c r="J967" s="44"/>
      <c r="K967" s="230"/>
      <c r="L967" s="44"/>
      <c r="M967" s="230"/>
      <c r="N967" s="230"/>
      <c r="O967" s="44"/>
      <c r="P967" s="44"/>
      <c r="Q967" s="45"/>
      <c r="R967" s="147"/>
      <c r="S967" s="147"/>
      <c r="T967" s="147"/>
      <c r="U967" s="148"/>
      <c r="V967" s="149"/>
      <c r="W967" s="150"/>
      <c r="X967" s="151"/>
      <c r="Y967" s="44"/>
      <c r="Z967" s="44"/>
      <c r="AA967" s="152"/>
      <c r="AB967" s="152"/>
      <c r="AC967" s="152"/>
      <c r="AD967" s="152"/>
      <c r="AE967" s="152"/>
      <c r="AF967" s="152"/>
      <c r="AG967" s="152"/>
      <c r="AH967" s="165"/>
      <c r="AI967" s="165"/>
      <c r="AJ967" s="165"/>
      <c r="AK967" s="165"/>
      <c r="AL967" s="165"/>
      <c r="AM967" s="165"/>
      <c r="AN967" s="165"/>
    </row>
    <row r="968" spans="1:40">
      <c r="A968" s="44"/>
      <c r="B968" s="44"/>
      <c r="C968" s="165"/>
      <c r="D968" s="44"/>
      <c r="E968" s="44"/>
      <c r="F968" s="44"/>
      <c r="G968" s="44"/>
      <c r="H968" s="44"/>
      <c r="I968" s="44"/>
      <c r="J968" s="44"/>
      <c r="K968" s="230"/>
      <c r="L968" s="44"/>
      <c r="M968" s="230"/>
      <c r="N968" s="230"/>
      <c r="O968" s="44"/>
      <c r="P968" s="44"/>
      <c r="Q968" s="45"/>
      <c r="R968" s="147"/>
      <c r="S968" s="147"/>
      <c r="T968" s="147"/>
      <c r="U968" s="148"/>
      <c r="V968" s="149"/>
      <c r="W968" s="150"/>
      <c r="X968" s="151"/>
      <c r="Y968" s="44"/>
      <c r="Z968" s="44"/>
      <c r="AA968" s="152"/>
      <c r="AB968" s="152"/>
      <c r="AC968" s="152"/>
      <c r="AD968" s="152"/>
      <c r="AE968" s="152"/>
      <c r="AF968" s="152"/>
      <c r="AG968" s="152"/>
      <c r="AH968" s="165"/>
      <c r="AI968" s="165"/>
      <c r="AJ968" s="165"/>
      <c r="AK968" s="165"/>
      <c r="AL968" s="165"/>
      <c r="AM968" s="165"/>
      <c r="AN968" s="165"/>
    </row>
    <row r="969" spans="1:40">
      <c r="A969" s="44"/>
      <c r="B969" s="44"/>
      <c r="C969" s="165"/>
      <c r="D969" s="44"/>
      <c r="E969" s="44"/>
      <c r="F969" s="44"/>
      <c r="G969" s="44"/>
      <c r="H969" s="44"/>
      <c r="I969" s="44"/>
      <c r="J969" s="44"/>
      <c r="K969" s="230"/>
      <c r="L969" s="44"/>
      <c r="M969" s="230"/>
      <c r="N969" s="230"/>
      <c r="O969" s="44"/>
      <c r="P969" s="44"/>
      <c r="Q969" s="45"/>
      <c r="R969" s="147"/>
      <c r="S969" s="147"/>
      <c r="T969" s="147"/>
      <c r="U969" s="148"/>
      <c r="V969" s="149"/>
      <c r="W969" s="150"/>
      <c r="X969" s="151"/>
      <c r="Y969" s="44"/>
      <c r="Z969" s="44"/>
      <c r="AA969" s="152"/>
      <c r="AB969" s="152"/>
      <c r="AC969" s="152"/>
      <c r="AD969" s="152"/>
      <c r="AE969" s="152"/>
      <c r="AF969" s="152"/>
      <c r="AG969" s="152"/>
      <c r="AH969" s="165"/>
      <c r="AI969" s="165"/>
      <c r="AJ969" s="165"/>
      <c r="AK969" s="165"/>
      <c r="AL969" s="165"/>
      <c r="AM969" s="165"/>
      <c r="AN969" s="165"/>
    </row>
    <row r="970" spans="1:40">
      <c r="A970" s="44"/>
      <c r="B970" s="44"/>
      <c r="C970" s="165"/>
      <c r="D970" s="44"/>
      <c r="E970" s="44"/>
      <c r="F970" s="44"/>
      <c r="G970" s="44"/>
      <c r="H970" s="44"/>
      <c r="I970" s="44"/>
      <c r="J970" s="44"/>
      <c r="K970" s="230"/>
      <c r="L970" s="44"/>
      <c r="M970" s="230"/>
      <c r="N970" s="230"/>
      <c r="O970" s="44"/>
      <c r="P970" s="44"/>
      <c r="Q970" s="45"/>
      <c r="R970" s="147"/>
      <c r="S970" s="147"/>
      <c r="T970" s="147"/>
      <c r="U970" s="148"/>
      <c r="V970" s="149"/>
      <c r="W970" s="150"/>
      <c r="X970" s="151"/>
      <c r="Y970" s="44"/>
      <c r="Z970" s="44"/>
      <c r="AA970" s="152"/>
      <c r="AB970" s="152"/>
      <c r="AC970" s="152"/>
      <c r="AD970" s="152"/>
      <c r="AE970" s="152"/>
      <c r="AF970" s="152"/>
      <c r="AG970" s="152"/>
      <c r="AH970" s="165"/>
      <c r="AI970" s="165"/>
      <c r="AJ970" s="165"/>
      <c r="AK970" s="165"/>
      <c r="AL970" s="165"/>
      <c r="AM970" s="165"/>
      <c r="AN970" s="165"/>
    </row>
    <row r="971" spans="1:40">
      <c r="A971" s="44"/>
      <c r="B971" s="44"/>
      <c r="C971" s="165"/>
      <c r="D971" s="44"/>
      <c r="E971" s="44"/>
      <c r="F971" s="44"/>
      <c r="G971" s="44"/>
      <c r="H971" s="44"/>
      <c r="I971" s="44"/>
      <c r="J971" s="44"/>
      <c r="K971" s="230"/>
      <c r="L971" s="44"/>
      <c r="M971" s="230"/>
      <c r="N971" s="230"/>
      <c r="O971" s="44"/>
      <c r="P971" s="44"/>
      <c r="Q971" s="45"/>
      <c r="R971" s="147"/>
      <c r="S971" s="147"/>
      <c r="T971" s="147"/>
      <c r="U971" s="148"/>
      <c r="V971" s="149"/>
      <c r="W971" s="150"/>
      <c r="X971" s="151"/>
      <c r="Y971" s="44"/>
      <c r="Z971" s="44"/>
      <c r="AA971" s="152"/>
      <c r="AB971" s="152"/>
      <c r="AC971" s="152"/>
      <c r="AD971" s="152"/>
      <c r="AE971" s="152"/>
      <c r="AF971" s="152"/>
      <c r="AG971" s="152"/>
      <c r="AH971" s="165"/>
      <c r="AI971" s="165"/>
      <c r="AJ971" s="165"/>
      <c r="AK971" s="165"/>
      <c r="AL971" s="165"/>
      <c r="AM971" s="165"/>
      <c r="AN971" s="165"/>
    </row>
    <row r="972" spans="1:40">
      <c r="A972" s="44"/>
      <c r="B972" s="44"/>
      <c r="C972" s="165"/>
      <c r="D972" s="44"/>
      <c r="E972" s="44"/>
      <c r="F972" s="44"/>
      <c r="G972" s="44"/>
      <c r="H972" s="44"/>
      <c r="I972" s="44"/>
      <c r="J972" s="44"/>
      <c r="K972" s="230"/>
      <c r="L972" s="44"/>
      <c r="M972" s="230"/>
      <c r="N972" s="230"/>
      <c r="O972" s="44"/>
      <c r="P972" s="44"/>
      <c r="Q972" s="45"/>
      <c r="R972" s="147"/>
      <c r="S972" s="147"/>
      <c r="T972" s="147"/>
      <c r="U972" s="148"/>
      <c r="V972" s="149"/>
      <c r="W972" s="150"/>
      <c r="X972" s="151"/>
      <c r="Y972" s="44"/>
      <c r="Z972" s="44"/>
      <c r="AA972" s="152"/>
      <c r="AB972" s="152"/>
      <c r="AC972" s="152"/>
      <c r="AD972" s="152"/>
      <c r="AE972" s="152"/>
      <c r="AF972" s="152"/>
      <c r="AG972" s="152"/>
      <c r="AH972" s="165"/>
      <c r="AI972" s="165"/>
      <c r="AJ972" s="165"/>
      <c r="AK972" s="165"/>
      <c r="AL972" s="165"/>
      <c r="AM972" s="165"/>
      <c r="AN972" s="165"/>
    </row>
    <row r="973" spans="1:40">
      <c r="A973" s="44"/>
      <c r="B973" s="44"/>
      <c r="C973" s="165"/>
      <c r="D973" s="44"/>
      <c r="E973" s="44"/>
      <c r="F973" s="44"/>
      <c r="G973" s="44"/>
      <c r="H973" s="44"/>
      <c r="I973" s="44"/>
      <c r="J973" s="44"/>
      <c r="K973" s="230"/>
      <c r="L973" s="44"/>
      <c r="M973" s="230"/>
      <c r="N973" s="230"/>
      <c r="O973" s="44"/>
      <c r="P973" s="44"/>
      <c r="Q973" s="45"/>
      <c r="R973" s="147"/>
      <c r="S973" s="147"/>
      <c r="T973" s="147"/>
      <c r="U973" s="148"/>
      <c r="V973" s="149"/>
      <c r="W973" s="150"/>
      <c r="X973" s="151"/>
      <c r="Y973" s="44"/>
      <c r="Z973" s="44"/>
      <c r="AA973" s="152"/>
      <c r="AB973" s="152"/>
      <c r="AC973" s="152"/>
      <c r="AD973" s="152"/>
      <c r="AE973" s="152"/>
      <c r="AF973" s="152"/>
      <c r="AG973" s="152"/>
      <c r="AH973" s="165"/>
      <c r="AI973" s="165"/>
      <c r="AJ973" s="165"/>
      <c r="AK973" s="165"/>
      <c r="AL973" s="165"/>
      <c r="AM973" s="165"/>
      <c r="AN973" s="165"/>
    </row>
    <row r="974" spans="1:40">
      <c r="A974" s="44"/>
      <c r="B974" s="44"/>
      <c r="C974" s="165"/>
      <c r="D974" s="44"/>
      <c r="E974" s="44"/>
      <c r="F974" s="44"/>
      <c r="G974" s="44"/>
      <c r="H974" s="44"/>
      <c r="I974" s="44"/>
      <c r="J974" s="44"/>
      <c r="K974" s="230"/>
      <c r="L974" s="44"/>
      <c r="M974" s="230"/>
      <c r="N974" s="230"/>
      <c r="O974" s="44"/>
      <c r="P974" s="44"/>
      <c r="Q974" s="45"/>
      <c r="R974" s="147"/>
      <c r="S974" s="147"/>
      <c r="T974" s="147"/>
      <c r="U974" s="148"/>
      <c r="V974" s="149"/>
      <c r="W974" s="150"/>
      <c r="X974" s="151"/>
      <c r="Y974" s="44"/>
      <c r="Z974" s="44"/>
      <c r="AA974" s="152"/>
      <c r="AB974" s="152"/>
      <c r="AC974" s="152"/>
      <c r="AD974" s="152"/>
      <c r="AE974" s="152"/>
      <c r="AF974" s="152"/>
      <c r="AG974" s="152"/>
      <c r="AH974" s="165"/>
      <c r="AI974" s="165"/>
      <c r="AJ974" s="165"/>
      <c r="AK974" s="165"/>
      <c r="AL974" s="165"/>
      <c r="AM974" s="165"/>
      <c r="AN974" s="165"/>
    </row>
    <row r="975" spans="1:40">
      <c r="A975" s="44"/>
      <c r="B975" s="44"/>
      <c r="C975" s="165"/>
      <c r="D975" s="44"/>
      <c r="E975" s="44"/>
      <c r="F975" s="44"/>
      <c r="G975" s="44"/>
      <c r="H975" s="44"/>
      <c r="I975" s="44"/>
      <c r="J975" s="44"/>
      <c r="K975" s="230"/>
      <c r="L975" s="44"/>
      <c r="M975" s="230"/>
      <c r="N975" s="230"/>
      <c r="O975" s="44"/>
      <c r="P975" s="44"/>
      <c r="Q975" s="45"/>
      <c r="R975" s="147"/>
      <c r="S975" s="147"/>
      <c r="T975" s="147"/>
      <c r="U975" s="148"/>
      <c r="V975" s="149"/>
      <c r="W975" s="150"/>
      <c r="X975" s="151"/>
      <c r="Y975" s="44"/>
      <c r="Z975" s="44"/>
      <c r="AA975" s="152"/>
      <c r="AB975" s="152"/>
      <c r="AC975" s="152"/>
      <c r="AD975" s="152"/>
      <c r="AE975" s="152"/>
      <c r="AF975" s="152"/>
      <c r="AG975" s="152"/>
      <c r="AH975" s="165"/>
      <c r="AI975" s="165"/>
      <c r="AJ975" s="165"/>
      <c r="AK975" s="165"/>
      <c r="AL975" s="165"/>
      <c r="AM975" s="165"/>
      <c r="AN975" s="165"/>
    </row>
    <row r="976" spans="1:40">
      <c r="A976" s="44"/>
      <c r="B976" s="44"/>
      <c r="C976" s="165"/>
      <c r="D976" s="44"/>
      <c r="E976" s="44"/>
      <c r="F976" s="44"/>
      <c r="G976" s="44"/>
      <c r="H976" s="44"/>
      <c r="I976" s="44"/>
      <c r="J976" s="44"/>
      <c r="K976" s="230"/>
      <c r="L976" s="44"/>
      <c r="M976" s="230"/>
      <c r="N976" s="230"/>
      <c r="O976" s="44"/>
      <c r="P976" s="44"/>
      <c r="Q976" s="45"/>
      <c r="R976" s="147"/>
      <c r="S976" s="147"/>
      <c r="T976" s="147"/>
      <c r="U976" s="148"/>
      <c r="V976" s="149"/>
      <c r="W976" s="150"/>
      <c r="X976" s="151"/>
      <c r="Y976" s="44"/>
      <c r="Z976" s="44"/>
      <c r="AA976" s="152"/>
      <c r="AB976" s="152"/>
      <c r="AC976" s="152"/>
      <c r="AD976" s="152"/>
      <c r="AE976" s="152"/>
      <c r="AF976" s="152"/>
      <c r="AG976" s="152"/>
      <c r="AH976" s="165"/>
      <c r="AI976" s="165"/>
      <c r="AJ976" s="165"/>
      <c r="AK976" s="165"/>
      <c r="AL976" s="165"/>
      <c r="AM976" s="165"/>
      <c r="AN976" s="165"/>
    </row>
    <row r="977" spans="1:40">
      <c r="A977" s="44"/>
      <c r="B977" s="44"/>
      <c r="C977" s="165"/>
      <c r="D977" s="44"/>
      <c r="E977" s="44"/>
      <c r="F977" s="44"/>
      <c r="G977" s="44"/>
      <c r="H977" s="44"/>
      <c r="I977" s="44"/>
      <c r="J977" s="44"/>
      <c r="K977" s="230"/>
      <c r="L977" s="44"/>
      <c r="M977" s="230"/>
      <c r="N977" s="230"/>
      <c r="O977" s="44"/>
      <c r="P977" s="44"/>
      <c r="Q977" s="45"/>
      <c r="R977" s="147"/>
      <c r="S977" s="147"/>
      <c r="T977" s="147"/>
      <c r="U977" s="148"/>
      <c r="V977" s="149"/>
      <c r="W977" s="150"/>
      <c r="X977" s="151"/>
      <c r="Y977" s="44"/>
      <c r="Z977" s="44"/>
      <c r="AA977" s="152"/>
      <c r="AB977" s="152"/>
      <c r="AC977" s="152"/>
      <c r="AD977" s="152"/>
      <c r="AE977" s="152"/>
      <c r="AF977" s="152"/>
      <c r="AG977" s="152"/>
      <c r="AH977" s="165"/>
      <c r="AI977" s="165"/>
      <c r="AJ977" s="165"/>
      <c r="AK977" s="165"/>
      <c r="AL977" s="165"/>
      <c r="AM977" s="165"/>
      <c r="AN977" s="165"/>
    </row>
    <row r="978" spans="1:40">
      <c r="A978" s="44"/>
      <c r="B978" s="44"/>
      <c r="C978" s="165"/>
      <c r="D978" s="44"/>
      <c r="E978" s="44"/>
      <c r="F978" s="44"/>
      <c r="G978" s="44"/>
      <c r="H978" s="44"/>
      <c r="I978" s="44"/>
      <c r="J978" s="44"/>
      <c r="K978" s="230"/>
      <c r="L978" s="44"/>
      <c r="M978" s="230"/>
      <c r="N978" s="230"/>
      <c r="O978" s="44"/>
      <c r="P978" s="44"/>
      <c r="Q978" s="45"/>
      <c r="R978" s="147"/>
      <c r="S978" s="147"/>
      <c r="T978" s="147"/>
      <c r="U978" s="148"/>
      <c r="V978" s="149"/>
      <c r="W978" s="150"/>
      <c r="X978" s="151"/>
      <c r="Y978" s="44"/>
      <c r="Z978" s="44"/>
      <c r="AA978" s="152"/>
      <c r="AB978" s="152"/>
      <c r="AC978" s="152"/>
      <c r="AD978" s="152"/>
      <c r="AE978" s="152"/>
      <c r="AF978" s="152"/>
      <c r="AG978" s="152"/>
      <c r="AH978" s="165"/>
      <c r="AI978" s="165"/>
      <c r="AJ978" s="165"/>
      <c r="AK978" s="165"/>
      <c r="AL978" s="165"/>
      <c r="AM978" s="165"/>
      <c r="AN978" s="165"/>
    </row>
    <row r="979" spans="1:40">
      <c r="A979" s="44"/>
      <c r="B979" s="44"/>
      <c r="C979" s="165"/>
      <c r="D979" s="44"/>
      <c r="E979" s="44"/>
      <c r="F979" s="44"/>
      <c r="G979" s="44"/>
      <c r="H979" s="44"/>
      <c r="I979" s="44"/>
      <c r="J979" s="44"/>
      <c r="K979" s="230"/>
      <c r="L979" s="44"/>
      <c r="M979" s="230"/>
      <c r="N979" s="230"/>
      <c r="O979" s="44"/>
      <c r="P979" s="44"/>
      <c r="Q979" s="45"/>
      <c r="R979" s="147"/>
      <c r="S979" s="147"/>
      <c r="T979" s="147"/>
      <c r="U979" s="148"/>
      <c r="V979" s="149"/>
      <c r="W979" s="150"/>
      <c r="X979" s="151"/>
      <c r="Y979" s="44"/>
      <c r="Z979" s="44"/>
      <c r="AA979" s="152"/>
      <c r="AB979" s="152"/>
      <c r="AC979" s="152"/>
      <c r="AD979" s="152"/>
      <c r="AE979" s="152"/>
      <c r="AF979" s="152"/>
      <c r="AG979" s="152"/>
      <c r="AH979" s="165"/>
      <c r="AI979" s="165"/>
      <c r="AJ979" s="165"/>
      <c r="AK979" s="165"/>
      <c r="AL979" s="165"/>
      <c r="AM979" s="165"/>
      <c r="AN979" s="165"/>
    </row>
    <row r="980" spans="1:40">
      <c r="A980" s="44"/>
      <c r="B980" s="44"/>
      <c r="C980" s="165"/>
      <c r="D980" s="44"/>
      <c r="E980" s="44"/>
      <c r="F980" s="44"/>
      <c r="G980" s="44"/>
      <c r="H980" s="44"/>
      <c r="I980" s="44"/>
      <c r="J980" s="44"/>
      <c r="K980" s="230"/>
      <c r="L980" s="44"/>
      <c r="M980" s="230"/>
      <c r="N980" s="230"/>
      <c r="O980" s="44"/>
      <c r="P980" s="44"/>
      <c r="Q980" s="45"/>
      <c r="R980" s="147"/>
      <c r="S980" s="147"/>
      <c r="T980" s="147"/>
      <c r="U980" s="148"/>
      <c r="V980" s="149"/>
      <c r="W980" s="150"/>
      <c r="X980" s="151"/>
      <c r="Y980" s="44"/>
      <c r="Z980" s="44"/>
      <c r="AA980" s="152"/>
      <c r="AB980" s="152"/>
      <c r="AC980" s="152"/>
      <c r="AD980" s="152"/>
      <c r="AE980" s="152"/>
      <c r="AF980" s="152"/>
      <c r="AG980" s="152"/>
      <c r="AH980" s="165"/>
      <c r="AI980" s="165"/>
      <c r="AJ980" s="165"/>
      <c r="AK980" s="165"/>
      <c r="AL980" s="165"/>
      <c r="AM980" s="165"/>
      <c r="AN980" s="165"/>
    </row>
    <row r="981" spans="1:40">
      <c r="A981" s="44"/>
      <c r="B981" s="44"/>
      <c r="C981" s="165"/>
      <c r="D981" s="44"/>
      <c r="E981" s="44"/>
      <c r="F981" s="44"/>
      <c r="G981" s="44"/>
      <c r="H981" s="44"/>
      <c r="I981" s="44"/>
      <c r="J981" s="44"/>
      <c r="K981" s="230"/>
      <c r="L981" s="44"/>
      <c r="M981" s="230"/>
      <c r="N981" s="230"/>
      <c r="O981" s="44"/>
      <c r="P981" s="44"/>
      <c r="Q981" s="45"/>
      <c r="R981" s="147"/>
      <c r="S981" s="147"/>
      <c r="T981" s="147"/>
      <c r="U981" s="148"/>
      <c r="V981" s="149"/>
      <c r="W981" s="150"/>
      <c r="X981" s="151"/>
      <c r="Y981" s="44"/>
      <c r="Z981" s="44"/>
      <c r="AA981" s="152"/>
      <c r="AB981" s="152"/>
      <c r="AC981" s="152"/>
      <c r="AD981" s="152"/>
      <c r="AE981" s="152"/>
      <c r="AF981" s="152"/>
      <c r="AG981" s="152"/>
      <c r="AH981" s="165"/>
      <c r="AI981" s="165"/>
      <c r="AJ981" s="165"/>
      <c r="AK981" s="165"/>
      <c r="AL981" s="165"/>
      <c r="AM981" s="165"/>
      <c r="AN981" s="165"/>
    </row>
    <row r="982" spans="1:40">
      <c r="A982" s="44"/>
      <c r="B982" s="44"/>
      <c r="C982" s="165"/>
      <c r="D982" s="44"/>
      <c r="E982" s="44"/>
      <c r="F982" s="44"/>
      <c r="G982" s="44"/>
      <c r="H982" s="44"/>
      <c r="I982" s="44"/>
      <c r="J982" s="44"/>
      <c r="K982" s="230"/>
      <c r="L982" s="44"/>
      <c r="M982" s="230"/>
      <c r="N982" s="230"/>
      <c r="O982" s="44"/>
      <c r="P982" s="44"/>
      <c r="Q982" s="45"/>
      <c r="R982" s="147"/>
      <c r="S982" s="147"/>
      <c r="T982" s="147"/>
      <c r="U982" s="148"/>
      <c r="V982" s="149"/>
      <c r="W982" s="150"/>
      <c r="X982" s="151"/>
      <c r="Y982" s="44"/>
      <c r="Z982" s="44"/>
      <c r="AA982" s="152"/>
      <c r="AB982" s="152"/>
      <c r="AC982" s="152"/>
      <c r="AD982" s="152"/>
      <c r="AE982" s="152"/>
      <c r="AF982" s="152"/>
      <c r="AG982" s="152"/>
      <c r="AH982" s="165"/>
      <c r="AI982" s="165"/>
      <c r="AJ982" s="165"/>
      <c r="AK982" s="165"/>
      <c r="AL982" s="165"/>
      <c r="AM982" s="165"/>
      <c r="AN982" s="165"/>
    </row>
    <row r="983" spans="1:40">
      <c r="A983" s="44"/>
      <c r="B983" s="44"/>
      <c r="C983" s="165"/>
      <c r="D983" s="44"/>
      <c r="E983" s="44"/>
      <c r="F983" s="44"/>
      <c r="G983" s="44"/>
      <c r="H983" s="44"/>
      <c r="I983" s="44"/>
      <c r="J983" s="44"/>
      <c r="K983" s="230"/>
      <c r="L983" s="44"/>
      <c r="M983" s="230"/>
      <c r="N983" s="230"/>
      <c r="O983" s="44"/>
      <c r="P983" s="44"/>
      <c r="Q983" s="45"/>
      <c r="R983" s="147"/>
      <c r="S983" s="147"/>
      <c r="T983" s="147"/>
      <c r="U983" s="148"/>
      <c r="V983" s="149"/>
      <c r="W983" s="150"/>
      <c r="X983" s="151"/>
      <c r="Y983" s="44"/>
      <c r="Z983" s="44"/>
      <c r="AA983" s="152"/>
      <c r="AB983" s="152"/>
      <c r="AC983" s="152"/>
      <c r="AD983" s="152"/>
      <c r="AE983" s="152"/>
      <c r="AF983" s="152"/>
      <c r="AG983" s="152"/>
      <c r="AH983" s="165"/>
      <c r="AI983" s="165"/>
      <c r="AJ983" s="165"/>
      <c r="AK983" s="165"/>
      <c r="AL983" s="165"/>
      <c r="AM983" s="165"/>
      <c r="AN983" s="165"/>
    </row>
    <row r="984" spans="1:40">
      <c r="A984" s="44"/>
      <c r="B984" s="44"/>
      <c r="C984" s="165"/>
      <c r="D984" s="44"/>
      <c r="E984" s="44"/>
      <c r="F984" s="44"/>
      <c r="G984" s="44"/>
      <c r="H984" s="44"/>
      <c r="I984" s="44"/>
      <c r="J984" s="44"/>
      <c r="K984" s="230"/>
      <c r="L984" s="44"/>
      <c r="M984" s="230"/>
      <c r="N984" s="230"/>
      <c r="O984" s="44"/>
      <c r="P984" s="44"/>
      <c r="Q984" s="45"/>
      <c r="R984" s="147"/>
      <c r="S984" s="147"/>
      <c r="T984" s="147"/>
      <c r="U984" s="148"/>
      <c r="V984" s="149"/>
      <c r="W984" s="150"/>
      <c r="X984" s="151"/>
      <c r="Y984" s="44"/>
      <c r="Z984" s="44"/>
      <c r="AA984" s="152"/>
      <c r="AB984" s="152"/>
      <c r="AC984" s="152"/>
      <c r="AD984" s="152"/>
      <c r="AE984" s="152"/>
      <c r="AF984" s="152"/>
      <c r="AG984" s="152"/>
      <c r="AH984" s="165"/>
      <c r="AI984" s="165"/>
      <c r="AJ984" s="165"/>
      <c r="AK984" s="165"/>
      <c r="AL984" s="165"/>
      <c r="AM984" s="165"/>
      <c r="AN984" s="165"/>
    </row>
    <row r="985" spans="1:40">
      <c r="A985" s="44"/>
      <c r="B985" s="44"/>
      <c r="C985" s="165"/>
      <c r="D985" s="44"/>
      <c r="E985" s="44"/>
      <c r="F985" s="44"/>
      <c r="G985" s="44"/>
      <c r="H985" s="44"/>
      <c r="I985" s="44"/>
      <c r="J985" s="44"/>
      <c r="K985" s="230"/>
      <c r="L985" s="44"/>
      <c r="M985" s="230"/>
      <c r="N985" s="230"/>
      <c r="O985" s="44"/>
      <c r="P985" s="44"/>
      <c r="Q985" s="45"/>
      <c r="R985" s="147"/>
      <c r="S985" s="147"/>
      <c r="T985" s="147"/>
      <c r="U985" s="148"/>
      <c r="V985" s="149"/>
      <c r="W985" s="150"/>
      <c r="X985" s="151"/>
      <c r="Y985" s="44"/>
      <c r="Z985" s="44"/>
      <c r="AA985" s="152"/>
      <c r="AB985" s="152"/>
      <c r="AC985" s="152"/>
      <c r="AD985" s="152"/>
      <c r="AE985" s="152"/>
      <c r="AF985" s="152"/>
      <c r="AG985" s="152"/>
      <c r="AH985" s="165"/>
      <c r="AI985" s="165"/>
      <c r="AJ985" s="165"/>
      <c r="AK985" s="165"/>
      <c r="AL985" s="165"/>
      <c r="AM985" s="165"/>
      <c r="AN985" s="165"/>
    </row>
    <row r="986" spans="1:40">
      <c r="A986" s="44"/>
      <c r="B986" s="44"/>
      <c r="C986" s="165"/>
      <c r="D986" s="44"/>
      <c r="E986" s="44"/>
      <c r="F986" s="44"/>
      <c r="G986" s="44"/>
      <c r="H986" s="44"/>
      <c r="I986" s="44"/>
      <c r="J986" s="44"/>
      <c r="K986" s="230"/>
      <c r="L986" s="44"/>
      <c r="M986" s="230"/>
      <c r="N986" s="230"/>
      <c r="O986" s="44"/>
      <c r="P986" s="44"/>
      <c r="Q986" s="45"/>
      <c r="R986" s="147"/>
      <c r="S986" s="147"/>
      <c r="T986" s="147"/>
      <c r="U986" s="148"/>
      <c r="V986" s="149"/>
      <c r="W986" s="150"/>
      <c r="X986" s="151"/>
      <c r="Y986" s="44"/>
      <c r="Z986" s="44"/>
      <c r="AA986" s="152"/>
      <c r="AB986" s="152"/>
      <c r="AC986" s="152"/>
      <c r="AD986" s="152"/>
      <c r="AE986" s="152"/>
      <c r="AF986" s="152"/>
      <c r="AG986" s="152"/>
      <c r="AH986" s="165"/>
      <c r="AI986" s="165"/>
      <c r="AJ986" s="165"/>
      <c r="AK986" s="165"/>
      <c r="AL986" s="165"/>
      <c r="AM986" s="165"/>
      <c r="AN986" s="165"/>
    </row>
    <row r="987" spans="1:40">
      <c r="A987" s="44"/>
      <c r="B987" s="44"/>
      <c r="C987" s="165"/>
      <c r="D987" s="44"/>
      <c r="E987" s="44"/>
      <c r="F987" s="44"/>
      <c r="G987" s="44"/>
      <c r="H987" s="44"/>
      <c r="I987" s="44"/>
      <c r="J987" s="44"/>
      <c r="K987" s="230"/>
      <c r="L987" s="44"/>
      <c r="M987" s="230"/>
      <c r="N987" s="230"/>
      <c r="O987" s="44"/>
      <c r="P987" s="44"/>
      <c r="Q987" s="45"/>
      <c r="R987" s="147"/>
      <c r="S987" s="147"/>
      <c r="T987" s="147"/>
      <c r="U987" s="148"/>
      <c r="V987" s="149"/>
      <c r="W987" s="150"/>
      <c r="X987" s="151"/>
      <c r="Y987" s="44"/>
      <c r="Z987" s="44"/>
      <c r="AA987" s="152"/>
      <c r="AB987" s="152"/>
      <c r="AC987" s="152"/>
      <c r="AD987" s="152"/>
      <c r="AE987" s="152"/>
      <c r="AF987" s="152"/>
      <c r="AG987" s="152"/>
      <c r="AH987" s="165"/>
      <c r="AI987" s="165"/>
      <c r="AJ987" s="165"/>
      <c r="AK987" s="165"/>
      <c r="AL987" s="165"/>
      <c r="AM987" s="165"/>
      <c r="AN987" s="165"/>
    </row>
    <row r="988" spans="1:40">
      <c r="A988" s="44"/>
      <c r="B988" s="44"/>
      <c r="C988" s="165"/>
      <c r="D988" s="44"/>
      <c r="E988" s="44"/>
      <c r="F988" s="44"/>
      <c r="G988" s="44"/>
      <c r="H988" s="44"/>
      <c r="I988" s="44"/>
      <c r="J988" s="44"/>
      <c r="K988" s="230"/>
      <c r="L988" s="44"/>
      <c r="M988" s="230"/>
      <c r="N988" s="230"/>
      <c r="O988" s="44"/>
      <c r="P988" s="44"/>
      <c r="Q988" s="45"/>
      <c r="R988" s="147"/>
      <c r="S988" s="147"/>
      <c r="T988" s="147"/>
      <c r="U988" s="148"/>
      <c r="V988" s="149"/>
      <c r="W988" s="150"/>
      <c r="X988" s="151"/>
      <c r="Y988" s="44"/>
      <c r="Z988" s="44"/>
      <c r="AA988" s="152"/>
      <c r="AB988" s="152"/>
      <c r="AC988" s="152"/>
      <c r="AD988" s="152"/>
      <c r="AE988" s="152"/>
      <c r="AF988" s="152"/>
      <c r="AG988" s="152"/>
      <c r="AH988" s="165"/>
      <c r="AI988" s="165"/>
      <c r="AJ988" s="165"/>
      <c r="AK988" s="165"/>
      <c r="AL988" s="165"/>
      <c r="AM988" s="165"/>
      <c r="AN988" s="165"/>
    </row>
    <row r="989" spans="1:40">
      <c r="A989" s="44"/>
      <c r="B989" s="44"/>
      <c r="C989" s="165"/>
      <c r="D989" s="44"/>
      <c r="E989" s="44"/>
      <c r="F989" s="44"/>
      <c r="G989" s="44"/>
      <c r="H989" s="44"/>
      <c r="I989" s="44"/>
      <c r="J989" s="44"/>
      <c r="K989" s="230"/>
      <c r="L989" s="44"/>
      <c r="M989" s="230"/>
      <c r="N989" s="230"/>
      <c r="O989" s="44"/>
      <c r="P989" s="44"/>
      <c r="Q989" s="45"/>
      <c r="R989" s="147"/>
      <c r="S989" s="147"/>
      <c r="T989" s="147"/>
      <c r="U989" s="148"/>
      <c r="V989" s="149"/>
      <c r="W989" s="150"/>
      <c r="X989" s="151"/>
      <c r="Y989" s="44"/>
      <c r="Z989" s="44"/>
      <c r="AA989" s="152"/>
      <c r="AB989" s="152"/>
      <c r="AC989" s="152"/>
      <c r="AD989" s="152"/>
      <c r="AE989" s="152"/>
      <c r="AF989" s="152"/>
      <c r="AG989" s="152"/>
      <c r="AH989" s="165"/>
      <c r="AI989" s="165"/>
      <c r="AJ989" s="165"/>
      <c r="AK989" s="165"/>
      <c r="AL989" s="165"/>
      <c r="AM989" s="165"/>
      <c r="AN989" s="165"/>
    </row>
    <row r="990" spans="1:40">
      <c r="A990" s="44"/>
      <c r="B990" s="44"/>
      <c r="C990" s="165"/>
      <c r="D990" s="44"/>
      <c r="E990" s="44"/>
      <c r="F990" s="44"/>
      <c r="G990" s="44"/>
      <c r="H990" s="44"/>
      <c r="I990" s="44"/>
      <c r="J990" s="44"/>
      <c r="K990" s="230"/>
      <c r="L990" s="44"/>
      <c r="M990" s="230"/>
      <c r="N990" s="230"/>
      <c r="O990" s="44"/>
      <c r="P990" s="44"/>
      <c r="Q990" s="45"/>
      <c r="R990" s="147"/>
      <c r="S990" s="147"/>
      <c r="T990" s="147"/>
      <c r="U990" s="148"/>
      <c r="V990" s="149"/>
      <c r="W990" s="150"/>
      <c r="X990" s="151"/>
      <c r="Y990" s="44"/>
      <c r="Z990" s="44"/>
      <c r="AA990" s="152"/>
      <c r="AB990" s="152"/>
      <c r="AC990" s="152"/>
      <c r="AD990" s="152"/>
      <c r="AE990" s="152"/>
      <c r="AF990" s="152"/>
      <c r="AG990" s="152"/>
      <c r="AH990" s="165"/>
      <c r="AI990" s="165"/>
      <c r="AJ990" s="165"/>
      <c r="AK990" s="165"/>
      <c r="AL990" s="165"/>
      <c r="AM990" s="165"/>
      <c r="AN990" s="165"/>
    </row>
    <row r="991" spans="1:40">
      <c r="A991" s="44"/>
      <c r="B991" s="44"/>
      <c r="C991" s="165"/>
      <c r="D991" s="44"/>
      <c r="E991" s="44"/>
      <c r="F991" s="44"/>
      <c r="G991" s="44"/>
      <c r="H991" s="44"/>
      <c r="I991" s="44"/>
      <c r="J991" s="44"/>
      <c r="K991" s="230"/>
      <c r="L991" s="44"/>
      <c r="M991" s="230"/>
      <c r="N991" s="230"/>
      <c r="O991" s="44"/>
      <c r="P991" s="44"/>
      <c r="Q991" s="45"/>
      <c r="R991" s="147"/>
      <c r="S991" s="147"/>
      <c r="T991" s="147"/>
      <c r="U991" s="148"/>
      <c r="V991" s="149"/>
      <c r="W991" s="150"/>
      <c r="X991" s="151"/>
      <c r="Y991" s="44"/>
      <c r="Z991" s="44"/>
      <c r="AA991" s="152"/>
      <c r="AB991" s="152"/>
      <c r="AC991" s="152"/>
      <c r="AD991" s="152"/>
      <c r="AE991" s="152"/>
      <c r="AF991" s="152"/>
      <c r="AG991" s="152"/>
      <c r="AH991" s="165"/>
      <c r="AI991" s="165"/>
      <c r="AJ991" s="165"/>
      <c r="AK991" s="165"/>
      <c r="AL991" s="165"/>
      <c r="AM991" s="165"/>
      <c r="AN991" s="165"/>
    </row>
    <row r="992" spans="1:40">
      <c r="A992" s="44"/>
      <c r="B992" s="44"/>
      <c r="C992" s="165"/>
      <c r="D992" s="44"/>
      <c r="E992" s="44"/>
      <c r="F992" s="44"/>
      <c r="G992" s="44"/>
      <c r="H992" s="44"/>
      <c r="I992" s="44"/>
      <c r="J992" s="44"/>
      <c r="K992" s="230"/>
      <c r="L992" s="44"/>
      <c r="M992" s="230"/>
      <c r="N992" s="230"/>
      <c r="O992" s="44"/>
      <c r="P992" s="44"/>
      <c r="Q992" s="45"/>
      <c r="R992" s="147"/>
      <c r="S992" s="147"/>
      <c r="T992" s="147"/>
      <c r="U992" s="148"/>
      <c r="V992" s="149"/>
      <c r="W992" s="150"/>
      <c r="X992" s="151"/>
      <c r="Y992" s="44"/>
      <c r="Z992" s="44"/>
      <c r="AA992" s="152"/>
      <c r="AB992" s="152"/>
      <c r="AC992" s="152"/>
      <c r="AD992" s="152"/>
      <c r="AE992" s="152"/>
      <c r="AF992" s="152"/>
      <c r="AG992" s="152"/>
      <c r="AH992" s="165"/>
      <c r="AI992" s="165"/>
      <c r="AJ992" s="165"/>
      <c r="AK992" s="165"/>
      <c r="AL992" s="165"/>
      <c r="AM992" s="165"/>
      <c r="AN992" s="165"/>
    </row>
    <row r="993" spans="1:40">
      <c r="A993" s="44"/>
      <c r="B993" s="44"/>
      <c r="C993" s="165"/>
      <c r="D993" s="44"/>
      <c r="E993" s="44"/>
      <c r="F993" s="44"/>
      <c r="G993" s="44"/>
      <c r="H993" s="44"/>
      <c r="I993" s="44"/>
      <c r="J993" s="44"/>
      <c r="K993" s="230"/>
      <c r="L993" s="44"/>
      <c r="M993" s="230"/>
      <c r="N993" s="230"/>
      <c r="O993" s="44"/>
      <c r="P993" s="44"/>
      <c r="Q993" s="45"/>
      <c r="R993" s="147"/>
      <c r="S993" s="147"/>
      <c r="T993" s="147"/>
      <c r="U993" s="148"/>
      <c r="V993" s="149"/>
      <c r="W993" s="150"/>
      <c r="X993" s="151"/>
      <c r="Y993" s="44"/>
      <c r="Z993" s="44"/>
      <c r="AA993" s="152"/>
      <c r="AB993" s="152"/>
      <c r="AC993" s="152"/>
      <c r="AD993" s="152"/>
      <c r="AE993" s="152"/>
      <c r="AF993" s="152"/>
      <c r="AG993" s="152"/>
      <c r="AH993" s="165"/>
      <c r="AI993" s="165"/>
      <c r="AJ993" s="165"/>
      <c r="AK993" s="165"/>
      <c r="AL993" s="165"/>
      <c r="AM993" s="165"/>
      <c r="AN993" s="165"/>
    </row>
    <row r="994" spans="1:40">
      <c r="A994" s="44"/>
      <c r="B994" s="44"/>
      <c r="C994" s="165"/>
      <c r="D994" s="44"/>
      <c r="E994" s="44"/>
      <c r="F994" s="44"/>
      <c r="G994" s="44"/>
      <c r="H994" s="44"/>
      <c r="I994" s="44"/>
      <c r="J994" s="44"/>
      <c r="K994" s="230"/>
      <c r="L994" s="44"/>
      <c r="M994" s="230"/>
      <c r="N994" s="230"/>
      <c r="O994" s="44"/>
      <c r="P994" s="44"/>
      <c r="Q994" s="45"/>
      <c r="R994" s="147"/>
      <c r="S994" s="147"/>
      <c r="T994" s="147"/>
      <c r="U994" s="148"/>
      <c r="V994" s="149"/>
      <c r="W994" s="150"/>
      <c r="X994" s="151"/>
      <c r="Y994" s="44"/>
      <c r="Z994" s="44"/>
      <c r="AA994" s="152"/>
      <c r="AB994" s="152"/>
      <c r="AC994" s="152"/>
      <c r="AD994" s="152"/>
      <c r="AE994" s="152"/>
      <c r="AF994" s="152"/>
      <c r="AG994" s="152"/>
      <c r="AH994" s="165"/>
      <c r="AI994" s="165"/>
      <c r="AJ994" s="165"/>
      <c r="AK994" s="165"/>
      <c r="AL994" s="165"/>
      <c r="AM994" s="165"/>
      <c r="AN994" s="165"/>
    </row>
    <row r="995" spans="1:40">
      <c r="A995" s="44"/>
      <c r="B995" s="44"/>
      <c r="C995" s="165"/>
      <c r="D995" s="44"/>
      <c r="E995" s="44"/>
      <c r="F995" s="44"/>
      <c r="G995" s="44"/>
      <c r="H995" s="44"/>
      <c r="I995" s="44"/>
      <c r="J995" s="44"/>
      <c r="K995" s="230"/>
      <c r="L995" s="44"/>
      <c r="M995" s="230"/>
      <c r="N995" s="230"/>
      <c r="O995" s="44"/>
      <c r="P995" s="44"/>
      <c r="Q995" s="45"/>
      <c r="R995" s="147"/>
      <c r="S995" s="147"/>
      <c r="T995" s="147"/>
      <c r="U995" s="148"/>
      <c r="V995" s="149"/>
      <c r="W995" s="150"/>
      <c r="X995" s="151"/>
      <c r="Y995" s="44"/>
      <c r="Z995" s="44"/>
      <c r="AA995" s="152"/>
      <c r="AB995" s="152"/>
      <c r="AC995" s="152"/>
      <c r="AD995" s="152"/>
      <c r="AE995" s="152"/>
      <c r="AF995" s="152"/>
      <c r="AG995" s="152"/>
      <c r="AH995" s="165"/>
      <c r="AI995" s="165"/>
      <c r="AJ995" s="165"/>
      <c r="AK995" s="165"/>
      <c r="AL995" s="165"/>
      <c r="AM995" s="165"/>
      <c r="AN995" s="165"/>
    </row>
    <row r="996" spans="1:40">
      <c r="A996" s="44"/>
      <c r="B996" s="44"/>
      <c r="C996" s="165"/>
      <c r="D996" s="44"/>
      <c r="E996" s="44"/>
      <c r="F996" s="44"/>
      <c r="G996" s="44"/>
      <c r="H996" s="44"/>
      <c r="I996" s="44"/>
      <c r="J996" s="44"/>
      <c r="K996" s="230"/>
      <c r="L996" s="44"/>
      <c r="M996" s="230"/>
      <c r="N996" s="230"/>
      <c r="O996" s="44"/>
      <c r="P996" s="44"/>
      <c r="Q996" s="45"/>
      <c r="R996" s="147"/>
      <c r="S996" s="147"/>
      <c r="T996" s="147"/>
      <c r="U996" s="148"/>
      <c r="V996" s="149"/>
      <c r="W996" s="150"/>
      <c r="X996" s="151"/>
      <c r="Y996" s="44"/>
      <c r="Z996" s="44"/>
      <c r="AA996" s="152"/>
      <c r="AB996" s="152"/>
      <c r="AC996" s="152"/>
      <c r="AD996" s="152"/>
      <c r="AE996" s="152"/>
      <c r="AF996" s="152"/>
      <c r="AG996" s="152"/>
      <c r="AH996" s="165"/>
      <c r="AI996" s="165"/>
      <c r="AJ996" s="165"/>
      <c r="AK996" s="165"/>
      <c r="AL996" s="165"/>
      <c r="AM996" s="165"/>
      <c r="AN996" s="165"/>
    </row>
    <row r="997" spans="1:40">
      <c r="A997" s="44"/>
      <c r="B997" s="44"/>
      <c r="C997" s="165"/>
      <c r="D997" s="44"/>
      <c r="E997" s="44"/>
      <c r="F997" s="44"/>
      <c r="G997" s="44"/>
      <c r="H997" s="44"/>
      <c r="I997" s="44"/>
      <c r="J997" s="44"/>
      <c r="K997" s="230"/>
      <c r="L997" s="44"/>
      <c r="M997" s="230"/>
      <c r="N997" s="230"/>
      <c r="O997" s="44"/>
      <c r="P997" s="44"/>
      <c r="Q997" s="45"/>
      <c r="R997" s="147"/>
      <c r="S997" s="147"/>
      <c r="T997" s="147"/>
      <c r="U997" s="148"/>
      <c r="V997" s="149"/>
      <c r="W997" s="150"/>
      <c r="X997" s="151"/>
      <c r="Y997" s="44"/>
      <c r="Z997" s="44"/>
      <c r="AA997" s="152"/>
      <c r="AB997" s="152"/>
      <c r="AC997" s="152"/>
      <c r="AD997" s="152"/>
      <c r="AE997" s="152"/>
      <c r="AF997" s="152"/>
      <c r="AG997" s="152"/>
      <c r="AH997" s="165"/>
      <c r="AI997" s="165"/>
      <c r="AJ997" s="165"/>
      <c r="AK997" s="165"/>
      <c r="AL997" s="165"/>
      <c r="AM997" s="165"/>
      <c r="AN997" s="165"/>
    </row>
    <row r="998" spans="1:40">
      <c r="A998" s="44"/>
      <c r="B998" s="44"/>
      <c r="C998" s="165"/>
      <c r="D998" s="44"/>
      <c r="E998" s="44"/>
      <c r="F998" s="44"/>
      <c r="G998" s="44"/>
      <c r="H998" s="44"/>
      <c r="I998" s="44"/>
      <c r="J998" s="44"/>
      <c r="K998" s="230"/>
      <c r="L998" s="44"/>
      <c r="M998" s="230"/>
      <c r="N998" s="230"/>
      <c r="O998" s="44"/>
      <c r="P998" s="44"/>
      <c r="Q998" s="45"/>
      <c r="R998" s="147"/>
      <c r="S998" s="147"/>
      <c r="T998" s="147"/>
      <c r="U998" s="148"/>
      <c r="V998" s="149"/>
      <c r="W998" s="150"/>
      <c r="X998" s="151"/>
      <c r="Y998" s="44"/>
      <c r="Z998" s="44"/>
      <c r="AA998" s="152"/>
      <c r="AB998" s="152"/>
      <c r="AC998" s="152"/>
      <c r="AD998" s="152"/>
      <c r="AE998" s="152"/>
      <c r="AF998" s="152"/>
      <c r="AG998" s="152"/>
      <c r="AH998" s="165"/>
      <c r="AI998" s="165"/>
      <c r="AJ998" s="165"/>
      <c r="AK998" s="165"/>
      <c r="AL998" s="165"/>
      <c r="AM998" s="165"/>
      <c r="AN998" s="165"/>
    </row>
    <row r="999" spans="1:40">
      <c r="A999" s="44"/>
      <c r="B999" s="44"/>
      <c r="C999" s="165"/>
      <c r="D999" s="44"/>
      <c r="E999" s="44"/>
      <c r="F999" s="44"/>
      <c r="G999" s="44"/>
      <c r="H999" s="44"/>
      <c r="I999" s="44"/>
      <c r="J999" s="44"/>
      <c r="K999" s="230"/>
      <c r="L999" s="44"/>
      <c r="M999" s="230"/>
      <c r="N999" s="230"/>
      <c r="O999" s="44"/>
      <c r="P999" s="44"/>
      <c r="Q999" s="45"/>
      <c r="R999" s="147"/>
      <c r="S999" s="147"/>
      <c r="T999" s="147"/>
      <c r="U999" s="148"/>
      <c r="V999" s="149"/>
      <c r="W999" s="150"/>
      <c r="X999" s="151"/>
      <c r="Y999" s="44"/>
      <c r="Z999" s="44"/>
      <c r="AA999" s="152"/>
      <c r="AB999" s="152"/>
      <c r="AC999" s="152"/>
      <c r="AD999" s="152"/>
      <c r="AE999" s="152"/>
      <c r="AF999" s="152"/>
      <c r="AG999" s="152"/>
      <c r="AH999" s="165"/>
      <c r="AI999" s="165"/>
      <c r="AJ999" s="165"/>
      <c r="AK999" s="165"/>
      <c r="AL999" s="165"/>
      <c r="AM999" s="165"/>
      <c r="AN999" s="165"/>
    </row>
    <row r="1000" spans="1:40">
      <c r="A1000" s="44"/>
      <c r="B1000" s="44"/>
      <c r="C1000" s="165"/>
      <c r="D1000" s="44"/>
      <c r="E1000" s="44"/>
      <c r="F1000" s="44"/>
      <c r="G1000" s="44"/>
      <c r="H1000" s="44"/>
      <c r="I1000" s="44"/>
      <c r="J1000" s="44"/>
      <c r="K1000" s="230"/>
      <c r="L1000" s="44"/>
      <c r="M1000" s="230"/>
      <c r="N1000" s="230"/>
      <c r="O1000" s="44"/>
      <c r="P1000" s="44"/>
      <c r="Q1000" s="45"/>
      <c r="R1000" s="147"/>
      <c r="S1000" s="147"/>
      <c r="T1000" s="147"/>
      <c r="U1000" s="148"/>
      <c r="V1000" s="149"/>
      <c r="W1000" s="150"/>
      <c r="X1000" s="151"/>
      <c r="Y1000" s="44"/>
      <c r="Z1000" s="44"/>
      <c r="AA1000" s="152"/>
      <c r="AB1000" s="152"/>
      <c r="AC1000" s="152"/>
      <c r="AD1000" s="152"/>
      <c r="AE1000" s="152"/>
      <c r="AF1000" s="152"/>
      <c r="AG1000" s="152"/>
      <c r="AH1000" s="165"/>
      <c r="AI1000" s="165"/>
      <c r="AJ1000" s="165"/>
      <c r="AK1000" s="165"/>
      <c r="AL1000" s="165"/>
      <c r="AM1000" s="165"/>
      <c r="AN1000" s="165"/>
    </row>
    <row r="1001" spans="1:40">
      <c r="A1001" s="44"/>
      <c r="B1001" s="44"/>
      <c r="C1001" s="165"/>
      <c r="D1001" s="44"/>
      <c r="E1001" s="44"/>
      <c r="F1001" s="44"/>
      <c r="G1001" s="44"/>
      <c r="H1001" s="44"/>
      <c r="I1001" s="44"/>
      <c r="J1001" s="44"/>
      <c r="K1001" s="230"/>
      <c r="L1001" s="44"/>
      <c r="M1001" s="230"/>
      <c r="N1001" s="230"/>
      <c r="O1001" s="44"/>
      <c r="P1001" s="44"/>
      <c r="Q1001" s="45"/>
      <c r="R1001" s="147"/>
      <c r="S1001" s="147"/>
      <c r="T1001" s="147"/>
      <c r="U1001" s="148"/>
      <c r="V1001" s="149"/>
      <c r="W1001" s="150"/>
      <c r="X1001" s="151"/>
      <c r="Y1001" s="44"/>
      <c r="Z1001" s="44"/>
      <c r="AA1001" s="152"/>
      <c r="AB1001" s="152"/>
      <c r="AC1001" s="152"/>
      <c r="AD1001" s="152"/>
      <c r="AE1001" s="152"/>
      <c r="AF1001" s="152"/>
      <c r="AG1001" s="152"/>
      <c r="AH1001" s="165"/>
      <c r="AI1001" s="165"/>
      <c r="AJ1001" s="165"/>
      <c r="AK1001" s="165"/>
      <c r="AL1001" s="165"/>
      <c r="AM1001" s="165"/>
      <c r="AN1001" s="165"/>
    </row>
    <row r="1002" spans="1:40">
      <c r="A1002" s="44"/>
      <c r="B1002" s="44"/>
      <c r="C1002" s="165"/>
      <c r="D1002" s="44"/>
      <c r="E1002" s="44"/>
      <c r="F1002" s="44"/>
      <c r="G1002" s="44"/>
      <c r="H1002" s="44"/>
      <c r="I1002" s="44"/>
      <c r="J1002" s="44"/>
      <c r="K1002" s="230"/>
      <c r="L1002" s="44"/>
      <c r="M1002" s="230"/>
      <c r="N1002" s="230"/>
      <c r="O1002" s="44"/>
      <c r="P1002" s="44"/>
      <c r="Q1002" s="45"/>
      <c r="R1002" s="147"/>
      <c r="S1002" s="147"/>
      <c r="T1002" s="147"/>
      <c r="U1002" s="148"/>
      <c r="V1002" s="149"/>
      <c r="W1002" s="150"/>
      <c r="X1002" s="151"/>
      <c r="Y1002" s="44"/>
      <c r="Z1002" s="44"/>
      <c r="AA1002" s="152"/>
      <c r="AB1002" s="152"/>
      <c r="AC1002" s="152"/>
      <c r="AD1002" s="152"/>
      <c r="AE1002" s="152"/>
      <c r="AF1002" s="152"/>
      <c r="AG1002" s="152"/>
      <c r="AH1002" s="165"/>
      <c r="AI1002" s="165"/>
      <c r="AJ1002" s="165"/>
      <c r="AK1002" s="165"/>
      <c r="AL1002" s="165"/>
      <c r="AM1002" s="165"/>
      <c r="AN1002" s="165"/>
    </row>
    <row r="1003" spans="1:40">
      <c r="A1003" s="44"/>
      <c r="B1003" s="44"/>
      <c r="C1003" s="165"/>
      <c r="D1003" s="44"/>
      <c r="E1003" s="44"/>
      <c r="F1003" s="44"/>
      <c r="G1003" s="44"/>
      <c r="H1003" s="44"/>
      <c r="I1003" s="44"/>
      <c r="J1003" s="44"/>
      <c r="K1003" s="230"/>
      <c r="L1003" s="44"/>
      <c r="M1003" s="230"/>
      <c r="N1003" s="230"/>
      <c r="O1003" s="44"/>
      <c r="P1003" s="44"/>
      <c r="Q1003" s="45"/>
      <c r="R1003" s="147"/>
      <c r="S1003" s="147"/>
      <c r="T1003" s="147"/>
      <c r="U1003" s="148"/>
      <c r="V1003" s="149"/>
      <c r="W1003" s="150"/>
      <c r="X1003" s="151"/>
      <c r="Y1003" s="44"/>
      <c r="Z1003" s="44"/>
      <c r="AA1003" s="152"/>
      <c r="AB1003" s="152"/>
      <c r="AC1003" s="152"/>
      <c r="AD1003" s="152"/>
      <c r="AE1003" s="152"/>
      <c r="AF1003" s="152"/>
      <c r="AG1003" s="152"/>
      <c r="AH1003" s="165"/>
      <c r="AI1003" s="165"/>
      <c r="AJ1003" s="165"/>
      <c r="AK1003" s="165"/>
      <c r="AL1003" s="165"/>
      <c r="AM1003" s="165"/>
      <c r="AN1003" s="165"/>
    </row>
    <row r="1004" spans="1:40">
      <c r="A1004" s="44"/>
      <c r="B1004" s="44"/>
      <c r="C1004" s="165"/>
      <c r="D1004" s="44"/>
      <c r="E1004" s="44"/>
      <c r="F1004" s="44"/>
      <c r="G1004" s="44"/>
      <c r="H1004" s="44"/>
      <c r="I1004" s="44"/>
      <c r="J1004" s="44"/>
      <c r="K1004" s="230"/>
      <c r="L1004" s="44"/>
      <c r="M1004" s="230"/>
      <c r="N1004" s="230"/>
      <c r="O1004" s="44"/>
      <c r="P1004" s="44"/>
      <c r="Q1004" s="45"/>
      <c r="R1004" s="147"/>
      <c r="S1004" s="147"/>
      <c r="T1004" s="147"/>
      <c r="U1004" s="148"/>
      <c r="V1004" s="149"/>
      <c r="W1004" s="150"/>
      <c r="X1004" s="151"/>
      <c r="Y1004" s="44"/>
      <c r="Z1004" s="44"/>
      <c r="AA1004" s="152"/>
      <c r="AB1004" s="152"/>
      <c r="AC1004" s="152"/>
      <c r="AD1004" s="152"/>
      <c r="AE1004" s="152"/>
      <c r="AF1004" s="152"/>
      <c r="AG1004" s="152"/>
      <c r="AH1004" s="165"/>
      <c r="AI1004" s="165"/>
      <c r="AJ1004" s="165"/>
      <c r="AK1004" s="165"/>
      <c r="AL1004" s="165"/>
      <c r="AM1004" s="165"/>
      <c r="AN1004" s="165"/>
    </row>
    <row r="1005" spans="1:40">
      <c r="A1005" s="44"/>
      <c r="B1005" s="44"/>
      <c r="C1005" s="165"/>
      <c r="D1005" s="44"/>
      <c r="E1005" s="44"/>
      <c r="F1005" s="44"/>
      <c r="G1005" s="44"/>
      <c r="H1005" s="44"/>
      <c r="I1005" s="44"/>
      <c r="J1005" s="44"/>
      <c r="K1005" s="230"/>
      <c r="L1005" s="44"/>
      <c r="M1005" s="230"/>
      <c r="N1005" s="230"/>
      <c r="O1005" s="44"/>
      <c r="P1005" s="44"/>
      <c r="Q1005" s="45"/>
      <c r="R1005" s="147"/>
      <c r="S1005" s="147"/>
      <c r="T1005" s="147"/>
      <c r="U1005" s="148"/>
      <c r="V1005" s="149"/>
      <c r="W1005" s="150"/>
      <c r="X1005" s="151"/>
      <c r="Y1005" s="44"/>
      <c r="Z1005" s="44"/>
      <c r="AA1005" s="152"/>
      <c r="AB1005" s="152"/>
      <c r="AC1005" s="152"/>
      <c r="AD1005" s="152"/>
      <c r="AE1005" s="152"/>
      <c r="AF1005" s="152"/>
      <c r="AG1005" s="152"/>
      <c r="AH1005" s="165"/>
      <c r="AI1005" s="165"/>
      <c r="AJ1005" s="165"/>
      <c r="AK1005" s="165"/>
      <c r="AL1005" s="165"/>
      <c r="AM1005" s="165"/>
      <c r="AN1005" s="165"/>
    </row>
    <row r="1006" spans="1:40">
      <c r="A1006" s="44"/>
      <c r="B1006" s="44"/>
      <c r="C1006" s="165"/>
      <c r="D1006" s="44"/>
      <c r="E1006" s="44"/>
      <c r="F1006" s="44"/>
      <c r="G1006" s="44"/>
      <c r="H1006" s="44"/>
      <c r="I1006" s="44"/>
      <c r="J1006" s="44"/>
      <c r="K1006" s="230"/>
      <c r="L1006" s="44"/>
      <c r="M1006" s="230"/>
      <c r="N1006" s="230"/>
      <c r="O1006" s="44"/>
      <c r="P1006" s="44"/>
      <c r="Q1006" s="45"/>
      <c r="R1006" s="147"/>
      <c r="S1006" s="147"/>
      <c r="T1006" s="147"/>
      <c r="U1006" s="148"/>
      <c r="V1006" s="149"/>
      <c r="W1006" s="150"/>
      <c r="X1006" s="151"/>
      <c r="Y1006" s="44"/>
      <c r="Z1006" s="44"/>
      <c r="AA1006" s="152"/>
      <c r="AB1006" s="152"/>
      <c r="AC1006" s="152"/>
      <c r="AD1006" s="152"/>
      <c r="AE1006" s="152"/>
      <c r="AF1006" s="152"/>
      <c r="AG1006" s="152"/>
      <c r="AH1006" s="165"/>
      <c r="AI1006" s="165"/>
      <c r="AJ1006" s="165"/>
      <c r="AK1006" s="165"/>
      <c r="AL1006" s="165"/>
      <c r="AM1006" s="165"/>
      <c r="AN1006" s="165"/>
    </row>
    <row r="1007" spans="1:40">
      <c r="A1007" s="44"/>
      <c r="B1007" s="44"/>
      <c r="C1007" s="165"/>
      <c r="D1007" s="44"/>
      <c r="E1007" s="44"/>
      <c r="F1007" s="44"/>
      <c r="G1007" s="44"/>
      <c r="H1007" s="44"/>
      <c r="I1007" s="44"/>
      <c r="J1007" s="44"/>
      <c r="K1007" s="230"/>
      <c r="L1007" s="44"/>
      <c r="M1007" s="230"/>
      <c r="N1007" s="230"/>
      <c r="O1007" s="44"/>
      <c r="P1007" s="44"/>
      <c r="Q1007" s="45"/>
      <c r="R1007" s="147"/>
      <c r="S1007" s="147"/>
      <c r="T1007" s="147"/>
      <c r="U1007" s="148"/>
      <c r="V1007" s="149"/>
      <c r="W1007" s="150"/>
      <c r="X1007" s="151"/>
      <c r="Y1007" s="44"/>
      <c r="Z1007" s="44"/>
      <c r="AA1007" s="152"/>
      <c r="AB1007" s="152"/>
      <c r="AC1007" s="152"/>
      <c r="AD1007" s="152"/>
      <c r="AE1007" s="152"/>
      <c r="AF1007" s="152"/>
      <c r="AG1007" s="152"/>
      <c r="AH1007" s="165"/>
      <c r="AI1007" s="165"/>
      <c r="AJ1007" s="165"/>
      <c r="AK1007" s="165"/>
      <c r="AL1007" s="165"/>
      <c r="AM1007" s="165"/>
      <c r="AN1007" s="165"/>
    </row>
    <row r="1008" spans="1:40">
      <c r="A1008" s="44"/>
      <c r="B1008" s="44"/>
      <c r="C1008" s="165"/>
      <c r="D1008" s="44"/>
      <c r="E1008" s="44"/>
      <c r="F1008" s="44"/>
      <c r="G1008" s="44"/>
      <c r="H1008" s="44"/>
      <c r="I1008" s="44"/>
      <c r="J1008" s="44"/>
      <c r="K1008" s="230"/>
      <c r="L1008" s="44"/>
      <c r="M1008" s="230"/>
      <c r="N1008" s="230"/>
      <c r="O1008" s="44"/>
      <c r="P1008" s="44"/>
      <c r="Q1008" s="45"/>
      <c r="R1008" s="147"/>
      <c r="S1008" s="147"/>
      <c r="T1008" s="147"/>
      <c r="U1008" s="148"/>
      <c r="V1008" s="149"/>
      <c r="W1008" s="150"/>
      <c r="X1008" s="151"/>
      <c r="Y1008" s="44"/>
      <c r="Z1008" s="44"/>
      <c r="AA1008" s="152"/>
      <c r="AB1008" s="152"/>
      <c r="AC1008" s="152"/>
      <c r="AD1008" s="152"/>
      <c r="AE1008" s="152"/>
      <c r="AF1008" s="152"/>
      <c r="AG1008" s="152"/>
      <c r="AH1008" s="165"/>
      <c r="AI1008" s="165"/>
      <c r="AJ1008" s="165"/>
      <c r="AK1008" s="165"/>
      <c r="AL1008" s="165"/>
      <c r="AM1008" s="165"/>
      <c r="AN1008" s="165"/>
    </row>
    <row r="1009" spans="1:40">
      <c r="A1009" s="44"/>
      <c r="B1009" s="44"/>
      <c r="C1009" s="165"/>
      <c r="D1009" s="44"/>
      <c r="E1009" s="44"/>
      <c r="F1009" s="44"/>
      <c r="G1009" s="44"/>
      <c r="H1009" s="44"/>
      <c r="I1009" s="44"/>
      <c r="J1009" s="44"/>
      <c r="K1009" s="230"/>
      <c r="L1009" s="44"/>
      <c r="M1009" s="230"/>
      <c r="N1009" s="230"/>
      <c r="O1009" s="44"/>
      <c r="P1009" s="44"/>
      <c r="Q1009" s="45"/>
      <c r="R1009" s="147"/>
      <c r="S1009" s="147"/>
      <c r="T1009" s="147"/>
      <c r="U1009" s="148"/>
      <c r="V1009" s="149"/>
      <c r="W1009" s="150"/>
      <c r="X1009" s="151"/>
      <c r="Y1009" s="44"/>
      <c r="Z1009" s="44"/>
      <c r="AA1009" s="152"/>
      <c r="AB1009" s="152"/>
      <c r="AC1009" s="152"/>
      <c r="AD1009" s="152"/>
      <c r="AE1009" s="152"/>
      <c r="AF1009" s="152"/>
      <c r="AG1009" s="152"/>
      <c r="AH1009" s="165"/>
      <c r="AI1009" s="165"/>
      <c r="AJ1009" s="165"/>
      <c r="AK1009" s="165"/>
      <c r="AL1009" s="165"/>
      <c r="AM1009" s="165"/>
      <c r="AN1009" s="165"/>
    </row>
    <row r="1010" spans="1:40">
      <c r="A1010" s="44"/>
      <c r="B1010" s="44"/>
      <c r="C1010" s="165"/>
      <c r="D1010" s="44"/>
      <c r="E1010" s="44"/>
      <c r="F1010" s="44"/>
      <c r="G1010" s="44"/>
      <c r="H1010" s="44"/>
      <c r="I1010" s="44"/>
      <c r="J1010" s="44"/>
      <c r="K1010" s="230"/>
      <c r="L1010" s="44"/>
      <c r="M1010" s="230"/>
      <c r="N1010" s="230"/>
      <c r="O1010" s="44"/>
      <c r="P1010" s="44"/>
      <c r="Q1010" s="45"/>
      <c r="R1010" s="147"/>
      <c r="S1010" s="147"/>
      <c r="T1010" s="147"/>
      <c r="U1010" s="148"/>
      <c r="V1010" s="149"/>
      <c r="W1010" s="150"/>
      <c r="X1010" s="151"/>
      <c r="Y1010" s="44"/>
      <c r="Z1010" s="44"/>
      <c r="AA1010" s="152"/>
      <c r="AB1010" s="152"/>
      <c r="AC1010" s="152"/>
      <c r="AD1010" s="152"/>
      <c r="AE1010" s="152"/>
      <c r="AF1010" s="152"/>
      <c r="AG1010" s="152"/>
      <c r="AH1010" s="165"/>
      <c r="AI1010" s="165"/>
      <c r="AJ1010" s="165"/>
      <c r="AK1010" s="165"/>
      <c r="AL1010" s="165"/>
      <c r="AM1010" s="165"/>
      <c r="AN1010" s="165"/>
    </row>
    <row r="1011" spans="1:40">
      <c r="A1011" s="44"/>
      <c r="B1011" s="44"/>
      <c r="C1011" s="165"/>
      <c r="D1011" s="44"/>
      <c r="E1011" s="44"/>
      <c r="F1011" s="44"/>
      <c r="G1011" s="44"/>
      <c r="H1011" s="44"/>
      <c r="I1011" s="44"/>
      <c r="J1011" s="44"/>
      <c r="K1011" s="230"/>
      <c r="L1011" s="44"/>
      <c r="M1011" s="230"/>
      <c r="N1011" s="230"/>
      <c r="O1011" s="44"/>
      <c r="P1011" s="44"/>
      <c r="Q1011" s="45"/>
      <c r="R1011" s="147"/>
      <c r="S1011" s="147"/>
      <c r="T1011" s="147"/>
      <c r="U1011" s="148"/>
      <c r="V1011" s="149"/>
      <c r="W1011" s="150"/>
      <c r="X1011" s="151"/>
      <c r="Y1011" s="44"/>
      <c r="Z1011" s="44"/>
      <c r="AA1011" s="152"/>
      <c r="AB1011" s="152"/>
      <c r="AC1011" s="152"/>
      <c r="AD1011" s="152"/>
      <c r="AE1011" s="152"/>
      <c r="AF1011" s="152"/>
      <c r="AG1011" s="152"/>
      <c r="AH1011" s="165"/>
      <c r="AI1011" s="165"/>
      <c r="AJ1011" s="165"/>
      <c r="AK1011" s="165"/>
      <c r="AL1011" s="165"/>
      <c r="AM1011" s="165"/>
      <c r="AN1011" s="165"/>
    </row>
    <row r="1012" spans="1:40">
      <c r="A1012" s="44"/>
      <c r="B1012" s="44"/>
      <c r="C1012" s="165"/>
      <c r="D1012" s="44"/>
      <c r="E1012" s="44"/>
      <c r="F1012" s="44"/>
      <c r="G1012" s="44"/>
      <c r="H1012" s="44"/>
      <c r="I1012" s="44"/>
      <c r="J1012" s="44"/>
      <c r="K1012" s="230"/>
      <c r="L1012" s="44"/>
      <c r="M1012" s="230"/>
      <c r="N1012" s="230"/>
      <c r="O1012" s="44"/>
      <c r="P1012" s="44"/>
      <c r="Q1012" s="45"/>
      <c r="R1012" s="147"/>
      <c r="S1012" s="147"/>
      <c r="T1012" s="147"/>
      <c r="U1012" s="148"/>
      <c r="V1012" s="149"/>
      <c r="W1012" s="150"/>
      <c r="X1012" s="151"/>
      <c r="Y1012" s="44"/>
      <c r="Z1012" s="44"/>
      <c r="AA1012" s="152"/>
      <c r="AB1012" s="152"/>
      <c r="AC1012" s="152"/>
      <c r="AD1012" s="152"/>
      <c r="AE1012" s="152"/>
      <c r="AF1012" s="152"/>
      <c r="AG1012" s="152"/>
      <c r="AH1012" s="165"/>
      <c r="AI1012" s="165"/>
      <c r="AJ1012" s="165"/>
      <c r="AK1012" s="165"/>
      <c r="AL1012" s="165"/>
      <c r="AM1012" s="165"/>
      <c r="AN1012" s="165"/>
    </row>
    <row r="1013" spans="1:40">
      <c r="A1013" s="44"/>
      <c r="B1013" s="44"/>
      <c r="C1013" s="165"/>
      <c r="D1013" s="44"/>
      <c r="E1013" s="44"/>
      <c r="F1013" s="44"/>
      <c r="G1013" s="44"/>
      <c r="H1013" s="44"/>
      <c r="I1013" s="44"/>
      <c r="J1013" s="44"/>
      <c r="K1013" s="230"/>
      <c r="L1013" s="44"/>
      <c r="M1013" s="230"/>
      <c r="N1013" s="230"/>
      <c r="O1013" s="44"/>
      <c r="P1013" s="44"/>
      <c r="Q1013" s="45"/>
      <c r="R1013" s="147"/>
      <c r="S1013" s="147"/>
      <c r="T1013" s="147"/>
      <c r="U1013" s="148"/>
      <c r="V1013" s="149"/>
      <c r="W1013" s="150"/>
      <c r="X1013" s="151"/>
      <c r="Y1013" s="44"/>
      <c r="Z1013" s="44"/>
      <c r="AA1013" s="152"/>
      <c r="AB1013" s="152"/>
      <c r="AC1013" s="152"/>
      <c r="AD1013" s="152"/>
      <c r="AE1013" s="152"/>
      <c r="AF1013" s="152"/>
      <c r="AG1013" s="152"/>
      <c r="AH1013" s="165"/>
      <c r="AI1013" s="165"/>
      <c r="AJ1013" s="165"/>
      <c r="AK1013" s="165"/>
      <c r="AL1013" s="165"/>
      <c r="AM1013" s="165"/>
      <c r="AN1013" s="165"/>
    </row>
    <row r="1014" spans="1:40">
      <c r="A1014" s="44"/>
      <c r="B1014" s="44"/>
      <c r="C1014" s="165"/>
      <c r="D1014" s="44"/>
      <c r="E1014" s="44"/>
      <c r="F1014" s="44"/>
      <c r="G1014" s="44"/>
      <c r="H1014" s="44"/>
      <c r="I1014" s="44"/>
      <c r="J1014" s="44"/>
      <c r="K1014" s="230"/>
      <c r="L1014" s="44"/>
      <c r="M1014" s="230"/>
      <c r="N1014" s="230"/>
      <c r="O1014" s="44"/>
      <c r="P1014" s="44"/>
      <c r="Q1014" s="45"/>
      <c r="R1014" s="147"/>
      <c r="S1014" s="147"/>
      <c r="T1014" s="147"/>
      <c r="U1014" s="148"/>
      <c r="V1014" s="149"/>
      <c r="W1014" s="150"/>
      <c r="X1014" s="151"/>
      <c r="Y1014" s="44"/>
      <c r="Z1014" s="44"/>
      <c r="AA1014" s="152"/>
      <c r="AB1014" s="152"/>
      <c r="AC1014" s="152"/>
      <c r="AD1014" s="152"/>
      <c r="AE1014" s="152"/>
      <c r="AF1014" s="152"/>
      <c r="AG1014" s="152"/>
      <c r="AH1014" s="165"/>
      <c r="AI1014" s="165"/>
      <c r="AJ1014" s="165"/>
      <c r="AK1014" s="165"/>
      <c r="AL1014" s="165"/>
      <c r="AM1014" s="165"/>
      <c r="AN1014" s="165"/>
    </row>
    <row r="1015" spans="1:40">
      <c r="A1015" s="44"/>
      <c r="B1015" s="44"/>
      <c r="C1015" s="165"/>
      <c r="D1015" s="44"/>
      <c r="E1015" s="44"/>
      <c r="F1015" s="44"/>
      <c r="G1015" s="44"/>
      <c r="H1015" s="44"/>
      <c r="I1015" s="44"/>
      <c r="J1015" s="44"/>
      <c r="K1015" s="230"/>
      <c r="L1015" s="44"/>
      <c r="M1015" s="230"/>
      <c r="N1015" s="230"/>
      <c r="O1015" s="44"/>
      <c r="P1015" s="44"/>
      <c r="Q1015" s="45"/>
      <c r="R1015" s="147"/>
      <c r="S1015" s="147"/>
      <c r="T1015" s="147"/>
      <c r="U1015" s="148"/>
      <c r="V1015" s="149"/>
      <c r="W1015" s="150"/>
      <c r="X1015" s="151"/>
      <c r="Y1015" s="44"/>
      <c r="Z1015" s="44"/>
      <c r="AA1015" s="152"/>
      <c r="AB1015" s="152"/>
      <c r="AC1015" s="152"/>
      <c r="AD1015" s="152"/>
      <c r="AE1015" s="152"/>
      <c r="AF1015" s="152"/>
      <c r="AG1015" s="152"/>
      <c r="AH1015" s="165"/>
      <c r="AI1015" s="165"/>
      <c r="AJ1015" s="165"/>
      <c r="AK1015" s="165"/>
      <c r="AL1015" s="165"/>
      <c r="AM1015" s="165"/>
      <c r="AN1015" s="165"/>
    </row>
    <row r="1016" spans="1:40">
      <c r="A1016" s="44"/>
      <c r="B1016" s="44"/>
      <c r="C1016" s="165"/>
      <c r="D1016" s="44"/>
      <c r="E1016" s="44"/>
      <c r="F1016" s="44"/>
      <c r="G1016" s="44"/>
      <c r="H1016" s="44"/>
      <c r="I1016" s="44"/>
      <c r="J1016" s="44"/>
      <c r="K1016" s="230"/>
      <c r="L1016" s="44"/>
      <c r="M1016" s="230"/>
      <c r="N1016" s="230"/>
      <c r="O1016" s="44"/>
      <c r="P1016" s="44"/>
      <c r="Q1016" s="45"/>
      <c r="R1016" s="147"/>
      <c r="S1016" s="147"/>
      <c r="T1016" s="147"/>
      <c r="U1016" s="148"/>
      <c r="V1016" s="149"/>
      <c r="W1016" s="150"/>
      <c r="X1016" s="151"/>
      <c r="Y1016" s="44"/>
      <c r="Z1016" s="44"/>
      <c r="AA1016" s="152"/>
      <c r="AB1016" s="152"/>
      <c r="AC1016" s="152"/>
      <c r="AD1016" s="152"/>
      <c r="AE1016" s="152"/>
      <c r="AF1016" s="152"/>
      <c r="AG1016" s="152"/>
      <c r="AH1016" s="165"/>
      <c r="AI1016" s="165"/>
      <c r="AJ1016" s="165"/>
      <c r="AK1016" s="165"/>
      <c r="AL1016" s="165"/>
      <c r="AM1016" s="165"/>
      <c r="AN1016" s="165"/>
    </row>
    <row r="1017" spans="1:40">
      <c r="A1017" s="44"/>
      <c r="B1017" s="44"/>
      <c r="C1017" s="165"/>
      <c r="D1017" s="44"/>
      <c r="E1017" s="44"/>
      <c r="F1017" s="44"/>
      <c r="G1017" s="44"/>
      <c r="H1017" s="44"/>
      <c r="I1017" s="44"/>
      <c r="J1017" s="44"/>
      <c r="K1017" s="230"/>
      <c r="L1017" s="44"/>
      <c r="M1017" s="230"/>
      <c r="N1017" s="230"/>
      <c r="O1017" s="44"/>
      <c r="P1017" s="44"/>
      <c r="Q1017" s="45"/>
      <c r="R1017" s="147"/>
      <c r="S1017" s="147"/>
      <c r="T1017" s="147"/>
      <c r="U1017" s="148"/>
      <c r="V1017" s="149"/>
      <c r="W1017" s="150"/>
      <c r="X1017" s="151"/>
      <c r="Y1017" s="44"/>
      <c r="Z1017" s="44"/>
      <c r="AA1017" s="152"/>
      <c r="AB1017" s="152"/>
      <c r="AC1017" s="152"/>
      <c r="AD1017" s="152"/>
      <c r="AE1017" s="152"/>
      <c r="AF1017" s="152"/>
      <c r="AG1017" s="152"/>
      <c r="AH1017" s="165"/>
      <c r="AI1017" s="165"/>
      <c r="AJ1017" s="165"/>
      <c r="AK1017" s="165"/>
      <c r="AL1017" s="165"/>
      <c r="AM1017" s="165"/>
      <c r="AN1017" s="165"/>
    </row>
    <row r="1018" spans="1:40">
      <c r="A1018" s="44"/>
      <c r="B1018" s="44"/>
      <c r="C1018" s="165"/>
      <c r="D1018" s="44"/>
      <c r="E1018" s="44"/>
      <c r="F1018" s="44"/>
      <c r="G1018" s="44"/>
      <c r="H1018" s="44"/>
      <c r="I1018" s="44"/>
      <c r="J1018" s="44"/>
      <c r="K1018" s="230"/>
      <c r="L1018" s="44"/>
      <c r="M1018" s="230"/>
      <c r="N1018" s="230"/>
      <c r="O1018" s="44"/>
      <c r="P1018" s="44"/>
      <c r="Q1018" s="45"/>
      <c r="R1018" s="147"/>
      <c r="S1018" s="147"/>
      <c r="T1018" s="147"/>
      <c r="U1018" s="148"/>
      <c r="V1018" s="149"/>
      <c r="W1018" s="150"/>
      <c r="X1018" s="151"/>
      <c r="Y1018" s="44"/>
      <c r="Z1018" s="44"/>
      <c r="AA1018" s="152"/>
      <c r="AB1018" s="152"/>
      <c r="AC1018" s="152"/>
      <c r="AD1018" s="152"/>
      <c r="AE1018" s="152"/>
      <c r="AF1018" s="152"/>
      <c r="AG1018" s="152"/>
      <c r="AH1018" s="165"/>
      <c r="AI1018" s="165"/>
      <c r="AJ1018" s="165"/>
      <c r="AK1018" s="165"/>
      <c r="AL1018" s="165"/>
      <c r="AM1018" s="165"/>
      <c r="AN1018" s="165"/>
    </row>
    <row r="1019" spans="1:40">
      <c r="A1019" s="44"/>
      <c r="B1019" s="44"/>
      <c r="C1019" s="165"/>
      <c r="D1019" s="44"/>
      <c r="E1019" s="44"/>
      <c r="F1019" s="44"/>
      <c r="G1019" s="44"/>
      <c r="H1019" s="44"/>
      <c r="I1019" s="44"/>
      <c r="J1019" s="44"/>
      <c r="K1019" s="230"/>
      <c r="L1019" s="44"/>
      <c r="M1019" s="230"/>
      <c r="N1019" s="230"/>
      <c r="O1019" s="44"/>
      <c r="P1019" s="44"/>
      <c r="Q1019" s="45"/>
      <c r="R1019" s="147"/>
      <c r="S1019" s="147"/>
      <c r="T1019" s="147"/>
      <c r="U1019" s="148"/>
      <c r="V1019" s="149"/>
      <c r="W1019" s="150"/>
      <c r="X1019" s="151"/>
      <c r="Y1019" s="44"/>
      <c r="Z1019" s="44"/>
      <c r="AA1019" s="152"/>
      <c r="AB1019" s="152"/>
      <c r="AC1019" s="152"/>
      <c r="AD1019" s="152"/>
      <c r="AE1019" s="152"/>
      <c r="AF1019" s="152"/>
      <c r="AG1019" s="152"/>
      <c r="AH1019" s="165"/>
      <c r="AI1019" s="165"/>
      <c r="AJ1019" s="165"/>
      <c r="AK1019" s="165"/>
      <c r="AL1019" s="165"/>
      <c r="AM1019" s="165"/>
      <c r="AN1019" s="165"/>
    </row>
    <row r="1020" spans="1:40">
      <c r="A1020" s="44"/>
      <c r="B1020" s="44"/>
      <c r="C1020" s="165"/>
      <c r="D1020" s="44"/>
      <c r="E1020" s="44"/>
      <c r="F1020" s="44"/>
      <c r="G1020" s="44"/>
      <c r="H1020" s="44"/>
      <c r="I1020" s="44"/>
      <c r="J1020" s="44"/>
      <c r="K1020" s="230"/>
      <c r="L1020" s="44"/>
      <c r="M1020" s="230"/>
      <c r="N1020" s="230"/>
      <c r="O1020" s="44"/>
      <c r="P1020" s="44"/>
      <c r="Q1020" s="45"/>
      <c r="R1020" s="147"/>
      <c r="S1020" s="147"/>
      <c r="T1020" s="147"/>
      <c r="U1020" s="148"/>
      <c r="V1020" s="149"/>
      <c r="W1020" s="150"/>
      <c r="X1020" s="151"/>
      <c r="Y1020" s="44"/>
      <c r="Z1020" s="44"/>
      <c r="AA1020" s="152"/>
      <c r="AB1020" s="152"/>
      <c r="AC1020" s="152"/>
      <c r="AD1020" s="152"/>
      <c r="AE1020" s="152"/>
      <c r="AF1020" s="152"/>
      <c r="AG1020" s="152"/>
      <c r="AH1020" s="165"/>
      <c r="AI1020" s="165"/>
      <c r="AJ1020" s="165"/>
      <c r="AK1020" s="165"/>
      <c r="AL1020" s="165"/>
      <c r="AM1020" s="165"/>
      <c r="AN1020" s="165"/>
    </row>
    <row r="1021" spans="1:40">
      <c r="A1021" s="44"/>
      <c r="B1021" s="44"/>
      <c r="C1021" s="165"/>
      <c r="D1021" s="44"/>
      <c r="E1021" s="44"/>
      <c r="F1021" s="44"/>
      <c r="G1021" s="44"/>
      <c r="H1021" s="44"/>
      <c r="I1021" s="44"/>
      <c r="J1021" s="44"/>
      <c r="K1021" s="230"/>
      <c r="L1021" s="44"/>
      <c r="M1021" s="230"/>
      <c r="N1021" s="230"/>
      <c r="O1021" s="44"/>
      <c r="P1021" s="44"/>
      <c r="Q1021" s="45"/>
      <c r="R1021" s="147"/>
      <c r="S1021" s="147"/>
      <c r="T1021" s="147"/>
      <c r="U1021" s="148"/>
      <c r="V1021" s="149"/>
      <c r="W1021" s="150"/>
      <c r="X1021" s="151"/>
      <c r="Y1021" s="44"/>
      <c r="Z1021" s="44"/>
      <c r="AA1021" s="152"/>
      <c r="AB1021" s="152"/>
      <c r="AC1021" s="152"/>
      <c r="AD1021" s="152"/>
      <c r="AE1021" s="152"/>
      <c r="AF1021" s="152"/>
      <c r="AG1021" s="152"/>
      <c r="AH1021" s="165"/>
      <c r="AI1021" s="165"/>
      <c r="AJ1021" s="165"/>
      <c r="AK1021" s="165"/>
      <c r="AL1021" s="165"/>
      <c r="AM1021" s="165"/>
      <c r="AN1021" s="165"/>
    </row>
    <row r="1022" spans="1:40">
      <c r="A1022" s="44"/>
      <c r="B1022" s="44"/>
      <c r="C1022" s="165"/>
      <c r="D1022" s="44"/>
      <c r="E1022" s="44"/>
      <c r="F1022" s="44"/>
      <c r="G1022" s="44"/>
      <c r="H1022" s="44"/>
      <c r="I1022" s="44"/>
      <c r="J1022" s="44"/>
      <c r="K1022" s="230"/>
      <c r="L1022" s="44"/>
      <c r="M1022" s="230"/>
      <c r="N1022" s="230"/>
      <c r="O1022" s="44"/>
      <c r="P1022" s="44"/>
      <c r="Q1022" s="45"/>
      <c r="R1022" s="147"/>
      <c r="S1022" s="147"/>
      <c r="T1022" s="147"/>
      <c r="U1022" s="148"/>
      <c r="V1022" s="149"/>
      <c r="W1022" s="150"/>
      <c r="X1022" s="151"/>
      <c r="Y1022" s="44"/>
      <c r="Z1022" s="44"/>
      <c r="AA1022" s="152"/>
      <c r="AB1022" s="152"/>
      <c r="AC1022" s="152"/>
      <c r="AD1022" s="152"/>
      <c r="AE1022" s="152"/>
      <c r="AF1022" s="152"/>
      <c r="AG1022" s="152"/>
      <c r="AH1022" s="165"/>
      <c r="AI1022" s="165"/>
      <c r="AJ1022" s="165"/>
      <c r="AK1022" s="165"/>
      <c r="AL1022" s="165"/>
      <c r="AM1022" s="165"/>
      <c r="AN1022" s="165"/>
    </row>
    <row r="1023" spans="1:40">
      <c r="A1023" s="44"/>
      <c r="B1023" s="44"/>
      <c r="C1023" s="165"/>
      <c r="D1023" s="44"/>
      <c r="E1023" s="44"/>
      <c r="F1023" s="44"/>
      <c r="G1023" s="44"/>
      <c r="H1023" s="44"/>
      <c r="I1023" s="44"/>
      <c r="J1023" s="44"/>
      <c r="K1023" s="230"/>
      <c r="L1023" s="44"/>
      <c r="M1023" s="230"/>
      <c r="N1023" s="230"/>
      <c r="O1023" s="44"/>
      <c r="P1023" s="44"/>
      <c r="Q1023" s="45"/>
      <c r="R1023" s="147"/>
      <c r="S1023" s="147"/>
      <c r="T1023" s="147"/>
      <c r="U1023" s="148"/>
      <c r="V1023" s="149"/>
      <c r="W1023" s="150"/>
      <c r="X1023" s="151"/>
      <c r="Y1023" s="44"/>
      <c r="Z1023" s="44"/>
      <c r="AA1023" s="152"/>
      <c r="AB1023" s="152"/>
      <c r="AC1023" s="152"/>
      <c r="AD1023" s="152"/>
      <c r="AE1023" s="152"/>
      <c r="AF1023" s="152"/>
      <c r="AG1023" s="152"/>
      <c r="AH1023" s="165"/>
      <c r="AI1023" s="165"/>
      <c r="AJ1023" s="165"/>
      <c r="AK1023" s="165"/>
      <c r="AL1023" s="165"/>
      <c r="AM1023" s="165"/>
      <c r="AN1023" s="165"/>
    </row>
    <row r="1024" spans="1:40">
      <c r="A1024" s="44"/>
      <c r="B1024" s="44"/>
      <c r="C1024" s="165"/>
      <c r="D1024" s="44"/>
      <c r="E1024" s="44"/>
      <c r="F1024" s="44"/>
      <c r="G1024" s="44"/>
      <c r="H1024" s="44"/>
      <c r="I1024" s="44"/>
      <c r="J1024" s="44"/>
      <c r="K1024" s="230"/>
      <c r="L1024" s="44"/>
      <c r="M1024" s="230"/>
      <c r="N1024" s="230"/>
      <c r="O1024" s="44"/>
      <c r="P1024" s="44"/>
      <c r="Q1024" s="45"/>
      <c r="R1024" s="147"/>
      <c r="S1024" s="147"/>
      <c r="T1024" s="147"/>
      <c r="U1024" s="148"/>
      <c r="V1024" s="149"/>
      <c r="W1024" s="150"/>
      <c r="X1024" s="151"/>
      <c r="Y1024" s="44"/>
      <c r="Z1024" s="44"/>
      <c r="AA1024" s="152"/>
      <c r="AB1024" s="152"/>
      <c r="AC1024" s="152"/>
      <c r="AD1024" s="152"/>
      <c r="AE1024" s="152"/>
      <c r="AF1024" s="152"/>
      <c r="AG1024" s="152"/>
      <c r="AH1024" s="165"/>
      <c r="AI1024" s="165"/>
      <c r="AJ1024" s="165"/>
      <c r="AK1024" s="165"/>
      <c r="AL1024" s="165"/>
      <c r="AM1024" s="165"/>
      <c r="AN1024" s="165"/>
    </row>
    <row r="1025" spans="1:40">
      <c r="A1025" s="44"/>
      <c r="B1025" s="44"/>
      <c r="C1025" s="165"/>
      <c r="D1025" s="44"/>
      <c r="E1025" s="44"/>
      <c r="F1025" s="44"/>
      <c r="G1025" s="44"/>
      <c r="H1025" s="44"/>
      <c r="I1025" s="44"/>
      <c r="J1025" s="44"/>
      <c r="K1025" s="230"/>
      <c r="L1025" s="44"/>
      <c r="M1025" s="230"/>
      <c r="N1025" s="230"/>
      <c r="O1025" s="44"/>
      <c r="P1025" s="44"/>
      <c r="Q1025" s="45"/>
      <c r="R1025" s="147"/>
      <c r="S1025" s="147"/>
      <c r="T1025" s="147"/>
      <c r="U1025" s="148"/>
      <c r="V1025" s="149"/>
      <c r="W1025" s="150"/>
      <c r="X1025" s="151"/>
      <c r="Y1025" s="44"/>
      <c r="Z1025" s="44"/>
      <c r="AA1025" s="152"/>
      <c r="AB1025" s="152"/>
      <c r="AC1025" s="152"/>
      <c r="AD1025" s="152"/>
      <c r="AE1025" s="152"/>
      <c r="AF1025" s="152"/>
      <c r="AG1025" s="152"/>
      <c r="AH1025" s="165"/>
      <c r="AI1025" s="165"/>
      <c r="AJ1025" s="165"/>
      <c r="AK1025" s="165"/>
      <c r="AL1025" s="165"/>
      <c r="AM1025" s="165"/>
      <c r="AN1025" s="165"/>
    </row>
    <row r="1026" spans="1:40">
      <c r="A1026" s="44"/>
      <c r="B1026" s="44"/>
      <c r="C1026" s="165"/>
      <c r="D1026" s="44"/>
      <c r="E1026" s="44"/>
      <c r="F1026" s="44"/>
      <c r="G1026" s="44"/>
      <c r="H1026" s="44"/>
      <c r="I1026" s="44"/>
      <c r="J1026" s="44"/>
      <c r="K1026" s="230"/>
      <c r="L1026" s="44"/>
      <c r="M1026" s="230"/>
      <c r="N1026" s="230"/>
      <c r="O1026" s="44"/>
      <c r="P1026" s="44"/>
      <c r="Q1026" s="45"/>
      <c r="R1026" s="147"/>
      <c r="S1026" s="147"/>
      <c r="T1026" s="147"/>
      <c r="U1026" s="148"/>
      <c r="V1026" s="149"/>
      <c r="W1026" s="150"/>
      <c r="X1026" s="151"/>
      <c r="Y1026" s="44"/>
      <c r="Z1026" s="44"/>
      <c r="AA1026" s="152"/>
      <c r="AB1026" s="152"/>
      <c r="AC1026" s="152"/>
      <c r="AD1026" s="152"/>
      <c r="AE1026" s="152"/>
      <c r="AF1026" s="152"/>
      <c r="AG1026" s="152"/>
      <c r="AH1026" s="165"/>
      <c r="AI1026" s="165"/>
      <c r="AJ1026" s="165"/>
      <c r="AK1026" s="165"/>
      <c r="AL1026" s="165"/>
      <c r="AM1026" s="165"/>
      <c r="AN1026" s="165"/>
    </row>
    <row r="1027" spans="1:40">
      <c r="A1027" s="44"/>
      <c r="B1027" s="44"/>
      <c r="C1027" s="165"/>
      <c r="D1027" s="44"/>
      <c r="E1027" s="44"/>
      <c r="F1027" s="44"/>
      <c r="G1027" s="44"/>
      <c r="H1027" s="44"/>
      <c r="I1027" s="44"/>
      <c r="J1027" s="44"/>
      <c r="K1027" s="230"/>
      <c r="L1027" s="44"/>
      <c r="M1027" s="230"/>
      <c r="N1027" s="230"/>
      <c r="O1027" s="44"/>
      <c r="P1027" s="44"/>
      <c r="Q1027" s="45"/>
      <c r="R1027" s="147"/>
      <c r="S1027" s="147"/>
      <c r="T1027" s="147"/>
      <c r="U1027" s="148"/>
      <c r="V1027" s="149"/>
      <c r="W1027" s="150"/>
      <c r="X1027" s="151"/>
      <c r="Y1027" s="44"/>
      <c r="Z1027" s="44"/>
      <c r="AA1027" s="152"/>
      <c r="AB1027" s="152"/>
      <c r="AC1027" s="152"/>
      <c r="AD1027" s="152"/>
      <c r="AE1027" s="152"/>
      <c r="AF1027" s="152"/>
      <c r="AG1027" s="152"/>
      <c r="AH1027" s="165"/>
      <c r="AI1027" s="165"/>
      <c r="AJ1027" s="165"/>
      <c r="AK1027" s="165"/>
      <c r="AL1027" s="165"/>
      <c r="AM1027" s="165"/>
      <c r="AN1027" s="165"/>
    </row>
    <row r="1028" spans="1:40">
      <c r="A1028" s="44"/>
      <c r="B1028" s="44"/>
      <c r="C1028" s="165"/>
      <c r="D1028" s="44"/>
      <c r="E1028" s="44"/>
      <c r="F1028" s="44"/>
      <c r="G1028" s="44"/>
      <c r="H1028" s="44"/>
      <c r="I1028" s="44"/>
      <c r="J1028" s="44"/>
      <c r="K1028" s="230"/>
      <c r="L1028" s="44"/>
      <c r="M1028" s="230"/>
      <c r="N1028" s="230"/>
      <c r="O1028" s="44"/>
      <c r="P1028" s="44"/>
      <c r="Q1028" s="45"/>
      <c r="R1028" s="147"/>
      <c r="S1028" s="147"/>
      <c r="T1028" s="147"/>
      <c r="U1028" s="148"/>
      <c r="V1028" s="149"/>
      <c r="W1028" s="150"/>
      <c r="X1028" s="151"/>
      <c r="Y1028" s="44"/>
      <c r="Z1028" s="44"/>
      <c r="AA1028" s="152"/>
      <c r="AB1028" s="152"/>
      <c r="AC1028" s="152"/>
      <c r="AD1028" s="152"/>
      <c r="AE1028" s="152"/>
      <c r="AF1028" s="152"/>
      <c r="AG1028" s="152"/>
      <c r="AH1028" s="165"/>
      <c r="AI1028" s="165"/>
      <c r="AJ1028" s="165"/>
      <c r="AK1028" s="165"/>
      <c r="AL1028" s="165"/>
      <c r="AM1028" s="165"/>
      <c r="AN1028" s="165"/>
    </row>
    <row r="1029" spans="1:40">
      <c r="A1029" s="44"/>
      <c r="B1029" s="44"/>
      <c r="C1029" s="165"/>
      <c r="D1029" s="44"/>
      <c r="E1029" s="44"/>
      <c r="F1029" s="44"/>
      <c r="G1029" s="44"/>
      <c r="H1029" s="44"/>
      <c r="I1029" s="44"/>
      <c r="J1029" s="44"/>
      <c r="K1029" s="230"/>
      <c r="L1029" s="44"/>
      <c r="M1029" s="230"/>
      <c r="N1029" s="230"/>
      <c r="O1029" s="44"/>
      <c r="P1029" s="44"/>
      <c r="Q1029" s="45"/>
      <c r="R1029" s="147"/>
      <c r="S1029" s="147"/>
      <c r="T1029" s="147"/>
      <c r="U1029" s="148"/>
      <c r="V1029" s="149"/>
      <c r="W1029" s="150"/>
      <c r="X1029" s="151"/>
      <c r="Y1029" s="44"/>
      <c r="Z1029" s="44"/>
      <c r="AA1029" s="152"/>
      <c r="AB1029" s="152"/>
      <c r="AC1029" s="152"/>
      <c r="AD1029" s="152"/>
      <c r="AE1029" s="152"/>
      <c r="AF1029" s="152"/>
      <c r="AG1029" s="152"/>
      <c r="AH1029" s="165"/>
      <c r="AI1029" s="165"/>
      <c r="AJ1029" s="165"/>
      <c r="AK1029" s="165"/>
      <c r="AL1029" s="165"/>
      <c r="AM1029" s="165"/>
      <c r="AN1029" s="165"/>
    </row>
    <row r="1030" spans="1:40">
      <c r="A1030" s="44"/>
      <c r="B1030" s="44"/>
      <c r="C1030" s="165"/>
      <c r="D1030" s="44"/>
      <c r="E1030" s="44"/>
      <c r="F1030" s="44"/>
      <c r="G1030" s="44"/>
      <c r="H1030" s="44"/>
      <c r="I1030" s="44"/>
      <c r="J1030" s="44"/>
      <c r="K1030" s="230"/>
      <c r="L1030" s="44"/>
      <c r="M1030" s="230"/>
      <c r="N1030" s="230"/>
      <c r="O1030" s="44"/>
      <c r="P1030" s="44"/>
      <c r="Q1030" s="45"/>
      <c r="R1030" s="147"/>
      <c r="S1030" s="147"/>
      <c r="T1030" s="147"/>
      <c r="U1030" s="148"/>
      <c r="V1030" s="149"/>
      <c r="W1030" s="150"/>
      <c r="X1030" s="151"/>
      <c r="Y1030" s="44"/>
      <c r="Z1030" s="44"/>
      <c r="AA1030" s="152"/>
      <c r="AB1030" s="152"/>
      <c r="AC1030" s="152"/>
      <c r="AD1030" s="152"/>
      <c r="AE1030" s="152"/>
      <c r="AF1030" s="152"/>
      <c r="AG1030" s="152"/>
      <c r="AH1030" s="165"/>
      <c r="AI1030" s="165"/>
      <c r="AJ1030" s="165"/>
      <c r="AK1030" s="165"/>
      <c r="AL1030" s="165"/>
      <c r="AM1030" s="165"/>
      <c r="AN1030" s="165"/>
    </row>
    <row r="1031" spans="1:40">
      <c r="A1031" s="44"/>
      <c r="B1031" s="44"/>
      <c r="C1031" s="165"/>
      <c r="D1031" s="44"/>
      <c r="E1031" s="44"/>
      <c r="F1031" s="44"/>
      <c r="G1031" s="44"/>
      <c r="H1031" s="44"/>
      <c r="I1031" s="44"/>
      <c r="J1031" s="44"/>
      <c r="K1031" s="230"/>
      <c r="L1031" s="44"/>
      <c r="M1031" s="230"/>
      <c r="N1031" s="230"/>
      <c r="O1031" s="44"/>
      <c r="P1031" s="44"/>
      <c r="Q1031" s="45"/>
      <c r="R1031" s="147"/>
      <c r="S1031" s="147"/>
      <c r="T1031" s="147"/>
      <c r="U1031" s="148"/>
      <c r="V1031" s="149"/>
      <c r="W1031" s="150"/>
      <c r="X1031" s="151"/>
      <c r="Y1031" s="44"/>
      <c r="Z1031" s="44"/>
      <c r="AA1031" s="152"/>
      <c r="AB1031" s="152"/>
      <c r="AC1031" s="152"/>
      <c r="AD1031" s="152"/>
      <c r="AE1031" s="152"/>
      <c r="AF1031" s="152"/>
      <c r="AG1031" s="152"/>
      <c r="AH1031" s="165"/>
      <c r="AI1031" s="165"/>
      <c r="AJ1031" s="165"/>
      <c r="AK1031" s="165"/>
      <c r="AL1031" s="165"/>
      <c r="AM1031" s="165"/>
      <c r="AN1031" s="165"/>
    </row>
    <row r="1032" spans="1:40">
      <c r="A1032" s="44"/>
      <c r="B1032" s="44"/>
      <c r="C1032" s="165"/>
      <c r="D1032" s="44"/>
      <c r="E1032" s="44"/>
      <c r="F1032" s="44"/>
      <c r="G1032" s="44"/>
      <c r="H1032" s="44"/>
      <c r="I1032" s="44"/>
      <c r="J1032" s="44"/>
      <c r="K1032" s="230"/>
      <c r="L1032" s="44"/>
      <c r="M1032" s="230"/>
      <c r="N1032" s="230"/>
      <c r="O1032" s="44"/>
      <c r="P1032" s="44"/>
      <c r="Q1032" s="45"/>
      <c r="R1032" s="147"/>
      <c r="S1032" s="147"/>
      <c r="T1032" s="147"/>
      <c r="U1032" s="148"/>
      <c r="V1032" s="149"/>
      <c r="W1032" s="150"/>
      <c r="X1032" s="151"/>
      <c r="Y1032" s="44"/>
      <c r="Z1032" s="44"/>
      <c r="AA1032" s="152"/>
      <c r="AB1032" s="152"/>
      <c r="AC1032" s="152"/>
      <c r="AD1032" s="152"/>
      <c r="AE1032" s="152"/>
      <c r="AF1032" s="152"/>
      <c r="AG1032" s="152"/>
      <c r="AH1032" s="165"/>
      <c r="AI1032" s="165"/>
      <c r="AJ1032" s="165"/>
      <c r="AK1032" s="165"/>
      <c r="AL1032" s="165"/>
      <c r="AM1032" s="165"/>
      <c r="AN1032" s="165"/>
    </row>
    <row r="1033" spans="1:40">
      <c r="A1033" s="44"/>
      <c r="B1033" s="44"/>
      <c r="C1033" s="165"/>
      <c r="D1033" s="44"/>
      <c r="E1033" s="44"/>
      <c r="F1033" s="44"/>
      <c r="G1033" s="44"/>
      <c r="H1033" s="44"/>
      <c r="I1033" s="44"/>
      <c r="J1033" s="44"/>
      <c r="K1033" s="230"/>
      <c r="L1033" s="44"/>
      <c r="M1033" s="230"/>
      <c r="N1033" s="230"/>
      <c r="O1033" s="44"/>
      <c r="P1033" s="44"/>
      <c r="Q1033" s="45"/>
      <c r="R1033" s="147"/>
      <c r="S1033" s="147"/>
      <c r="T1033" s="147"/>
      <c r="U1033" s="148"/>
      <c r="V1033" s="149"/>
      <c r="W1033" s="150"/>
      <c r="X1033" s="151"/>
      <c r="Y1033" s="44"/>
      <c r="Z1033" s="44"/>
      <c r="AA1033" s="152"/>
      <c r="AB1033" s="152"/>
      <c r="AC1033" s="152"/>
      <c r="AD1033" s="152"/>
      <c r="AE1033" s="152"/>
      <c r="AF1033" s="152"/>
      <c r="AG1033" s="152"/>
      <c r="AH1033" s="165"/>
      <c r="AI1033" s="165"/>
      <c r="AJ1033" s="165"/>
      <c r="AK1033" s="165"/>
      <c r="AL1033" s="165"/>
      <c r="AM1033" s="165"/>
      <c r="AN1033" s="165"/>
    </row>
    <row r="1034" spans="1:40">
      <c r="A1034" s="44"/>
      <c r="B1034" s="44"/>
      <c r="C1034" s="165"/>
      <c r="D1034" s="44"/>
      <c r="E1034" s="44"/>
      <c r="F1034" s="44"/>
      <c r="G1034" s="44"/>
      <c r="H1034" s="44"/>
      <c r="I1034" s="44"/>
      <c r="J1034" s="44"/>
      <c r="K1034" s="230"/>
      <c r="L1034" s="44"/>
      <c r="M1034" s="230"/>
      <c r="N1034" s="230"/>
      <c r="O1034" s="44"/>
      <c r="P1034" s="44"/>
      <c r="Q1034" s="45"/>
      <c r="R1034" s="147"/>
      <c r="S1034" s="147"/>
      <c r="T1034" s="147"/>
      <c r="U1034" s="148"/>
      <c r="V1034" s="149"/>
      <c r="W1034" s="150"/>
      <c r="X1034" s="151"/>
      <c r="Y1034" s="44"/>
      <c r="Z1034" s="44"/>
      <c r="AA1034" s="152"/>
      <c r="AB1034" s="152"/>
      <c r="AC1034" s="152"/>
      <c r="AD1034" s="152"/>
      <c r="AE1034" s="152"/>
      <c r="AF1034" s="152"/>
      <c r="AG1034" s="152"/>
      <c r="AH1034" s="165"/>
      <c r="AI1034" s="165"/>
      <c r="AJ1034" s="165"/>
      <c r="AK1034" s="165"/>
      <c r="AL1034" s="165"/>
      <c r="AM1034" s="165"/>
      <c r="AN1034" s="165"/>
    </row>
    <row r="1035" spans="1:40">
      <c r="A1035" s="44"/>
      <c r="B1035" s="44"/>
      <c r="C1035" s="165"/>
      <c r="D1035" s="44"/>
      <c r="E1035" s="44"/>
      <c r="F1035" s="44"/>
      <c r="G1035" s="44"/>
      <c r="H1035" s="44"/>
      <c r="I1035" s="44"/>
      <c r="J1035" s="44"/>
      <c r="K1035" s="230"/>
      <c r="L1035" s="44"/>
      <c r="M1035" s="230"/>
      <c r="N1035" s="230"/>
      <c r="O1035" s="44"/>
      <c r="P1035" s="44"/>
      <c r="Q1035" s="45"/>
      <c r="R1035" s="147"/>
      <c r="S1035" s="147"/>
      <c r="T1035" s="147"/>
      <c r="U1035" s="148"/>
      <c r="V1035" s="149"/>
      <c r="W1035" s="150"/>
      <c r="X1035" s="151"/>
      <c r="Y1035" s="44"/>
      <c r="Z1035" s="44"/>
      <c r="AA1035" s="152"/>
      <c r="AB1035" s="152"/>
      <c r="AC1035" s="152"/>
      <c r="AD1035" s="152"/>
      <c r="AE1035" s="152"/>
      <c r="AF1035" s="152"/>
      <c r="AG1035" s="152"/>
      <c r="AH1035" s="165"/>
      <c r="AI1035" s="165"/>
      <c r="AJ1035" s="165"/>
      <c r="AK1035" s="165"/>
      <c r="AL1035" s="165"/>
      <c r="AM1035" s="165"/>
      <c r="AN1035" s="165"/>
    </row>
    <row r="1036" spans="1:40">
      <c r="A1036" s="44"/>
      <c r="B1036" s="44"/>
      <c r="C1036" s="165"/>
      <c r="D1036" s="44"/>
      <c r="E1036" s="44"/>
      <c r="F1036" s="44"/>
      <c r="G1036" s="44"/>
      <c r="H1036" s="44"/>
      <c r="I1036" s="44"/>
      <c r="J1036" s="44"/>
      <c r="K1036" s="230"/>
      <c r="L1036" s="44"/>
      <c r="M1036" s="230"/>
      <c r="N1036" s="230"/>
      <c r="O1036" s="44"/>
      <c r="P1036" s="44"/>
      <c r="Q1036" s="45"/>
      <c r="R1036" s="147"/>
      <c r="S1036" s="147"/>
      <c r="T1036" s="147"/>
      <c r="U1036" s="148"/>
      <c r="V1036" s="149"/>
      <c r="W1036" s="150"/>
      <c r="X1036" s="151"/>
      <c r="Y1036" s="44"/>
      <c r="Z1036" s="44"/>
      <c r="AA1036" s="152"/>
      <c r="AB1036" s="152"/>
      <c r="AC1036" s="152"/>
      <c r="AD1036" s="152"/>
      <c r="AE1036" s="152"/>
      <c r="AF1036" s="152"/>
      <c r="AG1036" s="152"/>
      <c r="AH1036" s="165"/>
      <c r="AI1036" s="165"/>
      <c r="AJ1036" s="165"/>
      <c r="AK1036" s="165"/>
      <c r="AL1036" s="165"/>
      <c r="AM1036" s="165"/>
      <c r="AN1036" s="165"/>
    </row>
    <row r="1037" spans="1:40">
      <c r="A1037" s="44"/>
      <c r="B1037" s="44"/>
      <c r="C1037" s="165"/>
      <c r="D1037" s="44"/>
      <c r="E1037" s="44"/>
      <c r="F1037" s="44"/>
      <c r="G1037" s="44"/>
      <c r="H1037" s="44"/>
      <c r="I1037" s="44"/>
      <c r="J1037" s="44"/>
      <c r="K1037" s="230"/>
      <c r="L1037" s="44"/>
      <c r="M1037" s="230"/>
      <c r="N1037" s="230"/>
      <c r="O1037" s="44"/>
      <c r="P1037" s="44"/>
      <c r="Q1037" s="45"/>
      <c r="R1037" s="147"/>
      <c r="S1037" s="147"/>
      <c r="T1037" s="147"/>
      <c r="U1037" s="148"/>
      <c r="V1037" s="149"/>
      <c r="W1037" s="150"/>
      <c r="X1037" s="151"/>
      <c r="Y1037" s="44"/>
      <c r="Z1037" s="44"/>
      <c r="AA1037" s="152"/>
      <c r="AB1037" s="152"/>
      <c r="AC1037" s="152"/>
      <c r="AD1037" s="152"/>
      <c r="AE1037" s="152"/>
      <c r="AF1037" s="152"/>
      <c r="AG1037" s="152"/>
      <c r="AH1037" s="165"/>
      <c r="AI1037" s="165"/>
      <c r="AJ1037" s="165"/>
      <c r="AK1037" s="165"/>
      <c r="AL1037" s="165"/>
      <c r="AM1037" s="165"/>
      <c r="AN1037" s="165"/>
    </row>
    <row r="1038" spans="1:40">
      <c r="A1038" s="44"/>
      <c r="B1038" s="44"/>
      <c r="C1038" s="165"/>
      <c r="D1038" s="44"/>
      <c r="E1038" s="44"/>
      <c r="F1038" s="44"/>
      <c r="G1038" s="44"/>
      <c r="H1038" s="44"/>
      <c r="I1038" s="44"/>
      <c r="J1038" s="44"/>
      <c r="K1038" s="230"/>
      <c r="L1038" s="44"/>
      <c r="M1038" s="230"/>
      <c r="N1038" s="230"/>
      <c r="O1038" s="44"/>
      <c r="P1038" s="44"/>
      <c r="Q1038" s="45"/>
      <c r="R1038" s="147"/>
      <c r="S1038" s="147"/>
      <c r="T1038" s="147"/>
      <c r="U1038" s="148"/>
      <c r="V1038" s="149"/>
      <c r="W1038" s="150"/>
      <c r="X1038" s="151"/>
      <c r="Y1038" s="44"/>
      <c r="Z1038" s="44"/>
      <c r="AA1038" s="152"/>
      <c r="AB1038" s="152"/>
      <c r="AC1038" s="152"/>
      <c r="AD1038" s="152"/>
      <c r="AE1038" s="152"/>
      <c r="AF1038" s="152"/>
      <c r="AG1038" s="152"/>
      <c r="AH1038" s="165"/>
      <c r="AI1038" s="165"/>
      <c r="AJ1038" s="165"/>
      <c r="AK1038" s="165"/>
      <c r="AL1038" s="165"/>
      <c r="AM1038" s="165"/>
      <c r="AN1038" s="165"/>
    </row>
    <row r="1039" spans="1:40">
      <c r="A1039" s="44"/>
      <c r="B1039" s="44"/>
      <c r="C1039" s="165"/>
      <c r="D1039" s="44"/>
      <c r="E1039" s="44"/>
      <c r="F1039" s="44"/>
      <c r="G1039" s="44"/>
      <c r="H1039" s="44"/>
      <c r="I1039" s="44"/>
      <c r="J1039" s="44"/>
      <c r="K1039" s="230"/>
      <c r="L1039" s="44"/>
      <c r="M1039" s="230"/>
      <c r="N1039" s="230"/>
      <c r="O1039" s="44"/>
      <c r="P1039" s="44"/>
      <c r="Q1039" s="45"/>
      <c r="R1039" s="147"/>
      <c r="S1039" s="147"/>
      <c r="T1039" s="147"/>
      <c r="U1039" s="148"/>
      <c r="V1039" s="149"/>
      <c r="W1039" s="150"/>
      <c r="X1039" s="151"/>
      <c r="Y1039" s="44"/>
      <c r="Z1039" s="44"/>
      <c r="AA1039" s="152"/>
      <c r="AB1039" s="152"/>
      <c r="AC1039" s="152"/>
      <c r="AD1039" s="152"/>
      <c r="AE1039" s="152"/>
      <c r="AF1039" s="152"/>
      <c r="AG1039" s="152"/>
      <c r="AH1039" s="165"/>
      <c r="AI1039" s="165"/>
      <c r="AJ1039" s="165"/>
      <c r="AK1039" s="165"/>
      <c r="AL1039" s="165"/>
      <c r="AM1039" s="165"/>
      <c r="AN1039" s="165"/>
    </row>
    <row r="1040" spans="1:40">
      <c r="A1040" s="44"/>
      <c r="B1040" s="44"/>
      <c r="C1040" s="165"/>
      <c r="D1040" s="44"/>
      <c r="E1040" s="44"/>
      <c r="F1040" s="44"/>
      <c r="G1040" s="44"/>
      <c r="H1040" s="44"/>
      <c r="I1040" s="44"/>
      <c r="J1040" s="44"/>
      <c r="K1040" s="230"/>
      <c r="L1040" s="44"/>
      <c r="M1040" s="230"/>
      <c r="N1040" s="230"/>
      <c r="O1040" s="44"/>
      <c r="P1040" s="44"/>
      <c r="Q1040" s="45"/>
      <c r="R1040" s="147"/>
      <c r="S1040" s="147"/>
      <c r="T1040" s="147"/>
      <c r="U1040" s="148"/>
      <c r="V1040" s="149"/>
      <c r="W1040" s="150"/>
      <c r="X1040" s="151"/>
      <c r="Y1040" s="44"/>
      <c r="Z1040" s="44"/>
      <c r="AA1040" s="152"/>
      <c r="AB1040" s="152"/>
      <c r="AC1040" s="152"/>
      <c r="AD1040" s="152"/>
      <c r="AE1040" s="152"/>
      <c r="AF1040" s="152"/>
      <c r="AG1040" s="152"/>
      <c r="AH1040" s="165"/>
      <c r="AI1040" s="165"/>
      <c r="AJ1040" s="165"/>
      <c r="AK1040" s="165"/>
      <c r="AL1040" s="165"/>
      <c r="AM1040" s="165"/>
      <c r="AN1040" s="165"/>
    </row>
    <row r="1041" spans="1:40">
      <c r="A1041" s="44"/>
      <c r="B1041" s="44"/>
      <c r="C1041" s="165"/>
      <c r="D1041" s="44"/>
      <c r="E1041" s="44"/>
      <c r="F1041" s="44"/>
      <c r="G1041" s="44"/>
      <c r="H1041" s="44"/>
      <c r="I1041" s="44"/>
      <c r="J1041" s="44"/>
      <c r="K1041" s="230"/>
      <c r="L1041" s="44"/>
      <c r="M1041" s="230"/>
      <c r="N1041" s="230"/>
      <c r="O1041" s="44"/>
      <c r="P1041" s="44"/>
      <c r="Q1041" s="45"/>
      <c r="R1041" s="147"/>
      <c r="S1041" s="147"/>
      <c r="T1041" s="147"/>
      <c r="U1041" s="148"/>
      <c r="V1041" s="149"/>
      <c r="W1041" s="150"/>
      <c r="X1041" s="151"/>
      <c r="Y1041" s="44"/>
      <c r="Z1041" s="44"/>
      <c r="AA1041" s="152"/>
      <c r="AB1041" s="152"/>
      <c r="AC1041" s="152"/>
      <c r="AD1041" s="152"/>
      <c r="AE1041" s="152"/>
      <c r="AF1041" s="152"/>
      <c r="AG1041" s="152"/>
      <c r="AH1041" s="165"/>
      <c r="AI1041" s="165"/>
      <c r="AJ1041" s="165"/>
      <c r="AK1041" s="165"/>
      <c r="AL1041" s="165"/>
      <c r="AM1041" s="165"/>
      <c r="AN1041" s="165"/>
    </row>
    <row r="1042" spans="1:40">
      <c r="A1042" s="44"/>
      <c r="B1042" s="44"/>
      <c r="C1042" s="165"/>
      <c r="D1042" s="44"/>
      <c r="E1042" s="44"/>
      <c r="F1042" s="44"/>
      <c r="G1042" s="44"/>
      <c r="H1042" s="44"/>
      <c r="I1042" s="44"/>
      <c r="J1042" s="44"/>
      <c r="K1042" s="230"/>
      <c r="L1042" s="44"/>
      <c r="M1042" s="230"/>
      <c r="N1042" s="230"/>
      <c r="O1042" s="44"/>
      <c r="P1042" s="44"/>
      <c r="Q1042" s="45"/>
      <c r="R1042" s="147"/>
      <c r="S1042" s="147"/>
      <c r="T1042" s="147"/>
      <c r="U1042" s="148"/>
      <c r="V1042" s="149"/>
      <c r="W1042" s="150"/>
      <c r="X1042" s="151"/>
      <c r="Y1042" s="44"/>
      <c r="Z1042" s="44"/>
      <c r="AA1042" s="152"/>
      <c r="AB1042" s="152"/>
      <c r="AC1042" s="152"/>
      <c r="AD1042" s="152"/>
      <c r="AE1042" s="152"/>
      <c r="AF1042" s="152"/>
      <c r="AG1042" s="152"/>
      <c r="AH1042" s="165"/>
      <c r="AI1042" s="165"/>
      <c r="AJ1042" s="165"/>
      <c r="AK1042" s="165"/>
      <c r="AL1042" s="165"/>
      <c r="AM1042" s="165"/>
      <c r="AN1042" s="165"/>
    </row>
    <row r="1043" spans="1:40">
      <c r="A1043" s="44"/>
      <c r="B1043" s="44"/>
      <c r="C1043" s="165"/>
      <c r="D1043" s="44"/>
      <c r="E1043" s="44"/>
      <c r="F1043" s="44"/>
      <c r="G1043" s="44"/>
      <c r="H1043" s="44"/>
      <c r="I1043" s="44"/>
      <c r="J1043" s="44"/>
      <c r="K1043" s="230"/>
      <c r="L1043" s="44"/>
      <c r="M1043" s="230"/>
      <c r="N1043" s="230"/>
      <c r="O1043" s="44"/>
      <c r="P1043" s="44"/>
      <c r="Q1043" s="45"/>
      <c r="R1043" s="147"/>
      <c r="S1043" s="147"/>
      <c r="T1043" s="147"/>
      <c r="U1043" s="148"/>
      <c r="V1043" s="149"/>
      <c r="W1043" s="150"/>
      <c r="X1043" s="151"/>
      <c r="Y1043" s="44"/>
      <c r="Z1043" s="44"/>
      <c r="AA1043" s="152"/>
      <c r="AB1043" s="152"/>
      <c r="AC1043" s="152"/>
      <c r="AD1043" s="152"/>
      <c r="AE1043" s="152"/>
      <c r="AF1043" s="152"/>
      <c r="AG1043" s="152"/>
      <c r="AH1043" s="165"/>
      <c r="AI1043" s="165"/>
      <c r="AJ1043" s="165"/>
      <c r="AK1043" s="165"/>
      <c r="AL1043" s="165"/>
      <c r="AM1043" s="165"/>
      <c r="AN1043" s="165"/>
    </row>
    <row r="1044" spans="1:40">
      <c r="A1044" s="44"/>
      <c r="B1044" s="44"/>
      <c r="C1044" s="165"/>
      <c r="D1044" s="44"/>
      <c r="E1044" s="44"/>
      <c r="F1044" s="44"/>
      <c r="G1044" s="44"/>
      <c r="H1044" s="44"/>
      <c r="I1044" s="44"/>
      <c r="J1044" s="44"/>
      <c r="K1044" s="230"/>
      <c r="L1044" s="44"/>
      <c r="M1044" s="230"/>
      <c r="N1044" s="230"/>
      <c r="O1044" s="44"/>
      <c r="P1044" s="44"/>
      <c r="Q1044" s="45"/>
      <c r="R1044" s="147"/>
      <c r="S1044" s="147"/>
      <c r="T1044" s="147"/>
      <c r="U1044" s="148"/>
      <c r="V1044" s="149"/>
      <c r="W1044" s="150"/>
      <c r="X1044" s="151"/>
      <c r="Y1044" s="44"/>
      <c r="Z1044" s="44"/>
      <c r="AA1044" s="152"/>
      <c r="AB1044" s="152"/>
      <c r="AC1044" s="152"/>
      <c r="AD1044" s="152"/>
      <c r="AE1044" s="152"/>
      <c r="AF1044" s="152"/>
      <c r="AG1044" s="152"/>
      <c r="AH1044" s="165"/>
      <c r="AI1044" s="165"/>
      <c r="AJ1044" s="165"/>
      <c r="AK1044" s="165"/>
      <c r="AL1044" s="165"/>
      <c r="AM1044" s="165"/>
      <c r="AN1044" s="165"/>
    </row>
    <row r="1045" spans="1:40">
      <c r="A1045" s="44"/>
      <c r="B1045" s="44"/>
      <c r="C1045" s="44"/>
      <c r="D1045" s="44"/>
      <c r="E1045" s="44"/>
      <c r="F1045" s="44"/>
      <c r="G1045" s="44"/>
      <c r="H1045" s="44"/>
      <c r="I1045" s="44"/>
      <c r="J1045" s="44"/>
      <c r="K1045" s="44"/>
      <c r="L1045" s="44"/>
      <c r="M1045" s="44"/>
      <c r="N1045" s="44"/>
      <c r="O1045" s="44"/>
      <c r="P1045" s="44"/>
      <c r="Q1045" s="45"/>
      <c r="R1045" s="147"/>
      <c r="S1045" s="147"/>
      <c r="T1045" s="147"/>
      <c r="U1045" s="148"/>
      <c r="V1045" s="149"/>
      <c r="W1045" s="150"/>
      <c r="X1045" s="151"/>
      <c r="Y1045" s="44"/>
      <c r="Z1045" s="44"/>
      <c r="AA1045" s="152"/>
      <c r="AB1045" s="152"/>
      <c r="AC1045" s="152"/>
      <c r="AD1045" s="152"/>
      <c r="AE1045" s="152"/>
      <c r="AF1045" s="152"/>
      <c r="AG1045" s="152"/>
      <c r="AH1045" s="165"/>
      <c r="AI1045" s="165"/>
      <c r="AJ1045" s="165"/>
      <c r="AK1045" s="165"/>
      <c r="AL1045" s="165"/>
      <c r="AM1045" s="165"/>
      <c r="AN1045" s="165"/>
    </row>
    <row r="1046" spans="1:40">
      <c r="A1046" s="44"/>
      <c r="B1046" s="44"/>
      <c r="C1046" s="44"/>
      <c r="D1046" s="44"/>
      <c r="E1046" s="44"/>
      <c r="F1046" s="44"/>
      <c r="G1046" s="44"/>
      <c r="H1046" s="44"/>
      <c r="I1046" s="44"/>
      <c r="J1046" s="44"/>
      <c r="K1046" s="44"/>
      <c r="L1046" s="44"/>
      <c r="M1046" s="44"/>
      <c r="N1046" s="44"/>
      <c r="O1046" s="44"/>
      <c r="P1046" s="44"/>
      <c r="Q1046" s="45"/>
      <c r="R1046" s="147"/>
      <c r="S1046" s="147"/>
      <c r="T1046" s="147"/>
      <c r="U1046" s="148"/>
      <c r="V1046" s="149"/>
      <c r="W1046" s="150"/>
      <c r="X1046" s="151"/>
      <c r="Y1046" s="44"/>
      <c r="Z1046" s="44"/>
      <c r="AA1046" s="152"/>
      <c r="AB1046" s="152"/>
      <c r="AC1046" s="152"/>
      <c r="AD1046" s="152"/>
      <c r="AE1046" s="152"/>
      <c r="AF1046" s="152"/>
      <c r="AG1046" s="152"/>
      <c r="AH1046" s="165"/>
      <c r="AI1046" s="165"/>
      <c r="AJ1046" s="165"/>
      <c r="AK1046" s="165"/>
      <c r="AL1046" s="165"/>
      <c r="AM1046" s="165"/>
      <c r="AN1046" s="165"/>
    </row>
    <row r="1047" spans="1:40">
      <c r="A1047" s="44"/>
      <c r="B1047" s="44"/>
      <c r="C1047" s="44"/>
      <c r="D1047" s="44"/>
      <c r="E1047" s="44"/>
      <c r="F1047" s="44"/>
      <c r="G1047" s="44"/>
      <c r="H1047" s="44"/>
      <c r="I1047" s="44"/>
      <c r="J1047" s="44"/>
      <c r="K1047" s="44"/>
      <c r="L1047" s="44"/>
      <c r="M1047" s="44"/>
      <c r="N1047" s="44"/>
      <c r="O1047" s="44"/>
      <c r="P1047" s="44"/>
      <c r="Q1047" s="45"/>
      <c r="R1047" s="147"/>
      <c r="S1047" s="147"/>
      <c r="T1047" s="147"/>
      <c r="U1047" s="148"/>
      <c r="V1047" s="149"/>
      <c r="W1047" s="150"/>
      <c r="X1047" s="151"/>
      <c r="Y1047" s="44"/>
      <c r="Z1047" s="44"/>
      <c r="AA1047" s="152"/>
      <c r="AB1047" s="152"/>
      <c r="AC1047" s="152"/>
      <c r="AD1047" s="152"/>
      <c r="AE1047" s="152"/>
      <c r="AF1047" s="152"/>
      <c r="AG1047" s="152"/>
      <c r="AH1047" s="165"/>
      <c r="AI1047" s="165"/>
      <c r="AJ1047" s="165"/>
      <c r="AK1047" s="165"/>
      <c r="AL1047" s="165"/>
      <c r="AM1047" s="165"/>
      <c r="AN1047" s="165"/>
    </row>
    <row r="1048" spans="1:40">
      <c r="A1048" s="44"/>
      <c r="B1048" s="44"/>
      <c r="C1048" s="44"/>
      <c r="D1048" s="44"/>
      <c r="E1048" s="44"/>
      <c r="F1048" s="44"/>
      <c r="G1048" s="44"/>
      <c r="H1048" s="44"/>
      <c r="I1048" s="44"/>
      <c r="J1048" s="44"/>
      <c r="K1048" s="44"/>
      <c r="L1048" s="44"/>
      <c r="M1048" s="44"/>
      <c r="N1048" s="44"/>
      <c r="O1048" s="44"/>
      <c r="P1048" s="44"/>
      <c r="Q1048" s="45"/>
      <c r="R1048" s="147"/>
      <c r="S1048" s="147"/>
      <c r="T1048" s="147"/>
      <c r="U1048" s="148"/>
      <c r="V1048" s="149"/>
      <c r="W1048" s="150"/>
      <c r="X1048" s="151"/>
      <c r="Y1048" s="44"/>
      <c r="Z1048" s="44"/>
      <c r="AA1048" s="152"/>
      <c r="AB1048" s="152"/>
      <c r="AC1048" s="152"/>
      <c r="AD1048" s="152"/>
      <c r="AE1048" s="152"/>
      <c r="AF1048" s="152"/>
      <c r="AG1048" s="152"/>
      <c r="AH1048" s="165"/>
      <c r="AI1048" s="165"/>
      <c r="AJ1048" s="165"/>
      <c r="AK1048" s="165"/>
      <c r="AL1048" s="165"/>
      <c r="AM1048" s="165"/>
      <c r="AN1048" s="165"/>
    </row>
    <row r="1049" spans="1:40">
      <c r="A1049" s="44"/>
      <c r="B1049" s="44"/>
      <c r="C1049" s="44"/>
      <c r="D1049" s="44"/>
      <c r="E1049" s="44"/>
      <c r="F1049" s="44"/>
      <c r="G1049" s="44"/>
      <c r="H1049" s="44"/>
      <c r="I1049" s="44"/>
      <c r="J1049" s="44"/>
      <c r="K1049" s="44"/>
      <c r="L1049" s="44"/>
      <c r="M1049" s="44"/>
      <c r="N1049" s="44"/>
      <c r="O1049" s="44"/>
      <c r="P1049" s="44"/>
      <c r="Q1049" s="45"/>
      <c r="R1049" s="147"/>
      <c r="S1049" s="147"/>
      <c r="T1049" s="147"/>
      <c r="U1049" s="148"/>
      <c r="V1049" s="149"/>
      <c r="W1049" s="150"/>
      <c r="X1049" s="151"/>
      <c r="Y1049" s="44"/>
      <c r="Z1049" s="44"/>
      <c r="AA1049" s="152"/>
      <c r="AB1049" s="152"/>
      <c r="AC1049" s="152"/>
      <c r="AD1049" s="152"/>
      <c r="AE1049" s="152"/>
      <c r="AF1049" s="152"/>
      <c r="AG1049" s="152"/>
      <c r="AH1049" s="165"/>
      <c r="AI1049" s="165"/>
      <c r="AJ1049" s="165"/>
      <c r="AK1049" s="165"/>
      <c r="AL1049" s="165"/>
      <c r="AM1049" s="165"/>
      <c r="AN1049" s="165"/>
    </row>
    <row r="1050" spans="1:40">
      <c r="A1050" s="44"/>
      <c r="B1050" s="44"/>
      <c r="C1050" s="44"/>
      <c r="D1050" s="44"/>
      <c r="E1050" s="44"/>
      <c r="F1050" s="44"/>
      <c r="G1050" s="44"/>
      <c r="H1050" s="44"/>
      <c r="I1050" s="44"/>
      <c r="J1050" s="44"/>
      <c r="K1050" s="44"/>
      <c r="L1050" s="44"/>
      <c r="M1050" s="44"/>
      <c r="N1050" s="44"/>
      <c r="O1050" s="44"/>
      <c r="P1050" s="44"/>
      <c r="Q1050" s="45"/>
      <c r="R1050" s="147"/>
      <c r="S1050" s="147"/>
      <c r="T1050" s="147"/>
      <c r="U1050" s="148"/>
      <c r="V1050" s="149"/>
      <c r="W1050" s="150"/>
      <c r="X1050" s="151"/>
      <c r="Y1050" s="44"/>
      <c r="Z1050" s="44"/>
      <c r="AA1050" s="152"/>
      <c r="AB1050" s="152"/>
      <c r="AC1050" s="152"/>
      <c r="AD1050" s="152"/>
      <c r="AE1050" s="152"/>
      <c r="AF1050" s="152"/>
      <c r="AG1050" s="152"/>
      <c r="AH1050" s="165"/>
      <c r="AI1050" s="165"/>
      <c r="AJ1050" s="165"/>
      <c r="AK1050" s="165"/>
      <c r="AL1050" s="165"/>
      <c r="AM1050" s="165"/>
      <c r="AN1050" s="165"/>
    </row>
    <row r="1051" spans="1:40">
      <c r="A1051" s="44"/>
      <c r="B1051" s="44"/>
      <c r="C1051" s="44"/>
      <c r="D1051" s="44"/>
      <c r="E1051" s="44"/>
      <c r="F1051" s="44"/>
      <c r="G1051" s="44"/>
      <c r="H1051" s="44"/>
      <c r="I1051" s="44"/>
      <c r="J1051" s="44"/>
      <c r="K1051" s="44"/>
      <c r="L1051" s="44"/>
      <c r="M1051" s="44"/>
      <c r="N1051" s="44"/>
      <c r="O1051" s="44"/>
      <c r="P1051" s="44"/>
      <c r="Q1051" s="45"/>
      <c r="R1051" s="147"/>
      <c r="S1051" s="147"/>
      <c r="T1051" s="147"/>
      <c r="U1051" s="148"/>
      <c r="V1051" s="149"/>
      <c r="W1051" s="150"/>
      <c r="X1051" s="151"/>
      <c r="Y1051" s="44"/>
      <c r="Z1051" s="44"/>
      <c r="AA1051" s="152"/>
      <c r="AB1051" s="152"/>
      <c r="AC1051" s="152"/>
      <c r="AD1051" s="152"/>
      <c r="AE1051" s="152"/>
      <c r="AF1051" s="152"/>
      <c r="AG1051" s="152"/>
      <c r="AH1051" s="165"/>
      <c r="AI1051" s="165"/>
      <c r="AJ1051" s="165"/>
      <c r="AK1051" s="165"/>
      <c r="AL1051" s="165"/>
      <c r="AM1051" s="165"/>
      <c r="AN1051" s="165"/>
    </row>
    <row r="1052" spans="1:40">
      <c r="A1052" s="44"/>
      <c r="B1052" s="44"/>
      <c r="C1052" s="44"/>
      <c r="D1052" s="44"/>
      <c r="E1052" s="44"/>
      <c r="F1052" s="44"/>
      <c r="G1052" s="44"/>
      <c r="H1052" s="44"/>
      <c r="I1052" s="44"/>
      <c r="J1052" s="44"/>
      <c r="K1052" s="44"/>
      <c r="L1052" s="44"/>
      <c r="M1052" s="44"/>
      <c r="N1052" s="44"/>
      <c r="O1052" s="44"/>
      <c r="P1052" s="44"/>
      <c r="Q1052" s="45"/>
      <c r="R1052" s="147"/>
      <c r="S1052" s="147"/>
      <c r="T1052" s="147"/>
      <c r="U1052" s="148"/>
      <c r="V1052" s="149"/>
      <c r="W1052" s="150"/>
      <c r="X1052" s="151"/>
      <c r="Y1052" s="44"/>
      <c r="Z1052" s="44"/>
      <c r="AA1052" s="152"/>
      <c r="AB1052" s="152"/>
      <c r="AC1052" s="152"/>
      <c r="AD1052" s="152"/>
      <c r="AE1052" s="152"/>
      <c r="AF1052" s="152"/>
      <c r="AG1052" s="152"/>
      <c r="AH1052" s="165"/>
      <c r="AI1052" s="165"/>
      <c r="AJ1052" s="165"/>
      <c r="AK1052" s="165"/>
      <c r="AL1052" s="165"/>
      <c r="AM1052" s="165"/>
      <c r="AN1052" s="165"/>
    </row>
    <row r="1053" spans="1:40">
      <c r="A1053" s="44"/>
      <c r="B1053" s="44"/>
      <c r="C1053" s="44"/>
      <c r="D1053" s="44"/>
      <c r="E1053" s="44"/>
      <c r="F1053" s="44"/>
      <c r="G1053" s="44"/>
      <c r="H1053" s="44"/>
      <c r="I1053" s="44"/>
      <c r="J1053" s="44"/>
      <c r="K1053" s="44"/>
      <c r="L1053" s="44"/>
      <c r="M1053" s="44"/>
      <c r="N1053" s="44"/>
      <c r="O1053" s="44"/>
      <c r="P1053" s="44"/>
      <c r="Q1053" s="45"/>
      <c r="R1053" s="147"/>
      <c r="S1053" s="147"/>
      <c r="T1053" s="147"/>
      <c r="U1053" s="148"/>
      <c r="V1053" s="149"/>
      <c r="W1053" s="150"/>
      <c r="X1053" s="151"/>
      <c r="Y1053" s="44"/>
      <c r="Z1053" s="44"/>
      <c r="AA1053" s="152"/>
      <c r="AB1053" s="152"/>
      <c r="AC1053" s="152"/>
      <c r="AD1053" s="152"/>
      <c r="AE1053" s="152"/>
      <c r="AF1053" s="152"/>
      <c r="AG1053" s="152"/>
      <c r="AH1053" s="165"/>
      <c r="AI1053" s="165"/>
      <c r="AJ1053" s="165"/>
      <c r="AK1053" s="165"/>
      <c r="AL1053" s="165"/>
      <c r="AM1053" s="165"/>
      <c r="AN1053" s="165"/>
    </row>
    <row r="1054" spans="1:40">
      <c r="A1054" s="44"/>
      <c r="B1054" s="44"/>
      <c r="C1054" s="44"/>
      <c r="D1054" s="44"/>
      <c r="E1054" s="44"/>
      <c r="F1054" s="44"/>
      <c r="G1054" s="44"/>
      <c r="H1054" s="44"/>
      <c r="I1054" s="44"/>
      <c r="J1054" s="44"/>
      <c r="K1054" s="44"/>
      <c r="L1054" s="44"/>
      <c r="M1054" s="44"/>
      <c r="N1054" s="44"/>
      <c r="O1054" s="44"/>
      <c r="P1054" s="44"/>
      <c r="Q1054" s="45"/>
      <c r="R1054" s="147"/>
      <c r="S1054" s="147"/>
      <c r="T1054" s="147"/>
      <c r="U1054" s="148"/>
      <c r="V1054" s="149"/>
      <c r="W1054" s="150"/>
      <c r="X1054" s="151"/>
      <c r="Y1054" s="44"/>
      <c r="Z1054" s="44"/>
      <c r="AA1054" s="152"/>
      <c r="AB1054" s="152"/>
      <c r="AC1054" s="152"/>
      <c r="AD1054" s="152"/>
      <c r="AE1054" s="152"/>
      <c r="AF1054" s="152"/>
      <c r="AG1054" s="152"/>
      <c r="AH1054" s="165"/>
      <c r="AI1054" s="165"/>
      <c r="AJ1054" s="165"/>
      <c r="AK1054" s="165"/>
      <c r="AL1054" s="165"/>
      <c r="AM1054" s="165"/>
      <c r="AN1054" s="165"/>
    </row>
    <row r="1055" spans="1:40">
      <c r="A1055" s="44"/>
      <c r="B1055" s="44"/>
      <c r="C1055" s="44"/>
      <c r="D1055" s="44"/>
      <c r="E1055" s="44"/>
      <c r="F1055" s="44"/>
      <c r="G1055" s="44"/>
      <c r="H1055" s="44"/>
      <c r="I1055" s="44"/>
      <c r="J1055" s="44"/>
      <c r="K1055" s="44"/>
      <c r="L1055" s="44"/>
      <c r="M1055" s="44"/>
      <c r="N1055" s="44"/>
      <c r="O1055" s="44"/>
      <c r="P1055" s="44"/>
      <c r="Q1055" s="45"/>
      <c r="R1055" s="147"/>
      <c r="S1055" s="147"/>
      <c r="T1055" s="147"/>
      <c r="U1055" s="148"/>
      <c r="V1055" s="149"/>
      <c r="W1055" s="150"/>
      <c r="X1055" s="151"/>
      <c r="Y1055" s="44"/>
      <c r="Z1055" s="44"/>
      <c r="AA1055" s="152"/>
      <c r="AB1055" s="152"/>
      <c r="AC1055" s="152"/>
      <c r="AD1055" s="152"/>
      <c r="AE1055" s="152"/>
      <c r="AF1055" s="152"/>
      <c r="AG1055" s="152"/>
      <c r="AH1055" s="165"/>
      <c r="AI1055" s="165"/>
      <c r="AJ1055" s="165"/>
      <c r="AK1055" s="165"/>
      <c r="AL1055" s="165"/>
      <c r="AM1055" s="165"/>
      <c r="AN1055" s="165"/>
    </row>
    <row r="1056" spans="1:40">
      <c r="A1056" s="44"/>
      <c r="B1056" s="44"/>
      <c r="C1056" s="44"/>
      <c r="D1056" s="44"/>
      <c r="E1056" s="44"/>
      <c r="F1056" s="44"/>
      <c r="G1056" s="44"/>
      <c r="H1056" s="44"/>
      <c r="I1056" s="44"/>
      <c r="J1056" s="44"/>
      <c r="K1056" s="44"/>
      <c r="L1056" s="44"/>
      <c r="M1056" s="44"/>
      <c r="N1056" s="44"/>
      <c r="O1056" s="44"/>
      <c r="P1056" s="44"/>
      <c r="Q1056" s="45"/>
      <c r="R1056" s="147"/>
      <c r="S1056" s="147"/>
      <c r="T1056" s="147"/>
      <c r="U1056" s="148"/>
      <c r="V1056" s="149"/>
      <c r="W1056" s="150"/>
      <c r="X1056" s="151"/>
      <c r="Y1056" s="44"/>
      <c r="Z1056" s="44"/>
      <c r="AA1056" s="152"/>
      <c r="AB1056" s="152"/>
      <c r="AC1056" s="152"/>
      <c r="AD1056" s="152"/>
      <c r="AE1056" s="152"/>
      <c r="AF1056" s="152"/>
      <c r="AG1056" s="152"/>
      <c r="AH1056" s="165"/>
      <c r="AI1056" s="165"/>
      <c r="AJ1056" s="165"/>
      <c r="AK1056" s="165"/>
      <c r="AL1056" s="165"/>
      <c r="AM1056" s="165"/>
      <c r="AN1056" s="165"/>
    </row>
    <row r="1057" spans="1:40">
      <c r="A1057" s="44"/>
      <c r="B1057" s="44"/>
      <c r="C1057" s="44"/>
      <c r="D1057" s="44"/>
      <c r="E1057" s="44"/>
      <c r="F1057" s="44"/>
      <c r="G1057" s="44"/>
      <c r="H1057" s="44"/>
      <c r="I1057" s="44"/>
      <c r="J1057" s="44"/>
      <c r="K1057" s="44"/>
      <c r="L1057" s="44"/>
      <c r="M1057" s="44"/>
      <c r="N1057" s="44"/>
      <c r="O1057" s="44"/>
      <c r="P1057" s="44"/>
      <c r="Q1057" s="45"/>
      <c r="R1057" s="147"/>
      <c r="S1057" s="147"/>
      <c r="T1057" s="147"/>
      <c r="U1057" s="148"/>
      <c r="V1057" s="149"/>
      <c r="W1057" s="150"/>
      <c r="X1057" s="151"/>
      <c r="Y1057" s="44"/>
      <c r="Z1057" s="44"/>
      <c r="AA1057" s="152"/>
      <c r="AB1057" s="152"/>
      <c r="AC1057" s="152"/>
      <c r="AD1057" s="152"/>
      <c r="AE1057" s="152"/>
      <c r="AF1057" s="152"/>
      <c r="AG1057" s="152"/>
      <c r="AH1057" s="165"/>
      <c r="AI1057" s="165"/>
      <c r="AJ1057" s="165"/>
      <c r="AK1057" s="165"/>
      <c r="AL1057" s="165"/>
      <c r="AM1057" s="165"/>
      <c r="AN1057" s="165"/>
    </row>
    <row r="1058" spans="1:40">
      <c r="A1058" s="44"/>
      <c r="B1058" s="44"/>
      <c r="C1058" s="44"/>
      <c r="D1058" s="44"/>
      <c r="E1058" s="44"/>
      <c r="F1058" s="44"/>
      <c r="G1058" s="44"/>
      <c r="H1058" s="44"/>
      <c r="I1058" s="44"/>
      <c r="J1058" s="44"/>
      <c r="K1058" s="44"/>
      <c r="L1058" s="44"/>
      <c r="M1058" s="44"/>
      <c r="N1058" s="44"/>
      <c r="O1058" s="44"/>
      <c r="P1058" s="44"/>
      <c r="Q1058" s="45"/>
      <c r="R1058" s="147"/>
      <c r="S1058" s="147"/>
      <c r="T1058" s="147"/>
      <c r="U1058" s="148"/>
      <c r="V1058" s="149"/>
      <c r="W1058" s="150"/>
      <c r="X1058" s="151"/>
      <c r="Y1058" s="44"/>
      <c r="Z1058" s="44"/>
      <c r="AA1058" s="152"/>
      <c r="AB1058" s="152"/>
      <c r="AC1058" s="152"/>
      <c r="AD1058" s="152"/>
      <c r="AE1058" s="152"/>
      <c r="AF1058" s="152"/>
      <c r="AG1058" s="152"/>
      <c r="AH1058" s="165"/>
      <c r="AI1058" s="165"/>
      <c r="AJ1058" s="165"/>
      <c r="AK1058" s="165"/>
      <c r="AL1058" s="165"/>
      <c r="AM1058" s="165"/>
      <c r="AN1058" s="165"/>
    </row>
    <row r="1059" spans="1:40">
      <c r="A1059" s="44"/>
      <c r="B1059" s="44"/>
      <c r="C1059" s="44"/>
      <c r="D1059" s="44"/>
      <c r="E1059" s="44"/>
      <c r="F1059" s="44"/>
      <c r="G1059" s="44"/>
      <c r="H1059" s="44"/>
      <c r="I1059" s="44"/>
      <c r="J1059" s="44"/>
      <c r="K1059" s="44"/>
      <c r="L1059" s="44"/>
      <c r="M1059" s="44"/>
      <c r="N1059" s="44"/>
      <c r="O1059" s="44"/>
      <c r="P1059" s="44"/>
      <c r="Q1059" s="45"/>
      <c r="R1059" s="147"/>
      <c r="S1059" s="147"/>
      <c r="T1059" s="147"/>
      <c r="U1059" s="148"/>
      <c r="V1059" s="149"/>
      <c r="W1059" s="150"/>
      <c r="X1059" s="151"/>
      <c r="Y1059" s="44"/>
      <c r="Z1059" s="44"/>
      <c r="AA1059" s="152"/>
      <c r="AB1059" s="152"/>
      <c r="AC1059" s="152"/>
      <c r="AD1059" s="152"/>
      <c r="AE1059" s="152"/>
      <c r="AF1059" s="152"/>
      <c r="AG1059" s="152"/>
      <c r="AH1059" s="165"/>
      <c r="AI1059" s="165"/>
      <c r="AJ1059" s="165"/>
      <c r="AK1059" s="165"/>
      <c r="AL1059" s="165"/>
      <c r="AM1059" s="165"/>
      <c r="AN1059" s="165"/>
    </row>
    <row r="1060" spans="1:40">
      <c r="A1060" s="44"/>
      <c r="B1060" s="44"/>
      <c r="C1060" s="44"/>
      <c r="D1060" s="44"/>
      <c r="E1060" s="44"/>
      <c r="F1060" s="44"/>
      <c r="G1060" s="44"/>
      <c r="H1060" s="44"/>
      <c r="I1060" s="44"/>
      <c r="J1060" s="44"/>
      <c r="K1060" s="44"/>
      <c r="L1060" s="44"/>
      <c r="M1060" s="44"/>
      <c r="N1060" s="44"/>
      <c r="O1060" s="44"/>
      <c r="P1060" s="44"/>
      <c r="Q1060" s="45"/>
      <c r="R1060" s="147"/>
      <c r="S1060" s="147"/>
      <c r="T1060" s="147"/>
      <c r="U1060" s="148"/>
      <c r="V1060" s="149"/>
      <c r="W1060" s="150"/>
      <c r="X1060" s="151"/>
      <c r="Y1060" s="44"/>
      <c r="Z1060" s="44"/>
      <c r="AA1060" s="152"/>
      <c r="AB1060" s="152"/>
      <c r="AC1060" s="152"/>
      <c r="AD1060" s="152"/>
      <c r="AE1060" s="152"/>
      <c r="AF1060" s="152"/>
      <c r="AG1060" s="152"/>
      <c r="AH1060" s="165"/>
      <c r="AI1060" s="165"/>
      <c r="AJ1060" s="165"/>
      <c r="AK1060" s="165"/>
      <c r="AL1060" s="165"/>
      <c r="AM1060" s="165"/>
      <c r="AN1060" s="165"/>
    </row>
    <row r="1061" spans="1:40">
      <c r="A1061" s="44"/>
      <c r="B1061" s="44"/>
      <c r="C1061" s="44"/>
      <c r="D1061" s="44"/>
      <c r="E1061" s="44"/>
      <c r="F1061" s="44"/>
      <c r="G1061" s="44"/>
      <c r="H1061" s="44"/>
      <c r="I1061" s="44"/>
      <c r="J1061" s="44"/>
      <c r="K1061" s="44"/>
      <c r="L1061" s="44"/>
      <c r="M1061" s="44"/>
      <c r="N1061" s="44"/>
      <c r="O1061" s="44"/>
      <c r="P1061" s="44"/>
      <c r="Q1061" s="45"/>
      <c r="R1061" s="147"/>
      <c r="S1061" s="147"/>
      <c r="T1061" s="147"/>
      <c r="U1061" s="148"/>
      <c r="V1061" s="149"/>
      <c r="W1061" s="150"/>
      <c r="X1061" s="151"/>
      <c r="Y1061" s="44"/>
      <c r="Z1061" s="44"/>
      <c r="AA1061" s="152"/>
      <c r="AB1061" s="152"/>
      <c r="AC1061" s="152"/>
      <c r="AD1061" s="152"/>
      <c r="AE1061" s="152"/>
      <c r="AF1061" s="152"/>
      <c r="AG1061" s="152"/>
      <c r="AH1061" s="165"/>
      <c r="AI1061" s="165"/>
      <c r="AJ1061" s="165"/>
      <c r="AK1061" s="165"/>
      <c r="AL1061" s="165"/>
      <c r="AM1061" s="165"/>
      <c r="AN1061" s="165"/>
    </row>
    <row r="1062" spans="1:40">
      <c r="A1062" s="44"/>
      <c r="B1062" s="44"/>
      <c r="C1062" s="44"/>
      <c r="D1062" s="44"/>
      <c r="E1062" s="44"/>
      <c r="F1062" s="44"/>
      <c r="G1062" s="44"/>
      <c r="H1062" s="44"/>
      <c r="I1062" s="44"/>
      <c r="J1062" s="44"/>
      <c r="K1062" s="44"/>
      <c r="L1062" s="44"/>
      <c r="M1062" s="44"/>
      <c r="N1062" s="44"/>
      <c r="O1062" s="44"/>
      <c r="P1062" s="44"/>
      <c r="Q1062" s="45"/>
      <c r="R1062" s="147"/>
      <c r="S1062" s="147"/>
      <c r="T1062" s="147"/>
      <c r="U1062" s="148"/>
      <c r="V1062" s="149"/>
      <c r="W1062" s="150"/>
      <c r="X1062" s="151"/>
      <c r="Y1062" s="44"/>
      <c r="Z1062" s="44"/>
      <c r="AA1062" s="152"/>
      <c r="AB1062" s="152"/>
      <c r="AC1062" s="152"/>
      <c r="AD1062" s="152"/>
      <c r="AE1062" s="152"/>
      <c r="AF1062" s="152"/>
      <c r="AG1062" s="152"/>
      <c r="AH1062" s="165"/>
      <c r="AI1062" s="165"/>
      <c r="AJ1062" s="165"/>
      <c r="AK1062" s="165"/>
      <c r="AL1062" s="165"/>
      <c r="AM1062" s="165"/>
      <c r="AN1062" s="165"/>
    </row>
    <row r="1063" spans="1:40">
      <c r="A1063" s="44"/>
      <c r="B1063" s="44"/>
      <c r="C1063" s="44"/>
      <c r="D1063" s="44"/>
      <c r="E1063" s="44"/>
      <c r="F1063" s="44"/>
      <c r="G1063" s="44"/>
      <c r="H1063" s="44"/>
      <c r="I1063" s="44"/>
      <c r="J1063" s="44"/>
      <c r="K1063" s="44"/>
      <c r="L1063" s="44"/>
      <c r="M1063" s="44"/>
      <c r="N1063" s="44"/>
      <c r="O1063" s="44"/>
      <c r="P1063" s="44"/>
      <c r="Q1063" s="45"/>
      <c r="R1063" s="147"/>
      <c r="S1063" s="147"/>
      <c r="T1063" s="147"/>
      <c r="U1063" s="148"/>
      <c r="V1063" s="149"/>
      <c r="W1063" s="150"/>
      <c r="X1063" s="151"/>
      <c r="Y1063" s="44"/>
      <c r="Z1063" s="44"/>
      <c r="AA1063" s="152"/>
      <c r="AB1063" s="152"/>
      <c r="AC1063" s="152"/>
      <c r="AD1063" s="152"/>
      <c r="AE1063" s="152"/>
      <c r="AF1063" s="152"/>
      <c r="AG1063" s="152"/>
      <c r="AH1063" s="165"/>
      <c r="AI1063" s="165"/>
      <c r="AJ1063" s="165"/>
      <c r="AK1063" s="165"/>
      <c r="AL1063" s="165"/>
      <c r="AM1063" s="165"/>
      <c r="AN1063" s="165"/>
    </row>
    <row r="1064" spans="1:40">
      <c r="A1064" s="44"/>
      <c r="B1064" s="44"/>
      <c r="C1064" s="44"/>
      <c r="D1064" s="44"/>
      <c r="E1064" s="44"/>
      <c r="F1064" s="44"/>
      <c r="G1064" s="44"/>
      <c r="H1064" s="44"/>
      <c r="I1064" s="44"/>
      <c r="J1064" s="44"/>
      <c r="K1064" s="44"/>
      <c r="L1064" s="44"/>
      <c r="M1064" s="44"/>
      <c r="N1064" s="44"/>
      <c r="O1064" s="44"/>
      <c r="P1064" s="44"/>
      <c r="Q1064" s="45"/>
      <c r="R1064" s="147"/>
      <c r="S1064" s="147"/>
      <c r="T1064" s="147"/>
      <c r="U1064" s="148"/>
      <c r="V1064" s="149"/>
      <c r="W1064" s="150"/>
      <c r="X1064" s="151"/>
      <c r="Y1064" s="44"/>
      <c r="Z1064" s="44"/>
      <c r="AA1064" s="152"/>
      <c r="AB1064" s="152"/>
      <c r="AC1064" s="152"/>
      <c r="AD1064" s="152"/>
      <c r="AE1064" s="152"/>
      <c r="AF1064" s="152"/>
      <c r="AG1064" s="152"/>
      <c r="AH1064" s="165"/>
      <c r="AI1064" s="165"/>
      <c r="AJ1064" s="165"/>
      <c r="AK1064" s="165"/>
      <c r="AL1064" s="165"/>
      <c r="AM1064" s="165"/>
      <c r="AN1064" s="165"/>
    </row>
    <row r="1065" spans="1:40">
      <c r="A1065" s="44"/>
      <c r="B1065" s="44"/>
      <c r="C1065" s="44"/>
      <c r="D1065" s="44"/>
      <c r="E1065" s="44"/>
      <c r="F1065" s="44"/>
      <c r="G1065" s="44"/>
      <c r="H1065" s="44"/>
      <c r="I1065" s="44"/>
      <c r="J1065" s="44"/>
      <c r="K1065" s="44"/>
      <c r="L1065" s="44"/>
      <c r="M1065" s="44"/>
      <c r="N1065" s="44"/>
      <c r="O1065" s="44"/>
      <c r="P1065" s="44"/>
      <c r="Q1065" s="45"/>
      <c r="R1065" s="147"/>
      <c r="S1065" s="147"/>
      <c r="T1065" s="147"/>
      <c r="U1065" s="148"/>
      <c r="V1065" s="149"/>
      <c r="W1065" s="150"/>
      <c r="X1065" s="151"/>
      <c r="Y1065" s="44"/>
      <c r="Z1065" s="44"/>
      <c r="AA1065" s="152"/>
      <c r="AB1065" s="152"/>
      <c r="AC1065" s="152"/>
      <c r="AD1065" s="152"/>
      <c r="AE1065" s="152"/>
      <c r="AF1065" s="152"/>
      <c r="AG1065" s="152"/>
      <c r="AH1065" s="165"/>
      <c r="AI1065" s="165"/>
      <c r="AJ1065" s="165"/>
      <c r="AK1065" s="165"/>
      <c r="AL1065" s="165"/>
      <c r="AM1065" s="165"/>
      <c r="AN1065" s="165"/>
    </row>
    <row r="1066" spans="1:40">
      <c r="A1066" s="44"/>
      <c r="B1066" s="44"/>
      <c r="C1066" s="44"/>
      <c r="D1066" s="44"/>
      <c r="E1066" s="44"/>
      <c r="F1066" s="44"/>
      <c r="G1066" s="44"/>
      <c r="H1066" s="44"/>
      <c r="I1066" s="44"/>
      <c r="J1066" s="44"/>
      <c r="K1066" s="44"/>
      <c r="L1066" s="44"/>
      <c r="M1066" s="44"/>
      <c r="N1066" s="44"/>
      <c r="O1066" s="44"/>
      <c r="P1066" s="44"/>
      <c r="Q1066" s="45"/>
      <c r="R1066" s="147"/>
      <c r="S1066" s="147"/>
      <c r="T1066" s="147"/>
      <c r="U1066" s="148"/>
      <c r="V1066" s="149"/>
      <c r="W1066" s="150"/>
      <c r="X1066" s="151"/>
      <c r="Y1066" s="44"/>
      <c r="Z1066" s="44"/>
      <c r="AA1066" s="152"/>
      <c r="AB1066" s="152"/>
      <c r="AC1066" s="152"/>
      <c r="AD1066" s="152"/>
      <c r="AE1066" s="152"/>
      <c r="AF1066" s="152"/>
      <c r="AG1066" s="152"/>
      <c r="AH1066" s="165"/>
      <c r="AI1066" s="165"/>
      <c r="AJ1066" s="165"/>
      <c r="AK1066" s="165"/>
      <c r="AL1066" s="165"/>
      <c r="AM1066" s="165"/>
      <c r="AN1066" s="165"/>
    </row>
    <row r="1067" spans="1:40">
      <c r="A1067" s="44"/>
      <c r="B1067" s="44"/>
      <c r="C1067" s="44"/>
      <c r="D1067" s="44"/>
      <c r="E1067" s="44"/>
      <c r="F1067" s="44"/>
      <c r="G1067" s="44"/>
      <c r="H1067" s="44"/>
      <c r="I1067" s="44"/>
      <c r="J1067" s="44"/>
      <c r="K1067" s="44"/>
      <c r="L1067" s="44"/>
      <c r="M1067" s="44"/>
      <c r="N1067" s="44"/>
      <c r="O1067" s="44"/>
      <c r="P1067" s="44"/>
      <c r="Q1067" s="45"/>
      <c r="R1067" s="147"/>
      <c r="S1067" s="147"/>
      <c r="T1067" s="147"/>
      <c r="U1067" s="148"/>
      <c r="V1067" s="149"/>
      <c r="W1067" s="150"/>
      <c r="X1067" s="151"/>
      <c r="Y1067" s="44"/>
      <c r="Z1067" s="44"/>
      <c r="AA1067" s="152"/>
      <c r="AB1067" s="152"/>
      <c r="AC1067" s="152"/>
      <c r="AD1067" s="152"/>
      <c r="AE1067" s="152"/>
      <c r="AF1067" s="152"/>
      <c r="AG1067" s="152"/>
      <c r="AH1067" s="165"/>
      <c r="AI1067" s="165"/>
      <c r="AJ1067" s="165"/>
      <c r="AK1067" s="165"/>
      <c r="AL1067" s="165"/>
      <c r="AM1067" s="165"/>
      <c r="AN1067" s="165"/>
    </row>
    <row r="1068" spans="1:40">
      <c r="A1068" s="44"/>
      <c r="B1068" s="44"/>
      <c r="C1068" s="44"/>
      <c r="D1068" s="44"/>
      <c r="E1068" s="44"/>
      <c r="F1068" s="44"/>
      <c r="G1068" s="44"/>
      <c r="H1068" s="44"/>
      <c r="I1068" s="44"/>
      <c r="J1068" s="44"/>
      <c r="K1068" s="44"/>
      <c r="L1068" s="44"/>
      <c r="M1068" s="44"/>
      <c r="N1068" s="44"/>
      <c r="O1068" s="44"/>
      <c r="P1068" s="44"/>
      <c r="Q1068" s="45"/>
      <c r="R1068" s="147"/>
      <c r="S1068" s="147"/>
      <c r="T1068" s="147"/>
      <c r="U1068" s="148"/>
      <c r="V1068" s="149"/>
      <c r="W1068" s="150"/>
      <c r="X1068" s="151"/>
      <c r="Y1068" s="44"/>
      <c r="Z1068" s="44"/>
      <c r="AA1068" s="152"/>
      <c r="AB1068" s="152"/>
      <c r="AC1068" s="152"/>
      <c r="AD1068" s="152"/>
      <c r="AE1068" s="152"/>
      <c r="AF1068" s="152"/>
      <c r="AG1068" s="152"/>
      <c r="AH1068" s="165"/>
      <c r="AI1068" s="165"/>
      <c r="AJ1068" s="165"/>
      <c r="AK1068" s="165"/>
      <c r="AL1068" s="165"/>
      <c r="AM1068" s="165"/>
      <c r="AN1068" s="165"/>
    </row>
    <row r="1069" spans="1:40">
      <c r="A1069" s="44"/>
      <c r="B1069" s="44"/>
      <c r="C1069" s="44"/>
      <c r="D1069" s="44"/>
      <c r="E1069" s="44"/>
      <c r="F1069" s="44"/>
      <c r="G1069" s="44"/>
      <c r="H1069" s="44"/>
      <c r="I1069" s="44"/>
      <c r="J1069" s="44"/>
      <c r="K1069" s="44"/>
      <c r="L1069" s="44"/>
      <c r="M1069" s="44"/>
      <c r="N1069" s="44"/>
      <c r="O1069" s="44"/>
      <c r="P1069" s="44"/>
      <c r="Q1069" s="45"/>
      <c r="R1069" s="147"/>
      <c r="S1069" s="147"/>
      <c r="T1069" s="147"/>
      <c r="U1069" s="148"/>
      <c r="V1069" s="149"/>
      <c r="W1069" s="150"/>
      <c r="X1069" s="151"/>
      <c r="Y1069" s="44"/>
      <c r="Z1069" s="44"/>
      <c r="AA1069" s="152"/>
      <c r="AB1069" s="152"/>
      <c r="AC1069" s="152"/>
      <c r="AD1069" s="152"/>
      <c r="AE1069" s="152"/>
      <c r="AF1069" s="152"/>
      <c r="AG1069" s="152"/>
      <c r="AH1069" s="165"/>
      <c r="AI1069" s="165"/>
      <c r="AJ1069" s="165"/>
      <c r="AK1069" s="165"/>
      <c r="AL1069" s="165"/>
      <c r="AM1069" s="165"/>
      <c r="AN1069" s="165"/>
    </row>
    <row r="1070" spans="1:40">
      <c r="A1070" s="44"/>
      <c r="B1070" s="44"/>
      <c r="C1070" s="44"/>
      <c r="D1070" s="44"/>
      <c r="E1070" s="44"/>
      <c r="F1070" s="44"/>
      <c r="G1070" s="44"/>
      <c r="H1070" s="44"/>
      <c r="I1070" s="44"/>
      <c r="J1070" s="44"/>
      <c r="K1070" s="44"/>
      <c r="L1070" s="44"/>
      <c r="M1070" s="44"/>
      <c r="N1070" s="44"/>
      <c r="O1070" s="44"/>
      <c r="P1070" s="44"/>
      <c r="Q1070" s="45"/>
      <c r="R1070" s="147"/>
      <c r="S1070" s="147"/>
      <c r="T1070" s="147"/>
      <c r="U1070" s="148"/>
      <c r="V1070" s="149"/>
      <c r="W1070" s="150"/>
      <c r="X1070" s="151"/>
      <c r="Y1070" s="44"/>
      <c r="Z1070" s="44"/>
      <c r="AA1070" s="152"/>
      <c r="AB1070" s="152"/>
      <c r="AC1070" s="152"/>
      <c r="AD1070" s="152"/>
      <c r="AE1070" s="152"/>
      <c r="AF1070" s="152"/>
      <c r="AG1070" s="152"/>
      <c r="AH1070" s="165"/>
      <c r="AI1070" s="165"/>
      <c r="AJ1070" s="165"/>
      <c r="AK1070" s="165"/>
      <c r="AL1070" s="165"/>
      <c r="AM1070" s="165"/>
      <c r="AN1070" s="165"/>
    </row>
    <row r="1071" spans="1:40">
      <c r="A1071" s="44"/>
      <c r="B1071" s="44"/>
      <c r="C1071" s="44"/>
      <c r="D1071" s="44"/>
      <c r="E1071" s="44"/>
      <c r="F1071" s="44"/>
      <c r="G1071" s="44"/>
      <c r="H1071" s="44"/>
      <c r="I1071" s="44"/>
      <c r="J1071" s="44"/>
      <c r="K1071" s="44"/>
      <c r="L1071" s="44"/>
      <c r="M1071" s="44"/>
      <c r="N1071" s="44"/>
      <c r="O1071" s="44"/>
      <c r="P1071" s="44"/>
      <c r="Q1071" s="45"/>
      <c r="R1071" s="147"/>
      <c r="S1071" s="147"/>
      <c r="T1071" s="147"/>
      <c r="U1071" s="148"/>
      <c r="V1071" s="149"/>
      <c r="W1071" s="150"/>
      <c r="X1071" s="151"/>
      <c r="Y1071" s="44"/>
      <c r="Z1071" s="44"/>
      <c r="AA1071" s="152"/>
      <c r="AB1071" s="152"/>
      <c r="AC1071" s="152"/>
      <c r="AD1071" s="152"/>
      <c r="AE1071" s="152"/>
      <c r="AF1071" s="152"/>
      <c r="AG1071" s="152"/>
      <c r="AH1071" s="165"/>
      <c r="AI1071" s="165"/>
      <c r="AJ1071" s="165"/>
      <c r="AK1071" s="165"/>
      <c r="AL1071" s="165"/>
      <c r="AM1071" s="165"/>
      <c r="AN1071" s="165"/>
    </row>
    <row r="1072" spans="1:40">
      <c r="A1072" s="44"/>
      <c r="B1072" s="44"/>
      <c r="C1072" s="44"/>
      <c r="D1072" s="44"/>
      <c r="E1072" s="44"/>
      <c r="F1072" s="44"/>
      <c r="G1072" s="44"/>
      <c r="H1072" s="44"/>
      <c r="I1072" s="44"/>
      <c r="J1072" s="44"/>
      <c r="K1072" s="44"/>
      <c r="L1072" s="44"/>
      <c r="M1072" s="44"/>
      <c r="N1072" s="44"/>
      <c r="O1072" s="44"/>
      <c r="P1072" s="44"/>
      <c r="Q1072" s="45"/>
      <c r="R1072" s="147"/>
      <c r="S1072" s="147"/>
      <c r="T1072" s="147"/>
      <c r="U1072" s="148"/>
      <c r="V1072" s="149"/>
      <c r="W1072" s="150"/>
      <c r="X1072" s="151"/>
      <c r="Y1072" s="44"/>
      <c r="Z1072" s="44"/>
      <c r="AA1072" s="152"/>
      <c r="AB1072" s="152"/>
      <c r="AC1072" s="152"/>
      <c r="AD1072" s="152"/>
      <c r="AE1072" s="152"/>
      <c r="AF1072" s="152"/>
      <c r="AG1072" s="152"/>
      <c r="AH1072" s="165"/>
      <c r="AI1072" s="165"/>
      <c r="AJ1072" s="165"/>
      <c r="AK1072" s="165"/>
      <c r="AL1072" s="165"/>
      <c r="AM1072" s="165"/>
      <c r="AN1072" s="165"/>
    </row>
    <row r="1073" spans="1:40">
      <c r="A1073" s="44"/>
      <c r="B1073" s="44"/>
      <c r="C1073" s="44"/>
      <c r="D1073" s="44"/>
      <c r="E1073" s="44"/>
      <c r="F1073" s="44"/>
      <c r="G1073" s="44"/>
      <c r="H1073" s="44"/>
      <c r="I1073" s="44"/>
      <c r="J1073" s="44"/>
      <c r="K1073" s="44"/>
      <c r="L1073" s="44"/>
      <c r="M1073" s="44"/>
      <c r="N1073" s="44"/>
      <c r="O1073" s="44"/>
      <c r="P1073" s="44"/>
      <c r="Q1073" s="45"/>
      <c r="R1073" s="147"/>
      <c r="S1073" s="147"/>
      <c r="T1073" s="147"/>
      <c r="U1073" s="148"/>
      <c r="V1073" s="149"/>
      <c r="W1073" s="150"/>
      <c r="X1073" s="151"/>
      <c r="Y1073" s="44"/>
      <c r="Z1073" s="44"/>
      <c r="AA1073" s="152"/>
      <c r="AB1073" s="152"/>
      <c r="AC1073" s="152"/>
      <c r="AD1073" s="152"/>
      <c r="AE1073" s="152"/>
      <c r="AF1073" s="152"/>
      <c r="AG1073" s="152"/>
      <c r="AH1073" s="165"/>
      <c r="AI1073" s="165"/>
      <c r="AJ1073" s="165"/>
      <c r="AK1073" s="165"/>
      <c r="AL1073" s="165"/>
      <c r="AM1073" s="165"/>
      <c r="AN1073" s="165"/>
    </row>
    <row r="1074" spans="1:40">
      <c r="A1074" s="44"/>
      <c r="B1074" s="44"/>
      <c r="C1074" s="44"/>
      <c r="D1074" s="44"/>
      <c r="E1074" s="44"/>
      <c r="F1074" s="44"/>
      <c r="G1074" s="44"/>
      <c r="H1074" s="44"/>
      <c r="I1074" s="44"/>
      <c r="J1074" s="44"/>
      <c r="K1074" s="44"/>
      <c r="L1074" s="44"/>
      <c r="M1074" s="44"/>
      <c r="N1074" s="44"/>
      <c r="O1074" s="44"/>
      <c r="P1074" s="44"/>
      <c r="Q1074" s="45"/>
      <c r="R1074" s="147"/>
      <c r="S1074" s="147"/>
      <c r="T1074" s="147"/>
      <c r="U1074" s="148"/>
      <c r="V1074" s="149"/>
      <c r="W1074" s="150"/>
      <c r="X1074" s="151"/>
      <c r="Y1074" s="44"/>
      <c r="Z1074" s="44"/>
      <c r="AA1074" s="152"/>
      <c r="AB1074" s="152"/>
      <c r="AC1074" s="152"/>
      <c r="AD1074" s="152"/>
      <c r="AE1074" s="152"/>
      <c r="AF1074" s="152"/>
      <c r="AG1074" s="152"/>
      <c r="AH1074" s="165"/>
      <c r="AI1074" s="165"/>
      <c r="AJ1074" s="165"/>
      <c r="AK1074" s="165"/>
      <c r="AL1074" s="165"/>
      <c r="AM1074" s="165"/>
      <c r="AN1074" s="165"/>
    </row>
    <row r="1075" spans="1:40">
      <c r="A1075" s="44"/>
      <c r="B1075" s="44"/>
      <c r="C1075" s="44"/>
      <c r="D1075" s="44"/>
      <c r="E1075" s="44"/>
      <c r="F1075" s="44"/>
      <c r="G1075" s="44"/>
      <c r="H1075" s="44"/>
      <c r="I1075" s="44"/>
      <c r="J1075" s="44"/>
      <c r="K1075" s="44"/>
      <c r="L1075" s="44"/>
      <c r="M1075" s="44"/>
      <c r="N1075" s="44"/>
      <c r="O1075" s="44"/>
      <c r="P1075" s="44"/>
      <c r="Q1075" s="45"/>
      <c r="R1075" s="147"/>
      <c r="S1075" s="147"/>
      <c r="T1075" s="147"/>
      <c r="U1075" s="148"/>
      <c r="V1075" s="149"/>
      <c r="W1075" s="150"/>
      <c r="X1075" s="151"/>
      <c r="Y1075" s="44"/>
      <c r="Z1075" s="44"/>
      <c r="AA1075" s="152"/>
      <c r="AB1075" s="152"/>
      <c r="AC1075" s="152"/>
      <c r="AD1075" s="152"/>
      <c r="AE1075" s="152"/>
      <c r="AF1075" s="152"/>
      <c r="AG1075" s="152"/>
      <c r="AH1075" s="165"/>
      <c r="AI1075" s="165"/>
      <c r="AJ1075" s="165"/>
      <c r="AK1075" s="165"/>
      <c r="AL1075" s="165"/>
      <c r="AM1075" s="165"/>
      <c r="AN1075" s="165"/>
    </row>
    <row r="1076" spans="1:40">
      <c r="A1076" s="44"/>
      <c r="B1076" s="44"/>
      <c r="C1076" s="44"/>
      <c r="D1076" s="44"/>
      <c r="E1076" s="44"/>
      <c r="F1076" s="44"/>
      <c r="G1076" s="44"/>
      <c r="H1076" s="44"/>
      <c r="I1076" s="44"/>
      <c r="J1076" s="44"/>
      <c r="K1076" s="44"/>
      <c r="L1076" s="44"/>
      <c r="M1076" s="44"/>
      <c r="N1076" s="44"/>
      <c r="O1076" s="44"/>
      <c r="P1076" s="44"/>
      <c r="Q1076" s="45"/>
      <c r="R1076" s="147"/>
      <c r="S1076" s="147"/>
      <c r="T1076" s="147"/>
      <c r="U1076" s="148"/>
      <c r="V1076" s="149"/>
      <c r="W1076" s="150"/>
      <c r="X1076" s="151"/>
      <c r="Y1076" s="44"/>
      <c r="Z1076" s="44"/>
      <c r="AA1076" s="152"/>
      <c r="AB1076" s="152"/>
      <c r="AC1076" s="152"/>
      <c r="AD1076" s="152"/>
      <c r="AE1076" s="152"/>
      <c r="AF1076" s="152"/>
      <c r="AG1076" s="152"/>
      <c r="AH1076" s="165"/>
      <c r="AI1076" s="165"/>
      <c r="AJ1076" s="165"/>
      <c r="AK1076" s="165"/>
      <c r="AL1076" s="165"/>
      <c r="AM1076" s="165"/>
      <c r="AN1076" s="165"/>
    </row>
    <row r="1077" spans="1:40">
      <c r="A1077" s="44"/>
      <c r="B1077" s="44"/>
      <c r="C1077" s="44"/>
      <c r="D1077" s="44"/>
      <c r="E1077" s="44"/>
      <c r="F1077" s="44"/>
      <c r="G1077" s="44"/>
      <c r="H1077" s="44"/>
      <c r="I1077" s="44"/>
      <c r="J1077" s="44"/>
      <c r="K1077" s="44"/>
      <c r="L1077" s="44"/>
      <c r="M1077" s="44"/>
      <c r="N1077" s="44"/>
      <c r="O1077" s="44"/>
      <c r="P1077" s="44"/>
      <c r="Q1077" s="45"/>
      <c r="R1077" s="147"/>
      <c r="S1077" s="147"/>
      <c r="T1077" s="147"/>
      <c r="U1077" s="148"/>
      <c r="V1077" s="149"/>
      <c r="W1077" s="150"/>
      <c r="X1077" s="151"/>
      <c r="Y1077" s="44"/>
      <c r="Z1077" s="44"/>
      <c r="AA1077" s="152"/>
      <c r="AB1077" s="152"/>
      <c r="AC1077" s="152"/>
      <c r="AD1077" s="152"/>
      <c r="AE1077" s="152"/>
      <c r="AF1077" s="152"/>
      <c r="AG1077" s="152"/>
      <c r="AH1077" s="165"/>
      <c r="AI1077" s="165"/>
      <c r="AJ1077" s="165"/>
      <c r="AK1077" s="165"/>
      <c r="AL1077" s="165"/>
      <c r="AM1077" s="165"/>
      <c r="AN1077" s="165"/>
    </row>
    <row r="1078" spans="1:40">
      <c r="A1078" s="44"/>
      <c r="B1078" s="44"/>
      <c r="C1078" s="44"/>
      <c r="D1078" s="44"/>
      <c r="E1078" s="44"/>
      <c r="F1078" s="44"/>
      <c r="G1078" s="44"/>
      <c r="H1078" s="44"/>
      <c r="I1078" s="44"/>
      <c r="J1078" s="44"/>
      <c r="K1078" s="44"/>
      <c r="L1078" s="44"/>
      <c r="M1078" s="44"/>
      <c r="N1078" s="44"/>
      <c r="O1078" s="44"/>
      <c r="P1078" s="44"/>
      <c r="Q1078" s="45"/>
      <c r="R1078" s="147"/>
      <c r="S1078" s="147"/>
      <c r="T1078" s="147"/>
      <c r="U1078" s="148"/>
      <c r="V1078" s="149"/>
      <c r="W1078" s="150"/>
      <c r="X1078" s="151"/>
      <c r="Y1078" s="44"/>
      <c r="Z1078" s="44"/>
      <c r="AA1078" s="152"/>
      <c r="AB1078" s="152"/>
      <c r="AC1078" s="152"/>
      <c r="AD1078" s="152"/>
      <c r="AE1078" s="152"/>
      <c r="AF1078" s="152"/>
      <c r="AG1078" s="152"/>
      <c r="AH1078" s="165"/>
      <c r="AI1078" s="165"/>
      <c r="AJ1078" s="165"/>
      <c r="AK1078" s="165"/>
      <c r="AL1078" s="165"/>
      <c r="AM1078" s="165"/>
      <c r="AN1078" s="165"/>
    </row>
    <row r="1079" spans="1:40">
      <c r="A1079" s="44"/>
      <c r="B1079" s="44"/>
      <c r="C1079" s="44"/>
      <c r="D1079" s="44"/>
      <c r="E1079" s="44"/>
      <c r="F1079" s="44"/>
      <c r="G1079" s="44"/>
      <c r="H1079" s="44"/>
      <c r="I1079" s="44"/>
      <c r="J1079" s="44"/>
      <c r="K1079" s="44"/>
      <c r="L1079" s="44"/>
      <c r="M1079" s="44"/>
      <c r="N1079" s="44"/>
      <c r="O1079" s="44"/>
      <c r="P1079" s="44"/>
      <c r="Q1079" s="45"/>
      <c r="R1079" s="147"/>
      <c r="S1079" s="147"/>
      <c r="T1079" s="147"/>
      <c r="U1079" s="148"/>
      <c r="V1079" s="149"/>
      <c r="W1079" s="150"/>
      <c r="X1079" s="151"/>
      <c r="Y1079" s="44"/>
      <c r="Z1079" s="44"/>
      <c r="AA1079" s="152"/>
      <c r="AB1079" s="152"/>
      <c r="AC1079" s="152"/>
      <c r="AD1079" s="152"/>
      <c r="AE1079" s="152"/>
      <c r="AF1079" s="152"/>
      <c r="AG1079" s="152"/>
      <c r="AH1079" s="165"/>
      <c r="AI1079" s="165"/>
      <c r="AJ1079" s="165"/>
      <c r="AK1079" s="165"/>
      <c r="AL1079" s="165"/>
      <c r="AM1079" s="165"/>
      <c r="AN1079" s="165"/>
    </row>
    <row r="1080" spans="1:40">
      <c r="A1080" s="44"/>
      <c r="B1080" s="44"/>
      <c r="C1080" s="44"/>
      <c r="D1080" s="44"/>
      <c r="E1080" s="44"/>
      <c r="F1080" s="44"/>
      <c r="G1080" s="44"/>
      <c r="H1080" s="44"/>
      <c r="I1080" s="44"/>
      <c r="J1080" s="44"/>
      <c r="K1080" s="44"/>
      <c r="L1080" s="44"/>
      <c r="M1080" s="44"/>
      <c r="N1080" s="44"/>
      <c r="O1080" s="44"/>
      <c r="P1080" s="44"/>
      <c r="Q1080" s="45"/>
      <c r="R1080" s="147"/>
      <c r="S1080" s="147"/>
      <c r="T1080" s="147"/>
      <c r="U1080" s="148"/>
      <c r="V1080" s="149"/>
      <c r="W1080" s="150"/>
      <c r="X1080" s="151"/>
      <c r="Y1080" s="44"/>
      <c r="Z1080" s="44"/>
      <c r="AA1080" s="152"/>
      <c r="AB1080" s="152"/>
      <c r="AC1080" s="152"/>
      <c r="AD1080" s="152"/>
      <c r="AE1080" s="152"/>
      <c r="AF1080" s="152"/>
      <c r="AG1080" s="152"/>
      <c r="AH1080" s="165"/>
      <c r="AI1080" s="165"/>
      <c r="AJ1080" s="165"/>
      <c r="AK1080" s="165"/>
      <c r="AL1080" s="165"/>
      <c r="AM1080" s="165"/>
      <c r="AN1080" s="165"/>
    </row>
    <row r="1081" spans="1:40">
      <c r="A1081" s="44"/>
      <c r="B1081" s="44"/>
      <c r="C1081" s="44"/>
      <c r="D1081" s="44"/>
      <c r="E1081" s="44"/>
      <c r="F1081" s="44"/>
      <c r="G1081" s="44"/>
      <c r="H1081" s="44"/>
      <c r="I1081" s="44"/>
      <c r="J1081" s="44"/>
      <c r="K1081" s="44"/>
      <c r="L1081" s="44"/>
      <c r="M1081" s="44"/>
      <c r="N1081" s="44"/>
      <c r="O1081" s="44"/>
      <c r="P1081" s="44"/>
      <c r="Q1081" s="45"/>
      <c r="R1081" s="147"/>
      <c r="S1081" s="147"/>
      <c r="T1081" s="147"/>
      <c r="U1081" s="148"/>
      <c r="V1081" s="149"/>
      <c r="W1081" s="150"/>
      <c r="X1081" s="151"/>
      <c r="Y1081" s="44"/>
      <c r="Z1081" s="44"/>
      <c r="AA1081" s="152"/>
      <c r="AB1081" s="152"/>
      <c r="AC1081" s="152"/>
      <c r="AD1081" s="152"/>
      <c r="AE1081" s="152"/>
      <c r="AF1081" s="152"/>
      <c r="AG1081" s="152"/>
      <c r="AH1081" s="165"/>
      <c r="AI1081" s="165"/>
      <c r="AJ1081" s="165"/>
      <c r="AK1081" s="165"/>
      <c r="AL1081" s="165"/>
      <c r="AM1081" s="165"/>
      <c r="AN1081" s="165"/>
    </row>
    <row r="1082" spans="1:40">
      <c r="A1082" s="44"/>
      <c r="B1082" s="44"/>
      <c r="C1082" s="44"/>
      <c r="D1082" s="44"/>
      <c r="E1082" s="44"/>
      <c r="F1082" s="44"/>
      <c r="G1082" s="44"/>
      <c r="H1082" s="44"/>
      <c r="I1082" s="44"/>
      <c r="J1082" s="44"/>
      <c r="K1082" s="44"/>
      <c r="L1082" s="44"/>
      <c r="M1082" s="44"/>
      <c r="N1082" s="44"/>
      <c r="O1082" s="44"/>
      <c r="P1082" s="44"/>
      <c r="Q1082" s="45"/>
      <c r="R1082" s="147"/>
      <c r="S1082" s="147"/>
      <c r="T1082" s="147"/>
      <c r="U1082" s="148"/>
      <c r="V1082" s="149"/>
      <c r="W1082" s="150"/>
      <c r="X1082" s="151"/>
      <c r="Y1082" s="44"/>
      <c r="Z1082" s="44"/>
      <c r="AA1082" s="152"/>
      <c r="AB1082" s="152"/>
      <c r="AC1082" s="152"/>
      <c r="AD1082" s="152"/>
      <c r="AE1082" s="152"/>
      <c r="AF1082" s="152"/>
      <c r="AG1082" s="152"/>
      <c r="AH1082" s="165"/>
      <c r="AI1082" s="165"/>
      <c r="AJ1082" s="165"/>
      <c r="AK1082" s="165"/>
      <c r="AL1082" s="165"/>
      <c r="AM1082" s="165"/>
      <c r="AN1082" s="165"/>
    </row>
    <row r="1083" spans="1:40">
      <c r="A1083" s="44"/>
      <c r="B1083" s="44"/>
      <c r="C1083" s="44"/>
      <c r="D1083" s="44"/>
      <c r="E1083" s="44"/>
      <c r="F1083" s="44"/>
      <c r="G1083" s="44"/>
      <c r="H1083" s="44"/>
      <c r="I1083" s="44"/>
      <c r="J1083" s="44"/>
      <c r="K1083" s="44"/>
      <c r="L1083" s="44"/>
      <c r="M1083" s="44"/>
      <c r="N1083" s="44"/>
      <c r="O1083" s="44"/>
      <c r="P1083" s="44"/>
      <c r="Q1083" s="45"/>
      <c r="R1083" s="147"/>
      <c r="S1083" s="147"/>
      <c r="T1083" s="147"/>
      <c r="U1083" s="148"/>
      <c r="V1083" s="149"/>
      <c r="W1083" s="150"/>
      <c r="X1083" s="151"/>
      <c r="Y1083" s="44"/>
      <c r="Z1083" s="44"/>
      <c r="AA1083" s="152"/>
      <c r="AB1083" s="152"/>
      <c r="AC1083" s="152"/>
      <c r="AD1083" s="152"/>
      <c r="AE1083" s="152"/>
      <c r="AF1083" s="152"/>
      <c r="AG1083" s="152"/>
      <c r="AH1083" s="165"/>
      <c r="AI1083" s="165"/>
      <c r="AJ1083" s="165"/>
      <c r="AK1083" s="165"/>
      <c r="AL1083" s="165"/>
      <c r="AM1083" s="165"/>
      <c r="AN1083" s="165"/>
    </row>
    <row r="1084" spans="1:40">
      <c r="A1084" s="44"/>
      <c r="B1084" s="44"/>
      <c r="C1084" s="44"/>
      <c r="D1084" s="44"/>
      <c r="E1084" s="44"/>
      <c r="F1084" s="44"/>
      <c r="G1084" s="44"/>
      <c r="H1084" s="44"/>
      <c r="I1084" s="44"/>
      <c r="J1084" s="44"/>
      <c r="K1084" s="44"/>
      <c r="L1084" s="44"/>
      <c r="M1084" s="44"/>
      <c r="N1084" s="44"/>
      <c r="O1084" s="44"/>
      <c r="P1084" s="44"/>
      <c r="Q1084" s="45"/>
      <c r="R1084" s="147"/>
      <c r="S1084" s="147"/>
      <c r="T1084" s="147"/>
      <c r="U1084" s="148"/>
      <c r="V1084" s="149"/>
      <c r="W1084" s="150"/>
      <c r="X1084" s="151"/>
      <c r="Y1084" s="44"/>
      <c r="Z1084" s="44"/>
      <c r="AA1084" s="152"/>
      <c r="AB1084" s="152"/>
      <c r="AC1084" s="152"/>
      <c r="AD1084" s="152"/>
      <c r="AE1084" s="152"/>
      <c r="AF1084" s="152"/>
      <c r="AG1084" s="152"/>
      <c r="AH1084" s="165"/>
      <c r="AI1084" s="165"/>
      <c r="AJ1084" s="165"/>
      <c r="AK1084" s="165"/>
      <c r="AL1084" s="165"/>
      <c r="AM1084" s="165"/>
      <c r="AN1084" s="165"/>
    </row>
    <row r="1085" spans="1:40">
      <c r="A1085" s="44"/>
      <c r="B1085" s="44"/>
      <c r="C1085" s="44"/>
      <c r="D1085" s="44"/>
      <c r="E1085" s="44"/>
      <c r="F1085" s="44"/>
      <c r="G1085" s="44"/>
      <c r="H1085" s="44"/>
      <c r="I1085" s="44"/>
      <c r="J1085" s="44"/>
      <c r="K1085" s="44"/>
      <c r="L1085" s="44"/>
      <c r="M1085" s="44"/>
      <c r="N1085" s="44"/>
      <c r="O1085" s="44"/>
      <c r="P1085" s="44"/>
      <c r="Q1085" s="45"/>
      <c r="R1085" s="147"/>
      <c r="S1085" s="147"/>
      <c r="T1085" s="147"/>
      <c r="U1085" s="148"/>
      <c r="V1085" s="149"/>
      <c r="W1085" s="150"/>
      <c r="X1085" s="151"/>
      <c r="Y1085" s="44"/>
      <c r="Z1085" s="44"/>
      <c r="AA1085" s="152"/>
      <c r="AB1085" s="152"/>
      <c r="AC1085" s="152"/>
      <c r="AD1085" s="152"/>
      <c r="AE1085" s="152"/>
      <c r="AF1085" s="152"/>
      <c r="AG1085" s="152"/>
      <c r="AH1085" s="165"/>
      <c r="AI1085" s="165"/>
      <c r="AJ1085" s="165"/>
      <c r="AK1085" s="165"/>
      <c r="AL1085" s="165"/>
      <c r="AM1085" s="165"/>
      <c r="AN1085" s="165"/>
    </row>
    <row r="1086" spans="1:40">
      <c r="A1086" s="44"/>
      <c r="B1086" s="44"/>
      <c r="C1086" s="44"/>
      <c r="D1086" s="44"/>
      <c r="E1086" s="44"/>
      <c r="F1086" s="44"/>
      <c r="G1086" s="44"/>
      <c r="H1086" s="44"/>
      <c r="I1086" s="44"/>
      <c r="J1086" s="44"/>
      <c r="K1086" s="44"/>
      <c r="L1086" s="44"/>
      <c r="M1086" s="44"/>
      <c r="N1086" s="44"/>
      <c r="O1086" s="44"/>
      <c r="P1086" s="44"/>
      <c r="Q1086" s="45"/>
      <c r="R1086" s="147"/>
      <c r="S1086" s="147"/>
      <c r="T1086" s="147"/>
      <c r="U1086" s="148"/>
      <c r="V1086" s="149"/>
      <c r="W1086" s="150"/>
      <c r="X1086" s="151"/>
      <c r="Y1086" s="44"/>
      <c r="Z1086" s="44"/>
      <c r="AA1086" s="152"/>
      <c r="AB1086" s="152"/>
      <c r="AC1086" s="152"/>
      <c r="AD1086" s="152"/>
      <c r="AE1086" s="152"/>
      <c r="AF1086" s="152"/>
      <c r="AG1086" s="152"/>
      <c r="AH1086" s="165"/>
      <c r="AI1086" s="165"/>
      <c r="AJ1086" s="165"/>
      <c r="AK1086" s="165"/>
      <c r="AL1086" s="165"/>
      <c r="AM1086" s="165"/>
      <c r="AN1086" s="165"/>
    </row>
    <row r="1087" spans="1:40">
      <c r="A1087" s="44"/>
      <c r="B1087" s="44"/>
      <c r="C1087" s="44"/>
      <c r="D1087" s="44"/>
      <c r="E1087" s="44"/>
      <c r="F1087" s="44"/>
      <c r="G1087" s="44"/>
      <c r="H1087" s="44"/>
      <c r="I1087" s="44"/>
      <c r="J1087" s="44"/>
      <c r="K1087" s="44"/>
      <c r="L1087" s="44"/>
      <c r="M1087" s="44"/>
      <c r="N1087" s="44"/>
      <c r="O1087" s="44"/>
      <c r="P1087" s="44"/>
      <c r="Q1087" s="45"/>
      <c r="R1087" s="147"/>
      <c r="S1087" s="147"/>
      <c r="T1087" s="147"/>
      <c r="U1087" s="148"/>
      <c r="V1087" s="149"/>
      <c r="W1087" s="150"/>
      <c r="X1087" s="151"/>
      <c r="Y1087" s="44"/>
      <c r="Z1087" s="44"/>
      <c r="AA1087" s="152"/>
      <c r="AB1087" s="152"/>
      <c r="AC1087" s="152"/>
      <c r="AD1087" s="152"/>
      <c r="AE1087" s="152"/>
      <c r="AF1087" s="152"/>
      <c r="AG1087" s="152"/>
      <c r="AH1087" s="165"/>
      <c r="AI1087" s="165"/>
      <c r="AJ1087" s="165"/>
      <c r="AK1087" s="165"/>
      <c r="AL1087" s="165"/>
      <c r="AM1087" s="165"/>
      <c r="AN1087" s="165"/>
    </row>
    <row r="1088" spans="1:40">
      <c r="A1088" s="44"/>
      <c r="B1088" s="44"/>
      <c r="C1088" s="44"/>
      <c r="D1088" s="44"/>
      <c r="E1088" s="44"/>
      <c r="F1088" s="44"/>
      <c r="G1088" s="44"/>
      <c r="H1088" s="44"/>
      <c r="I1088" s="44"/>
      <c r="J1088" s="44"/>
      <c r="K1088" s="44"/>
      <c r="L1088" s="44"/>
      <c r="M1088" s="44"/>
      <c r="N1088" s="44"/>
      <c r="O1088" s="44"/>
      <c r="P1088" s="44"/>
      <c r="Q1088" s="45"/>
      <c r="R1088" s="147"/>
      <c r="S1088" s="147"/>
      <c r="T1088" s="147"/>
      <c r="U1088" s="148"/>
      <c r="V1088" s="149"/>
      <c r="W1088" s="150"/>
      <c r="X1088" s="151"/>
      <c r="Y1088" s="44"/>
      <c r="Z1088" s="44"/>
      <c r="AA1088" s="152"/>
      <c r="AB1088" s="152"/>
      <c r="AC1088" s="152"/>
      <c r="AD1088" s="152"/>
      <c r="AE1088" s="152"/>
      <c r="AF1088" s="152"/>
      <c r="AG1088" s="152"/>
      <c r="AH1088" s="165"/>
      <c r="AI1088" s="165"/>
      <c r="AJ1088" s="165"/>
      <c r="AK1088" s="165"/>
      <c r="AL1088" s="165"/>
      <c r="AM1088" s="165"/>
      <c r="AN1088" s="165"/>
    </row>
    <row r="1089" spans="1:40">
      <c r="A1089" s="44"/>
      <c r="B1089" s="44"/>
      <c r="C1089" s="44"/>
      <c r="D1089" s="44"/>
      <c r="E1089" s="44"/>
      <c r="F1089" s="44"/>
      <c r="G1089" s="44"/>
      <c r="H1089" s="44"/>
      <c r="I1089" s="44"/>
      <c r="J1089" s="44"/>
      <c r="K1089" s="44"/>
      <c r="L1089" s="44"/>
      <c r="M1089" s="44"/>
      <c r="N1089" s="44"/>
      <c r="O1089" s="44"/>
      <c r="P1089" s="44"/>
      <c r="Q1089" s="45"/>
      <c r="R1089" s="147"/>
      <c r="S1089" s="147"/>
      <c r="T1089" s="147"/>
      <c r="U1089" s="148"/>
      <c r="V1089" s="149"/>
      <c r="W1089" s="150"/>
      <c r="X1089" s="151"/>
      <c r="Y1089" s="44"/>
      <c r="Z1089" s="44"/>
      <c r="AA1089" s="152"/>
      <c r="AB1089" s="152"/>
      <c r="AC1089" s="152"/>
      <c r="AD1089" s="152"/>
      <c r="AE1089" s="152"/>
      <c r="AF1089" s="152"/>
      <c r="AG1089" s="152"/>
      <c r="AH1089" s="165"/>
      <c r="AI1089" s="165"/>
      <c r="AJ1089" s="165"/>
      <c r="AK1089" s="165"/>
      <c r="AL1089" s="165"/>
      <c r="AM1089" s="165"/>
      <c r="AN1089" s="165"/>
    </row>
    <row r="1090" spans="1:40">
      <c r="A1090" s="44"/>
      <c r="B1090" s="44"/>
      <c r="C1090" s="44"/>
      <c r="D1090" s="44"/>
      <c r="E1090" s="44"/>
      <c r="F1090" s="44"/>
      <c r="G1090" s="44"/>
      <c r="H1090" s="44"/>
      <c r="I1090" s="44"/>
      <c r="J1090" s="44"/>
      <c r="K1090" s="44"/>
      <c r="L1090" s="44"/>
      <c r="M1090" s="44"/>
      <c r="N1090" s="44"/>
      <c r="O1090" s="44"/>
      <c r="P1090" s="44"/>
      <c r="Q1090" s="45"/>
      <c r="R1090" s="147"/>
      <c r="S1090" s="147"/>
      <c r="T1090" s="147"/>
      <c r="U1090" s="148"/>
      <c r="V1090" s="149"/>
      <c r="W1090" s="150"/>
      <c r="X1090" s="151"/>
      <c r="Y1090" s="44"/>
      <c r="Z1090" s="44"/>
      <c r="AA1090" s="152"/>
      <c r="AB1090" s="152"/>
      <c r="AC1090" s="152"/>
      <c r="AD1090" s="152"/>
      <c r="AE1090" s="152"/>
      <c r="AF1090" s="152"/>
      <c r="AG1090" s="152"/>
      <c r="AH1090" s="165"/>
      <c r="AI1090" s="165"/>
      <c r="AJ1090" s="165"/>
      <c r="AK1090" s="165"/>
      <c r="AL1090" s="165"/>
      <c r="AM1090" s="165"/>
      <c r="AN1090" s="165"/>
    </row>
    <row r="1091" spans="1:40">
      <c r="A1091" s="44"/>
      <c r="B1091" s="44"/>
      <c r="C1091" s="44"/>
      <c r="D1091" s="44"/>
      <c r="E1091" s="44"/>
      <c r="F1091" s="44"/>
      <c r="G1091" s="44"/>
      <c r="H1091" s="44"/>
      <c r="I1091" s="44"/>
      <c r="J1091" s="44"/>
      <c r="K1091" s="44"/>
      <c r="L1091" s="44"/>
      <c r="M1091" s="44"/>
      <c r="N1091" s="44"/>
      <c r="O1091" s="44"/>
      <c r="P1091" s="44"/>
      <c r="Q1091" s="45"/>
      <c r="R1091" s="147"/>
      <c r="S1091" s="147"/>
      <c r="T1091" s="147"/>
      <c r="U1091" s="148"/>
      <c r="V1091" s="149"/>
      <c r="W1091" s="150"/>
      <c r="X1091" s="151"/>
      <c r="Y1091" s="44"/>
      <c r="Z1091" s="44"/>
      <c r="AA1091" s="152"/>
      <c r="AB1091" s="152"/>
      <c r="AC1091" s="152"/>
      <c r="AD1091" s="152"/>
      <c r="AE1091" s="152"/>
      <c r="AF1091" s="152"/>
      <c r="AG1091" s="152"/>
      <c r="AH1091" s="165"/>
      <c r="AI1091" s="165"/>
      <c r="AJ1091" s="165"/>
      <c r="AK1091" s="165"/>
      <c r="AL1091" s="165"/>
      <c r="AM1091" s="165"/>
      <c r="AN1091" s="165"/>
    </row>
    <row r="1092" spans="1:40">
      <c r="A1092" s="44"/>
      <c r="B1092" s="44"/>
      <c r="C1092" s="44"/>
      <c r="D1092" s="44"/>
      <c r="E1092" s="44"/>
      <c r="F1092" s="44"/>
      <c r="G1092" s="44"/>
      <c r="H1092" s="44"/>
      <c r="I1092" s="44"/>
      <c r="J1092" s="44"/>
      <c r="K1092" s="44"/>
      <c r="L1092" s="44"/>
      <c r="M1092" s="44"/>
      <c r="N1092" s="44"/>
      <c r="O1092" s="44"/>
      <c r="P1092" s="44"/>
      <c r="Q1092" s="45"/>
      <c r="R1092" s="147"/>
      <c r="S1092" s="147"/>
      <c r="T1092" s="147"/>
      <c r="U1092" s="148"/>
      <c r="V1092" s="149"/>
      <c r="W1092" s="150"/>
      <c r="X1092" s="151"/>
      <c r="Y1092" s="44"/>
      <c r="Z1092" s="44"/>
      <c r="AA1092" s="152"/>
      <c r="AB1092" s="152"/>
      <c r="AC1092" s="152"/>
      <c r="AD1092" s="152"/>
      <c r="AE1092" s="152"/>
      <c r="AF1092" s="152"/>
      <c r="AG1092" s="152"/>
      <c r="AH1092" s="165"/>
      <c r="AI1092" s="165"/>
      <c r="AJ1092" s="165"/>
      <c r="AK1092" s="165"/>
      <c r="AL1092" s="165"/>
      <c r="AM1092" s="165"/>
      <c r="AN1092" s="165"/>
    </row>
    <row r="1093" spans="1:40">
      <c r="A1093" s="44"/>
      <c r="B1093" s="44"/>
      <c r="C1093" s="44"/>
      <c r="D1093" s="44"/>
      <c r="E1093" s="44"/>
      <c r="F1093" s="44"/>
      <c r="G1093" s="44"/>
      <c r="H1093" s="44"/>
      <c r="I1093" s="44"/>
      <c r="J1093" s="44"/>
      <c r="K1093" s="44"/>
      <c r="L1093" s="44"/>
      <c r="M1093" s="44"/>
      <c r="N1093" s="44"/>
      <c r="O1093" s="44"/>
      <c r="P1093" s="44"/>
      <c r="Q1093" s="45"/>
      <c r="R1093" s="147"/>
      <c r="S1093" s="147"/>
      <c r="T1093" s="147"/>
      <c r="U1093" s="148"/>
      <c r="V1093" s="149"/>
      <c r="W1093" s="150"/>
      <c r="X1093" s="151"/>
      <c r="Y1093" s="44"/>
      <c r="Z1093" s="44"/>
      <c r="AA1093" s="152"/>
      <c r="AB1093" s="152"/>
      <c r="AC1093" s="152"/>
      <c r="AD1093" s="152"/>
      <c r="AE1093" s="152"/>
      <c r="AF1093" s="152"/>
      <c r="AG1093" s="152"/>
      <c r="AH1093" s="165"/>
      <c r="AI1093" s="165"/>
      <c r="AJ1093" s="165"/>
      <c r="AK1093" s="165"/>
      <c r="AL1093" s="165"/>
      <c r="AM1093" s="165"/>
      <c r="AN1093" s="165"/>
    </row>
    <row r="1094" spans="1:40">
      <c r="A1094" s="44"/>
      <c r="B1094" s="44"/>
      <c r="C1094" s="44"/>
      <c r="D1094" s="44"/>
      <c r="E1094" s="44"/>
      <c r="F1094" s="44"/>
      <c r="G1094" s="44"/>
      <c r="H1094" s="44"/>
      <c r="I1094" s="44"/>
      <c r="J1094" s="44"/>
      <c r="K1094" s="44"/>
      <c r="L1094" s="44"/>
      <c r="M1094" s="44"/>
      <c r="N1094" s="44"/>
      <c r="O1094" s="44"/>
      <c r="P1094" s="44"/>
      <c r="Q1094" s="45"/>
      <c r="R1094" s="147"/>
      <c r="S1094" s="147"/>
      <c r="T1094" s="147"/>
      <c r="U1094" s="148"/>
      <c r="V1094" s="149"/>
      <c r="W1094" s="150"/>
      <c r="X1094" s="151"/>
      <c r="Y1094" s="44"/>
      <c r="Z1094" s="44"/>
      <c r="AA1094" s="152"/>
      <c r="AB1094" s="152"/>
      <c r="AC1094" s="152"/>
      <c r="AD1094" s="152"/>
      <c r="AE1094" s="152"/>
      <c r="AF1094" s="152"/>
      <c r="AG1094" s="152"/>
      <c r="AH1094" s="165"/>
      <c r="AI1094" s="165"/>
      <c r="AJ1094" s="165"/>
      <c r="AK1094" s="165"/>
      <c r="AL1094" s="165"/>
      <c r="AM1094" s="165"/>
      <c r="AN1094" s="165"/>
    </row>
    <row r="1095" spans="1:40">
      <c r="A1095" s="44"/>
      <c r="B1095" s="44"/>
      <c r="C1095" s="44"/>
      <c r="D1095" s="44"/>
      <c r="E1095" s="44"/>
      <c r="F1095" s="44"/>
      <c r="G1095" s="44"/>
      <c r="H1095" s="44"/>
      <c r="I1095" s="44"/>
      <c r="J1095" s="44"/>
      <c r="K1095" s="44"/>
      <c r="L1095" s="44"/>
      <c r="M1095" s="44"/>
      <c r="N1095" s="44"/>
      <c r="O1095" s="44"/>
      <c r="P1095" s="44"/>
      <c r="Q1095" s="45"/>
      <c r="R1095" s="147"/>
      <c r="S1095" s="147"/>
      <c r="T1095" s="147"/>
      <c r="U1095" s="148"/>
      <c r="V1095" s="149"/>
      <c r="W1095" s="150"/>
      <c r="X1095" s="151"/>
      <c r="Y1095" s="44"/>
      <c r="Z1095" s="44"/>
      <c r="AA1095" s="152"/>
      <c r="AB1095" s="152"/>
      <c r="AC1095" s="152"/>
      <c r="AD1095" s="152"/>
      <c r="AE1095" s="152"/>
      <c r="AF1095" s="152"/>
      <c r="AG1095" s="152"/>
      <c r="AH1095" s="165"/>
      <c r="AI1095" s="165"/>
      <c r="AJ1095" s="165"/>
      <c r="AK1095" s="165"/>
      <c r="AL1095" s="165"/>
      <c r="AM1095" s="165"/>
      <c r="AN1095" s="165"/>
    </row>
    <row r="1096" spans="1:40">
      <c r="A1096" s="44"/>
      <c r="B1096" s="44"/>
      <c r="C1096" s="44"/>
      <c r="D1096" s="44"/>
      <c r="E1096" s="44"/>
      <c r="F1096" s="44"/>
      <c r="G1096" s="44"/>
      <c r="H1096" s="44"/>
      <c r="I1096" s="44"/>
      <c r="J1096" s="44"/>
      <c r="K1096" s="44"/>
      <c r="L1096" s="44"/>
      <c r="M1096" s="44"/>
      <c r="N1096" s="44"/>
      <c r="O1096" s="44"/>
      <c r="P1096" s="44"/>
      <c r="Q1096" s="45"/>
      <c r="R1096" s="147"/>
      <c r="S1096" s="147"/>
      <c r="T1096" s="147"/>
      <c r="U1096" s="148"/>
      <c r="V1096" s="149"/>
      <c r="W1096" s="150"/>
      <c r="X1096" s="151"/>
      <c r="Y1096" s="44"/>
      <c r="Z1096" s="44"/>
      <c r="AA1096" s="152"/>
      <c r="AB1096" s="152"/>
      <c r="AC1096" s="152"/>
      <c r="AD1096" s="152"/>
      <c r="AE1096" s="152"/>
      <c r="AF1096" s="152"/>
      <c r="AG1096" s="152"/>
      <c r="AH1096" s="165"/>
      <c r="AI1096" s="165"/>
      <c r="AJ1096" s="165"/>
      <c r="AK1096" s="165"/>
      <c r="AL1096" s="165"/>
      <c r="AM1096" s="165"/>
      <c r="AN1096" s="165"/>
    </row>
    <row r="1097" spans="1:40">
      <c r="A1097" s="44"/>
      <c r="B1097" s="44"/>
      <c r="C1097" s="44"/>
      <c r="D1097" s="44"/>
      <c r="E1097" s="44"/>
      <c r="F1097" s="44"/>
      <c r="G1097" s="44"/>
      <c r="H1097" s="44"/>
      <c r="I1097" s="44"/>
      <c r="J1097" s="44"/>
      <c r="K1097" s="44"/>
      <c r="L1097" s="44"/>
      <c r="M1097" s="44"/>
      <c r="N1097" s="44"/>
      <c r="O1097" s="44"/>
      <c r="P1097" s="44"/>
      <c r="Q1097" s="45"/>
      <c r="R1097" s="147"/>
      <c r="S1097" s="147"/>
      <c r="T1097" s="147"/>
      <c r="U1097" s="148"/>
      <c r="V1097" s="149"/>
      <c r="W1097" s="150"/>
      <c r="X1097" s="151"/>
      <c r="Y1097" s="44"/>
      <c r="Z1097" s="44"/>
      <c r="AA1097" s="152"/>
      <c r="AB1097" s="152"/>
      <c r="AC1097" s="152"/>
      <c r="AD1097" s="152"/>
      <c r="AE1097" s="152"/>
      <c r="AF1097" s="152"/>
      <c r="AG1097" s="152"/>
      <c r="AH1097" s="165"/>
      <c r="AI1097" s="165"/>
      <c r="AJ1097" s="165"/>
      <c r="AK1097" s="165"/>
      <c r="AL1097" s="165"/>
      <c r="AM1097" s="165"/>
      <c r="AN1097" s="165"/>
    </row>
    <row r="1098" spans="1:40">
      <c r="A1098" s="44"/>
      <c r="B1098" s="44"/>
      <c r="C1098" s="44"/>
      <c r="D1098" s="44"/>
      <c r="E1098" s="44"/>
      <c r="F1098" s="44"/>
      <c r="G1098" s="44"/>
      <c r="H1098" s="44"/>
      <c r="I1098" s="44"/>
      <c r="J1098" s="44"/>
      <c r="K1098" s="44"/>
      <c r="L1098" s="44"/>
      <c r="M1098" s="44"/>
      <c r="N1098" s="44"/>
      <c r="O1098" s="44"/>
      <c r="P1098" s="44"/>
      <c r="Q1098" s="45"/>
      <c r="R1098" s="147"/>
      <c r="S1098" s="147"/>
      <c r="T1098" s="147"/>
      <c r="U1098" s="148"/>
      <c r="V1098" s="149"/>
      <c r="W1098" s="150"/>
      <c r="X1098" s="151"/>
      <c r="Y1098" s="44"/>
      <c r="Z1098" s="44"/>
      <c r="AA1098" s="152"/>
      <c r="AB1098" s="152"/>
      <c r="AC1098" s="152"/>
      <c r="AD1098" s="152"/>
      <c r="AE1098" s="152"/>
      <c r="AF1098" s="152"/>
      <c r="AG1098" s="152"/>
      <c r="AH1098" s="165"/>
      <c r="AI1098" s="165"/>
      <c r="AJ1098" s="165"/>
      <c r="AK1098" s="165"/>
      <c r="AL1098" s="165"/>
      <c r="AM1098" s="165"/>
      <c r="AN1098" s="165"/>
    </row>
    <row r="1099" spans="1:40">
      <c r="A1099" s="44"/>
      <c r="B1099" s="44"/>
      <c r="C1099" s="44"/>
      <c r="D1099" s="44"/>
      <c r="E1099" s="44"/>
      <c r="F1099" s="44"/>
      <c r="G1099" s="44"/>
      <c r="H1099" s="44"/>
      <c r="I1099" s="44"/>
      <c r="J1099" s="44"/>
      <c r="K1099" s="44"/>
      <c r="L1099" s="44"/>
      <c r="M1099" s="44"/>
      <c r="N1099" s="44"/>
      <c r="O1099" s="44"/>
      <c r="P1099" s="44"/>
      <c r="Q1099" s="45"/>
      <c r="R1099" s="147"/>
      <c r="S1099" s="147"/>
      <c r="T1099" s="147"/>
      <c r="U1099" s="148"/>
      <c r="V1099" s="149"/>
      <c r="W1099" s="150"/>
      <c r="X1099" s="151"/>
      <c r="Y1099" s="44"/>
      <c r="Z1099" s="44"/>
      <c r="AA1099" s="152"/>
      <c r="AB1099" s="152"/>
      <c r="AC1099" s="152"/>
      <c r="AD1099" s="152"/>
      <c r="AE1099" s="152"/>
      <c r="AF1099" s="152"/>
      <c r="AG1099" s="152"/>
      <c r="AH1099" s="165"/>
      <c r="AI1099" s="165"/>
      <c r="AJ1099" s="165"/>
      <c r="AK1099" s="165"/>
      <c r="AL1099" s="165"/>
      <c r="AM1099" s="165"/>
      <c r="AN1099" s="165"/>
    </row>
  </sheetData>
  <dataValidations count="1">
    <dataValidation type="list" allowBlank="1" showErrorMessage="1" sqref="U2:U32" xr:uid="{00000000-0002-0000-0400-000002000000}">
      <formula1>"Yes,No"</formula1>
    </dataValidation>
  </dataValidations>
  <hyperlinks>
    <hyperlink ref="F2" r:id="rId1" xr:uid="{00000000-0004-0000-0400-000000000000}"/>
    <hyperlink ref="F6" r:id="rId2" xr:uid="{00000000-0004-0000-0400-000001000000}"/>
    <hyperlink ref="F13" r:id="rId3" xr:uid="{00000000-0004-0000-0400-000002000000}"/>
    <hyperlink ref="F17" r:id="rId4" xr:uid="{00000000-0004-0000-0400-000003000000}"/>
    <hyperlink ref="F21" r:id="rId5" xr:uid="{00000000-0004-0000-0400-000004000000}"/>
    <hyperlink ref="F22" r:id="rId6" xr:uid="{00000000-0004-0000-0400-000005000000}"/>
    <hyperlink ref="F27" r:id="rId7" xr:uid="{00000000-0004-0000-0400-000006000000}"/>
    <hyperlink ref="F33" r:id="rId8" xr:uid="{00000000-0004-0000-0400-000007000000}"/>
    <hyperlink ref="F41" r:id="rId9" xr:uid="{00000000-0004-0000-0400-000008000000}"/>
    <hyperlink ref="F46" r:id="rId10" xr:uid="{00000000-0004-0000-0400-000009000000}"/>
    <hyperlink ref="F48" r:id="rId11" xr:uid="{00000000-0004-0000-0400-00000A000000}"/>
    <hyperlink ref="F51" r:id="rId12" xr:uid="{00000000-0004-0000-0400-00000B000000}"/>
    <hyperlink ref="F55" r:id="rId13" xr:uid="{00000000-0004-0000-0400-00000C000000}"/>
    <hyperlink ref="F58" r:id="rId14" xr:uid="{00000000-0004-0000-0400-00000D000000}"/>
    <hyperlink ref="F63" r:id="rId15" xr:uid="{00000000-0004-0000-0400-00000E000000}"/>
    <hyperlink ref="F67" r:id="rId16" xr:uid="{00000000-0004-0000-0400-00000F000000}"/>
    <hyperlink ref="F68" r:id="rId17" xr:uid="{00000000-0004-0000-0400-000010000000}"/>
    <hyperlink ref="F73" r:id="rId18" xr:uid="{00000000-0004-0000-0400-000011000000}"/>
    <hyperlink ref="F75" r:id="rId19" xr:uid="{00000000-0004-0000-0400-000012000000}"/>
    <hyperlink ref="F78" r:id="rId20" xr:uid="{00000000-0004-0000-0400-000013000000}"/>
    <hyperlink ref="F83" r:id="rId21" xr:uid="{00000000-0004-0000-0400-000014000000}"/>
    <hyperlink ref="F93" r:id="rId22" xr:uid="{00000000-0004-0000-0400-000015000000}"/>
    <hyperlink ref="F99" r:id="rId23" xr:uid="{00000000-0004-0000-0400-000016000000}"/>
    <hyperlink ref="F104" r:id="rId24" xr:uid="{00000000-0004-0000-0400-000017000000}"/>
    <hyperlink ref="F121" r:id="rId25" xr:uid="{00000000-0004-0000-0400-000018000000}"/>
    <hyperlink ref="F129" r:id="rId26" xr:uid="{00000000-0004-0000-0400-000019000000}"/>
    <hyperlink ref="F135" r:id="rId27" xr:uid="{00000000-0004-0000-0400-00001A000000}"/>
    <hyperlink ref="F141" r:id="rId28" xr:uid="{00000000-0004-0000-0400-00001B000000}"/>
    <hyperlink ref="F144" r:id="rId29" xr:uid="{00000000-0004-0000-0400-00001C000000}"/>
    <hyperlink ref="F146" r:id="rId30" xr:uid="{00000000-0004-0000-0400-00001D000000}"/>
    <hyperlink ref="F148" r:id="rId31" xr:uid="{00000000-0004-0000-0400-00001E000000}"/>
    <hyperlink ref="F154" r:id="rId32" xr:uid="{00000000-0004-0000-0400-00001F000000}"/>
    <hyperlink ref="F156" r:id="rId33" xr:uid="{00000000-0004-0000-0400-000020000000}"/>
    <hyperlink ref="F158" r:id="rId34" xr:uid="{00000000-0004-0000-0400-000021000000}"/>
    <hyperlink ref="F160" r:id="rId35" xr:uid="{00000000-0004-0000-0400-000022000000}"/>
    <hyperlink ref="F162" r:id="rId36" xr:uid="{00000000-0004-0000-0400-000023000000}"/>
    <hyperlink ref="F169" r:id="rId37" xr:uid="{00000000-0004-0000-0400-000024000000}"/>
    <hyperlink ref="F173" r:id="rId38" xr:uid="{00000000-0004-0000-0400-000025000000}"/>
  </hyperlinks>
  <pageMargins left="0.7" right="0.7" top="0.75" bottom="0.75" header="0.3" footer="0.3"/>
  <drawing r:id="rId39"/>
  <legacyDrawing r:id="rId40"/>
  <extLst>
    <ext xmlns:x14="http://schemas.microsoft.com/office/spreadsheetml/2009/9/main" uri="{CCE6A557-97BC-4b89-ADB6-D9C93CAAB3DF}">
      <x14:dataValidations xmlns:xm="http://schemas.microsoft.com/office/excel/2006/main" count="6">
        <x14:dataValidation type="list" allowBlank="1" xr:uid="{00000000-0002-0000-0400-000000000000}">
          <x14:formula1>
            <xm:f>Fields!$F$2:$F$4</xm:f>
          </x14:formula1>
          <xm:sqref>C2:C74 C76:C77 C79:C82 C84:C86 C94:C98 C100:C103 C105:C120 C122:C126 C130:C134 C170:C172 C174:C802</xm:sqref>
        </x14:dataValidation>
        <x14:dataValidation type="list" allowBlank="1" xr:uid="{00000000-0002-0000-0400-000001000000}">
          <x14:formula1>
            <xm:f>Fields!$D$2:$D$15</xm:f>
          </x14:formula1>
          <xm:sqref>B75 B78 B83 B99:B122 B129 B135:B169 B173</xm:sqref>
        </x14:dataValidation>
        <x14:dataValidation type="list" allowBlank="1" xr:uid="{00000000-0002-0000-0400-000003000000}">
          <x14:formula1>
            <xm:f>Fields!$D$2:$D$4</xm:f>
          </x14:formula1>
          <xm:sqref>B46 B48</xm:sqref>
        </x14:dataValidation>
        <x14:dataValidation type="list" allowBlank="1" xr:uid="{00000000-0002-0000-0400-000004000000}">
          <x14:formula1>
            <xm:f>Fields!$F$2:$F$12</xm:f>
          </x14:formula1>
          <xm:sqref>C75 C78 C83 C87:C93 C99 C104 C121 C127:C129 C135:C169 C173</xm:sqref>
        </x14:dataValidation>
        <x14:dataValidation type="list" allowBlank="1" xr:uid="{00000000-0002-0000-0400-000005000000}">
          <x14:formula1>
            <xm:f>Fields!$A$2:$A$8</xm:f>
          </x14:formula1>
          <xm:sqref>D46:D169 D173</xm:sqref>
        </x14:dataValidation>
        <x14:dataValidation type="list" allowBlank="1" xr:uid="{00000000-0002-0000-0400-000006000000}">
          <x14:formula1>
            <xm:f>Fields!$D$2:$D$6</xm:f>
          </x14:formula1>
          <xm:sqref>B51 B55:B58 B63:B73</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130"/>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5.42578125" customWidth="1"/>
    <col min="6" max="6" width="4.7109375" customWidth="1"/>
    <col min="7" max="7" width="28.42578125" customWidth="1"/>
    <col min="8" max="8" width="40.57031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2" t="s">
        <v>1</v>
      </c>
      <c r="B1" s="7" t="str">
        <f>HYPERLINK("#rangeid=2086300674","Content Owner")</f>
        <v>Content Owner</v>
      </c>
      <c r="C1" s="11" t="str">
        <f>HYPERLINK("#rangeid=632369931","Video Owner")</f>
        <v>Video Owner</v>
      </c>
      <c r="D1" s="13" t="s">
        <v>6</v>
      </c>
      <c r="E1" s="14" t="s">
        <v>12</v>
      </c>
      <c r="F1" s="16" t="s">
        <v>16</v>
      </c>
      <c r="G1" s="2" t="s">
        <v>18</v>
      </c>
      <c r="H1" s="26" t="str">
        <f>HYPERLINK("#rangeid=906849400","Description")</f>
        <v>Description</v>
      </c>
      <c r="I1" s="21" t="s">
        <v>22</v>
      </c>
      <c r="J1" s="2" t="s">
        <v>24</v>
      </c>
      <c r="K1" s="23" t="s">
        <v>25</v>
      </c>
      <c r="L1" s="2" t="s">
        <v>27</v>
      </c>
      <c r="M1" s="2" t="s">
        <v>28</v>
      </c>
      <c r="N1" s="2"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c r="AC1" s="37"/>
      <c r="AD1" s="37"/>
      <c r="AE1" s="37"/>
      <c r="AF1" s="37"/>
      <c r="AG1" s="37"/>
      <c r="AH1" s="37"/>
      <c r="AI1" s="37"/>
      <c r="AJ1" s="37"/>
      <c r="AK1" s="37"/>
    </row>
    <row r="2" spans="1:37">
      <c r="A2" s="38">
        <v>328</v>
      </c>
      <c r="B2" s="39" t="s">
        <v>596</v>
      </c>
      <c r="C2" s="40"/>
      <c r="D2" s="38"/>
      <c r="E2" s="38" t="s">
        <v>1388</v>
      </c>
      <c r="F2" s="43" t="s">
        <v>1389</v>
      </c>
      <c r="G2" s="44"/>
      <c r="H2" s="45"/>
      <c r="I2" s="38"/>
      <c r="J2" s="38">
        <f>16*1000</f>
        <v>16000</v>
      </c>
      <c r="K2" s="46">
        <v>6.0740740740740741E-2</v>
      </c>
      <c r="L2" s="47" t="s">
        <v>1283</v>
      </c>
      <c r="M2" s="201"/>
      <c r="N2" s="201"/>
      <c r="O2" s="38">
        <f t="shared" ref="O2:O12" si="0">N2-M2</f>
        <v>0</v>
      </c>
      <c r="P2" s="66"/>
      <c r="Q2" s="14" t="str">
        <f t="shared" ref="Q2:Q33" ca="1" si="1">HYPERLINK(IF(INT(A2)-A2=0,"",REPLACE(INDIRECT("MasterList!e"&amp;INT(A2)+1),25,8,"embed/")&amp;"?start="&amp;HOUR(M2)*3600+MINUTE(M2)*60+SECOND(M2)&amp;"&amp;end="&amp;HOUR(N2)*3600+MINUTE(N2)*60+SECOND(N2)&amp;"&amp;autoplay=1"))</f>
        <v/>
      </c>
      <c r="R2" s="39" t="s">
        <v>131</v>
      </c>
      <c r="S2" s="39" t="s">
        <v>442</v>
      </c>
      <c r="T2" s="39" t="s">
        <v>63</v>
      </c>
      <c r="U2" s="40"/>
      <c r="V2" s="54"/>
      <c r="W2" s="69" t="s">
        <v>151</v>
      </c>
      <c r="X2" s="56"/>
      <c r="Y2" s="96" t="s">
        <v>1519</v>
      </c>
      <c r="Z2" s="96" t="s">
        <v>1522</v>
      </c>
      <c r="AA2" s="88"/>
      <c r="AB2" s="88"/>
    </row>
    <row r="3" spans="1:37">
      <c r="A3" s="38">
        <v>750</v>
      </c>
      <c r="B3" s="39" t="s">
        <v>596</v>
      </c>
      <c r="C3" s="40"/>
      <c r="D3" s="42" t="s">
        <v>56</v>
      </c>
      <c r="E3" s="38" t="s">
        <v>1523</v>
      </c>
      <c r="F3" s="43" t="s">
        <v>1524</v>
      </c>
      <c r="G3" s="44"/>
      <c r="H3" s="45"/>
      <c r="I3" s="38"/>
      <c r="J3" s="38">
        <f>14*1000</f>
        <v>14000</v>
      </c>
      <c r="K3" s="46">
        <v>4.2465277777777775E-2</v>
      </c>
      <c r="L3" s="47" t="s">
        <v>1525</v>
      </c>
      <c r="M3" s="38"/>
      <c r="N3" s="38"/>
      <c r="O3" s="38">
        <f t="shared" si="0"/>
        <v>0</v>
      </c>
      <c r="P3" s="202">
        <v>43019</v>
      </c>
      <c r="Q3" s="14" t="str">
        <f t="shared" ca="1" si="1"/>
        <v/>
      </c>
      <c r="R3" s="51"/>
      <c r="S3" s="51"/>
      <c r="T3" s="51"/>
      <c r="U3" s="40"/>
      <c r="V3" s="54"/>
      <c r="W3" s="55"/>
      <c r="X3" s="56"/>
      <c r="Y3" s="88"/>
      <c r="Z3" s="88"/>
      <c r="AA3" s="88"/>
      <c r="AB3" s="88"/>
    </row>
    <row r="4" spans="1:37">
      <c r="A4" s="154">
        <v>750.01</v>
      </c>
      <c r="B4" s="39" t="s">
        <v>596</v>
      </c>
      <c r="C4" s="40"/>
      <c r="D4" s="42" t="s">
        <v>56</v>
      </c>
      <c r="F4" s="154"/>
      <c r="G4" s="154" t="s">
        <v>1528</v>
      </c>
      <c r="H4" s="154" t="s">
        <v>1529</v>
      </c>
      <c r="I4" s="154" t="s">
        <v>1530</v>
      </c>
      <c r="J4" s="203"/>
      <c r="K4" s="203"/>
      <c r="L4" s="203"/>
      <c r="M4" s="204">
        <v>1.4699074074074074E-3</v>
      </c>
      <c r="N4" s="204">
        <v>5.9837962962962961E-3</v>
      </c>
      <c r="O4" s="77">
        <f t="shared" si="0"/>
        <v>4.5138888888888885E-3</v>
      </c>
      <c r="P4" s="202">
        <v>43019</v>
      </c>
      <c r="Q4" s="59" t="str">
        <f t="shared" ca="1" si="1"/>
        <v>https://www.youtube.com/embed/dHQ-HMVdPyE?start=127&amp;end=517&amp;autoplay=1</v>
      </c>
      <c r="R4" s="205" t="s">
        <v>63</v>
      </c>
      <c r="S4" s="205" t="s">
        <v>63</v>
      </c>
      <c r="T4" s="205" t="s">
        <v>63</v>
      </c>
      <c r="U4" s="203"/>
      <c r="V4" s="203"/>
      <c r="W4" s="154" t="s">
        <v>64</v>
      </c>
    </row>
    <row r="5" spans="1:37">
      <c r="A5" s="154">
        <v>750.02</v>
      </c>
      <c r="B5" s="39" t="s">
        <v>596</v>
      </c>
      <c r="C5" s="40"/>
      <c r="D5" s="42" t="s">
        <v>56</v>
      </c>
      <c r="G5" s="154" t="s">
        <v>1533</v>
      </c>
      <c r="H5" s="154" t="s">
        <v>1534</v>
      </c>
      <c r="I5" s="154" t="s">
        <v>1530</v>
      </c>
      <c r="J5" s="203"/>
      <c r="K5" s="203"/>
      <c r="L5" s="203"/>
      <c r="M5" s="204">
        <v>5.9953703703703705E-3</v>
      </c>
      <c r="N5" s="204">
        <v>1.074074074074074E-2</v>
      </c>
      <c r="O5" s="77">
        <f t="shared" si="0"/>
        <v>4.7453703703703694E-3</v>
      </c>
      <c r="P5" s="202">
        <v>43019</v>
      </c>
      <c r="Q5" s="59" t="str">
        <f t="shared" ca="1" si="1"/>
        <v>https://www.youtube.com/embed/dHQ-HMVdPyE?start=518&amp;end=928&amp;autoplay=1</v>
      </c>
      <c r="R5" s="205" t="s">
        <v>63</v>
      </c>
      <c r="S5" s="205" t="s">
        <v>63</v>
      </c>
      <c r="T5" s="205" t="s">
        <v>63</v>
      </c>
      <c r="U5" s="203"/>
      <c r="V5" s="203"/>
      <c r="W5" s="154" t="s">
        <v>64</v>
      </c>
    </row>
    <row r="6" spans="1:37">
      <c r="A6" s="154">
        <v>750.03</v>
      </c>
      <c r="B6" s="39" t="s">
        <v>596</v>
      </c>
      <c r="C6" s="40"/>
      <c r="D6" s="42" t="s">
        <v>56</v>
      </c>
      <c r="G6" s="154" t="s">
        <v>1537</v>
      </c>
      <c r="H6" s="154" t="s">
        <v>1538</v>
      </c>
      <c r="I6" s="154" t="s">
        <v>1530</v>
      </c>
      <c r="J6" s="203"/>
      <c r="K6" s="203"/>
      <c r="L6" s="203"/>
      <c r="M6" s="204">
        <v>1.0752314814814815E-2</v>
      </c>
      <c r="N6" s="204">
        <v>1.3368055555555555E-2</v>
      </c>
      <c r="O6" s="77">
        <f t="shared" si="0"/>
        <v>2.6157407407407397E-3</v>
      </c>
      <c r="P6" s="202">
        <v>43019</v>
      </c>
      <c r="Q6" s="59" t="str">
        <f t="shared" ca="1" si="1"/>
        <v>https://www.youtube.com/embed/dHQ-HMVdPyE?start=929&amp;end=1155&amp;autoplay=1</v>
      </c>
      <c r="R6" s="205" t="s">
        <v>63</v>
      </c>
      <c r="S6" s="205" t="s">
        <v>63</v>
      </c>
      <c r="T6" s="205" t="s">
        <v>63</v>
      </c>
      <c r="U6" s="203"/>
      <c r="V6" s="203"/>
      <c r="W6" s="154" t="s">
        <v>64</v>
      </c>
    </row>
    <row r="7" spans="1:37">
      <c r="A7" s="154">
        <v>750.04</v>
      </c>
      <c r="B7" s="39" t="s">
        <v>596</v>
      </c>
      <c r="C7" s="40"/>
      <c r="D7" s="42" t="s">
        <v>56</v>
      </c>
      <c r="G7" s="154" t="s">
        <v>1541</v>
      </c>
      <c r="H7" s="154" t="s">
        <v>1542</v>
      </c>
      <c r="I7" s="154" t="s">
        <v>1530</v>
      </c>
      <c r="J7" s="203"/>
      <c r="K7" s="203"/>
      <c r="L7" s="203"/>
      <c r="M7" s="204">
        <v>1.337962962962963E-2</v>
      </c>
      <c r="N7" s="204">
        <v>1.6828703703703703E-2</v>
      </c>
      <c r="O7" s="77">
        <f t="shared" si="0"/>
        <v>3.4490740740740732E-3</v>
      </c>
      <c r="P7" s="202">
        <v>43019</v>
      </c>
      <c r="Q7" s="59" t="str">
        <f t="shared" ca="1" si="1"/>
        <v>https://www.youtube.com/embed/dHQ-HMVdPyE?start=1156&amp;end=1454&amp;autoplay=1</v>
      </c>
      <c r="R7" s="205" t="s">
        <v>63</v>
      </c>
      <c r="S7" s="205" t="s">
        <v>63</v>
      </c>
      <c r="T7" s="205" t="s">
        <v>63</v>
      </c>
      <c r="U7" s="203"/>
      <c r="V7" s="203"/>
      <c r="W7" s="154" t="s">
        <v>64</v>
      </c>
    </row>
    <row r="8" spans="1:37">
      <c r="A8" s="154">
        <v>750.05</v>
      </c>
      <c r="B8" s="39" t="s">
        <v>596</v>
      </c>
      <c r="C8" s="40"/>
      <c r="D8" s="42" t="s">
        <v>56</v>
      </c>
      <c r="G8" s="154" t="s">
        <v>1543</v>
      </c>
      <c r="H8" s="154" t="s">
        <v>1544</v>
      </c>
      <c r="I8" s="154" t="s">
        <v>1530</v>
      </c>
      <c r="J8" s="203"/>
      <c r="K8" s="203"/>
      <c r="L8" s="203"/>
      <c r="M8" s="204">
        <v>1.6840277777777777E-2</v>
      </c>
      <c r="N8" s="204">
        <v>2.0914351851851851E-2</v>
      </c>
      <c r="O8" s="77">
        <f t="shared" si="0"/>
        <v>4.0740740740740737E-3</v>
      </c>
      <c r="P8" s="202">
        <v>43019</v>
      </c>
      <c r="Q8" s="59" t="str">
        <f t="shared" ca="1" si="1"/>
        <v>https://www.youtube.com/embed/dHQ-HMVdPyE?start=1455&amp;end=1807&amp;autoplay=1</v>
      </c>
      <c r="R8" s="205" t="s">
        <v>63</v>
      </c>
      <c r="S8" s="205" t="s">
        <v>63</v>
      </c>
      <c r="T8" s="205" t="s">
        <v>63</v>
      </c>
      <c r="U8" s="203"/>
      <c r="V8" s="203"/>
      <c r="W8" s="154" t="s">
        <v>64</v>
      </c>
    </row>
    <row r="9" spans="1:37">
      <c r="A9" s="154">
        <v>750.06</v>
      </c>
      <c r="B9" s="39" t="s">
        <v>596</v>
      </c>
      <c r="C9" s="40"/>
      <c r="D9" s="42" t="s">
        <v>56</v>
      </c>
      <c r="G9" s="154" t="s">
        <v>1547</v>
      </c>
      <c r="H9" s="154" t="s">
        <v>1548</v>
      </c>
      <c r="I9" s="154" t="s">
        <v>1530</v>
      </c>
      <c r="J9" s="203"/>
      <c r="K9" s="203"/>
      <c r="L9" s="203"/>
      <c r="M9" s="204">
        <v>2.0925925925925924E-2</v>
      </c>
      <c r="N9" s="204">
        <v>2.2916666666666665E-2</v>
      </c>
      <c r="O9" s="77">
        <f t="shared" si="0"/>
        <v>1.9907407407407408E-3</v>
      </c>
      <c r="P9" s="202">
        <v>43019</v>
      </c>
      <c r="Q9" s="59" t="str">
        <f t="shared" ca="1" si="1"/>
        <v>https://www.youtube.com/embed/dHQ-HMVdPyE?start=1808&amp;end=1980&amp;autoplay=1</v>
      </c>
      <c r="R9" s="205" t="s">
        <v>63</v>
      </c>
      <c r="S9" s="205" t="s">
        <v>63</v>
      </c>
      <c r="T9" s="205" t="s">
        <v>63</v>
      </c>
      <c r="U9" s="203"/>
      <c r="V9" s="203"/>
      <c r="W9" s="154" t="s">
        <v>64</v>
      </c>
    </row>
    <row r="10" spans="1:37">
      <c r="A10" s="154">
        <v>750.07</v>
      </c>
      <c r="B10" s="39" t="s">
        <v>596</v>
      </c>
      <c r="C10" s="40"/>
      <c r="D10" s="42" t="s">
        <v>56</v>
      </c>
      <c r="G10" s="154" t="s">
        <v>1551</v>
      </c>
      <c r="H10" s="154" t="s">
        <v>1552</v>
      </c>
      <c r="I10" s="154" t="s">
        <v>1553</v>
      </c>
      <c r="J10" s="203"/>
      <c r="K10" s="203"/>
      <c r="L10" s="203"/>
      <c r="M10" s="204">
        <v>2.2951388888888889E-2</v>
      </c>
      <c r="N10" s="204">
        <v>2.8773148148148148E-2</v>
      </c>
      <c r="O10" s="77">
        <f t="shared" si="0"/>
        <v>5.8217592592592592E-3</v>
      </c>
      <c r="P10" s="202">
        <v>43019</v>
      </c>
      <c r="Q10" s="59" t="str">
        <f t="shared" ca="1" si="1"/>
        <v>https://www.youtube.com/embed/dHQ-HMVdPyE?start=1983&amp;end=2486&amp;autoplay=1</v>
      </c>
      <c r="R10" s="205" t="s">
        <v>63</v>
      </c>
      <c r="S10" s="205" t="s">
        <v>63</v>
      </c>
      <c r="T10" s="205" t="s">
        <v>63</v>
      </c>
      <c r="U10" s="203"/>
      <c r="V10" s="203"/>
      <c r="W10" s="154" t="s">
        <v>64</v>
      </c>
    </row>
    <row r="11" spans="1:37">
      <c r="A11" s="154">
        <v>750.08</v>
      </c>
      <c r="B11" s="39" t="s">
        <v>596</v>
      </c>
      <c r="C11" s="40"/>
      <c r="D11" s="42" t="s">
        <v>56</v>
      </c>
      <c r="G11" s="154" t="s">
        <v>1556</v>
      </c>
      <c r="H11" s="154" t="s">
        <v>1557</v>
      </c>
      <c r="I11" s="154" t="s">
        <v>1530</v>
      </c>
      <c r="J11" s="203"/>
      <c r="K11" s="203"/>
      <c r="L11" s="203"/>
      <c r="M11" s="204">
        <v>2.8807870370370369E-2</v>
      </c>
      <c r="N11" s="204">
        <v>3.1203703703703702E-2</v>
      </c>
      <c r="O11" s="77">
        <f t="shared" si="0"/>
        <v>2.3958333333333331E-3</v>
      </c>
      <c r="P11" s="202">
        <v>43019</v>
      </c>
      <c r="Q11" s="59" t="str">
        <f t="shared" ca="1" si="1"/>
        <v>https://www.youtube.com/embed/dHQ-HMVdPyE?start=2489&amp;end=2696&amp;autoplay=1</v>
      </c>
      <c r="R11" s="205" t="s">
        <v>63</v>
      </c>
      <c r="S11" s="205" t="s">
        <v>63</v>
      </c>
      <c r="T11" s="205" t="s">
        <v>63</v>
      </c>
      <c r="U11" s="203"/>
      <c r="V11" s="203"/>
      <c r="W11" s="154" t="s">
        <v>64</v>
      </c>
    </row>
    <row r="12" spans="1:37">
      <c r="A12" s="154">
        <v>750.09</v>
      </c>
      <c r="B12" s="39" t="s">
        <v>596</v>
      </c>
      <c r="C12" s="40"/>
      <c r="D12" s="42" t="s">
        <v>56</v>
      </c>
      <c r="G12" s="154" t="s">
        <v>1560</v>
      </c>
      <c r="H12" s="154" t="s">
        <v>1561</v>
      </c>
      <c r="I12" s="154" t="s">
        <v>1530</v>
      </c>
      <c r="J12" s="203"/>
      <c r="K12" s="203"/>
      <c r="L12" s="203"/>
      <c r="M12" s="204">
        <v>3.1215277777777779E-2</v>
      </c>
      <c r="N12" s="204">
        <v>4.2245370370370371E-2</v>
      </c>
      <c r="O12" s="77">
        <f t="shared" si="0"/>
        <v>1.1030092592592591E-2</v>
      </c>
      <c r="P12" s="202">
        <v>43019</v>
      </c>
      <c r="Q12" s="59" t="str">
        <f t="shared" ca="1" si="1"/>
        <v>https://www.youtube.com/embed/dHQ-HMVdPyE?start=2697&amp;end=3650&amp;autoplay=1</v>
      </c>
      <c r="R12" s="205" t="s">
        <v>63</v>
      </c>
      <c r="S12" s="205" t="s">
        <v>63</v>
      </c>
      <c r="T12" s="205" t="s">
        <v>63</v>
      </c>
      <c r="U12" s="203"/>
      <c r="V12" s="203"/>
      <c r="W12" s="154" t="s">
        <v>64</v>
      </c>
    </row>
    <row r="13" spans="1:37">
      <c r="A13" s="38">
        <v>740</v>
      </c>
      <c r="B13" s="39" t="s">
        <v>596</v>
      </c>
      <c r="C13" s="40"/>
      <c r="D13" s="38"/>
      <c r="E13" s="38" t="s">
        <v>1562</v>
      </c>
      <c r="F13" s="43" t="s">
        <v>1563</v>
      </c>
      <c r="G13" s="44"/>
      <c r="H13" s="45"/>
      <c r="I13" s="12" t="s">
        <v>1566</v>
      </c>
      <c r="J13" s="38">
        <f>8.1*1000</f>
        <v>8100</v>
      </c>
      <c r="K13" s="46">
        <v>7.2326388888888885E-2</v>
      </c>
      <c r="L13" s="47" t="s">
        <v>770</v>
      </c>
      <c r="M13" s="38"/>
      <c r="N13" s="38"/>
      <c r="O13" s="38"/>
      <c r="P13" s="202">
        <v>43020</v>
      </c>
      <c r="Q13" s="14" t="str">
        <f t="shared" ca="1" si="1"/>
        <v/>
      </c>
      <c r="R13" s="51"/>
      <c r="S13" s="51"/>
      <c r="T13" s="51"/>
      <c r="U13" s="40"/>
      <c r="V13" s="54"/>
      <c r="W13" s="55"/>
      <c r="X13" s="56"/>
      <c r="Y13" s="88"/>
      <c r="AA13" s="88"/>
      <c r="AB13" s="88"/>
    </row>
    <row r="14" spans="1:37">
      <c r="A14" s="206">
        <v>740.01</v>
      </c>
      <c r="B14" s="39" t="s">
        <v>596</v>
      </c>
      <c r="C14" s="40"/>
      <c r="D14" s="42" t="s">
        <v>56</v>
      </c>
      <c r="E14" s="203"/>
      <c r="F14" s="203"/>
      <c r="G14" s="206" t="s">
        <v>1569</v>
      </c>
      <c r="H14" s="206" t="s">
        <v>1570</v>
      </c>
      <c r="I14" s="207"/>
      <c r="J14" s="207"/>
      <c r="K14" s="207"/>
      <c r="L14" s="207"/>
      <c r="M14" s="208">
        <v>2.4421296296296296E-3</v>
      </c>
      <c r="N14" s="208">
        <v>3.9120370370370368E-3</v>
      </c>
      <c r="O14" s="209">
        <f t="shared" ref="O14:O32" si="2">N14-M14</f>
        <v>1.4699074074074072E-3</v>
      </c>
      <c r="P14" s="210">
        <v>43020</v>
      </c>
      <c r="Q14" s="59" t="str">
        <f t="shared" ca="1" si="1"/>
        <v>https://www.youtube.com/embed/VFJFvcNogFU?start=211&amp;end=338&amp;autoplay=1</v>
      </c>
      <c r="R14" s="205" t="s">
        <v>63</v>
      </c>
      <c r="S14" s="205" t="s">
        <v>63</v>
      </c>
      <c r="T14" s="205" t="s">
        <v>63</v>
      </c>
      <c r="U14" s="203"/>
      <c r="V14" s="203"/>
      <c r="W14" s="154" t="s">
        <v>64</v>
      </c>
      <c r="X14" s="203"/>
      <c r="Y14" s="203"/>
      <c r="Z14" s="203"/>
      <c r="AA14" s="203"/>
      <c r="AB14" s="203"/>
      <c r="AC14" s="203"/>
      <c r="AD14" s="203"/>
      <c r="AE14" s="203"/>
      <c r="AF14" s="203"/>
      <c r="AG14" s="203"/>
      <c r="AH14" s="203"/>
      <c r="AI14" s="203"/>
      <c r="AJ14" s="203"/>
      <c r="AK14" s="203"/>
    </row>
    <row r="15" spans="1:37">
      <c r="A15" s="116">
        <v>740.02</v>
      </c>
      <c r="B15" s="39" t="s">
        <v>596</v>
      </c>
      <c r="C15" s="40"/>
      <c r="D15" s="42" t="s">
        <v>56</v>
      </c>
      <c r="E15" s="38"/>
      <c r="F15" s="203"/>
      <c r="G15" s="206" t="s">
        <v>1575</v>
      </c>
      <c r="H15" s="206" t="s">
        <v>1576</v>
      </c>
      <c r="I15" s="206" t="s">
        <v>1530</v>
      </c>
      <c r="J15" s="207"/>
      <c r="K15" s="211"/>
      <c r="L15" s="212"/>
      <c r="M15" s="213">
        <v>3.9236111111111112E-3</v>
      </c>
      <c r="N15" s="213">
        <v>5.4861111111111109E-3</v>
      </c>
      <c r="O15" s="209">
        <f t="shared" si="2"/>
        <v>1.5624999999999997E-3</v>
      </c>
      <c r="P15" s="210">
        <v>43020</v>
      </c>
      <c r="Q15" s="59" t="str">
        <f t="shared" ca="1" si="1"/>
        <v>https://www.youtube.com/embed/VFJFvcNogFU?start=339&amp;end=474&amp;autoplay=1</v>
      </c>
      <c r="R15" s="205" t="s">
        <v>63</v>
      </c>
      <c r="S15" s="205" t="s">
        <v>63</v>
      </c>
      <c r="T15" s="205" t="s">
        <v>63</v>
      </c>
      <c r="U15" s="40"/>
      <c r="V15" s="54"/>
      <c r="W15" s="154" t="s">
        <v>64</v>
      </c>
      <c r="X15" s="56"/>
      <c r="Y15" s="117"/>
      <c r="Z15" s="117"/>
      <c r="AA15" s="117"/>
      <c r="AB15" s="117"/>
      <c r="AC15" s="203"/>
      <c r="AD15" s="203"/>
      <c r="AE15" s="203"/>
      <c r="AF15" s="203"/>
      <c r="AG15" s="203"/>
      <c r="AH15" s="203"/>
      <c r="AI15" s="203"/>
      <c r="AJ15" s="203"/>
      <c r="AK15" s="203"/>
    </row>
    <row r="16" spans="1:37">
      <c r="A16" s="116">
        <v>740.03</v>
      </c>
      <c r="B16" s="39" t="s">
        <v>596</v>
      </c>
      <c r="C16" s="40"/>
      <c r="D16" s="42" t="s">
        <v>56</v>
      </c>
      <c r="E16" s="38"/>
      <c r="F16" s="203"/>
      <c r="G16" s="206" t="s">
        <v>1580</v>
      </c>
      <c r="H16" s="206" t="s">
        <v>1582</v>
      </c>
      <c r="I16" s="206" t="s">
        <v>1530</v>
      </c>
      <c r="J16" s="207"/>
      <c r="K16" s="211"/>
      <c r="L16" s="212"/>
      <c r="M16" s="213">
        <v>5.4976851851851853E-3</v>
      </c>
      <c r="N16" s="213">
        <v>8.1250000000000003E-3</v>
      </c>
      <c r="O16" s="209">
        <f t="shared" si="2"/>
        <v>2.627314814814815E-3</v>
      </c>
      <c r="P16" s="210">
        <v>43020</v>
      </c>
      <c r="Q16" s="59" t="str">
        <f t="shared" ca="1" si="1"/>
        <v>https://www.youtube.com/embed/VFJFvcNogFU?start=475&amp;end=702&amp;autoplay=1</v>
      </c>
      <c r="R16" s="205" t="s">
        <v>63</v>
      </c>
      <c r="S16" s="205" t="s">
        <v>63</v>
      </c>
      <c r="T16" s="205" t="s">
        <v>63</v>
      </c>
      <c r="U16" s="40"/>
      <c r="V16" s="54"/>
      <c r="W16" s="69" t="s">
        <v>64</v>
      </c>
      <c r="X16" s="56"/>
      <c r="Y16" s="117"/>
      <c r="Z16" s="117"/>
      <c r="AA16" s="117"/>
      <c r="AB16" s="117"/>
      <c r="AC16" s="203"/>
      <c r="AD16" s="203"/>
      <c r="AE16" s="203"/>
      <c r="AF16" s="203"/>
      <c r="AG16" s="203"/>
      <c r="AH16" s="203"/>
      <c r="AI16" s="203"/>
      <c r="AJ16" s="203"/>
      <c r="AK16" s="203"/>
    </row>
    <row r="17" spans="1:37">
      <c r="A17" s="116">
        <v>740.04</v>
      </c>
      <c r="B17" s="39" t="s">
        <v>596</v>
      </c>
      <c r="C17" s="40"/>
      <c r="D17" s="42" t="s">
        <v>56</v>
      </c>
      <c r="E17" s="38"/>
      <c r="F17" s="43"/>
      <c r="G17" s="214" t="s">
        <v>1583</v>
      </c>
      <c r="H17" s="215" t="s">
        <v>1586</v>
      </c>
      <c r="I17" s="116" t="s">
        <v>1530</v>
      </c>
      <c r="J17" s="117"/>
      <c r="K17" s="211"/>
      <c r="L17" s="212"/>
      <c r="M17" s="213">
        <v>8.1365740740740738E-3</v>
      </c>
      <c r="N17" s="213">
        <v>9.0972222222222218E-3</v>
      </c>
      <c r="O17" s="209">
        <f t="shared" si="2"/>
        <v>9.6064814814814797E-4</v>
      </c>
      <c r="P17" s="210">
        <v>43020</v>
      </c>
      <c r="Q17" s="59" t="str">
        <f t="shared" ca="1" si="1"/>
        <v>https://www.youtube.com/embed/VFJFvcNogFU?start=703&amp;end=786&amp;autoplay=1</v>
      </c>
      <c r="R17" s="205" t="s">
        <v>63</v>
      </c>
      <c r="S17" s="205" t="s">
        <v>63</v>
      </c>
      <c r="T17" s="205" t="s">
        <v>63</v>
      </c>
      <c r="U17" s="40"/>
      <c r="V17" s="54"/>
      <c r="W17" s="69" t="s">
        <v>64</v>
      </c>
      <c r="X17" s="56"/>
      <c r="Y17" s="117"/>
      <c r="Z17" s="117"/>
      <c r="AA17" s="117"/>
      <c r="AB17" s="117"/>
      <c r="AC17" s="203"/>
      <c r="AD17" s="203"/>
      <c r="AE17" s="203"/>
      <c r="AF17" s="203"/>
      <c r="AG17" s="203"/>
      <c r="AH17" s="203"/>
      <c r="AI17" s="203"/>
      <c r="AJ17" s="203"/>
      <c r="AK17" s="203"/>
    </row>
    <row r="18" spans="1:37">
      <c r="A18" s="116">
        <v>740.05</v>
      </c>
      <c r="B18" s="39" t="s">
        <v>596</v>
      </c>
      <c r="C18" s="40"/>
      <c r="D18" s="42" t="s">
        <v>56</v>
      </c>
      <c r="E18" s="38"/>
      <c r="F18" s="43"/>
      <c r="G18" s="214" t="s">
        <v>1589</v>
      </c>
      <c r="H18" s="215" t="s">
        <v>1590</v>
      </c>
      <c r="I18" s="116" t="s">
        <v>1530</v>
      </c>
      <c r="J18" s="117"/>
      <c r="K18" s="211"/>
      <c r="L18" s="212"/>
      <c r="M18" s="213">
        <v>9.0972222222222218E-3</v>
      </c>
      <c r="N18" s="213">
        <v>1.0451388888888889E-2</v>
      </c>
      <c r="O18" s="209">
        <f t="shared" si="2"/>
        <v>1.3541666666666667E-3</v>
      </c>
      <c r="P18" s="210">
        <v>43020</v>
      </c>
      <c r="Q18" s="59" t="str">
        <f t="shared" ca="1" si="1"/>
        <v>https://www.youtube.com/embed/VFJFvcNogFU?start=786&amp;end=903&amp;autoplay=1</v>
      </c>
      <c r="R18" s="205" t="s">
        <v>63</v>
      </c>
      <c r="S18" s="205" t="s">
        <v>63</v>
      </c>
      <c r="T18" s="205" t="s">
        <v>63</v>
      </c>
      <c r="U18" s="40"/>
      <c r="V18" s="54"/>
      <c r="W18" s="69" t="s">
        <v>64</v>
      </c>
      <c r="X18" s="56"/>
      <c r="Y18" s="117"/>
      <c r="Z18" s="117"/>
      <c r="AA18" s="117"/>
      <c r="AB18" s="117"/>
      <c r="AC18" s="203"/>
      <c r="AD18" s="203"/>
      <c r="AE18" s="203"/>
      <c r="AF18" s="203"/>
      <c r="AG18" s="203"/>
      <c r="AH18" s="203"/>
      <c r="AI18" s="203"/>
      <c r="AJ18" s="203"/>
      <c r="AK18" s="203"/>
    </row>
    <row r="19" spans="1:37">
      <c r="A19" s="116">
        <v>740.06</v>
      </c>
      <c r="B19" s="39" t="s">
        <v>596</v>
      </c>
      <c r="C19" s="40"/>
      <c r="D19" s="42" t="s">
        <v>56</v>
      </c>
      <c r="E19" s="38"/>
      <c r="F19" s="43"/>
      <c r="G19" s="214" t="s">
        <v>1593</v>
      </c>
      <c r="H19" s="215" t="s">
        <v>1594</v>
      </c>
      <c r="I19" s="116" t="s">
        <v>1530</v>
      </c>
      <c r="J19" s="117"/>
      <c r="K19" s="211"/>
      <c r="L19" s="212"/>
      <c r="M19" s="213">
        <v>1.050925925925926E-2</v>
      </c>
      <c r="N19" s="213">
        <v>1.2453703703703703E-2</v>
      </c>
      <c r="O19" s="209">
        <f t="shared" si="2"/>
        <v>1.9444444444444431E-3</v>
      </c>
      <c r="P19" s="210">
        <v>43020</v>
      </c>
      <c r="Q19" s="59" t="str">
        <f t="shared" ca="1" si="1"/>
        <v>https://www.youtube.com/embed/VFJFvcNogFU?start=908&amp;end=1076&amp;autoplay=1</v>
      </c>
      <c r="R19" s="205" t="s">
        <v>63</v>
      </c>
      <c r="S19" s="205" t="s">
        <v>63</v>
      </c>
      <c r="T19" s="205" t="s">
        <v>63</v>
      </c>
      <c r="U19" s="40"/>
      <c r="V19" s="54"/>
      <c r="W19" s="69" t="s">
        <v>64</v>
      </c>
      <c r="X19" s="56"/>
      <c r="Y19" s="117"/>
      <c r="AA19" s="117"/>
      <c r="AB19" s="117"/>
      <c r="AC19" s="203"/>
      <c r="AD19" s="203"/>
      <c r="AE19" s="203"/>
      <c r="AF19" s="203"/>
      <c r="AG19" s="203"/>
      <c r="AH19" s="203"/>
      <c r="AI19" s="203"/>
      <c r="AJ19" s="203"/>
      <c r="AK19" s="203"/>
    </row>
    <row r="20" spans="1:37">
      <c r="A20" s="116">
        <v>740.07</v>
      </c>
      <c r="B20" s="39" t="s">
        <v>596</v>
      </c>
      <c r="C20" s="40"/>
      <c r="D20" s="42" t="s">
        <v>56</v>
      </c>
      <c r="E20" s="117"/>
      <c r="F20" s="117"/>
      <c r="G20" s="116" t="s">
        <v>1597</v>
      </c>
      <c r="H20" s="215" t="s">
        <v>1598</v>
      </c>
      <c r="I20" s="116" t="s">
        <v>1530</v>
      </c>
      <c r="J20" s="117"/>
      <c r="K20" s="117"/>
      <c r="L20" s="117"/>
      <c r="M20" s="213">
        <v>1.2997685185185185E-2</v>
      </c>
      <c r="N20" s="213">
        <v>1.6863425925925928E-2</v>
      </c>
      <c r="O20" s="209">
        <f t="shared" si="2"/>
        <v>3.8657407407407425E-3</v>
      </c>
      <c r="P20" s="210">
        <v>43020</v>
      </c>
      <c r="Q20" s="59" t="str">
        <f t="shared" ca="1" si="1"/>
        <v>https://www.youtube.com/embed/VFJFvcNogFU?start=1123&amp;end=1457&amp;autoplay=1</v>
      </c>
      <c r="R20" s="205"/>
      <c r="S20" s="205"/>
      <c r="T20" s="205"/>
      <c r="U20" s="216"/>
      <c r="V20" s="217"/>
      <c r="W20" s="69"/>
      <c r="X20" s="123"/>
      <c r="Y20" s="117"/>
      <c r="Z20" s="117"/>
      <c r="AA20" s="203"/>
      <c r="AB20" s="203"/>
      <c r="AC20" s="203"/>
      <c r="AD20" s="203"/>
      <c r="AE20" s="203"/>
      <c r="AF20" s="203"/>
      <c r="AG20" s="203"/>
      <c r="AH20" s="203"/>
      <c r="AI20" s="203"/>
      <c r="AJ20" s="203"/>
      <c r="AK20" s="203"/>
    </row>
    <row r="21" spans="1:37">
      <c r="A21" s="116">
        <v>740.08</v>
      </c>
      <c r="B21" s="39" t="s">
        <v>596</v>
      </c>
      <c r="C21" s="40"/>
      <c r="D21" s="42" t="s">
        <v>56</v>
      </c>
      <c r="E21" s="117"/>
      <c r="F21" s="117"/>
      <c r="G21" s="116" t="s">
        <v>1601</v>
      </c>
      <c r="H21" s="116" t="s">
        <v>1602</v>
      </c>
      <c r="I21" s="116" t="s">
        <v>1530</v>
      </c>
      <c r="J21" s="117"/>
      <c r="K21" s="117"/>
      <c r="L21" s="117"/>
      <c r="M21" s="213">
        <v>1.7141203703703704E-2</v>
      </c>
      <c r="N21" s="213">
        <v>2.0046296296296295E-2</v>
      </c>
      <c r="O21" s="209">
        <f t="shared" si="2"/>
        <v>2.9050925925925911E-3</v>
      </c>
      <c r="P21" s="210">
        <v>43020</v>
      </c>
      <c r="Q21" s="59" t="str">
        <f t="shared" ca="1" si="1"/>
        <v>https://www.youtube.com/embed/VFJFvcNogFU?start=1481&amp;end=1732&amp;autoplay=1</v>
      </c>
      <c r="R21" s="205" t="s">
        <v>63</v>
      </c>
      <c r="S21" s="205" t="s">
        <v>63</v>
      </c>
      <c r="T21" s="205" t="s">
        <v>63</v>
      </c>
      <c r="U21" s="216"/>
      <c r="V21" s="217"/>
      <c r="W21" s="69" t="s">
        <v>64</v>
      </c>
      <c r="X21" s="123"/>
      <c r="Y21" s="117"/>
      <c r="Z21" s="117"/>
      <c r="AA21" s="203"/>
      <c r="AB21" s="203"/>
      <c r="AC21" s="203"/>
      <c r="AD21" s="203"/>
      <c r="AE21" s="203"/>
      <c r="AF21" s="203"/>
      <c r="AG21" s="203"/>
      <c r="AH21" s="203"/>
      <c r="AI21" s="203"/>
      <c r="AJ21" s="203"/>
      <c r="AK21" s="203"/>
    </row>
    <row r="22" spans="1:37">
      <c r="A22" s="116">
        <v>740.09</v>
      </c>
      <c r="B22" s="39" t="s">
        <v>596</v>
      </c>
      <c r="C22" s="40"/>
      <c r="D22" s="42" t="s">
        <v>56</v>
      </c>
      <c r="E22" s="117"/>
      <c r="F22" s="117"/>
      <c r="G22" s="116" t="s">
        <v>1605</v>
      </c>
      <c r="H22" s="116" t="s">
        <v>1606</v>
      </c>
      <c r="I22" s="116" t="s">
        <v>1530</v>
      </c>
      <c r="J22" s="117"/>
      <c r="K22" s="117"/>
      <c r="L22" s="117"/>
      <c r="M22" s="213">
        <v>2.0057870370370372E-2</v>
      </c>
      <c r="N22" s="213">
        <v>2.2546296296296297E-2</v>
      </c>
      <c r="O22" s="209">
        <f t="shared" si="2"/>
        <v>2.4884259259259252E-3</v>
      </c>
      <c r="P22" s="210">
        <v>43020</v>
      </c>
      <c r="Q22" s="59" t="str">
        <f t="shared" ca="1" si="1"/>
        <v>https://www.youtube.com/embed/VFJFvcNogFU?start=1733&amp;end=1948&amp;autoplay=1</v>
      </c>
      <c r="R22" s="205" t="s">
        <v>63</v>
      </c>
      <c r="S22" s="205" t="s">
        <v>63</v>
      </c>
      <c r="T22" s="205" t="s">
        <v>63</v>
      </c>
      <c r="U22" s="216"/>
      <c r="V22" s="217"/>
      <c r="W22" s="69" t="s">
        <v>64</v>
      </c>
      <c r="X22" s="123"/>
      <c r="Y22" s="117"/>
      <c r="Z22" s="117"/>
      <c r="AA22" s="203"/>
      <c r="AB22" s="203"/>
      <c r="AC22" s="203"/>
      <c r="AD22" s="203"/>
      <c r="AE22" s="203"/>
      <c r="AF22" s="203"/>
      <c r="AG22" s="203"/>
      <c r="AH22" s="203"/>
      <c r="AI22" s="203"/>
      <c r="AJ22" s="203"/>
      <c r="AK22" s="203"/>
    </row>
    <row r="23" spans="1:37">
      <c r="A23" s="116">
        <v>740.1</v>
      </c>
      <c r="B23" s="39" t="s">
        <v>596</v>
      </c>
      <c r="C23" s="40"/>
      <c r="D23" s="42" t="s">
        <v>56</v>
      </c>
      <c r="E23" s="117"/>
      <c r="F23" s="203"/>
      <c r="G23" s="206" t="s">
        <v>1609</v>
      </c>
      <c r="H23" s="206" t="s">
        <v>1610</v>
      </c>
      <c r="I23" s="206" t="s">
        <v>1530</v>
      </c>
      <c r="J23" s="207"/>
      <c r="K23" s="117"/>
      <c r="L23" s="117"/>
      <c r="M23" s="213">
        <v>2.255787037037037E-2</v>
      </c>
      <c r="N23" s="213">
        <v>2.4884259259259259E-2</v>
      </c>
      <c r="O23" s="209">
        <f t="shared" si="2"/>
        <v>2.3263888888888883E-3</v>
      </c>
      <c r="P23" s="210">
        <v>43020</v>
      </c>
      <c r="Q23" s="59" t="str">
        <f t="shared" ca="1" si="1"/>
        <v>https://www.youtube.com/embed/VFJFvcNogFU?start=1949&amp;end=2150&amp;autoplay=1</v>
      </c>
      <c r="R23" s="205" t="s">
        <v>63</v>
      </c>
      <c r="S23" s="205" t="s">
        <v>63</v>
      </c>
      <c r="T23" s="205" t="s">
        <v>63</v>
      </c>
      <c r="U23" s="216"/>
      <c r="V23" s="217"/>
      <c r="W23" s="69" t="s">
        <v>64</v>
      </c>
      <c r="X23" s="123"/>
      <c r="Y23" s="117"/>
      <c r="Z23" s="117"/>
      <c r="AA23" s="203"/>
      <c r="AB23" s="203"/>
      <c r="AC23" s="203"/>
      <c r="AD23" s="203"/>
      <c r="AE23" s="203"/>
      <c r="AF23" s="203"/>
      <c r="AG23" s="203"/>
      <c r="AH23" s="203"/>
      <c r="AI23" s="203"/>
      <c r="AJ23" s="203"/>
      <c r="AK23" s="203"/>
    </row>
    <row r="24" spans="1:37">
      <c r="A24" s="126">
        <v>740.11</v>
      </c>
      <c r="B24" s="39" t="s">
        <v>596</v>
      </c>
      <c r="C24" s="40"/>
      <c r="D24" s="42" t="s">
        <v>56</v>
      </c>
      <c r="E24" s="38"/>
      <c r="F24" s="203"/>
      <c r="G24" s="206" t="s">
        <v>1611</v>
      </c>
      <c r="H24" s="206" t="s">
        <v>1612</v>
      </c>
      <c r="I24" s="116" t="s">
        <v>1613</v>
      </c>
      <c r="J24" s="207"/>
      <c r="K24" s="211"/>
      <c r="L24" s="212"/>
      <c r="M24" s="213">
        <v>2.4895833333333332E-2</v>
      </c>
      <c r="N24" s="213">
        <v>2.8703703703703703E-2</v>
      </c>
      <c r="O24" s="209">
        <f t="shared" si="2"/>
        <v>3.8078703703703712E-3</v>
      </c>
      <c r="P24" s="210">
        <v>43020</v>
      </c>
      <c r="Q24" s="59" t="str">
        <f t="shared" ca="1" si="1"/>
        <v>https://www.youtube.com/embed/VFJFvcNogFU?start=2151&amp;end=2480&amp;autoplay=1</v>
      </c>
      <c r="R24" s="205" t="s">
        <v>63</v>
      </c>
      <c r="S24" s="205" t="s">
        <v>63</v>
      </c>
      <c r="T24" s="205" t="s">
        <v>63</v>
      </c>
      <c r="U24" s="40"/>
      <c r="V24" s="54"/>
      <c r="W24" s="69" t="s">
        <v>64</v>
      </c>
      <c r="X24" s="56"/>
      <c r="Y24" s="117"/>
      <c r="AA24" s="117"/>
      <c r="AB24" s="117"/>
      <c r="AC24" s="203"/>
      <c r="AD24" s="203"/>
      <c r="AE24" s="203"/>
      <c r="AF24" s="203"/>
      <c r="AG24" s="203"/>
      <c r="AH24" s="203"/>
      <c r="AI24" s="203"/>
      <c r="AJ24" s="203"/>
      <c r="AK24" s="203"/>
    </row>
    <row r="25" spans="1:37">
      <c r="A25" s="116">
        <v>740.12</v>
      </c>
      <c r="B25" s="39" t="s">
        <v>596</v>
      </c>
      <c r="C25" s="40"/>
      <c r="D25" s="42" t="s">
        <v>56</v>
      </c>
      <c r="E25" s="38"/>
      <c r="F25" s="43"/>
      <c r="G25" s="214" t="s">
        <v>1616</v>
      </c>
      <c r="H25" s="215" t="s">
        <v>1617</v>
      </c>
      <c r="I25" s="116" t="s">
        <v>1530</v>
      </c>
      <c r="J25" s="117"/>
      <c r="K25" s="211"/>
      <c r="L25" s="212"/>
      <c r="M25" s="213">
        <v>2.8807870370370369E-2</v>
      </c>
      <c r="N25" s="213">
        <v>3.0104166666666668E-2</v>
      </c>
      <c r="O25" s="209">
        <f t="shared" si="2"/>
        <v>1.2962962962962989E-3</v>
      </c>
      <c r="P25" s="210">
        <v>43020</v>
      </c>
      <c r="Q25" s="59" t="str">
        <f t="shared" ca="1" si="1"/>
        <v>https://www.youtube.com/embed/VFJFvcNogFU?start=2489&amp;end=2601&amp;autoplay=1</v>
      </c>
      <c r="R25" s="205" t="s">
        <v>63</v>
      </c>
      <c r="S25" s="205" t="s">
        <v>63</v>
      </c>
      <c r="T25" s="205" t="s">
        <v>63</v>
      </c>
      <c r="U25" s="40"/>
      <c r="V25" s="54"/>
      <c r="W25" s="69" t="s">
        <v>64</v>
      </c>
      <c r="X25" s="56"/>
      <c r="Y25" s="117"/>
      <c r="AA25" s="117"/>
      <c r="AB25" s="117"/>
      <c r="AC25" s="203"/>
      <c r="AD25" s="203"/>
      <c r="AE25" s="203"/>
      <c r="AF25" s="203"/>
      <c r="AG25" s="203"/>
      <c r="AH25" s="203"/>
      <c r="AI25" s="203"/>
      <c r="AJ25" s="203"/>
      <c r="AK25" s="203"/>
    </row>
    <row r="26" spans="1:37">
      <c r="A26" s="116">
        <v>740.13</v>
      </c>
      <c r="B26" s="39" t="s">
        <v>596</v>
      </c>
      <c r="C26" s="40"/>
      <c r="D26" s="42" t="s">
        <v>56</v>
      </c>
      <c r="E26" s="38"/>
      <c r="F26" s="43"/>
      <c r="G26" s="214" t="s">
        <v>1620</v>
      </c>
      <c r="H26" s="215" t="s">
        <v>1621</v>
      </c>
      <c r="I26" s="116" t="s">
        <v>1530</v>
      </c>
      <c r="J26" s="117"/>
      <c r="K26" s="211"/>
      <c r="L26" s="212"/>
      <c r="M26" s="213">
        <v>3.0115740740740742E-2</v>
      </c>
      <c r="N26" s="213">
        <v>3.2071759259259258E-2</v>
      </c>
      <c r="O26" s="209">
        <f t="shared" si="2"/>
        <v>1.9560185185185167E-3</v>
      </c>
      <c r="P26" s="210">
        <v>43020</v>
      </c>
      <c r="Q26" s="59" t="str">
        <f t="shared" ca="1" si="1"/>
        <v>https://www.youtube.com/embed/VFJFvcNogFU?start=2602&amp;end=2771&amp;autoplay=1</v>
      </c>
      <c r="R26" s="39" t="s">
        <v>442</v>
      </c>
      <c r="S26" s="39" t="s">
        <v>63</v>
      </c>
      <c r="T26" s="39" t="s">
        <v>63</v>
      </c>
      <c r="U26" s="40"/>
      <c r="V26" s="54"/>
      <c r="W26" s="69" t="s">
        <v>151</v>
      </c>
      <c r="X26" s="56"/>
      <c r="Y26" s="117"/>
      <c r="AA26" s="117"/>
      <c r="AB26" s="117"/>
      <c r="AC26" s="203"/>
      <c r="AD26" s="203"/>
      <c r="AE26" s="203"/>
      <c r="AF26" s="203"/>
      <c r="AG26" s="203"/>
      <c r="AH26" s="203"/>
      <c r="AI26" s="203"/>
      <c r="AJ26" s="203"/>
      <c r="AK26" s="203"/>
    </row>
    <row r="27" spans="1:37">
      <c r="A27" s="116">
        <v>740.14</v>
      </c>
      <c r="B27" s="39" t="s">
        <v>596</v>
      </c>
      <c r="C27" s="40"/>
      <c r="D27" s="42" t="s">
        <v>56</v>
      </c>
      <c r="E27" s="38"/>
      <c r="F27" s="43"/>
      <c r="G27" s="214" t="s">
        <v>1624</v>
      </c>
      <c r="H27" s="215" t="s">
        <v>1625</v>
      </c>
      <c r="I27" s="116" t="s">
        <v>1626</v>
      </c>
      <c r="J27" s="117"/>
      <c r="K27" s="211"/>
      <c r="L27" s="212"/>
      <c r="M27" s="213">
        <v>3.2303240740740743E-2</v>
      </c>
      <c r="N27" s="213">
        <v>3.4791666666666665E-2</v>
      </c>
      <c r="O27" s="209">
        <f t="shared" si="2"/>
        <v>2.4884259259259217E-3</v>
      </c>
      <c r="P27" s="210">
        <v>43020</v>
      </c>
      <c r="Q27" s="59" t="str">
        <f t="shared" ca="1" si="1"/>
        <v>https://www.youtube.com/embed/VFJFvcNogFU?start=2791&amp;end=3006&amp;autoplay=1</v>
      </c>
      <c r="R27" s="39" t="s">
        <v>442</v>
      </c>
      <c r="S27" s="39" t="s">
        <v>63</v>
      </c>
      <c r="T27" s="39" t="s">
        <v>63</v>
      </c>
      <c r="U27" s="40"/>
      <c r="V27" s="54"/>
      <c r="W27" s="69" t="s">
        <v>151</v>
      </c>
      <c r="X27" s="56"/>
      <c r="Y27" s="117"/>
      <c r="AA27" s="117"/>
      <c r="AB27" s="117"/>
      <c r="AC27" s="203"/>
      <c r="AD27" s="203"/>
      <c r="AE27" s="203"/>
      <c r="AF27" s="203"/>
      <c r="AG27" s="203"/>
      <c r="AH27" s="203"/>
      <c r="AI27" s="203"/>
      <c r="AJ27" s="203"/>
      <c r="AK27" s="203"/>
    </row>
    <row r="28" spans="1:37">
      <c r="A28" s="116">
        <v>740.15</v>
      </c>
      <c r="B28" s="39" t="s">
        <v>596</v>
      </c>
      <c r="C28" s="40"/>
      <c r="D28" s="42" t="s">
        <v>56</v>
      </c>
      <c r="E28" s="38"/>
      <c r="F28" s="43"/>
      <c r="G28" s="214" t="s">
        <v>1629</v>
      </c>
      <c r="H28" s="215" t="s">
        <v>1630</v>
      </c>
      <c r="I28" s="116" t="s">
        <v>1530</v>
      </c>
      <c r="J28" s="117"/>
      <c r="K28" s="211"/>
      <c r="L28" s="212"/>
      <c r="M28" s="213">
        <v>3.4803240740740739E-2</v>
      </c>
      <c r="N28" s="213">
        <v>3.7615740740740741E-2</v>
      </c>
      <c r="O28" s="209">
        <f t="shared" si="2"/>
        <v>2.8125000000000025E-3</v>
      </c>
      <c r="P28" s="210">
        <v>43020</v>
      </c>
      <c r="Q28" s="59" t="str">
        <f t="shared" ca="1" si="1"/>
        <v>https://www.youtube.com/embed/VFJFvcNogFU?start=3007&amp;end=3250&amp;autoplay=1</v>
      </c>
      <c r="R28" s="205" t="s">
        <v>63</v>
      </c>
      <c r="S28" s="205" t="s">
        <v>63</v>
      </c>
      <c r="T28" s="205" t="s">
        <v>63</v>
      </c>
      <c r="U28" s="40"/>
      <c r="V28" s="54"/>
      <c r="W28" s="69" t="s">
        <v>64</v>
      </c>
      <c r="X28" s="56"/>
      <c r="Y28" s="117"/>
      <c r="AA28" s="117"/>
      <c r="AB28" s="117"/>
      <c r="AC28" s="203"/>
      <c r="AD28" s="203"/>
      <c r="AE28" s="203"/>
      <c r="AF28" s="203"/>
      <c r="AG28" s="203"/>
      <c r="AH28" s="203"/>
      <c r="AI28" s="203"/>
      <c r="AJ28" s="203"/>
      <c r="AK28" s="203"/>
    </row>
    <row r="29" spans="1:37">
      <c r="A29" s="116">
        <v>740.16</v>
      </c>
      <c r="B29" s="39" t="s">
        <v>596</v>
      </c>
      <c r="C29" s="40"/>
      <c r="D29" s="42" t="s">
        <v>56</v>
      </c>
      <c r="E29" s="38"/>
      <c r="F29" s="43"/>
      <c r="G29" s="214" t="s">
        <v>1633</v>
      </c>
      <c r="H29" s="215" t="s">
        <v>1634</v>
      </c>
      <c r="I29" s="116" t="s">
        <v>1530</v>
      </c>
      <c r="J29" s="117"/>
      <c r="K29" s="211"/>
      <c r="L29" s="212"/>
      <c r="M29" s="213">
        <v>3.7627314814814815E-2</v>
      </c>
      <c r="N29" s="213">
        <v>3.9305555555555559E-2</v>
      </c>
      <c r="O29" s="209">
        <f t="shared" si="2"/>
        <v>1.678240740740744E-3</v>
      </c>
      <c r="P29" s="210">
        <v>43020</v>
      </c>
      <c r="Q29" s="59" t="str">
        <f t="shared" ca="1" si="1"/>
        <v>https://www.youtube.com/embed/VFJFvcNogFU?start=3251&amp;end=3396&amp;autoplay=1</v>
      </c>
      <c r="R29" s="205" t="s">
        <v>63</v>
      </c>
      <c r="S29" s="205" t="s">
        <v>63</v>
      </c>
      <c r="T29" s="205" t="s">
        <v>63</v>
      </c>
      <c r="U29" s="40"/>
      <c r="V29" s="54"/>
      <c r="W29" s="69" t="s">
        <v>64</v>
      </c>
      <c r="X29" s="56"/>
      <c r="Y29" s="117"/>
      <c r="AA29" s="117"/>
      <c r="AB29" s="117"/>
      <c r="AC29" s="203"/>
      <c r="AD29" s="203"/>
      <c r="AE29" s="203"/>
      <c r="AF29" s="203"/>
      <c r="AG29" s="203"/>
      <c r="AH29" s="203"/>
      <c r="AI29" s="203"/>
      <c r="AJ29" s="203"/>
      <c r="AK29" s="203"/>
    </row>
    <row r="30" spans="1:37">
      <c r="A30" s="116">
        <v>740.17</v>
      </c>
      <c r="B30" s="39" t="s">
        <v>596</v>
      </c>
      <c r="C30" s="40"/>
      <c r="D30" s="42" t="s">
        <v>56</v>
      </c>
      <c r="E30" s="38"/>
      <c r="F30" s="43"/>
      <c r="G30" s="214" t="s">
        <v>1637</v>
      </c>
      <c r="H30" s="215" t="s">
        <v>1638</v>
      </c>
      <c r="I30" s="116" t="s">
        <v>1639</v>
      </c>
      <c r="J30" s="117"/>
      <c r="K30" s="211"/>
      <c r="L30" s="212"/>
      <c r="M30" s="213">
        <v>3.9317129629629632E-2</v>
      </c>
      <c r="N30" s="213">
        <v>4.1087962962962965E-2</v>
      </c>
      <c r="O30" s="209">
        <f t="shared" si="2"/>
        <v>1.7708333333333326E-3</v>
      </c>
      <c r="P30" s="210">
        <v>43020</v>
      </c>
      <c r="Q30" s="59" t="str">
        <f t="shared" ca="1" si="1"/>
        <v>https://www.youtube.com/embed/VFJFvcNogFU?start=3397&amp;end=3550&amp;autoplay=1</v>
      </c>
      <c r="R30" s="205" t="s">
        <v>63</v>
      </c>
      <c r="S30" s="205" t="s">
        <v>63</v>
      </c>
      <c r="T30" s="205" t="s">
        <v>63</v>
      </c>
      <c r="U30" s="40"/>
      <c r="V30" s="54"/>
      <c r="W30" s="69"/>
      <c r="X30" s="56"/>
      <c r="Y30" s="117"/>
      <c r="AA30" s="117"/>
      <c r="AB30" s="117"/>
      <c r="AC30" s="203"/>
      <c r="AD30" s="203"/>
      <c r="AE30" s="203"/>
      <c r="AF30" s="203"/>
      <c r="AG30" s="203"/>
      <c r="AH30" s="203"/>
      <c r="AI30" s="203"/>
      <c r="AJ30" s="203"/>
      <c r="AK30" s="203"/>
    </row>
    <row r="31" spans="1:37">
      <c r="A31" s="116">
        <v>740.18</v>
      </c>
      <c r="B31" s="39" t="s">
        <v>596</v>
      </c>
      <c r="C31" s="40"/>
      <c r="D31" s="42" t="s">
        <v>56</v>
      </c>
      <c r="E31" s="38"/>
      <c r="F31" s="43"/>
      <c r="G31" s="214" t="s">
        <v>1642</v>
      </c>
      <c r="H31" s="215" t="s">
        <v>1643</v>
      </c>
      <c r="I31" s="96" t="s">
        <v>1639</v>
      </c>
      <c r="J31" s="117"/>
      <c r="K31" s="211"/>
      <c r="L31" s="212"/>
      <c r="M31" s="213">
        <v>4.1122685185185186E-2</v>
      </c>
      <c r="N31" s="213">
        <v>4.6990740740740743E-2</v>
      </c>
      <c r="O31" s="209">
        <f t="shared" si="2"/>
        <v>5.8680555555555569E-3</v>
      </c>
      <c r="P31" s="210">
        <v>43020</v>
      </c>
      <c r="Q31" s="59" t="str">
        <f t="shared" ca="1" si="1"/>
        <v>https://www.youtube.com/embed/VFJFvcNogFU?start=3553&amp;end=4060&amp;autoplay=1</v>
      </c>
      <c r="R31" s="205" t="s">
        <v>63</v>
      </c>
      <c r="S31" s="205" t="s">
        <v>63</v>
      </c>
      <c r="T31" s="205" t="s">
        <v>63</v>
      </c>
      <c r="U31" s="40"/>
      <c r="V31" s="54"/>
      <c r="W31" s="69" t="s">
        <v>64</v>
      </c>
      <c r="X31" s="56"/>
      <c r="Y31" s="116" t="s">
        <v>1644</v>
      </c>
      <c r="AA31" s="117"/>
      <c r="AB31" s="117"/>
      <c r="AC31" s="203"/>
      <c r="AD31" s="203"/>
      <c r="AE31" s="203"/>
      <c r="AF31" s="203"/>
      <c r="AG31" s="203"/>
      <c r="AH31" s="203"/>
      <c r="AI31" s="203"/>
      <c r="AJ31" s="203"/>
      <c r="AK31" s="203"/>
    </row>
    <row r="32" spans="1:37">
      <c r="A32" s="116">
        <v>740.19</v>
      </c>
      <c r="B32" s="39" t="s">
        <v>596</v>
      </c>
      <c r="C32" s="40"/>
      <c r="D32" s="42" t="s">
        <v>56</v>
      </c>
      <c r="E32" s="38"/>
      <c r="F32" s="43"/>
      <c r="G32" s="214" t="s">
        <v>1647</v>
      </c>
      <c r="H32" s="215" t="s">
        <v>1648</v>
      </c>
      <c r="I32" s="96" t="s">
        <v>1649</v>
      </c>
      <c r="J32" s="116" t="s">
        <v>1530</v>
      </c>
      <c r="K32" s="211"/>
      <c r="L32" s="212"/>
      <c r="M32" s="213">
        <v>4.7812500000000001E-2</v>
      </c>
      <c r="N32" s="213">
        <v>7.121527777777778E-2</v>
      </c>
      <c r="O32" s="209">
        <f t="shared" si="2"/>
        <v>2.3402777777777779E-2</v>
      </c>
      <c r="P32" s="218">
        <v>43021</v>
      </c>
      <c r="Q32" s="59" t="str">
        <f t="shared" ca="1" si="1"/>
        <v>https://www.youtube.com/embed/VFJFvcNogFU?start=4131&amp;end=6153&amp;autoplay=1</v>
      </c>
      <c r="R32" s="205" t="s">
        <v>63</v>
      </c>
      <c r="S32" s="205" t="s">
        <v>63</v>
      </c>
      <c r="T32" s="205" t="s">
        <v>63</v>
      </c>
      <c r="U32" s="40"/>
      <c r="V32" s="54"/>
      <c r="W32" s="69" t="s">
        <v>64</v>
      </c>
      <c r="X32" s="56"/>
      <c r="Y32" s="88"/>
      <c r="AA32" s="88"/>
      <c r="AB32" s="88"/>
    </row>
    <row r="33" spans="1:37">
      <c r="A33" s="38">
        <v>700</v>
      </c>
      <c r="B33" s="39" t="s">
        <v>596</v>
      </c>
      <c r="C33" s="40"/>
      <c r="D33" s="42" t="s">
        <v>56</v>
      </c>
      <c r="E33" s="38" t="s">
        <v>1652</v>
      </c>
      <c r="F33" s="43" t="s">
        <v>1653</v>
      </c>
      <c r="G33" s="219"/>
      <c r="H33" s="220"/>
      <c r="J33" s="117">
        <f>12*1000</f>
        <v>12000</v>
      </c>
      <c r="K33" s="211">
        <v>2.7951388888888887E-2</v>
      </c>
      <c r="L33" s="212" t="s">
        <v>811</v>
      </c>
      <c r="M33" s="117"/>
      <c r="N33" s="117"/>
      <c r="O33" s="117"/>
      <c r="P33" s="210">
        <v>43024</v>
      </c>
      <c r="Q33" s="14" t="str">
        <f t="shared" ca="1" si="1"/>
        <v/>
      </c>
      <c r="R33" s="205"/>
      <c r="S33" s="205"/>
      <c r="T33" s="205"/>
      <c r="U33" s="40"/>
      <c r="V33" s="54"/>
      <c r="W33" s="55"/>
      <c r="X33" s="56"/>
      <c r="Y33" s="88"/>
      <c r="AA33" s="88"/>
      <c r="AB33" s="88"/>
    </row>
    <row r="34" spans="1:37">
      <c r="A34" s="206">
        <v>700.01</v>
      </c>
      <c r="B34" s="221" t="s">
        <v>596</v>
      </c>
      <c r="C34" s="40"/>
      <c r="D34" s="42" t="s">
        <v>56</v>
      </c>
      <c r="E34" s="207"/>
      <c r="F34" s="207"/>
      <c r="G34" s="206" t="s">
        <v>1657</v>
      </c>
      <c r="H34" s="206" t="s">
        <v>1659</v>
      </c>
      <c r="I34" s="206" t="s">
        <v>1530</v>
      </c>
      <c r="J34" s="207"/>
      <c r="K34" s="207"/>
      <c r="L34" s="207"/>
      <c r="M34" s="208">
        <v>1.9675925925925926E-4</v>
      </c>
      <c r="N34" s="208">
        <v>3.8425925925925928E-3</v>
      </c>
      <c r="O34" s="207"/>
      <c r="P34" s="210">
        <v>43024</v>
      </c>
      <c r="Q34" s="207"/>
      <c r="R34" s="205" t="s">
        <v>63</v>
      </c>
      <c r="S34" s="205" t="s">
        <v>63</v>
      </c>
      <c r="T34" s="205" t="s">
        <v>63</v>
      </c>
      <c r="U34" s="207"/>
      <c r="V34" s="207"/>
      <c r="W34" s="69" t="s">
        <v>64</v>
      </c>
      <c r="X34" s="207"/>
      <c r="Y34" s="207"/>
      <c r="Z34" s="207"/>
      <c r="AA34" s="207"/>
      <c r="AB34" s="207"/>
      <c r="AC34" s="207"/>
      <c r="AD34" s="207"/>
      <c r="AE34" s="207"/>
      <c r="AF34" s="207"/>
      <c r="AG34" s="207"/>
      <c r="AH34" s="207"/>
      <c r="AI34" s="207"/>
      <c r="AJ34" s="207"/>
      <c r="AK34" s="207"/>
    </row>
    <row r="35" spans="1:37">
      <c r="A35" s="206">
        <v>700.02</v>
      </c>
      <c r="B35" s="221" t="s">
        <v>596</v>
      </c>
      <c r="C35" s="40"/>
      <c r="D35" s="42" t="s">
        <v>56</v>
      </c>
      <c r="E35" s="207"/>
      <c r="F35" s="207"/>
      <c r="G35" s="206" t="s">
        <v>1660</v>
      </c>
      <c r="H35" s="206" t="s">
        <v>1661</v>
      </c>
      <c r="I35" s="206" t="s">
        <v>1530</v>
      </c>
      <c r="J35" s="207"/>
      <c r="K35" s="207"/>
      <c r="L35" s="207"/>
      <c r="M35" s="208">
        <v>3.8657407407407408E-3</v>
      </c>
      <c r="N35" s="208">
        <v>6.0416666666666665E-3</v>
      </c>
      <c r="O35" s="207"/>
      <c r="P35" s="210">
        <v>43024</v>
      </c>
      <c r="Q35" s="207"/>
      <c r="R35" s="205" t="s">
        <v>63</v>
      </c>
      <c r="S35" s="205" t="s">
        <v>63</v>
      </c>
      <c r="T35" s="205" t="s">
        <v>63</v>
      </c>
      <c r="U35" s="207"/>
      <c r="V35" s="207"/>
      <c r="W35" s="69" t="s">
        <v>64</v>
      </c>
      <c r="X35" s="207"/>
      <c r="Y35" s="207"/>
      <c r="Z35" s="207"/>
      <c r="AA35" s="207"/>
      <c r="AB35" s="207"/>
      <c r="AC35" s="207"/>
      <c r="AD35" s="207"/>
      <c r="AE35" s="207"/>
      <c r="AF35" s="207"/>
      <c r="AG35" s="207"/>
      <c r="AH35" s="207"/>
      <c r="AI35" s="207"/>
      <c r="AJ35" s="207"/>
      <c r="AK35" s="207"/>
    </row>
    <row r="36" spans="1:37">
      <c r="A36" s="206">
        <v>700.03</v>
      </c>
      <c r="B36" s="221" t="s">
        <v>596</v>
      </c>
      <c r="C36" s="40"/>
      <c r="D36" s="42" t="s">
        <v>56</v>
      </c>
      <c r="E36" s="207"/>
      <c r="F36" s="207"/>
      <c r="G36" s="206" t="s">
        <v>1664</v>
      </c>
      <c r="H36" s="206" t="s">
        <v>1665</v>
      </c>
      <c r="I36" s="206" t="s">
        <v>1666</v>
      </c>
      <c r="J36" s="207"/>
      <c r="K36" s="207"/>
      <c r="L36" s="207"/>
      <c r="M36" s="208">
        <v>6.053240740740741E-3</v>
      </c>
      <c r="N36" s="208">
        <v>2.0196759259259258E-2</v>
      </c>
      <c r="O36" s="207"/>
      <c r="P36" s="210">
        <v>43024</v>
      </c>
      <c r="Q36" s="207"/>
      <c r="R36" s="205" t="s">
        <v>63</v>
      </c>
      <c r="S36" s="205" t="s">
        <v>63</v>
      </c>
      <c r="T36" s="205" t="s">
        <v>63</v>
      </c>
      <c r="U36" s="207"/>
      <c r="V36" s="207"/>
      <c r="W36" s="69" t="s">
        <v>64</v>
      </c>
      <c r="X36" s="207"/>
      <c r="Y36" s="206" t="s">
        <v>1667</v>
      </c>
      <c r="AA36" s="207"/>
      <c r="AB36" s="207"/>
      <c r="AC36" s="207"/>
      <c r="AD36" s="207"/>
      <c r="AE36" s="207"/>
      <c r="AF36" s="207"/>
      <c r="AG36" s="207"/>
      <c r="AH36" s="207"/>
      <c r="AI36" s="207"/>
      <c r="AJ36" s="207"/>
      <c r="AK36" s="207"/>
    </row>
    <row r="37" spans="1:37">
      <c r="A37" s="206">
        <v>700.04</v>
      </c>
      <c r="B37" s="221" t="s">
        <v>596</v>
      </c>
      <c r="C37" s="40"/>
      <c r="D37" s="42" t="s">
        <v>56</v>
      </c>
      <c r="E37" s="207"/>
      <c r="F37" s="207"/>
      <c r="G37" s="206" t="s">
        <v>1668</v>
      </c>
      <c r="H37" s="206" t="s">
        <v>1669</v>
      </c>
      <c r="I37" s="206" t="s">
        <v>1671</v>
      </c>
      <c r="J37" s="207"/>
      <c r="K37" s="207"/>
      <c r="L37" s="207"/>
      <c r="M37" s="208">
        <v>2.0208333333333332E-2</v>
      </c>
      <c r="N37" s="208">
        <v>2.7175925925925926E-2</v>
      </c>
      <c r="O37" s="207"/>
      <c r="P37" s="210">
        <v>43024</v>
      </c>
      <c r="Q37" s="207"/>
      <c r="R37" s="205" t="s">
        <v>63</v>
      </c>
      <c r="S37" s="205" t="s">
        <v>63</v>
      </c>
      <c r="T37" s="205" t="s">
        <v>63</v>
      </c>
      <c r="U37" s="207"/>
      <c r="V37" s="207"/>
      <c r="W37" s="69" t="s">
        <v>64</v>
      </c>
      <c r="X37" s="207"/>
      <c r="Y37" s="206" t="s">
        <v>1673</v>
      </c>
      <c r="Z37" s="12" t="s">
        <v>1530</v>
      </c>
      <c r="AA37" s="207"/>
      <c r="AB37" s="207"/>
      <c r="AC37" s="207"/>
      <c r="AD37" s="207"/>
      <c r="AE37" s="207"/>
      <c r="AF37" s="207"/>
      <c r="AG37" s="207"/>
      <c r="AH37" s="207"/>
      <c r="AI37" s="207"/>
      <c r="AJ37" s="207"/>
      <c r="AK37" s="207"/>
    </row>
    <row r="38" spans="1:37">
      <c r="A38" s="38">
        <v>106</v>
      </c>
      <c r="B38" s="39" t="s">
        <v>596</v>
      </c>
      <c r="C38" s="40"/>
      <c r="D38" s="42" t="s">
        <v>56</v>
      </c>
      <c r="E38" s="38" t="s">
        <v>598</v>
      </c>
      <c r="F38" s="43" t="s">
        <v>599</v>
      </c>
      <c r="G38" s="44"/>
      <c r="H38" s="45"/>
      <c r="I38" s="88"/>
      <c r="J38" s="38">
        <f>11*1000</f>
        <v>11000</v>
      </c>
      <c r="K38" s="46">
        <v>5.4884259259259265E-2</v>
      </c>
      <c r="L38" s="47" t="s">
        <v>286</v>
      </c>
      <c r="M38" s="38"/>
      <c r="N38" s="38"/>
      <c r="O38" s="38"/>
      <c r="P38" s="218">
        <v>43025</v>
      </c>
      <c r="Q38" s="14" t="str">
        <f ca="1">HYPERLINK(IF(INT(A38)-A38=0,"",REPLACE(INDIRECT("MasterList!e"&amp;INT(A38)+1),25,8,"embed/")&amp;"?start="&amp;HOUR(M38)*3600+MINUTE(M38)*60+SECOND(M38)&amp;"&amp;end="&amp;HOUR(N38)*3600+MINUTE(N38)*60+SECOND(N38)&amp;"&amp;autoplay=1"))</f>
        <v/>
      </c>
      <c r="R38" s="51"/>
      <c r="S38" s="51"/>
      <c r="T38" s="51"/>
      <c r="U38" s="40"/>
      <c r="V38" s="54"/>
      <c r="W38" s="69" t="s">
        <v>64</v>
      </c>
      <c r="X38" s="56"/>
      <c r="Y38" s="88"/>
      <c r="AA38" s="88"/>
      <c r="AB38" s="88"/>
    </row>
    <row r="39" spans="1:37">
      <c r="A39" s="206">
        <v>106.01</v>
      </c>
      <c r="B39" s="221" t="s">
        <v>596</v>
      </c>
      <c r="C39" s="216"/>
      <c r="D39" s="42" t="s">
        <v>56</v>
      </c>
      <c r="E39" s="207"/>
      <c r="F39" s="207"/>
      <c r="G39" s="206" t="s">
        <v>1678</v>
      </c>
      <c r="H39" s="206" t="s">
        <v>1679</v>
      </c>
      <c r="I39" s="206" t="s">
        <v>1680</v>
      </c>
      <c r="J39" s="207"/>
      <c r="K39" s="207"/>
      <c r="L39" s="207"/>
      <c r="M39" s="208">
        <v>6.018518518518519E-4</v>
      </c>
      <c r="N39" s="208">
        <v>2.3148148148148147E-3</v>
      </c>
      <c r="O39" s="207"/>
      <c r="P39" s="210">
        <v>43026</v>
      </c>
      <c r="Q39" s="207"/>
      <c r="R39" s="205" t="s">
        <v>63</v>
      </c>
      <c r="S39" s="205" t="s">
        <v>63</v>
      </c>
      <c r="T39" s="205" t="s">
        <v>63</v>
      </c>
      <c r="U39" s="207"/>
      <c r="V39" s="207"/>
      <c r="W39" s="69" t="s">
        <v>64</v>
      </c>
      <c r="X39" s="207"/>
      <c r="Y39" s="206" t="s">
        <v>1681</v>
      </c>
      <c r="Z39" s="12" t="s">
        <v>1530</v>
      </c>
      <c r="AA39" s="207"/>
      <c r="AB39" s="207"/>
      <c r="AC39" s="207"/>
      <c r="AD39" s="207"/>
      <c r="AE39" s="207"/>
      <c r="AF39" s="207"/>
      <c r="AG39" s="207"/>
      <c r="AH39" s="207"/>
      <c r="AI39" s="207"/>
      <c r="AJ39" s="207"/>
      <c r="AK39" s="207"/>
    </row>
    <row r="40" spans="1:37">
      <c r="A40" s="206">
        <v>106.02</v>
      </c>
      <c r="B40" s="221" t="s">
        <v>596</v>
      </c>
      <c r="C40" s="216"/>
      <c r="D40" s="42" t="s">
        <v>56</v>
      </c>
      <c r="E40" s="207"/>
      <c r="F40" s="207"/>
      <c r="G40" s="206" t="s">
        <v>1684</v>
      </c>
      <c r="H40" s="206" t="s">
        <v>1685</v>
      </c>
      <c r="I40" s="206" t="s">
        <v>1530</v>
      </c>
      <c r="J40" s="207"/>
      <c r="K40" s="207"/>
      <c r="L40" s="207"/>
      <c r="M40" s="208">
        <v>2.3263888888888887E-3</v>
      </c>
      <c r="N40" s="208">
        <v>1.1967592592592592E-2</v>
      </c>
      <c r="O40" s="207"/>
      <c r="P40" s="210">
        <v>43027</v>
      </c>
      <c r="Q40" s="207"/>
      <c r="R40" s="205" t="s">
        <v>63</v>
      </c>
      <c r="S40" s="205" t="s">
        <v>63</v>
      </c>
      <c r="T40" s="205" t="s">
        <v>63</v>
      </c>
      <c r="U40" s="207"/>
      <c r="V40" s="207"/>
      <c r="W40" s="69" t="s">
        <v>64</v>
      </c>
      <c r="X40" s="207"/>
      <c r="Y40" s="207"/>
      <c r="Z40" s="207"/>
      <c r="AA40" s="207"/>
      <c r="AB40" s="207"/>
      <c r="AC40" s="207"/>
      <c r="AD40" s="207"/>
      <c r="AE40" s="207"/>
      <c r="AF40" s="207"/>
      <c r="AG40" s="207"/>
      <c r="AH40" s="207"/>
      <c r="AI40" s="207"/>
      <c r="AJ40" s="207"/>
      <c r="AK40" s="207"/>
    </row>
    <row r="41" spans="1:37">
      <c r="A41" s="116">
        <v>106.03</v>
      </c>
      <c r="B41" s="221" t="s">
        <v>596</v>
      </c>
      <c r="C41" s="216"/>
      <c r="D41" s="42" t="s">
        <v>56</v>
      </c>
      <c r="E41" s="117"/>
      <c r="F41" s="117"/>
      <c r="G41" s="222" t="s">
        <v>1686</v>
      </c>
      <c r="H41" s="223" t="s">
        <v>1689</v>
      </c>
      <c r="I41" s="116" t="s">
        <v>1530</v>
      </c>
      <c r="J41" s="117"/>
      <c r="K41" s="117"/>
      <c r="L41" s="117"/>
      <c r="M41" s="213">
        <v>1.1979166666666667E-2</v>
      </c>
      <c r="N41" s="213">
        <v>1.2592592592592593E-2</v>
      </c>
      <c r="O41" s="117"/>
      <c r="P41" s="218">
        <v>43029</v>
      </c>
      <c r="Q41" s="200"/>
      <c r="R41" s="205" t="s">
        <v>63</v>
      </c>
      <c r="S41" s="205" t="s">
        <v>63</v>
      </c>
      <c r="T41" s="205" t="s">
        <v>63</v>
      </c>
      <c r="U41" s="216"/>
      <c r="V41" s="217"/>
      <c r="W41" s="69" t="s">
        <v>64</v>
      </c>
      <c r="X41" s="123"/>
      <c r="Y41" s="117"/>
      <c r="Z41" s="117"/>
      <c r="AA41" s="207"/>
      <c r="AB41" s="207"/>
      <c r="AC41" s="207"/>
      <c r="AD41" s="207"/>
      <c r="AE41" s="207"/>
      <c r="AF41" s="207"/>
      <c r="AG41" s="207"/>
      <c r="AH41" s="207"/>
      <c r="AI41" s="207"/>
      <c r="AJ41" s="207"/>
      <c r="AK41" s="207"/>
    </row>
    <row r="42" spans="1:37">
      <c r="A42" s="116">
        <v>106.04</v>
      </c>
      <c r="B42" s="221" t="s">
        <v>596</v>
      </c>
      <c r="C42" s="216"/>
      <c r="D42" s="42" t="s">
        <v>56</v>
      </c>
      <c r="E42" s="117"/>
      <c r="F42" s="117"/>
      <c r="G42" s="224" t="s">
        <v>1692</v>
      </c>
      <c r="H42" s="225" t="s">
        <v>1693</v>
      </c>
      <c r="I42" s="116" t="s">
        <v>1530</v>
      </c>
      <c r="J42" s="117"/>
      <c r="K42" s="117"/>
      <c r="L42" s="117"/>
      <c r="M42" s="213">
        <v>1.2604166666666666E-2</v>
      </c>
      <c r="N42" s="213">
        <v>1.3287037037037036E-2</v>
      </c>
      <c r="O42" s="117"/>
      <c r="P42" s="218">
        <v>43029</v>
      </c>
      <c r="Q42" s="200"/>
      <c r="R42" s="205" t="s">
        <v>63</v>
      </c>
      <c r="S42" s="205" t="s">
        <v>63</v>
      </c>
      <c r="T42" s="205" t="s">
        <v>63</v>
      </c>
      <c r="U42" s="216"/>
      <c r="V42" s="217"/>
      <c r="W42" s="69" t="s">
        <v>64</v>
      </c>
      <c r="X42" s="123"/>
      <c r="Y42" s="117"/>
      <c r="Z42" s="117"/>
      <c r="AA42" s="207"/>
      <c r="AB42" s="207"/>
      <c r="AC42" s="207"/>
      <c r="AD42" s="207"/>
      <c r="AE42" s="207"/>
      <c r="AF42" s="207"/>
      <c r="AG42" s="207"/>
      <c r="AH42" s="207"/>
      <c r="AI42" s="207"/>
      <c r="AJ42" s="207"/>
      <c r="AK42" s="207"/>
    </row>
    <row r="43" spans="1:37">
      <c r="A43" s="116">
        <v>106.05</v>
      </c>
      <c r="B43" s="221" t="s">
        <v>596</v>
      </c>
      <c r="C43" s="216"/>
      <c r="D43" s="42" t="s">
        <v>56</v>
      </c>
      <c r="E43" s="117"/>
      <c r="F43" s="117"/>
      <c r="G43" s="224" t="s">
        <v>1696</v>
      </c>
      <c r="H43" s="225" t="s">
        <v>1697</v>
      </c>
      <c r="I43" s="116" t="s">
        <v>1530</v>
      </c>
      <c r="J43" s="117"/>
      <c r="K43" s="117"/>
      <c r="L43" s="117"/>
      <c r="M43" s="213">
        <v>1.3298611111111112E-2</v>
      </c>
      <c r="N43" s="213">
        <v>1.5659722222222221E-2</v>
      </c>
      <c r="O43" s="117"/>
      <c r="P43" s="218">
        <v>43029</v>
      </c>
      <c r="Q43" s="200"/>
      <c r="R43" s="205" t="s">
        <v>63</v>
      </c>
      <c r="S43" s="205" t="s">
        <v>63</v>
      </c>
      <c r="T43" s="205" t="s">
        <v>63</v>
      </c>
      <c r="U43" s="216"/>
      <c r="V43" s="217"/>
      <c r="W43" s="69" t="s">
        <v>64</v>
      </c>
      <c r="X43" s="123"/>
      <c r="Y43" s="117"/>
      <c r="Z43" s="117"/>
      <c r="AA43" s="207"/>
      <c r="AB43" s="207"/>
      <c r="AC43" s="207"/>
      <c r="AD43" s="207"/>
      <c r="AE43" s="207"/>
      <c r="AF43" s="207"/>
      <c r="AG43" s="207"/>
      <c r="AH43" s="207"/>
      <c r="AI43" s="207"/>
      <c r="AJ43" s="207"/>
      <c r="AK43" s="207"/>
    </row>
    <row r="44" spans="1:37">
      <c r="A44" s="126">
        <v>106.06</v>
      </c>
      <c r="B44" s="221" t="s">
        <v>596</v>
      </c>
      <c r="C44" s="216"/>
      <c r="D44" s="42" t="s">
        <v>56</v>
      </c>
      <c r="E44" s="117"/>
      <c r="F44" s="117"/>
      <c r="G44" s="224" t="s">
        <v>1698</v>
      </c>
      <c r="H44" s="225" t="s">
        <v>1699</v>
      </c>
      <c r="I44" s="116" t="s">
        <v>1530</v>
      </c>
      <c r="J44" s="117"/>
      <c r="K44" s="117"/>
      <c r="L44" s="117"/>
      <c r="M44" s="213">
        <v>1.5671296296296298E-2</v>
      </c>
      <c r="N44" s="213">
        <v>1.8518518518518517E-2</v>
      </c>
      <c r="O44" s="117"/>
      <c r="P44" s="218">
        <v>43029</v>
      </c>
      <c r="Q44" s="200"/>
      <c r="R44" s="205" t="s">
        <v>63</v>
      </c>
      <c r="S44" s="205" t="s">
        <v>63</v>
      </c>
      <c r="T44" s="205" t="s">
        <v>63</v>
      </c>
      <c r="U44" s="216"/>
      <c r="V44" s="217"/>
      <c r="W44" s="69" t="s">
        <v>64</v>
      </c>
      <c r="X44" s="123"/>
      <c r="Y44" s="117"/>
      <c r="Z44" s="117"/>
      <c r="AA44" s="207"/>
      <c r="AB44" s="207"/>
      <c r="AC44" s="207"/>
      <c r="AD44" s="207"/>
      <c r="AE44" s="207"/>
      <c r="AF44" s="207"/>
      <c r="AG44" s="207"/>
      <c r="AH44" s="207"/>
      <c r="AI44" s="207"/>
      <c r="AJ44" s="207"/>
      <c r="AK44" s="207"/>
    </row>
    <row r="45" spans="1:37">
      <c r="A45" s="116">
        <v>106.07</v>
      </c>
      <c r="B45" s="221" t="s">
        <v>596</v>
      </c>
      <c r="C45" s="216"/>
      <c r="D45" s="42" t="s">
        <v>56</v>
      </c>
      <c r="E45" s="117"/>
      <c r="F45" s="117"/>
      <c r="G45" s="224" t="s">
        <v>1702</v>
      </c>
      <c r="H45" s="225" t="s">
        <v>1703</v>
      </c>
      <c r="I45" s="116" t="s">
        <v>1530</v>
      </c>
      <c r="J45" s="117"/>
      <c r="K45" s="117"/>
      <c r="L45" s="117"/>
      <c r="M45" s="213">
        <v>1.8541666666666668E-2</v>
      </c>
      <c r="N45" s="213">
        <v>1.9560185185185184E-2</v>
      </c>
      <c r="O45" s="117"/>
      <c r="P45" s="218">
        <v>43030</v>
      </c>
      <c r="Q45" s="200"/>
      <c r="R45" s="205" t="s">
        <v>63</v>
      </c>
      <c r="S45" s="205" t="s">
        <v>63</v>
      </c>
      <c r="T45" s="205" t="s">
        <v>63</v>
      </c>
      <c r="U45" s="216"/>
      <c r="V45" s="217"/>
      <c r="W45" s="69" t="s">
        <v>64</v>
      </c>
      <c r="X45" s="123"/>
      <c r="Y45" s="117"/>
      <c r="Z45" s="117"/>
      <c r="AA45" s="207"/>
      <c r="AB45" s="207"/>
      <c r="AC45" s="207"/>
      <c r="AD45" s="207"/>
      <c r="AE45" s="207"/>
      <c r="AF45" s="207"/>
      <c r="AG45" s="207"/>
      <c r="AH45" s="207"/>
      <c r="AI45" s="207"/>
      <c r="AJ45" s="207"/>
      <c r="AK45" s="207"/>
    </row>
    <row r="46" spans="1:37">
      <c r="A46" s="116">
        <v>106.08</v>
      </c>
      <c r="B46" s="221" t="s">
        <v>596</v>
      </c>
      <c r="C46" s="216"/>
      <c r="D46" s="42" t="s">
        <v>56</v>
      </c>
      <c r="E46" s="117"/>
      <c r="F46" s="226"/>
      <c r="G46" s="227" t="s">
        <v>1706</v>
      </c>
      <c r="H46" s="228" t="s">
        <v>1707</v>
      </c>
      <c r="I46" s="116" t="s">
        <v>1530</v>
      </c>
      <c r="J46" s="117"/>
      <c r="K46" s="211"/>
      <c r="L46" s="212"/>
      <c r="M46" s="213">
        <v>1.9583333333333335E-2</v>
      </c>
      <c r="N46" s="213">
        <v>2.1238425925925924E-2</v>
      </c>
      <c r="O46" s="117"/>
      <c r="P46" s="218">
        <v>43030</v>
      </c>
      <c r="Q46" s="200"/>
      <c r="R46" s="205" t="s">
        <v>63</v>
      </c>
      <c r="S46" s="205" t="s">
        <v>63</v>
      </c>
      <c r="T46" s="205" t="s">
        <v>63</v>
      </c>
      <c r="U46" s="216"/>
      <c r="V46" s="217"/>
      <c r="W46" s="69" t="s">
        <v>64</v>
      </c>
      <c r="X46" s="123"/>
      <c r="Y46" s="117"/>
      <c r="Z46" s="117"/>
      <c r="AA46" s="117"/>
      <c r="AB46" s="117"/>
      <c r="AC46" s="207"/>
      <c r="AD46" s="207"/>
      <c r="AE46" s="207"/>
      <c r="AF46" s="207"/>
      <c r="AG46" s="207"/>
      <c r="AH46" s="207"/>
      <c r="AI46" s="207"/>
      <c r="AJ46" s="207"/>
      <c r="AK46" s="207"/>
    </row>
    <row r="47" spans="1:37">
      <c r="A47" s="206">
        <v>106.09</v>
      </c>
      <c r="B47" s="221" t="s">
        <v>596</v>
      </c>
      <c r="C47" s="216"/>
      <c r="D47" s="42" t="s">
        <v>56</v>
      </c>
      <c r="E47" s="207"/>
      <c r="F47" s="207"/>
      <c r="G47" s="227" t="s">
        <v>1710</v>
      </c>
      <c r="H47" s="228" t="s">
        <v>1711</v>
      </c>
      <c r="I47" s="206" t="s">
        <v>1530</v>
      </c>
      <c r="J47" s="207"/>
      <c r="K47" s="207"/>
      <c r="L47" s="207"/>
      <c r="M47" s="208">
        <v>2.1261574074074075E-2</v>
      </c>
      <c r="N47" s="208">
        <v>2.2754629629629628E-2</v>
      </c>
      <c r="O47" s="207"/>
      <c r="P47" s="218">
        <v>43030</v>
      </c>
      <c r="Q47" s="207"/>
      <c r="R47" s="205" t="s">
        <v>63</v>
      </c>
      <c r="S47" s="205" t="s">
        <v>63</v>
      </c>
      <c r="T47" s="205" t="s">
        <v>63</v>
      </c>
      <c r="U47" s="207"/>
      <c r="V47" s="207"/>
      <c r="W47" s="69" t="s">
        <v>64</v>
      </c>
      <c r="X47" s="207"/>
      <c r="Y47" s="207"/>
      <c r="Z47" s="207"/>
      <c r="AA47" s="207"/>
      <c r="AB47" s="207"/>
      <c r="AC47" s="207"/>
      <c r="AD47" s="207"/>
      <c r="AE47" s="207"/>
      <c r="AF47" s="207"/>
      <c r="AG47" s="207"/>
      <c r="AH47" s="207"/>
      <c r="AI47" s="207"/>
      <c r="AJ47" s="207"/>
      <c r="AK47" s="207"/>
    </row>
    <row r="48" spans="1:37">
      <c r="A48" s="206">
        <v>106.1</v>
      </c>
      <c r="B48" s="221" t="s">
        <v>596</v>
      </c>
      <c r="C48" s="216"/>
      <c r="D48" s="42" t="s">
        <v>56</v>
      </c>
      <c r="E48" s="207"/>
      <c r="F48" s="207"/>
      <c r="G48" s="227" t="s">
        <v>1712</v>
      </c>
      <c r="H48" s="228" t="s">
        <v>1713</v>
      </c>
      <c r="I48" s="206" t="s">
        <v>1530</v>
      </c>
      <c r="J48" s="207"/>
      <c r="K48" s="207"/>
      <c r="L48" s="207"/>
      <c r="M48" s="208">
        <v>2.2777777777777779E-2</v>
      </c>
      <c r="N48" s="208">
        <v>2.3229166666666665E-2</v>
      </c>
      <c r="O48" s="207"/>
      <c r="P48" s="218">
        <v>43030</v>
      </c>
      <c r="Q48" s="207"/>
      <c r="R48" s="205" t="s">
        <v>63</v>
      </c>
      <c r="S48" s="205" t="s">
        <v>63</v>
      </c>
      <c r="T48" s="205" t="s">
        <v>63</v>
      </c>
      <c r="U48" s="207"/>
      <c r="V48" s="207"/>
      <c r="W48" s="69" t="s">
        <v>64</v>
      </c>
      <c r="X48" s="207"/>
      <c r="Y48" s="207"/>
      <c r="Z48" s="207"/>
      <c r="AA48" s="207"/>
      <c r="AB48" s="207"/>
      <c r="AC48" s="207"/>
      <c r="AD48" s="207"/>
      <c r="AE48" s="207"/>
      <c r="AF48" s="207"/>
      <c r="AG48" s="207"/>
      <c r="AH48" s="207"/>
      <c r="AI48" s="207"/>
      <c r="AJ48" s="207"/>
      <c r="AK48" s="207"/>
    </row>
    <row r="49" spans="1:37">
      <c r="A49" s="229">
        <v>106.11</v>
      </c>
      <c r="B49" s="221" t="s">
        <v>596</v>
      </c>
      <c r="C49" s="216"/>
      <c r="D49" s="42" t="s">
        <v>56</v>
      </c>
      <c r="E49" s="207"/>
      <c r="F49" s="207"/>
      <c r="G49" s="227" t="s">
        <v>1716</v>
      </c>
      <c r="H49" s="228" t="s">
        <v>1717</v>
      </c>
      <c r="I49" s="206" t="s">
        <v>1530</v>
      </c>
      <c r="J49" s="207"/>
      <c r="K49" s="207"/>
      <c r="L49" s="207"/>
      <c r="M49" s="208">
        <v>2.3240740740740742E-2</v>
      </c>
      <c r="N49" s="208">
        <v>2.7719907407407408E-2</v>
      </c>
      <c r="O49" s="207"/>
      <c r="P49" s="218">
        <v>43030</v>
      </c>
      <c r="Q49" s="207"/>
      <c r="R49" s="205" t="s">
        <v>63</v>
      </c>
      <c r="S49" s="205" t="s">
        <v>63</v>
      </c>
      <c r="T49" s="205" t="s">
        <v>63</v>
      </c>
      <c r="U49" s="207"/>
      <c r="V49" s="207"/>
      <c r="W49" s="69" t="s">
        <v>64</v>
      </c>
      <c r="X49" s="207"/>
      <c r="Y49" s="206" t="s">
        <v>1718</v>
      </c>
      <c r="Z49" s="207"/>
      <c r="AA49" s="207"/>
      <c r="AB49" s="207"/>
      <c r="AC49" s="207"/>
      <c r="AD49" s="207"/>
      <c r="AE49" s="207"/>
      <c r="AF49" s="207"/>
      <c r="AG49" s="207"/>
      <c r="AH49" s="207"/>
      <c r="AI49" s="207"/>
      <c r="AJ49" s="207"/>
      <c r="AK49" s="207"/>
    </row>
    <row r="50" spans="1:37">
      <c r="A50" s="206">
        <v>106.12</v>
      </c>
      <c r="B50" s="221" t="s">
        <v>596</v>
      </c>
      <c r="C50" s="216"/>
      <c r="D50" s="42" t="s">
        <v>56</v>
      </c>
      <c r="E50" s="207"/>
      <c r="F50" s="207"/>
      <c r="G50" s="227" t="s">
        <v>1721</v>
      </c>
      <c r="H50" s="228" t="s">
        <v>1722</v>
      </c>
      <c r="I50" s="206" t="s">
        <v>1530</v>
      </c>
      <c r="J50" s="207"/>
      <c r="K50" s="207"/>
      <c r="L50" s="207"/>
      <c r="M50" s="208">
        <v>2.7731481481481482E-2</v>
      </c>
      <c r="N50" s="208">
        <v>2.9340277777777778E-2</v>
      </c>
      <c r="O50" s="207"/>
      <c r="P50" s="218">
        <v>43030</v>
      </c>
      <c r="Q50" s="207"/>
      <c r="R50" s="205" t="s">
        <v>63</v>
      </c>
      <c r="S50" s="205" t="s">
        <v>63</v>
      </c>
      <c r="T50" s="205" t="s">
        <v>63</v>
      </c>
      <c r="U50" s="207"/>
      <c r="V50" s="207"/>
      <c r="W50" s="69" t="s">
        <v>64</v>
      </c>
      <c r="X50" s="207"/>
      <c r="Y50" s="207"/>
      <c r="Z50" s="207"/>
      <c r="AA50" s="207"/>
      <c r="AB50" s="207"/>
      <c r="AC50" s="207"/>
      <c r="AD50" s="207"/>
      <c r="AE50" s="207"/>
      <c r="AF50" s="207"/>
      <c r="AG50" s="207"/>
      <c r="AH50" s="207"/>
      <c r="AI50" s="207"/>
      <c r="AJ50" s="207"/>
      <c r="AK50" s="207"/>
    </row>
    <row r="51" spans="1:37">
      <c r="A51" s="206">
        <v>106.13</v>
      </c>
      <c r="B51" s="221" t="s">
        <v>596</v>
      </c>
      <c r="C51" s="216"/>
      <c r="D51" s="42" t="s">
        <v>56</v>
      </c>
      <c r="E51" s="207"/>
      <c r="F51" s="207"/>
      <c r="G51" s="227" t="s">
        <v>1723</v>
      </c>
      <c r="H51" s="228" t="s">
        <v>1724</v>
      </c>
      <c r="I51" s="206" t="s">
        <v>1530</v>
      </c>
      <c r="J51" s="207"/>
      <c r="K51" s="207"/>
      <c r="L51" s="207"/>
      <c r="M51" s="208">
        <v>2.9351851851851851E-2</v>
      </c>
      <c r="N51" s="208">
        <v>3.111111111111111E-2</v>
      </c>
      <c r="O51" s="207"/>
      <c r="P51" s="218">
        <v>43030</v>
      </c>
      <c r="Q51" s="207"/>
      <c r="R51" s="205" t="s">
        <v>63</v>
      </c>
      <c r="S51" s="205" t="s">
        <v>63</v>
      </c>
      <c r="T51" s="205" t="s">
        <v>63</v>
      </c>
      <c r="U51" s="207"/>
      <c r="V51" s="207"/>
      <c r="W51" s="69" t="s">
        <v>64</v>
      </c>
      <c r="X51" s="207"/>
      <c r="Y51" s="207"/>
      <c r="Z51" s="207"/>
      <c r="AA51" s="207"/>
      <c r="AB51" s="207"/>
      <c r="AC51" s="207"/>
      <c r="AD51" s="207"/>
      <c r="AE51" s="207"/>
      <c r="AF51" s="207"/>
      <c r="AG51" s="207"/>
      <c r="AH51" s="207"/>
      <c r="AI51" s="207"/>
      <c r="AJ51" s="207"/>
      <c r="AK51" s="207"/>
    </row>
    <row r="52" spans="1:37">
      <c r="A52" s="206">
        <v>106.14</v>
      </c>
      <c r="B52" s="221" t="s">
        <v>596</v>
      </c>
      <c r="C52" s="216"/>
      <c r="D52" s="42" t="s">
        <v>56</v>
      </c>
      <c r="E52" s="207"/>
      <c r="F52" s="207"/>
      <c r="G52" s="227" t="s">
        <v>1727</v>
      </c>
      <c r="H52" s="228" t="s">
        <v>1728</v>
      </c>
      <c r="I52" s="206" t="s">
        <v>1530</v>
      </c>
      <c r="J52" s="207"/>
      <c r="K52" s="207"/>
      <c r="L52" s="207"/>
      <c r="M52" s="208">
        <v>3.1122685185185184E-2</v>
      </c>
      <c r="N52" s="208">
        <v>3.2280092592592589E-2</v>
      </c>
      <c r="O52" s="207"/>
      <c r="P52" s="218">
        <v>43030</v>
      </c>
      <c r="Q52" s="207"/>
      <c r="R52" s="205" t="s">
        <v>63</v>
      </c>
      <c r="S52" s="205" t="s">
        <v>63</v>
      </c>
      <c r="T52" s="205" t="s">
        <v>63</v>
      </c>
      <c r="U52" s="207"/>
      <c r="V52" s="207"/>
      <c r="W52" s="69" t="s">
        <v>64</v>
      </c>
      <c r="X52" s="207"/>
      <c r="Y52" s="207"/>
      <c r="Z52" s="207"/>
      <c r="AA52" s="207"/>
      <c r="AB52" s="207"/>
      <c r="AC52" s="207"/>
      <c r="AD52" s="207"/>
      <c r="AE52" s="207"/>
      <c r="AF52" s="207"/>
      <c r="AG52" s="207"/>
      <c r="AH52" s="207"/>
      <c r="AI52" s="207"/>
      <c r="AJ52" s="207"/>
      <c r="AK52" s="207"/>
    </row>
    <row r="53" spans="1:37">
      <c r="A53" s="206">
        <v>106.15</v>
      </c>
      <c r="B53" s="221" t="s">
        <v>596</v>
      </c>
      <c r="C53" s="216"/>
      <c r="D53" s="42" t="s">
        <v>56</v>
      </c>
      <c r="E53" s="207"/>
      <c r="F53" s="207"/>
      <c r="G53" s="227" t="s">
        <v>1731</v>
      </c>
      <c r="H53" s="228" t="s">
        <v>1732</v>
      </c>
      <c r="I53" s="206" t="s">
        <v>1530</v>
      </c>
      <c r="J53" s="207"/>
      <c r="K53" s="207"/>
      <c r="L53" s="207"/>
      <c r="M53" s="208">
        <v>3.2384259259259258E-2</v>
      </c>
      <c r="N53" s="208">
        <v>3.3206018518518517E-2</v>
      </c>
      <c r="O53" s="207"/>
      <c r="P53" s="218">
        <v>43030</v>
      </c>
      <c r="Q53" s="207"/>
      <c r="R53" s="205" t="s">
        <v>63</v>
      </c>
      <c r="S53" s="205" t="s">
        <v>63</v>
      </c>
      <c r="T53" s="205" t="s">
        <v>63</v>
      </c>
      <c r="U53" s="207"/>
      <c r="V53" s="207"/>
      <c r="W53" s="69" t="s">
        <v>64</v>
      </c>
      <c r="X53" s="207"/>
      <c r="Y53" s="207"/>
      <c r="Z53" s="207"/>
      <c r="AA53" s="207"/>
      <c r="AB53" s="207"/>
      <c r="AC53" s="207"/>
      <c r="AD53" s="207"/>
      <c r="AE53" s="207"/>
      <c r="AF53" s="207"/>
      <c r="AG53" s="207"/>
      <c r="AH53" s="207"/>
      <c r="AI53" s="207"/>
      <c r="AJ53" s="207"/>
      <c r="AK53" s="207"/>
    </row>
    <row r="54" spans="1:37">
      <c r="A54" s="116">
        <v>106.16</v>
      </c>
      <c r="B54" s="221" t="s">
        <v>596</v>
      </c>
      <c r="C54" s="216"/>
      <c r="D54" s="42" t="s">
        <v>56</v>
      </c>
      <c r="E54" s="117"/>
      <c r="F54" s="117"/>
      <c r="G54" s="227" t="s">
        <v>1733</v>
      </c>
      <c r="H54" s="228" t="s">
        <v>1734</v>
      </c>
      <c r="I54" s="116" t="s">
        <v>1530</v>
      </c>
      <c r="J54" s="117"/>
      <c r="K54" s="117"/>
      <c r="L54" s="117"/>
      <c r="M54" s="213">
        <v>3.3229166666666664E-2</v>
      </c>
      <c r="N54" s="213">
        <v>3.709490740740741E-2</v>
      </c>
      <c r="O54" s="117"/>
      <c r="P54" s="218">
        <v>43030</v>
      </c>
      <c r="Q54" s="200"/>
      <c r="R54" s="205" t="s">
        <v>63</v>
      </c>
      <c r="S54" s="205" t="s">
        <v>63</v>
      </c>
      <c r="T54" s="205" t="s">
        <v>63</v>
      </c>
      <c r="U54" s="216"/>
      <c r="V54" s="217"/>
      <c r="W54" s="69" t="s">
        <v>64</v>
      </c>
      <c r="X54" s="123"/>
      <c r="Y54" s="117"/>
      <c r="Z54" s="117"/>
      <c r="AA54" s="207"/>
      <c r="AB54" s="207"/>
      <c r="AC54" s="207"/>
      <c r="AD54" s="207"/>
      <c r="AE54" s="207"/>
      <c r="AF54" s="207"/>
      <c r="AG54" s="207"/>
      <c r="AH54" s="207"/>
      <c r="AI54" s="207"/>
      <c r="AJ54" s="207"/>
      <c r="AK54" s="207"/>
    </row>
    <row r="55" spans="1:37">
      <c r="A55" s="116">
        <v>106.17</v>
      </c>
      <c r="B55" s="221" t="s">
        <v>596</v>
      </c>
      <c r="C55" s="216"/>
      <c r="D55" s="42" t="s">
        <v>56</v>
      </c>
      <c r="E55" s="117"/>
      <c r="F55" s="117"/>
      <c r="G55" s="227" t="s">
        <v>1737</v>
      </c>
      <c r="H55" s="228" t="s">
        <v>1738</v>
      </c>
      <c r="I55" s="116" t="s">
        <v>1530</v>
      </c>
      <c r="J55" s="117"/>
      <c r="K55" s="117"/>
      <c r="L55" s="117"/>
      <c r="M55" s="213">
        <v>3.7106481481481483E-2</v>
      </c>
      <c r="N55" s="213">
        <v>4.0370370370370369E-2</v>
      </c>
      <c r="O55" s="117"/>
      <c r="P55" s="218">
        <v>43030</v>
      </c>
      <c r="Q55" s="200"/>
      <c r="R55" s="205" t="s">
        <v>63</v>
      </c>
      <c r="S55" s="205" t="s">
        <v>131</v>
      </c>
      <c r="T55" s="205" t="s">
        <v>63</v>
      </c>
      <c r="U55" s="216"/>
      <c r="V55" s="217"/>
      <c r="W55" s="69" t="s">
        <v>64</v>
      </c>
      <c r="X55" s="123"/>
      <c r="Y55" s="116" t="s">
        <v>1739</v>
      </c>
      <c r="Z55" s="117"/>
      <c r="AA55" s="207"/>
      <c r="AB55" s="207"/>
      <c r="AC55" s="207"/>
      <c r="AD55" s="207"/>
      <c r="AE55" s="207"/>
      <c r="AF55" s="207"/>
      <c r="AG55" s="207"/>
      <c r="AH55" s="207"/>
      <c r="AI55" s="207"/>
      <c r="AJ55" s="207"/>
      <c r="AK55" s="207"/>
    </row>
    <row r="56" spans="1:37">
      <c r="A56" s="116">
        <v>106.18</v>
      </c>
      <c r="B56" s="221" t="s">
        <v>596</v>
      </c>
      <c r="C56" s="216"/>
      <c r="D56" s="42" t="s">
        <v>56</v>
      </c>
      <c r="E56" s="117"/>
      <c r="F56" s="117"/>
      <c r="G56" s="227" t="s">
        <v>1742</v>
      </c>
      <c r="H56" s="228" t="s">
        <v>1743</v>
      </c>
      <c r="I56" s="116" t="s">
        <v>1744</v>
      </c>
      <c r="J56" s="117"/>
      <c r="K56" s="117"/>
      <c r="L56" s="117"/>
      <c r="M56" s="213">
        <v>4.2881944444444445E-2</v>
      </c>
      <c r="N56" s="213">
        <v>4.4884259259259263E-2</v>
      </c>
      <c r="O56" s="117"/>
      <c r="P56" s="218">
        <v>43030</v>
      </c>
      <c r="Q56" s="200"/>
      <c r="R56" s="205" t="s">
        <v>63</v>
      </c>
      <c r="S56" s="205" t="s">
        <v>63</v>
      </c>
      <c r="T56" s="205" t="s">
        <v>63</v>
      </c>
      <c r="U56" s="216"/>
      <c r="V56" s="217"/>
      <c r="W56" s="69" t="s">
        <v>64</v>
      </c>
      <c r="X56" s="123"/>
      <c r="AA56" s="207"/>
      <c r="AB56" s="207"/>
      <c r="AC56" s="207"/>
      <c r="AD56" s="207"/>
      <c r="AE56" s="207"/>
      <c r="AF56" s="207"/>
      <c r="AG56" s="207"/>
      <c r="AH56" s="207"/>
      <c r="AI56" s="207"/>
      <c r="AJ56" s="207"/>
      <c r="AK56" s="207"/>
    </row>
    <row r="57" spans="1:37">
      <c r="A57" s="116">
        <v>106.19</v>
      </c>
      <c r="B57" s="221" t="s">
        <v>596</v>
      </c>
      <c r="C57" s="216"/>
      <c r="D57" s="42" t="s">
        <v>56</v>
      </c>
      <c r="E57" s="117"/>
      <c r="F57" s="117"/>
      <c r="G57" s="227" t="s">
        <v>1745</v>
      </c>
      <c r="H57" s="228" t="s">
        <v>1746</v>
      </c>
      <c r="I57" s="116" t="s">
        <v>1530</v>
      </c>
      <c r="J57" s="117"/>
      <c r="K57" s="117"/>
      <c r="L57" s="117"/>
      <c r="M57" s="213">
        <v>5.2777777777777778E-2</v>
      </c>
      <c r="N57" s="213">
        <v>5.440972222222222E-2</v>
      </c>
      <c r="O57" s="117"/>
      <c r="P57" s="218">
        <v>43030</v>
      </c>
      <c r="Q57" s="200"/>
      <c r="R57" s="205" t="s">
        <v>63</v>
      </c>
      <c r="S57" s="205" t="s">
        <v>63</v>
      </c>
      <c r="T57" s="205" t="s">
        <v>63</v>
      </c>
      <c r="U57" s="216"/>
      <c r="V57" s="217"/>
      <c r="W57" s="69" t="s">
        <v>64</v>
      </c>
      <c r="X57" s="123"/>
      <c r="Y57" s="117"/>
      <c r="AA57" s="207"/>
      <c r="AB57" s="207"/>
      <c r="AC57" s="207"/>
      <c r="AD57" s="207"/>
      <c r="AE57" s="207"/>
      <c r="AF57" s="207"/>
      <c r="AG57" s="207"/>
      <c r="AH57" s="207"/>
      <c r="AI57" s="207"/>
      <c r="AJ57" s="207"/>
      <c r="AK57" s="207"/>
    </row>
    <row r="58" spans="1:37">
      <c r="A58" s="38">
        <v>108</v>
      </c>
      <c r="B58" s="39" t="s">
        <v>596</v>
      </c>
      <c r="C58" s="40"/>
      <c r="D58" s="42" t="s">
        <v>56</v>
      </c>
      <c r="E58" s="38" t="s">
        <v>605</v>
      </c>
      <c r="F58" s="43" t="s">
        <v>606</v>
      </c>
      <c r="G58" s="44"/>
      <c r="H58" s="45"/>
      <c r="I58" s="96" t="s">
        <v>1749</v>
      </c>
      <c r="J58" s="38">
        <f>2.6*1000</f>
        <v>2600</v>
      </c>
      <c r="K58" s="46">
        <v>5.2893518518518513E-2</v>
      </c>
      <c r="L58" s="47" t="s">
        <v>286</v>
      </c>
      <c r="M58" s="38"/>
      <c r="N58" s="38"/>
      <c r="O58" s="38"/>
      <c r="P58" s="218">
        <v>43030</v>
      </c>
      <c r="Q58" s="14" t="str">
        <f ca="1">HYPERLINK(IF(INT(A58)-A58=0,"",REPLACE(INDIRECT("MasterList!e"&amp;INT(A58)+1),25,8,"embed/")&amp;"?start="&amp;HOUR(M58)*3600+MINUTE(M58)*60+SECOND(M58)&amp;"&amp;end="&amp;HOUR(N58)*3600+MINUTE(N58)*60+SECOND(N58)&amp;"&amp;autoplay=1"))</f>
        <v/>
      </c>
      <c r="R58" s="51"/>
      <c r="S58" s="51"/>
      <c r="T58" s="51"/>
      <c r="U58" s="40"/>
      <c r="V58" s="54"/>
      <c r="W58" s="55"/>
      <c r="X58" s="56"/>
      <c r="Y58" s="88"/>
      <c r="AA58" s="88"/>
      <c r="AB58" s="88"/>
    </row>
    <row r="59" spans="1:37">
      <c r="A59" s="154">
        <v>108.01</v>
      </c>
      <c r="B59" s="39" t="s">
        <v>596</v>
      </c>
      <c r="C59" s="40"/>
      <c r="D59" s="42" t="s">
        <v>56</v>
      </c>
      <c r="E59" s="203"/>
      <c r="F59" s="203"/>
      <c r="G59" s="154" t="s">
        <v>1754</v>
      </c>
      <c r="H59" s="154" t="s">
        <v>1755</v>
      </c>
      <c r="I59" s="154" t="s">
        <v>1530</v>
      </c>
      <c r="J59" s="203"/>
      <c r="K59" s="203"/>
      <c r="L59" s="203"/>
      <c r="M59" s="204">
        <v>1.5625000000000001E-3</v>
      </c>
      <c r="N59" s="204">
        <v>3.9699074074074072E-3</v>
      </c>
      <c r="O59" s="203"/>
      <c r="P59" s="218">
        <v>43030</v>
      </c>
      <c r="Q59" s="203"/>
      <c r="R59" s="205" t="s">
        <v>63</v>
      </c>
      <c r="S59" s="205" t="s">
        <v>63</v>
      </c>
      <c r="T59" s="205" t="s">
        <v>63</v>
      </c>
      <c r="U59" s="203"/>
      <c r="V59" s="203"/>
      <c r="W59" s="69" t="s">
        <v>64</v>
      </c>
      <c r="X59" s="203"/>
      <c r="Y59" s="154" t="s">
        <v>1756</v>
      </c>
      <c r="AA59" s="203"/>
      <c r="AB59" s="203"/>
      <c r="AC59" s="203"/>
      <c r="AD59" s="203"/>
      <c r="AE59" s="203"/>
      <c r="AF59" s="203"/>
      <c r="AG59" s="203"/>
      <c r="AH59" s="203"/>
      <c r="AI59" s="203"/>
      <c r="AJ59" s="203"/>
      <c r="AK59" s="203"/>
    </row>
    <row r="60" spans="1:37">
      <c r="A60" s="154">
        <v>108.02</v>
      </c>
      <c r="B60" s="39" t="s">
        <v>596</v>
      </c>
      <c r="C60" s="40"/>
      <c r="D60" s="42" t="s">
        <v>56</v>
      </c>
      <c r="E60" s="203"/>
      <c r="F60" s="203"/>
      <c r="G60" s="154" t="s">
        <v>1757</v>
      </c>
      <c r="H60" s="154" t="s">
        <v>1759</v>
      </c>
      <c r="I60" s="154" t="s">
        <v>1761</v>
      </c>
      <c r="J60" s="203"/>
      <c r="K60" s="203"/>
      <c r="L60" s="203"/>
      <c r="M60" s="204">
        <v>3.9814814814814817E-3</v>
      </c>
      <c r="N60" s="204">
        <v>7.4421296296296293E-3</v>
      </c>
      <c r="O60" s="203"/>
      <c r="P60" s="218">
        <v>43030</v>
      </c>
      <c r="Q60" s="203"/>
      <c r="R60" s="205" t="s">
        <v>63</v>
      </c>
      <c r="S60" s="205" t="s">
        <v>63</v>
      </c>
      <c r="T60" s="205" t="s">
        <v>63</v>
      </c>
      <c r="U60" s="203"/>
      <c r="V60" s="203"/>
      <c r="W60" s="69" t="s">
        <v>64</v>
      </c>
      <c r="X60" s="203"/>
      <c r="Y60" s="203"/>
      <c r="AA60" s="203"/>
      <c r="AB60" s="203"/>
      <c r="AC60" s="203"/>
      <c r="AD60" s="203"/>
      <c r="AE60" s="203"/>
      <c r="AF60" s="203"/>
      <c r="AG60" s="203"/>
      <c r="AH60" s="203"/>
      <c r="AI60" s="203"/>
      <c r="AJ60" s="203"/>
      <c r="AK60" s="203"/>
    </row>
    <row r="61" spans="1:37">
      <c r="A61" s="154">
        <v>108.03</v>
      </c>
      <c r="B61" s="39" t="s">
        <v>596</v>
      </c>
      <c r="C61" s="40"/>
      <c r="D61" s="42" t="s">
        <v>56</v>
      </c>
      <c r="E61" s="203"/>
      <c r="F61" s="203"/>
      <c r="G61" s="154" t="s">
        <v>1762</v>
      </c>
      <c r="H61" s="154" t="s">
        <v>1763</v>
      </c>
      <c r="I61" s="154" t="s">
        <v>1761</v>
      </c>
      <c r="J61" s="203"/>
      <c r="K61" s="203"/>
      <c r="L61" s="203"/>
      <c r="M61" s="204">
        <v>8.1597222222222227E-3</v>
      </c>
      <c r="N61" s="204">
        <v>1.0208333333333333E-2</v>
      </c>
      <c r="O61" s="203"/>
      <c r="P61" s="202">
        <v>43032</v>
      </c>
      <c r="Q61" s="203"/>
      <c r="R61" s="205" t="s">
        <v>63</v>
      </c>
      <c r="S61" s="205" t="s">
        <v>63</v>
      </c>
      <c r="T61" s="205" t="s">
        <v>63</v>
      </c>
      <c r="U61" s="203"/>
      <c r="V61" s="203"/>
      <c r="W61" s="69" t="s">
        <v>64</v>
      </c>
      <c r="X61" s="203"/>
      <c r="Y61" s="203"/>
      <c r="AA61" s="203"/>
      <c r="AB61" s="203"/>
      <c r="AC61" s="203"/>
      <c r="AD61" s="203"/>
      <c r="AE61" s="203"/>
      <c r="AF61" s="203"/>
      <c r="AG61" s="203"/>
      <c r="AH61" s="203"/>
      <c r="AI61" s="203"/>
      <c r="AJ61" s="203"/>
      <c r="AK61" s="203"/>
    </row>
    <row r="62" spans="1:37">
      <c r="A62" s="154">
        <v>108.04</v>
      </c>
      <c r="B62" s="39" t="s">
        <v>596</v>
      </c>
      <c r="C62" s="40"/>
      <c r="D62" s="42" t="s">
        <v>56</v>
      </c>
      <c r="E62" s="203"/>
      <c r="F62" s="203"/>
      <c r="G62" s="154" t="s">
        <v>1764</v>
      </c>
      <c r="H62" s="154" t="s">
        <v>1767</v>
      </c>
      <c r="I62" s="154" t="s">
        <v>1761</v>
      </c>
      <c r="J62" s="203"/>
      <c r="K62" s="203"/>
      <c r="L62" s="203"/>
      <c r="M62" s="204">
        <v>1.0231481481481482E-2</v>
      </c>
      <c r="N62" s="204">
        <v>1.3819444444444445E-2</v>
      </c>
      <c r="O62" s="203"/>
      <c r="P62" s="202">
        <v>43033</v>
      </c>
      <c r="Q62" s="203"/>
      <c r="R62" s="205" t="s">
        <v>63</v>
      </c>
      <c r="S62" s="205" t="s">
        <v>63</v>
      </c>
      <c r="T62" s="205" t="s">
        <v>63</v>
      </c>
      <c r="U62" s="203"/>
      <c r="V62" s="203"/>
      <c r="W62" s="69" t="s">
        <v>64</v>
      </c>
      <c r="X62" s="203"/>
      <c r="Y62" s="203"/>
      <c r="AA62" s="203"/>
      <c r="AB62" s="203"/>
      <c r="AC62" s="203"/>
      <c r="AD62" s="203"/>
      <c r="AE62" s="203"/>
      <c r="AF62" s="203"/>
      <c r="AG62" s="203"/>
      <c r="AH62" s="203"/>
      <c r="AI62" s="203"/>
      <c r="AJ62" s="203"/>
      <c r="AK62" s="203"/>
    </row>
    <row r="63" spans="1:37">
      <c r="A63" s="154">
        <v>108.05</v>
      </c>
      <c r="B63" s="39" t="s">
        <v>596</v>
      </c>
      <c r="C63" s="40"/>
      <c r="D63" s="42" t="s">
        <v>56</v>
      </c>
      <c r="E63" s="203"/>
      <c r="F63" s="203"/>
      <c r="G63" s="154" t="s">
        <v>1768</v>
      </c>
      <c r="H63" s="154" t="s">
        <v>1769</v>
      </c>
      <c r="I63" s="154" t="s">
        <v>1530</v>
      </c>
      <c r="J63" s="203"/>
      <c r="K63" s="203"/>
      <c r="L63" s="203"/>
      <c r="M63" s="204">
        <v>1.3831018518518519E-2</v>
      </c>
      <c r="N63" s="204">
        <v>1.5416666666666667E-2</v>
      </c>
      <c r="O63" s="203"/>
      <c r="P63" s="202">
        <v>43033</v>
      </c>
      <c r="Q63" s="203"/>
      <c r="R63" s="205" t="s">
        <v>63</v>
      </c>
      <c r="S63" s="205" t="s">
        <v>63</v>
      </c>
      <c r="T63" s="205" t="s">
        <v>63</v>
      </c>
      <c r="U63" s="203"/>
      <c r="V63" s="203"/>
      <c r="W63" s="69" t="s">
        <v>64</v>
      </c>
      <c r="X63" s="203"/>
      <c r="Y63" s="203"/>
      <c r="Z63" s="154"/>
      <c r="AA63" s="203"/>
      <c r="AB63" s="203"/>
      <c r="AC63" s="203"/>
      <c r="AD63" s="203"/>
      <c r="AE63" s="203"/>
      <c r="AF63" s="203"/>
      <c r="AG63" s="203"/>
      <c r="AH63" s="203"/>
      <c r="AI63" s="203"/>
      <c r="AJ63" s="203"/>
      <c r="AK63" s="203"/>
    </row>
    <row r="64" spans="1:37">
      <c r="A64" s="116">
        <v>108.06</v>
      </c>
      <c r="B64" s="39" t="s">
        <v>596</v>
      </c>
      <c r="C64" s="40"/>
      <c r="D64" s="42" t="s">
        <v>56</v>
      </c>
      <c r="E64" s="117"/>
      <c r="F64" s="117"/>
      <c r="G64" s="116" t="s">
        <v>1772</v>
      </c>
      <c r="H64" s="116" t="s">
        <v>1773</v>
      </c>
      <c r="I64" s="116" t="s">
        <v>1530</v>
      </c>
      <c r="J64" s="117"/>
      <c r="K64" s="117"/>
      <c r="L64" s="117"/>
      <c r="M64" s="213">
        <v>1.5428240740740741E-2</v>
      </c>
      <c r="N64" s="213">
        <v>1.7812499999999998E-2</v>
      </c>
      <c r="O64" s="117"/>
      <c r="P64" s="202">
        <v>43033</v>
      </c>
      <c r="Q64" s="200"/>
      <c r="R64" s="205" t="s">
        <v>63</v>
      </c>
      <c r="S64" s="205" t="s">
        <v>63</v>
      </c>
      <c r="T64" s="205" t="s">
        <v>63</v>
      </c>
      <c r="U64" s="216"/>
      <c r="V64" s="217"/>
      <c r="W64" s="69" t="s">
        <v>64</v>
      </c>
      <c r="X64" s="123"/>
      <c r="Y64" s="117"/>
      <c r="Z64" s="117"/>
      <c r="AA64" s="203"/>
      <c r="AB64" s="203"/>
      <c r="AC64" s="203"/>
      <c r="AD64" s="203"/>
      <c r="AE64" s="203"/>
      <c r="AF64" s="203"/>
      <c r="AG64" s="203"/>
      <c r="AH64" s="203"/>
      <c r="AI64" s="203"/>
      <c r="AJ64" s="203"/>
      <c r="AK64" s="203"/>
    </row>
    <row r="65" spans="1:37">
      <c r="A65" s="116">
        <v>108.07</v>
      </c>
      <c r="B65" s="39" t="s">
        <v>596</v>
      </c>
      <c r="C65" s="40"/>
      <c r="D65" s="42" t="s">
        <v>56</v>
      </c>
      <c r="E65" s="117"/>
      <c r="F65" s="117"/>
      <c r="G65" s="116" t="s">
        <v>1774</v>
      </c>
      <c r="H65" s="116" t="s">
        <v>1775</v>
      </c>
      <c r="I65" s="116" t="s">
        <v>1530</v>
      </c>
      <c r="J65" s="117"/>
      <c r="K65" s="117"/>
      <c r="L65" s="117"/>
      <c r="M65" s="213">
        <v>1.7824074074074076E-2</v>
      </c>
      <c r="N65" s="213">
        <v>2.4930555555555556E-2</v>
      </c>
      <c r="O65" s="117"/>
      <c r="P65" s="202">
        <v>43033</v>
      </c>
      <c r="Q65" s="200"/>
      <c r="R65" s="205" t="s">
        <v>63</v>
      </c>
      <c r="S65" s="205" t="s">
        <v>63</v>
      </c>
      <c r="T65" s="205" t="s">
        <v>63</v>
      </c>
      <c r="U65" s="216"/>
      <c r="V65" s="217"/>
      <c r="W65" s="69" t="s">
        <v>64</v>
      </c>
      <c r="X65" s="123"/>
      <c r="Y65" s="117"/>
      <c r="Z65" s="117"/>
      <c r="AA65" s="203"/>
      <c r="AB65" s="203"/>
      <c r="AC65" s="203"/>
      <c r="AD65" s="203"/>
      <c r="AE65" s="203"/>
      <c r="AF65" s="203"/>
      <c r="AG65" s="203"/>
      <c r="AH65" s="203"/>
      <c r="AI65" s="203"/>
      <c r="AJ65" s="203"/>
      <c r="AK65" s="203"/>
    </row>
    <row r="66" spans="1:37">
      <c r="A66" s="116">
        <v>108.08</v>
      </c>
      <c r="B66" s="39" t="s">
        <v>596</v>
      </c>
      <c r="C66" s="40"/>
      <c r="D66" s="42" t="s">
        <v>56</v>
      </c>
      <c r="E66" s="117"/>
      <c r="F66" s="117"/>
      <c r="G66" s="116" t="s">
        <v>1778</v>
      </c>
      <c r="H66" s="116" t="s">
        <v>1779</v>
      </c>
      <c r="I66" s="116" t="s">
        <v>1530</v>
      </c>
      <c r="J66" s="117"/>
      <c r="K66" s="117"/>
      <c r="L66" s="117"/>
      <c r="M66" s="213">
        <v>2.494212962962963E-2</v>
      </c>
      <c r="N66" s="213">
        <v>3.1215277777777779E-2</v>
      </c>
      <c r="O66" s="117"/>
      <c r="P66" s="202">
        <v>43033</v>
      </c>
      <c r="Q66" s="200"/>
      <c r="R66" s="205" t="s">
        <v>63</v>
      </c>
      <c r="S66" s="205" t="s">
        <v>63</v>
      </c>
      <c r="T66" s="205" t="s">
        <v>63</v>
      </c>
      <c r="U66" s="216"/>
      <c r="V66" s="217"/>
      <c r="W66" s="69" t="s">
        <v>64</v>
      </c>
      <c r="X66" s="123"/>
      <c r="Y66" s="117"/>
      <c r="Z66" s="117"/>
      <c r="AA66" s="203"/>
      <c r="AB66" s="203"/>
      <c r="AC66" s="203"/>
      <c r="AD66" s="203"/>
      <c r="AE66" s="203"/>
      <c r="AF66" s="203"/>
      <c r="AG66" s="203"/>
      <c r="AH66" s="203"/>
      <c r="AI66" s="203"/>
      <c r="AJ66" s="203"/>
      <c r="AK66" s="203"/>
    </row>
    <row r="67" spans="1:37">
      <c r="A67" s="116">
        <v>108.09</v>
      </c>
      <c r="B67" s="39" t="s">
        <v>596</v>
      </c>
      <c r="C67" s="40"/>
      <c r="D67" s="42" t="s">
        <v>56</v>
      </c>
      <c r="E67" s="117"/>
      <c r="F67" s="117"/>
      <c r="G67" s="116" t="s">
        <v>1780</v>
      </c>
      <c r="H67" s="116" t="s">
        <v>1782</v>
      </c>
      <c r="I67" s="116" t="s">
        <v>1530</v>
      </c>
      <c r="J67" s="117"/>
      <c r="K67" s="117"/>
      <c r="L67" s="117"/>
      <c r="M67" s="213">
        <v>3.1226851851851853E-2</v>
      </c>
      <c r="N67" s="213">
        <v>3.2199074074074074E-2</v>
      </c>
      <c r="O67" s="117"/>
      <c r="P67" s="202">
        <v>43033</v>
      </c>
      <c r="Q67" s="200"/>
      <c r="R67" s="205" t="s">
        <v>63</v>
      </c>
      <c r="S67" s="205" t="s">
        <v>63</v>
      </c>
      <c r="T67" s="205" t="s">
        <v>63</v>
      </c>
      <c r="U67" s="216"/>
      <c r="V67" s="217"/>
      <c r="W67" s="69" t="s">
        <v>64</v>
      </c>
      <c r="X67" s="123"/>
      <c r="Y67" s="117"/>
      <c r="Z67" s="117"/>
      <c r="AA67" s="203"/>
      <c r="AB67" s="203"/>
      <c r="AC67" s="203"/>
      <c r="AD67" s="203"/>
      <c r="AE67" s="203"/>
      <c r="AF67" s="203"/>
      <c r="AG67" s="203"/>
      <c r="AH67" s="203"/>
      <c r="AI67" s="203"/>
      <c r="AJ67" s="203"/>
      <c r="AK67" s="203"/>
    </row>
    <row r="68" spans="1:37">
      <c r="A68" s="126">
        <v>108.1</v>
      </c>
      <c r="B68" s="39" t="s">
        <v>596</v>
      </c>
      <c r="C68" s="40"/>
      <c r="D68" s="42" t="s">
        <v>56</v>
      </c>
      <c r="E68" s="117"/>
      <c r="F68" s="117"/>
      <c r="G68" s="116" t="s">
        <v>1784</v>
      </c>
      <c r="H68" s="116" t="s">
        <v>1785</v>
      </c>
      <c r="I68" s="116" t="s">
        <v>1530</v>
      </c>
      <c r="J68" s="117"/>
      <c r="K68" s="117"/>
      <c r="L68" s="117"/>
      <c r="M68" s="213">
        <v>3.1226851851851853E-2</v>
      </c>
      <c r="N68" s="213">
        <v>3.6180555555555556E-2</v>
      </c>
      <c r="O68" s="117"/>
      <c r="P68" s="202">
        <v>43033</v>
      </c>
      <c r="Q68" s="200"/>
      <c r="R68" s="205" t="s">
        <v>63</v>
      </c>
      <c r="S68" s="205" t="s">
        <v>63</v>
      </c>
      <c r="T68" s="205" t="s">
        <v>63</v>
      </c>
      <c r="U68" s="216"/>
      <c r="V68" s="217"/>
      <c r="W68" s="69" t="s">
        <v>64</v>
      </c>
      <c r="X68" s="123"/>
      <c r="Y68" s="117"/>
      <c r="Z68" s="117"/>
      <c r="AA68" s="203"/>
      <c r="AB68" s="203"/>
      <c r="AC68" s="203"/>
      <c r="AD68" s="203"/>
      <c r="AE68" s="203"/>
      <c r="AF68" s="203"/>
      <c r="AG68" s="203"/>
      <c r="AH68" s="203"/>
      <c r="AI68" s="203"/>
      <c r="AJ68" s="203"/>
      <c r="AK68" s="203"/>
    </row>
    <row r="69" spans="1:37">
      <c r="A69" s="116">
        <v>108.11</v>
      </c>
      <c r="B69" s="39" t="s">
        <v>596</v>
      </c>
      <c r="C69" s="40"/>
      <c r="D69" s="42" t="s">
        <v>56</v>
      </c>
      <c r="E69" s="117"/>
      <c r="F69" s="117"/>
      <c r="G69" s="116" t="s">
        <v>1788</v>
      </c>
      <c r="H69" s="116" t="s">
        <v>1789</v>
      </c>
      <c r="I69" s="116" t="s">
        <v>1530</v>
      </c>
      <c r="J69" s="117"/>
      <c r="K69" s="117"/>
      <c r="L69" s="117"/>
      <c r="M69" s="213">
        <v>3.6388888888888887E-2</v>
      </c>
      <c r="N69" s="213">
        <v>3.8958333333333331E-2</v>
      </c>
      <c r="O69" s="117"/>
      <c r="P69" s="202">
        <v>43033</v>
      </c>
      <c r="Q69" s="200"/>
      <c r="R69" s="205" t="s">
        <v>63</v>
      </c>
      <c r="S69" s="205" t="s">
        <v>63</v>
      </c>
      <c r="T69" s="205" t="s">
        <v>63</v>
      </c>
      <c r="U69" s="216"/>
      <c r="V69" s="217"/>
      <c r="W69" s="69" t="s">
        <v>64</v>
      </c>
      <c r="X69" s="123"/>
      <c r="Y69" s="117"/>
      <c r="Z69" s="117"/>
      <c r="AA69" s="203"/>
      <c r="AB69" s="203"/>
      <c r="AC69" s="203"/>
      <c r="AD69" s="203"/>
      <c r="AE69" s="203"/>
      <c r="AF69" s="203"/>
      <c r="AG69" s="203"/>
      <c r="AH69" s="203"/>
      <c r="AI69" s="203"/>
      <c r="AJ69" s="203"/>
      <c r="AK69" s="203"/>
    </row>
    <row r="70" spans="1:37">
      <c r="A70" s="116">
        <v>108.12</v>
      </c>
      <c r="B70" s="39" t="s">
        <v>596</v>
      </c>
      <c r="C70" s="40"/>
      <c r="D70" s="42" t="s">
        <v>56</v>
      </c>
      <c r="E70" s="117"/>
      <c r="F70" s="117"/>
      <c r="G70" s="116" t="s">
        <v>1790</v>
      </c>
      <c r="H70" s="116" t="s">
        <v>1791</v>
      </c>
      <c r="I70" s="116" t="s">
        <v>1530</v>
      </c>
      <c r="J70" s="117"/>
      <c r="K70" s="117"/>
      <c r="L70" s="117"/>
      <c r="M70" s="213">
        <v>3.8969907407407404E-2</v>
      </c>
      <c r="N70" s="213">
        <v>4.4444444444444446E-2</v>
      </c>
      <c r="O70" s="117"/>
      <c r="P70" s="202">
        <v>43033</v>
      </c>
      <c r="Q70" s="200"/>
      <c r="R70" s="205" t="s">
        <v>63</v>
      </c>
      <c r="S70" s="205" t="s">
        <v>63</v>
      </c>
      <c r="T70" s="205" t="s">
        <v>63</v>
      </c>
      <c r="U70" s="216"/>
      <c r="V70" s="217"/>
      <c r="W70" s="69" t="s">
        <v>64</v>
      </c>
      <c r="X70" s="123"/>
      <c r="Y70" s="117"/>
      <c r="Z70" s="117"/>
      <c r="AA70" s="203"/>
      <c r="AB70" s="203"/>
      <c r="AC70" s="203"/>
      <c r="AD70" s="203"/>
      <c r="AE70" s="203"/>
      <c r="AF70" s="203"/>
      <c r="AG70" s="203"/>
      <c r="AH70" s="203"/>
      <c r="AI70" s="203"/>
      <c r="AJ70" s="203"/>
      <c r="AK70" s="203"/>
    </row>
    <row r="71" spans="1:37">
      <c r="A71" s="116">
        <v>108.13</v>
      </c>
      <c r="B71" s="39" t="s">
        <v>596</v>
      </c>
      <c r="C71" s="40"/>
      <c r="D71" s="42" t="s">
        <v>56</v>
      </c>
      <c r="E71" s="117"/>
      <c r="F71" s="117"/>
      <c r="G71" s="116" t="s">
        <v>1794</v>
      </c>
      <c r="H71" s="116" t="s">
        <v>1795</v>
      </c>
      <c r="I71" s="117"/>
      <c r="J71" s="117"/>
      <c r="K71" s="117"/>
      <c r="L71" s="117"/>
      <c r="M71" s="213">
        <v>4.4444444444444446E-2</v>
      </c>
      <c r="N71" s="213">
        <v>4.5879629629629631E-2</v>
      </c>
      <c r="O71" s="117"/>
      <c r="P71" s="202">
        <v>43033</v>
      </c>
      <c r="Q71" s="200"/>
      <c r="R71" s="205" t="s">
        <v>63</v>
      </c>
      <c r="S71" s="205" t="s">
        <v>63</v>
      </c>
      <c r="T71" s="205" t="s">
        <v>63</v>
      </c>
      <c r="U71" s="216"/>
      <c r="V71" s="217"/>
      <c r="W71" s="69" t="s">
        <v>64</v>
      </c>
      <c r="X71" s="123"/>
      <c r="Y71" s="117"/>
      <c r="Z71" s="117"/>
      <c r="AA71" s="203"/>
      <c r="AB71" s="203"/>
      <c r="AC71" s="203"/>
      <c r="AD71" s="203"/>
      <c r="AE71" s="203"/>
      <c r="AF71" s="203"/>
      <c r="AG71" s="203"/>
      <c r="AH71" s="203"/>
      <c r="AI71" s="203"/>
      <c r="AJ71" s="203"/>
      <c r="AK71" s="203"/>
    </row>
    <row r="72" spans="1:37">
      <c r="A72" s="116">
        <v>108.14</v>
      </c>
      <c r="B72" s="39" t="s">
        <v>596</v>
      </c>
      <c r="C72" s="40"/>
      <c r="D72" s="42" t="s">
        <v>56</v>
      </c>
      <c r="E72" s="117"/>
      <c r="F72" s="117"/>
      <c r="G72" s="116" t="s">
        <v>1796</v>
      </c>
      <c r="H72" s="116" t="s">
        <v>1797</v>
      </c>
      <c r="I72" s="117"/>
      <c r="J72" s="117"/>
      <c r="K72" s="117"/>
      <c r="L72" s="117"/>
      <c r="M72" s="213">
        <v>4.5891203703703705E-2</v>
      </c>
      <c r="N72" s="213">
        <v>4.7800925925925927E-2</v>
      </c>
      <c r="O72" s="117"/>
      <c r="P72" s="202">
        <v>43033</v>
      </c>
      <c r="Q72" s="200"/>
      <c r="R72" s="205" t="s">
        <v>63</v>
      </c>
      <c r="S72" s="205" t="s">
        <v>63</v>
      </c>
      <c r="T72" s="205" t="s">
        <v>63</v>
      </c>
      <c r="U72" s="216"/>
      <c r="V72" s="217"/>
      <c r="W72" s="69" t="s">
        <v>64</v>
      </c>
      <c r="X72" s="123"/>
      <c r="Y72" s="117"/>
      <c r="Z72" s="117"/>
      <c r="AA72" s="203"/>
      <c r="AB72" s="203"/>
      <c r="AC72" s="203"/>
      <c r="AD72" s="203"/>
      <c r="AE72" s="203"/>
      <c r="AF72" s="203"/>
      <c r="AG72" s="203"/>
      <c r="AH72" s="203"/>
      <c r="AI72" s="203"/>
      <c r="AJ72" s="203"/>
      <c r="AK72" s="203"/>
    </row>
    <row r="73" spans="1:37">
      <c r="A73" s="116">
        <v>108.15</v>
      </c>
      <c r="B73" s="39" t="s">
        <v>596</v>
      </c>
      <c r="C73" s="40"/>
      <c r="D73" s="42" t="s">
        <v>56</v>
      </c>
      <c r="E73" s="117"/>
      <c r="F73" s="117"/>
      <c r="G73" s="116" t="s">
        <v>1800</v>
      </c>
      <c r="H73" s="116" t="s">
        <v>1801</v>
      </c>
      <c r="I73" s="117"/>
      <c r="J73" s="117"/>
      <c r="K73" s="117"/>
      <c r="L73" s="117"/>
      <c r="M73" s="213">
        <v>4.7812500000000001E-2</v>
      </c>
      <c r="N73" s="213">
        <v>4.8935185185185186E-2</v>
      </c>
      <c r="O73" s="117"/>
      <c r="P73" s="202">
        <v>43033</v>
      </c>
      <c r="Q73" s="200"/>
      <c r="R73" s="205" t="s">
        <v>63</v>
      </c>
      <c r="S73" s="205" t="s">
        <v>63</v>
      </c>
      <c r="T73" s="205" t="s">
        <v>63</v>
      </c>
      <c r="U73" s="216"/>
      <c r="V73" s="217"/>
      <c r="W73" s="69" t="s">
        <v>64</v>
      </c>
      <c r="X73" s="123"/>
      <c r="Y73" s="117"/>
      <c r="Z73" s="117"/>
      <c r="AA73" s="203"/>
      <c r="AB73" s="203"/>
      <c r="AC73" s="203"/>
      <c r="AD73" s="203"/>
      <c r="AE73" s="203"/>
      <c r="AF73" s="203"/>
      <c r="AG73" s="203"/>
      <c r="AH73" s="203"/>
      <c r="AI73" s="203"/>
      <c r="AJ73" s="203"/>
      <c r="AK73" s="203"/>
    </row>
    <row r="74" spans="1:37">
      <c r="A74" s="116">
        <v>108.16</v>
      </c>
      <c r="B74" s="39" t="s">
        <v>596</v>
      </c>
      <c r="C74" s="40"/>
      <c r="D74" s="42" t="s">
        <v>56</v>
      </c>
      <c r="E74" s="117"/>
      <c r="F74" s="117"/>
      <c r="G74" s="116" t="s">
        <v>1802</v>
      </c>
      <c r="H74" s="116" t="s">
        <v>1803</v>
      </c>
      <c r="I74" s="117"/>
      <c r="J74" s="117"/>
      <c r="K74" s="117"/>
      <c r="L74" s="117"/>
      <c r="M74" s="213">
        <v>4.9699074074074076E-2</v>
      </c>
      <c r="N74" s="213">
        <v>5.0671296296296298E-2</v>
      </c>
      <c r="O74" s="117"/>
      <c r="P74" s="202">
        <v>43033</v>
      </c>
      <c r="Q74" s="200"/>
      <c r="R74" s="205" t="s">
        <v>442</v>
      </c>
      <c r="S74" s="205" t="s">
        <v>63</v>
      </c>
      <c r="T74" s="205" t="s">
        <v>63</v>
      </c>
      <c r="U74" s="216"/>
      <c r="V74" s="217"/>
      <c r="W74" s="69" t="s">
        <v>64</v>
      </c>
      <c r="X74" s="123"/>
      <c r="Y74" s="117"/>
      <c r="Z74" s="117"/>
      <c r="AA74" s="203"/>
      <c r="AB74" s="203"/>
      <c r="AC74" s="203"/>
      <c r="AD74" s="203"/>
      <c r="AE74" s="203"/>
      <c r="AF74" s="203"/>
      <c r="AG74" s="203"/>
      <c r="AH74" s="203"/>
      <c r="AI74" s="203"/>
      <c r="AJ74" s="203"/>
      <c r="AK74" s="203"/>
    </row>
    <row r="75" spans="1:37">
      <c r="A75" s="38">
        <v>245</v>
      </c>
      <c r="B75" s="39" t="s">
        <v>1806</v>
      </c>
      <c r="C75" s="40"/>
      <c r="D75" s="42" t="s">
        <v>56</v>
      </c>
      <c r="E75" s="38" t="s">
        <v>1117</v>
      </c>
      <c r="F75" s="43" t="s">
        <v>1118</v>
      </c>
      <c r="G75" s="44"/>
      <c r="H75" s="45"/>
      <c r="I75" s="42" t="s">
        <v>1807</v>
      </c>
      <c r="J75" s="38">
        <f>11*1000</f>
        <v>11000</v>
      </c>
      <c r="K75" s="46">
        <v>3.3321759259259259E-2</v>
      </c>
      <c r="L75" s="47" t="s">
        <v>956</v>
      </c>
      <c r="M75" s="38"/>
      <c r="N75" s="38"/>
      <c r="O75" s="38"/>
      <c r="P75" s="202">
        <v>43040</v>
      </c>
      <c r="Q75" s="14" t="str">
        <f ca="1">HYPERLINK(IF(INT(A75)-A75=0,"",REPLACE(INDIRECT("MasterList!e"&amp;INT(A75)+1),25,8,"embed/")&amp;"?start="&amp;HOUR(M75)*3600+MINUTE(M75)*60+SECOND(M75)&amp;"&amp;end="&amp;HOUR(N75)*3600+MINUTE(N75)*60+SECOND(N75)&amp;"&amp;autoplay=1"))</f>
        <v/>
      </c>
      <c r="R75" s="51"/>
      <c r="S75" s="51"/>
      <c r="T75" s="51"/>
      <c r="U75" s="40"/>
      <c r="V75" s="54"/>
      <c r="W75" s="55"/>
      <c r="X75" s="56"/>
      <c r="Y75" s="88"/>
      <c r="Z75" s="88"/>
      <c r="AA75" s="88"/>
      <c r="AB75" s="88"/>
    </row>
    <row r="76" spans="1:37">
      <c r="A76" s="42">
        <v>245.01</v>
      </c>
      <c r="B76" s="39" t="s">
        <v>1806</v>
      </c>
      <c r="C76" s="40"/>
      <c r="D76" s="42" t="s">
        <v>56</v>
      </c>
      <c r="E76" s="38"/>
      <c r="F76" s="43"/>
      <c r="G76" s="63" t="s">
        <v>1812</v>
      </c>
      <c r="H76" s="45"/>
      <c r="I76" s="38"/>
      <c r="J76" s="38"/>
      <c r="K76" s="46"/>
      <c r="L76" s="47"/>
      <c r="M76" s="213">
        <v>2.8935185185185184E-4</v>
      </c>
      <c r="N76" s="213">
        <v>5.6365740740740742E-3</v>
      </c>
      <c r="O76" s="38"/>
      <c r="P76" s="202">
        <v>43040</v>
      </c>
      <c r="Q76" s="14"/>
      <c r="R76" s="39" t="s">
        <v>131</v>
      </c>
      <c r="S76" s="205" t="s">
        <v>63</v>
      </c>
      <c r="T76" s="205" t="s">
        <v>63</v>
      </c>
      <c r="U76" s="40"/>
      <c r="V76" s="54"/>
      <c r="W76" s="69" t="s">
        <v>64</v>
      </c>
      <c r="X76" s="56"/>
      <c r="Y76" s="88"/>
      <c r="Z76" s="88"/>
      <c r="AA76" s="88"/>
      <c r="AB76" s="88"/>
    </row>
    <row r="77" spans="1:37">
      <c r="A77" s="42">
        <v>245.02</v>
      </c>
      <c r="B77" s="39" t="s">
        <v>1806</v>
      </c>
      <c r="C77" s="40"/>
      <c r="D77" s="42" t="s">
        <v>56</v>
      </c>
      <c r="E77" s="38"/>
      <c r="F77" s="43"/>
      <c r="G77" s="12" t="s">
        <v>1815</v>
      </c>
      <c r="H77" s="63" t="s">
        <v>1816</v>
      </c>
      <c r="I77" s="42" t="s">
        <v>1817</v>
      </c>
      <c r="J77" s="38"/>
      <c r="K77" s="46"/>
      <c r="L77" s="47"/>
      <c r="M77" s="213">
        <v>6.1805555555555555E-3</v>
      </c>
      <c r="N77" s="213">
        <v>7.5925925925925926E-3</v>
      </c>
      <c r="O77" s="38"/>
      <c r="P77" s="202">
        <v>43040</v>
      </c>
      <c r="Q77" s="14"/>
      <c r="R77" s="39" t="s">
        <v>131</v>
      </c>
      <c r="S77" s="205" t="s">
        <v>63</v>
      </c>
      <c r="T77" s="205" t="s">
        <v>63</v>
      </c>
      <c r="U77" s="40"/>
      <c r="V77" s="54"/>
      <c r="W77" s="69" t="s">
        <v>64</v>
      </c>
      <c r="X77" s="56"/>
      <c r="Y77" s="88"/>
      <c r="Z77" s="88"/>
      <c r="AA77" s="88"/>
      <c r="AB77" s="88"/>
    </row>
    <row r="78" spans="1:37">
      <c r="A78" s="42">
        <v>245.03</v>
      </c>
      <c r="B78" s="39" t="s">
        <v>1806</v>
      </c>
      <c r="C78" s="40"/>
      <c r="D78" s="42" t="s">
        <v>56</v>
      </c>
      <c r="E78" s="38"/>
      <c r="F78" s="43"/>
      <c r="G78" s="63" t="s">
        <v>1818</v>
      </c>
      <c r="H78" s="58" t="s">
        <v>1819</v>
      </c>
      <c r="I78" s="42" t="s">
        <v>1820</v>
      </c>
      <c r="J78" s="42" t="s">
        <v>1530</v>
      </c>
      <c r="K78" s="46"/>
      <c r="L78" s="47"/>
      <c r="M78" s="213">
        <v>7.6041666666666671E-3</v>
      </c>
      <c r="N78" s="213">
        <v>1.0833333333333334E-2</v>
      </c>
      <c r="O78" s="38"/>
      <c r="P78" s="202">
        <v>43040</v>
      </c>
      <c r="Q78" s="14"/>
      <c r="R78" s="39" t="s">
        <v>131</v>
      </c>
      <c r="S78" s="205" t="s">
        <v>63</v>
      </c>
      <c r="T78" s="205" t="s">
        <v>63</v>
      </c>
      <c r="U78" s="40"/>
      <c r="V78" s="54"/>
      <c r="W78" s="69" t="s">
        <v>64</v>
      </c>
      <c r="X78" s="56"/>
      <c r="Y78" s="88"/>
      <c r="Z78" s="88"/>
      <c r="AA78" s="88"/>
      <c r="AB78" s="88"/>
    </row>
    <row r="79" spans="1:37">
      <c r="A79" s="42">
        <v>245.04</v>
      </c>
      <c r="B79" s="39" t="s">
        <v>1806</v>
      </c>
      <c r="C79" s="40"/>
      <c r="D79" s="42" t="s">
        <v>56</v>
      </c>
      <c r="E79" s="38"/>
      <c r="F79" s="43"/>
      <c r="G79" s="63" t="s">
        <v>1823</v>
      </c>
      <c r="H79" s="58" t="s">
        <v>1824</v>
      </c>
      <c r="I79" s="38"/>
      <c r="J79" s="38"/>
      <c r="K79" s="46"/>
      <c r="L79" s="47"/>
      <c r="M79" s="213">
        <v>1.0844907407407407E-2</v>
      </c>
      <c r="N79" s="213">
        <v>1.5092592592592593E-2</v>
      </c>
      <c r="O79" s="38"/>
      <c r="P79" s="202">
        <v>43040</v>
      </c>
      <c r="Q79" s="14"/>
      <c r="R79" s="39" t="s">
        <v>131</v>
      </c>
      <c r="S79" s="205" t="s">
        <v>63</v>
      </c>
      <c r="T79" s="205" t="s">
        <v>63</v>
      </c>
      <c r="U79" s="40"/>
      <c r="V79" s="54"/>
      <c r="W79" s="69" t="s">
        <v>64</v>
      </c>
      <c r="X79" s="56"/>
      <c r="Y79" s="88"/>
      <c r="Z79" s="88"/>
      <c r="AA79" s="88"/>
      <c r="AB79" s="88"/>
    </row>
    <row r="80" spans="1:37">
      <c r="A80" s="42">
        <v>245.05</v>
      </c>
      <c r="B80" s="39" t="s">
        <v>1806</v>
      </c>
      <c r="C80" s="40"/>
      <c r="D80" s="42" t="s">
        <v>56</v>
      </c>
      <c r="E80" s="38"/>
      <c r="F80" s="43"/>
      <c r="G80" s="63" t="s">
        <v>1825</v>
      </c>
      <c r="H80" s="58" t="s">
        <v>1826</v>
      </c>
      <c r="I80" s="38"/>
      <c r="J80" s="38"/>
      <c r="K80" s="46"/>
      <c r="L80" s="47"/>
      <c r="M80" s="213">
        <v>1.5104166666666667E-2</v>
      </c>
      <c r="N80" s="213">
        <v>1.6261574074074074E-2</v>
      </c>
      <c r="O80" s="38"/>
      <c r="P80" s="202">
        <v>43040</v>
      </c>
      <c r="Q80" s="14"/>
      <c r="R80" s="39" t="s">
        <v>131</v>
      </c>
      <c r="S80" s="205" t="s">
        <v>63</v>
      </c>
      <c r="T80" s="205" t="s">
        <v>63</v>
      </c>
      <c r="U80" s="40"/>
      <c r="V80" s="54"/>
      <c r="W80" s="69" t="s">
        <v>64</v>
      </c>
      <c r="X80" s="56"/>
      <c r="Y80" s="88"/>
      <c r="Z80" s="88"/>
      <c r="AA80" s="88"/>
      <c r="AB80" s="88"/>
    </row>
    <row r="81" spans="1:28">
      <c r="A81" s="116">
        <v>245.06</v>
      </c>
      <c r="B81" s="39" t="s">
        <v>1806</v>
      </c>
      <c r="C81" s="40"/>
      <c r="D81" s="42" t="s">
        <v>56</v>
      </c>
      <c r="E81" s="117"/>
      <c r="F81" s="117"/>
      <c r="G81" s="116" t="s">
        <v>1829</v>
      </c>
      <c r="H81" s="116" t="s">
        <v>1830</v>
      </c>
      <c r="I81" s="116" t="s">
        <v>1530</v>
      </c>
      <c r="J81" s="117"/>
      <c r="K81" s="117"/>
      <c r="L81" s="117"/>
      <c r="M81" s="213">
        <v>1.6273148148148148E-2</v>
      </c>
      <c r="N81" s="213">
        <v>2.0104166666666666E-2</v>
      </c>
      <c r="O81" s="117"/>
      <c r="P81" s="202">
        <v>43040</v>
      </c>
      <c r="Q81" s="200"/>
      <c r="R81" s="39" t="s">
        <v>131</v>
      </c>
      <c r="S81" s="205" t="s">
        <v>63</v>
      </c>
      <c r="T81" s="205" t="s">
        <v>63</v>
      </c>
      <c r="U81" s="216"/>
      <c r="V81" s="217"/>
      <c r="W81" s="69" t="s">
        <v>64</v>
      </c>
      <c r="X81" s="123"/>
      <c r="Y81" s="117"/>
      <c r="Z81" s="117"/>
    </row>
    <row r="82" spans="1:28">
      <c r="A82" s="116">
        <v>245.07</v>
      </c>
      <c r="B82" s="39" t="s">
        <v>1806</v>
      </c>
      <c r="C82" s="40"/>
      <c r="D82" s="42" t="s">
        <v>56</v>
      </c>
      <c r="E82" s="117"/>
      <c r="F82" s="117"/>
      <c r="G82" s="116" t="s">
        <v>1831</v>
      </c>
      <c r="H82" s="116" t="s">
        <v>1832</v>
      </c>
      <c r="I82" s="117"/>
      <c r="J82" s="117"/>
      <c r="K82" s="117"/>
      <c r="L82" s="117"/>
      <c r="M82" s="213">
        <v>2.011574074074074E-2</v>
      </c>
      <c r="N82" s="213">
        <v>2.2337962962962962E-2</v>
      </c>
      <c r="O82" s="117"/>
      <c r="P82" s="202">
        <v>43040</v>
      </c>
      <c r="Q82" s="200"/>
      <c r="R82" s="39" t="s">
        <v>131</v>
      </c>
      <c r="S82" s="205" t="s">
        <v>63</v>
      </c>
      <c r="T82" s="205" t="s">
        <v>63</v>
      </c>
      <c r="U82" s="216"/>
      <c r="V82" s="217"/>
      <c r="W82" s="69" t="s">
        <v>64</v>
      </c>
      <c r="X82" s="123"/>
      <c r="Y82" s="117"/>
      <c r="Z82" s="117"/>
    </row>
    <row r="83" spans="1:28">
      <c r="A83" s="116">
        <v>245.08</v>
      </c>
      <c r="B83" s="39" t="s">
        <v>1806</v>
      </c>
      <c r="C83" s="40"/>
      <c r="D83" s="42" t="s">
        <v>56</v>
      </c>
      <c r="E83" s="117"/>
      <c r="F83" s="117"/>
      <c r="G83" s="116" t="s">
        <v>1834</v>
      </c>
      <c r="H83" s="116" t="s">
        <v>1835</v>
      </c>
      <c r="I83" s="116" t="s">
        <v>1530</v>
      </c>
      <c r="J83" s="117"/>
      <c r="K83" s="117"/>
      <c r="L83" s="117"/>
      <c r="M83" s="213">
        <v>2.2349537037037036E-2</v>
      </c>
      <c r="N83" s="213">
        <v>2.3784722222222221E-2</v>
      </c>
      <c r="O83" s="117"/>
      <c r="P83" s="202">
        <v>43040</v>
      </c>
      <c r="Q83" s="200"/>
      <c r="R83" s="39" t="s">
        <v>131</v>
      </c>
      <c r="S83" s="205" t="s">
        <v>63</v>
      </c>
      <c r="T83" s="205" t="s">
        <v>63</v>
      </c>
      <c r="U83" s="216"/>
      <c r="V83" s="217"/>
      <c r="W83" s="69" t="s">
        <v>64</v>
      </c>
      <c r="X83" s="123"/>
      <c r="Y83" s="117"/>
      <c r="Z83" s="117"/>
    </row>
    <row r="84" spans="1:28">
      <c r="A84" s="116">
        <v>245.09</v>
      </c>
      <c r="B84" s="39" t="s">
        <v>1806</v>
      </c>
      <c r="C84" s="40"/>
      <c r="D84" s="42" t="s">
        <v>56</v>
      </c>
      <c r="E84" s="117"/>
      <c r="F84" s="117"/>
      <c r="G84" s="116" t="s">
        <v>1837</v>
      </c>
      <c r="H84" s="116" t="s">
        <v>1838</v>
      </c>
      <c r="I84" s="117"/>
      <c r="J84" s="117"/>
      <c r="K84" s="117"/>
      <c r="L84" s="117"/>
      <c r="M84" s="213">
        <v>2.3796296296296298E-2</v>
      </c>
      <c r="N84" s="213">
        <v>2.4247685185185185E-2</v>
      </c>
      <c r="O84" s="117"/>
      <c r="P84" s="202">
        <v>43040</v>
      </c>
      <c r="Q84" s="200"/>
      <c r="R84" s="39" t="s">
        <v>131</v>
      </c>
      <c r="S84" s="205" t="s">
        <v>63</v>
      </c>
      <c r="T84" s="205" t="s">
        <v>63</v>
      </c>
      <c r="U84" s="216"/>
      <c r="V84" s="217"/>
      <c r="W84" s="69" t="s">
        <v>64</v>
      </c>
      <c r="X84" s="123"/>
      <c r="Y84" s="117"/>
      <c r="Z84" s="117"/>
    </row>
    <row r="85" spans="1:28">
      <c r="A85" s="126">
        <v>245.1</v>
      </c>
      <c r="B85" s="39" t="s">
        <v>1806</v>
      </c>
      <c r="C85" s="40"/>
      <c r="D85" s="42" t="s">
        <v>56</v>
      </c>
      <c r="E85" s="117"/>
      <c r="F85" s="117"/>
      <c r="G85" s="116" t="s">
        <v>1840</v>
      </c>
      <c r="H85" s="116" t="s">
        <v>1841</v>
      </c>
      <c r="I85" s="117"/>
      <c r="J85" s="117"/>
      <c r="K85" s="117"/>
      <c r="L85" s="117"/>
      <c r="M85" s="213">
        <v>2.4259259259259258E-2</v>
      </c>
      <c r="N85" s="213">
        <v>2.494212962962963E-2</v>
      </c>
      <c r="O85" s="117"/>
      <c r="P85" s="202">
        <v>43040</v>
      </c>
      <c r="Q85" s="200"/>
      <c r="R85" s="39" t="s">
        <v>131</v>
      </c>
      <c r="S85" s="205" t="s">
        <v>63</v>
      </c>
      <c r="T85" s="205" t="s">
        <v>63</v>
      </c>
      <c r="U85" s="216"/>
      <c r="V85" s="217"/>
      <c r="W85" s="69" t="s">
        <v>64</v>
      </c>
      <c r="X85" s="123"/>
      <c r="Y85" s="116" t="s">
        <v>1843</v>
      </c>
      <c r="Z85" s="117"/>
    </row>
    <row r="86" spans="1:28">
      <c r="A86" s="126">
        <v>245.11</v>
      </c>
      <c r="B86" s="39" t="s">
        <v>1806</v>
      </c>
      <c r="C86" s="40"/>
      <c r="D86" s="42" t="s">
        <v>56</v>
      </c>
      <c r="E86" s="117"/>
      <c r="F86" s="117"/>
      <c r="G86" s="116" t="s">
        <v>1844</v>
      </c>
      <c r="H86" s="116" t="s">
        <v>1845</v>
      </c>
      <c r="I86" s="116" t="s">
        <v>1846</v>
      </c>
      <c r="J86" s="117"/>
      <c r="K86" s="117"/>
      <c r="L86" s="117"/>
      <c r="M86" s="213">
        <v>2.537037037037037E-2</v>
      </c>
      <c r="N86" s="213">
        <v>2.8726851851851851E-2</v>
      </c>
      <c r="O86" s="117"/>
      <c r="P86" s="202">
        <v>43040</v>
      </c>
      <c r="Q86" s="200"/>
      <c r="R86" s="39" t="s">
        <v>131</v>
      </c>
      <c r="S86" s="205" t="s">
        <v>63</v>
      </c>
      <c r="T86" s="205" t="s">
        <v>63</v>
      </c>
      <c r="U86" s="216"/>
      <c r="V86" s="217"/>
      <c r="W86" s="69" t="s">
        <v>64</v>
      </c>
      <c r="X86" s="123"/>
      <c r="Y86" s="116" t="s">
        <v>1847</v>
      </c>
      <c r="Z86" s="117"/>
    </row>
    <row r="87" spans="1:28">
      <c r="A87" s="126">
        <v>245.12</v>
      </c>
      <c r="B87" s="39" t="s">
        <v>1806</v>
      </c>
      <c r="C87" s="40"/>
      <c r="D87" s="42" t="s">
        <v>56</v>
      </c>
      <c r="E87" s="117"/>
      <c r="F87" s="117"/>
      <c r="G87" s="116" t="s">
        <v>1848</v>
      </c>
      <c r="H87" s="116" t="s">
        <v>1850</v>
      </c>
      <c r="I87" s="117"/>
      <c r="J87" s="117"/>
      <c r="K87" s="117"/>
      <c r="L87" s="117"/>
      <c r="M87" s="213">
        <v>2.8738425925925924E-2</v>
      </c>
      <c r="N87" s="213">
        <v>0.03</v>
      </c>
      <c r="O87" s="117"/>
      <c r="P87" s="202">
        <v>43040</v>
      </c>
      <c r="Q87" s="200"/>
      <c r="R87" s="39" t="s">
        <v>131</v>
      </c>
      <c r="S87" s="205" t="s">
        <v>63</v>
      </c>
      <c r="T87" s="205" t="s">
        <v>63</v>
      </c>
      <c r="U87" s="216"/>
      <c r="V87" s="217"/>
      <c r="W87" s="69" t="s">
        <v>64</v>
      </c>
      <c r="X87" s="123"/>
      <c r="Y87" s="116" t="s">
        <v>1852</v>
      </c>
      <c r="Z87" s="117"/>
    </row>
    <row r="88" spans="1:28">
      <c r="A88" s="126">
        <v>245.13</v>
      </c>
      <c r="B88" s="39" t="s">
        <v>1806</v>
      </c>
      <c r="C88" s="40"/>
      <c r="D88" s="42" t="s">
        <v>56</v>
      </c>
      <c r="E88" s="117"/>
      <c r="F88" s="117"/>
      <c r="G88" s="116" t="s">
        <v>1853</v>
      </c>
      <c r="H88" s="116" t="s">
        <v>1854</v>
      </c>
      <c r="I88" s="117"/>
      <c r="J88" s="117"/>
      <c r="K88" s="117"/>
      <c r="L88" s="117"/>
      <c r="M88" s="213">
        <v>3.0011574074074072E-2</v>
      </c>
      <c r="N88" s="213">
        <v>3.1944444444444442E-2</v>
      </c>
      <c r="O88" s="117"/>
      <c r="P88" s="202">
        <v>43040</v>
      </c>
      <c r="Q88" s="200"/>
      <c r="R88" s="39" t="s">
        <v>131</v>
      </c>
      <c r="S88" s="205" t="s">
        <v>63</v>
      </c>
      <c r="T88" s="205" t="s">
        <v>63</v>
      </c>
      <c r="U88" s="216"/>
      <c r="V88" s="217"/>
      <c r="W88" s="69" t="s">
        <v>64</v>
      </c>
      <c r="X88" s="123"/>
      <c r="Y88" s="116" t="s">
        <v>1852</v>
      </c>
      <c r="Z88" s="117"/>
    </row>
    <row r="89" spans="1:28">
      <c r="A89" s="126">
        <v>245.14</v>
      </c>
      <c r="B89" s="39"/>
      <c r="C89" s="40"/>
      <c r="D89" s="42" t="s">
        <v>56</v>
      </c>
      <c r="E89" s="38"/>
      <c r="F89" s="43"/>
      <c r="G89" s="63" t="s">
        <v>1857</v>
      </c>
      <c r="H89" s="58" t="s">
        <v>1858</v>
      </c>
      <c r="I89" s="38"/>
      <c r="J89" s="38"/>
      <c r="K89" s="46"/>
      <c r="L89" s="47"/>
      <c r="M89" s="213">
        <v>3.1956018518518516E-2</v>
      </c>
      <c r="N89" s="213">
        <v>3.2604166666666663E-2</v>
      </c>
      <c r="O89" s="38"/>
      <c r="P89" s="202">
        <v>43040</v>
      </c>
      <c r="Q89" s="14"/>
      <c r="R89" s="39" t="s">
        <v>131</v>
      </c>
      <c r="S89" s="205" t="s">
        <v>63</v>
      </c>
      <c r="T89" s="205" t="s">
        <v>63</v>
      </c>
      <c r="U89" s="40"/>
      <c r="V89" s="54"/>
      <c r="W89" s="69" t="s">
        <v>64</v>
      </c>
      <c r="X89" s="56"/>
      <c r="Y89" s="96" t="s">
        <v>1859</v>
      </c>
      <c r="Z89" s="96" t="s">
        <v>1530</v>
      </c>
      <c r="AA89" s="88"/>
      <c r="AB89" s="88"/>
    </row>
    <row r="90" spans="1:28">
      <c r="A90" s="38">
        <v>335</v>
      </c>
      <c r="B90" s="39" t="s">
        <v>1806</v>
      </c>
      <c r="C90" s="40"/>
      <c r="D90" s="38"/>
      <c r="E90" s="38" t="s">
        <v>1402</v>
      </c>
      <c r="F90" s="43" t="s">
        <v>1403</v>
      </c>
      <c r="G90" s="44"/>
      <c r="H90" s="45"/>
      <c r="I90" s="38"/>
      <c r="J90" s="38">
        <f>8.8*1000</f>
        <v>8800</v>
      </c>
      <c r="K90" s="46">
        <v>3.9328703703703706E-2</v>
      </c>
      <c r="L90" s="47" t="s">
        <v>1283</v>
      </c>
      <c r="M90" s="38"/>
      <c r="N90" s="38"/>
      <c r="O90" s="38"/>
      <c r="P90" s="202">
        <v>43041</v>
      </c>
      <c r="Q90" s="14" t="str">
        <f ca="1">HYPERLINK(IF(INT(A90)-A90=0,"",REPLACE(INDIRECT("MasterList!e"&amp;INT(A90)+1),25,8,"embed/")&amp;"?start="&amp;HOUR(M90)*3600+MINUTE(M90)*60+SECOND(M90)&amp;"&amp;end="&amp;HOUR(N90)*3600+MINUTE(N90)*60+SECOND(N90)&amp;"&amp;autoplay=1"))</f>
        <v/>
      </c>
      <c r="R90" s="51"/>
      <c r="S90" s="51"/>
      <c r="T90" s="51"/>
      <c r="U90" s="40"/>
      <c r="V90" s="54"/>
      <c r="W90" s="55"/>
      <c r="X90" s="56"/>
      <c r="Y90" s="88"/>
      <c r="Z90" s="88"/>
      <c r="AA90" s="88"/>
      <c r="AB90" s="88"/>
    </row>
    <row r="91" spans="1:28">
      <c r="A91" s="42">
        <v>335.01</v>
      </c>
      <c r="B91" s="39" t="s">
        <v>1806</v>
      </c>
      <c r="C91" s="40"/>
      <c r="D91" s="42" t="s">
        <v>56</v>
      </c>
      <c r="E91" s="38"/>
      <c r="F91" s="188"/>
      <c r="G91" s="63" t="s">
        <v>1864</v>
      </c>
      <c r="H91" s="58" t="s">
        <v>1865</v>
      </c>
      <c r="I91" s="42" t="s">
        <v>1530</v>
      </c>
      <c r="L91" s="47"/>
      <c r="M91" s="64">
        <v>2.0833333333333335E-4</v>
      </c>
      <c r="N91" s="64">
        <v>1.5046296296296296E-3</v>
      </c>
      <c r="O91" s="38"/>
      <c r="P91" s="202">
        <v>43041</v>
      </c>
      <c r="Q91" s="14"/>
      <c r="R91" s="205" t="s">
        <v>63</v>
      </c>
      <c r="S91" s="205" t="s">
        <v>63</v>
      </c>
      <c r="T91" s="205" t="s">
        <v>63</v>
      </c>
      <c r="U91" s="40"/>
      <c r="V91" s="54"/>
      <c r="W91" s="69" t="s">
        <v>64</v>
      </c>
      <c r="X91" s="56"/>
      <c r="Y91" s="88"/>
      <c r="Z91" s="88"/>
      <c r="AA91" s="88"/>
      <c r="AB91" s="88"/>
    </row>
    <row r="92" spans="1:28">
      <c r="A92" s="42">
        <v>335.02</v>
      </c>
      <c r="B92" s="39" t="s">
        <v>1806</v>
      </c>
      <c r="C92" s="40"/>
      <c r="D92" s="42" t="s">
        <v>56</v>
      </c>
      <c r="E92" s="38"/>
      <c r="F92" s="188"/>
      <c r="G92" s="63" t="s">
        <v>1868</v>
      </c>
      <c r="H92" s="58" t="s">
        <v>1869</v>
      </c>
      <c r="I92" s="42" t="s">
        <v>1870</v>
      </c>
      <c r="L92" s="47"/>
      <c r="M92" s="64">
        <v>1.5162037037037036E-3</v>
      </c>
      <c r="N92" s="64">
        <v>4.409722222222222E-3</v>
      </c>
      <c r="O92" s="38"/>
      <c r="P92" s="202">
        <v>43041</v>
      </c>
      <c r="Q92" s="14"/>
      <c r="R92" s="205" t="s">
        <v>63</v>
      </c>
      <c r="S92" s="205" t="s">
        <v>63</v>
      </c>
      <c r="T92" s="205" t="s">
        <v>63</v>
      </c>
      <c r="U92" s="40"/>
      <c r="V92" s="54"/>
      <c r="W92" s="69" t="s">
        <v>64</v>
      </c>
      <c r="X92" s="56"/>
      <c r="Y92" s="88"/>
      <c r="Z92" s="88"/>
      <c r="AA92" s="88"/>
      <c r="AB92" s="88"/>
    </row>
    <row r="93" spans="1:28">
      <c r="A93" s="42">
        <v>335.03</v>
      </c>
      <c r="B93" s="39" t="s">
        <v>1806</v>
      </c>
      <c r="C93" s="40"/>
      <c r="D93" s="42" t="s">
        <v>56</v>
      </c>
      <c r="E93" s="38"/>
      <c r="F93" s="43"/>
      <c r="G93" s="63" t="s">
        <v>1872</v>
      </c>
      <c r="H93" s="58" t="s">
        <v>1874</v>
      </c>
      <c r="I93" s="42" t="s">
        <v>1875</v>
      </c>
      <c r="L93" s="47"/>
      <c r="M93" s="64">
        <v>4.4212962962962964E-3</v>
      </c>
      <c r="N93" s="64">
        <v>7.7314814814814815E-3</v>
      </c>
      <c r="O93" s="38"/>
      <c r="P93" s="202">
        <v>43041</v>
      </c>
      <c r="Q93" s="14"/>
      <c r="R93" s="205" t="s">
        <v>63</v>
      </c>
      <c r="S93" s="205" t="s">
        <v>63</v>
      </c>
      <c r="T93" s="205" t="s">
        <v>63</v>
      </c>
      <c r="U93" s="40"/>
      <c r="V93" s="54"/>
      <c r="W93" s="69" t="s">
        <v>64</v>
      </c>
      <c r="X93" s="56"/>
      <c r="Y93" s="88"/>
      <c r="Z93" s="88"/>
      <c r="AA93" s="88"/>
      <c r="AB93" s="88"/>
    </row>
    <row r="94" spans="1:28">
      <c r="A94" s="42">
        <v>335.04</v>
      </c>
      <c r="B94" s="39" t="s">
        <v>1806</v>
      </c>
      <c r="C94" s="40"/>
      <c r="D94" s="42" t="s">
        <v>56</v>
      </c>
      <c r="E94" s="38"/>
      <c r="F94" s="43"/>
      <c r="G94" s="63" t="s">
        <v>1876</v>
      </c>
      <c r="H94" s="58" t="s">
        <v>1877</v>
      </c>
      <c r="I94" s="42" t="s">
        <v>1530</v>
      </c>
      <c r="L94" s="47"/>
      <c r="M94" s="64">
        <v>7.7546296296296295E-3</v>
      </c>
      <c r="N94" s="64">
        <v>1.2638888888888889E-2</v>
      </c>
      <c r="O94" s="38"/>
      <c r="P94" s="202">
        <v>43041</v>
      </c>
      <c r="Q94" s="14"/>
      <c r="R94" s="205" t="s">
        <v>63</v>
      </c>
      <c r="S94" s="205" t="s">
        <v>63</v>
      </c>
      <c r="T94" s="205" t="s">
        <v>63</v>
      </c>
      <c r="U94" s="40"/>
      <c r="V94" s="54"/>
      <c r="W94" s="69" t="s">
        <v>64</v>
      </c>
      <c r="X94" s="56"/>
      <c r="Y94" s="88"/>
      <c r="Z94" s="88"/>
      <c r="AA94" s="88"/>
      <c r="AB94" s="88"/>
    </row>
    <row r="95" spans="1:28">
      <c r="A95" s="42">
        <v>335.05</v>
      </c>
      <c r="B95" s="39" t="s">
        <v>1806</v>
      </c>
      <c r="C95" s="40"/>
      <c r="D95" s="42" t="s">
        <v>56</v>
      </c>
      <c r="E95" s="38"/>
      <c r="F95" s="43"/>
      <c r="G95" s="63" t="s">
        <v>1879</v>
      </c>
      <c r="H95" s="58" t="s">
        <v>1880</v>
      </c>
      <c r="I95" s="42" t="s">
        <v>1530</v>
      </c>
      <c r="L95" s="47"/>
      <c r="M95" s="64">
        <v>1.2650462962962962E-2</v>
      </c>
      <c r="N95" s="64">
        <v>1.8067129629629631E-2</v>
      </c>
      <c r="O95" s="38"/>
      <c r="P95" s="202">
        <v>43041</v>
      </c>
      <c r="Q95" s="14"/>
      <c r="R95" s="205" t="s">
        <v>63</v>
      </c>
      <c r="S95" s="205" t="s">
        <v>63</v>
      </c>
      <c r="T95" s="205" t="s">
        <v>63</v>
      </c>
      <c r="U95" s="40"/>
      <c r="V95" s="54"/>
      <c r="W95" s="69" t="s">
        <v>64</v>
      </c>
      <c r="X95" s="56"/>
      <c r="Y95" s="88"/>
      <c r="Z95" s="88"/>
      <c r="AA95" s="88"/>
      <c r="AB95" s="88"/>
    </row>
    <row r="96" spans="1:28">
      <c r="A96" s="42">
        <v>335.06</v>
      </c>
      <c r="B96" s="39" t="s">
        <v>1806</v>
      </c>
      <c r="C96" s="40"/>
      <c r="D96" s="42" t="s">
        <v>56</v>
      </c>
      <c r="E96" s="38"/>
      <c r="F96" s="43"/>
      <c r="G96" s="63" t="s">
        <v>1882</v>
      </c>
      <c r="H96" s="58" t="s">
        <v>1883</v>
      </c>
      <c r="I96" s="42" t="s">
        <v>1530</v>
      </c>
      <c r="L96" s="47"/>
      <c r="M96" s="64">
        <v>1.8090277777777778E-2</v>
      </c>
      <c r="N96" s="64">
        <v>2.0162037037037037E-2</v>
      </c>
      <c r="O96" s="38"/>
      <c r="P96" s="202">
        <v>43041</v>
      </c>
      <c r="Q96" s="14"/>
      <c r="R96" s="205" t="s">
        <v>63</v>
      </c>
      <c r="S96" s="205" t="s">
        <v>63</v>
      </c>
      <c r="T96" s="205" t="s">
        <v>63</v>
      </c>
      <c r="U96" s="40"/>
      <c r="V96" s="54"/>
      <c r="W96" s="69" t="s">
        <v>64</v>
      </c>
      <c r="X96" s="56"/>
      <c r="Y96" s="88"/>
      <c r="Z96" s="88"/>
      <c r="AA96" s="88"/>
      <c r="AB96" s="88"/>
    </row>
    <row r="97" spans="1:37">
      <c r="A97" s="42">
        <v>335.07</v>
      </c>
      <c r="B97" s="39" t="s">
        <v>1806</v>
      </c>
      <c r="C97" s="40"/>
      <c r="D97" s="42" t="s">
        <v>56</v>
      </c>
      <c r="E97" s="38"/>
      <c r="F97" s="43"/>
      <c r="G97" s="63" t="s">
        <v>1885</v>
      </c>
      <c r="H97" s="58" t="s">
        <v>1887</v>
      </c>
      <c r="I97" s="42" t="s">
        <v>1530</v>
      </c>
      <c r="L97" s="47"/>
      <c r="M97" s="64">
        <v>2.0185185185185184E-2</v>
      </c>
      <c r="N97" s="64">
        <v>2.267361111111111E-2</v>
      </c>
      <c r="O97" s="38"/>
      <c r="P97" s="202">
        <v>43041</v>
      </c>
      <c r="Q97" s="14"/>
      <c r="R97" s="205" t="s">
        <v>63</v>
      </c>
      <c r="S97" s="205" t="s">
        <v>63</v>
      </c>
      <c r="T97" s="205" t="s">
        <v>63</v>
      </c>
      <c r="U97" s="40"/>
      <c r="V97" s="54"/>
      <c r="W97" s="69" t="s">
        <v>64</v>
      </c>
      <c r="X97" s="56"/>
      <c r="Y97" s="88"/>
      <c r="Z97" s="88"/>
      <c r="AA97" s="88"/>
      <c r="AB97" s="88"/>
    </row>
    <row r="98" spans="1:37">
      <c r="A98" s="42">
        <v>335.08</v>
      </c>
      <c r="B98" s="39" t="s">
        <v>1806</v>
      </c>
      <c r="C98" s="40"/>
      <c r="D98" s="42" t="s">
        <v>56</v>
      </c>
      <c r="E98" s="38"/>
      <c r="F98" s="43"/>
      <c r="G98" s="63" t="s">
        <v>1888</v>
      </c>
      <c r="H98" s="58" t="s">
        <v>1889</v>
      </c>
      <c r="I98" s="42" t="s">
        <v>1530</v>
      </c>
      <c r="L98" s="47"/>
      <c r="M98" s="64">
        <v>2.2685185185185187E-2</v>
      </c>
      <c r="N98" s="64">
        <v>2.6712962962962963E-2</v>
      </c>
      <c r="O98" s="38"/>
      <c r="P98" s="202">
        <v>43041</v>
      </c>
      <c r="Q98" s="14"/>
      <c r="R98" s="205" t="s">
        <v>63</v>
      </c>
      <c r="S98" s="205" t="s">
        <v>63</v>
      </c>
      <c r="T98" s="205" t="s">
        <v>63</v>
      </c>
      <c r="U98" s="40"/>
      <c r="V98" s="54"/>
      <c r="W98" s="69" t="s">
        <v>64</v>
      </c>
      <c r="X98" s="56"/>
      <c r="Y98" s="88"/>
      <c r="Z98" s="88"/>
      <c r="AA98" s="88"/>
      <c r="AB98" s="88"/>
    </row>
    <row r="99" spans="1:37">
      <c r="A99" s="42">
        <v>335.09</v>
      </c>
      <c r="B99" s="39" t="s">
        <v>1806</v>
      </c>
      <c r="C99" s="40"/>
      <c r="D99" s="42" t="s">
        <v>56</v>
      </c>
      <c r="E99" s="38"/>
      <c r="F99" s="43"/>
      <c r="G99" s="63" t="s">
        <v>1892</v>
      </c>
      <c r="H99" s="58" t="s">
        <v>1893</v>
      </c>
      <c r="I99" s="42" t="s">
        <v>1530</v>
      </c>
      <c r="L99" s="47"/>
      <c r="M99" s="64">
        <v>2.6724537037037036E-2</v>
      </c>
      <c r="N99" s="64">
        <v>2.9340277777777778E-2</v>
      </c>
      <c r="O99" s="38"/>
      <c r="P99" s="202">
        <v>43041</v>
      </c>
      <c r="Q99" s="14"/>
      <c r="R99" s="205" t="s">
        <v>63</v>
      </c>
      <c r="S99" s="205" t="s">
        <v>63</v>
      </c>
      <c r="T99" s="205" t="s">
        <v>63</v>
      </c>
      <c r="U99" s="40"/>
      <c r="V99" s="54"/>
      <c r="W99" s="69" t="s">
        <v>64</v>
      </c>
      <c r="X99" s="56"/>
      <c r="Y99" s="88"/>
      <c r="Z99" s="88"/>
      <c r="AA99" s="88"/>
      <c r="AB99" s="88"/>
    </row>
    <row r="100" spans="1:37">
      <c r="A100" s="42">
        <v>335.11</v>
      </c>
      <c r="B100" s="39" t="s">
        <v>1806</v>
      </c>
      <c r="C100" s="40"/>
      <c r="D100" s="42" t="s">
        <v>56</v>
      </c>
      <c r="E100" s="38"/>
      <c r="F100" s="43"/>
      <c r="G100" s="63" t="s">
        <v>1894</v>
      </c>
      <c r="H100" s="58" t="s">
        <v>1895</v>
      </c>
      <c r="I100" s="42" t="s">
        <v>1530</v>
      </c>
      <c r="L100" s="47"/>
      <c r="M100" s="64">
        <v>2.9351851851851851E-2</v>
      </c>
      <c r="N100" s="64">
        <v>3.5127314814814813E-2</v>
      </c>
      <c r="O100" s="38"/>
      <c r="P100" s="202">
        <v>43041</v>
      </c>
      <c r="Q100" s="14"/>
      <c r="R100" s="205" t="s">
        <v>63</v>
      </c>
      <c r="S100" s="205" t="s">
        <v>63</v>
      </c>
      <c r="T100" s="205" t="s">
        <v>63</v>
      </c>
      <c r="U100" s="40"/>
      <c r="V100" s="54"/>
      <c r="W100" s="69" t="s">
        <v>64</v>
      </c>
      <c r="X100" s="56"/>
      <c r="Y100" s="88"/>
      <c r="Z100" s="88"/>
      <c r="AA100" s="88"/>
      <c r="AB100" s="88"/>
    </row>
    <row r="101" spans="1:37">
      <c r="A101" s="42">
        <v>335.12</v>
      </c>
      <c r="B101" s="39" t="s">
        <v>1806</v>
      </c>
      <c r="C101" s="40"/>
      <c r="D101" s="42" t="s">
        <v>56</v>
      </c>
      <c r="E101" s="38"/>
      <c r="F101" s="43"/>
      <c r="G101" s="63" t="s">
        <v>1898</v>
      </c>
      <c r="H101" s="58" t="s">
        <v>1899</v>
      </c>
      <c r="I101" s="42" t="s">
        <v>1530</v>
      </c>
      <c r="L101" s="47"/>
      <c r="M101" s="64">
        <v>3.5138888888888886E-2</v>
      </c>
      <c r="N101" s="64">
        <v>3.8634259259259257E-2</v>
      </c>
      <c r="O101" s="38"/>
      <c r="P101" s="202">
        <v>43041</v>
      </c>
      <c r="Q101" s="14"/>
      <c r="R101" s="205" t="s">
        <v>63</v>
      </c>
      <c r="S101" s="205" t="s">
        <v>63</v>
      </c>
      <c r="T101" s="205" t="s">
        <v>63</v>
      </c>
      <c r="U101" s="40"/>
      <c r="V101" s="54"/>
      <c r="W101" s="69" t="s">
        <v>64</v>
      </c>
      <c r="X101" s="56"/>
      <c r="Y101" s="88"/>
      <c r="Z101" s="88"/>
      <c r="AA101" s="88"/>
      <c r="AB101" s="88"/>
    </row>
    <row r="102" spans="1:37">
      <c r="A102" s="38">
        <v>435</v>
      </c>
      <c r="B102" s="39" t="s">
        <v>1806</v>
      </c>
      <c r="C102" s="40"/>
      <c r="D102" s="38"/>
      <c r="E102" s="38" t="s">
        <v>1704</v>
      </c>
      <c r="F102" s="43" t="s">
        <v>1705</v>
      </c>
      <c r="G102" s="44"/>
      <c r="H102" s="45"/>
      <c r="I102" s="42" t="s">
        <v>1900</v>
      </c>
      <c r="J102" s="38">
        <f>2.4*1000</f>
        <v>2400</v>
      </c>
      <c r="K102" s="46">
        <v>1.3310185185185187E-2</v>
      </c>
      <c r="L102" s="47" t="s">
        <v>1283</v>
      </c>
      <c r="M102" s="38"/>
      <c r="N102" s="38"/>
      <c r="O102" s="38"/>
      <c r="P102" s="202">
        <v>43042</v>
      </c>
      <c r="Q102" s="14" t="str">
        <f ca="1">HYPERLINK(IF(INT(A102)-A102=0,"",REPLACE(INDIRECT("MasterList!e"&amp;INT(A102)+1),25,8,"embed/")&amp;"?start="&amp;HOUR(M102)*3600+MINUTE(M102)*60+SECOND(M102)&amp;"&amp;end="&amp;HOUR(N102)*3600+MINUTE(N102)*60+SECOND(N102)&amp;"&amp;autoplay=1"))</f>
        <v/>
      </c>
      <c r="R102" s="51"/>
      <c r="S102" s="51"/>
      <c r="T102" s="51"/>
      <c r="U102" s="40"/>
      <c r="V102" s="54"/>
      <c r="W102" s="55"/>
      <c r="X102" s="56"/>
      <c r="Y102" s="88"/>
      <c r="Z102" s="96" t="s">
        <v>1905</v>
      </c>
      <c r="AA102" s="88"/>
      <c r="AB102" s="88"/>
    </row>
    <row r="103" spans="1:37">
      <c r="A103" s="42">
        <v>435.01</v>
      </c>
      <c r="B103" s="39" t="s">
        <v>1806</v>
      </c>
      <c r="C103" s="40"/>
      <c r="D103" s="42" t="s">
        <v>56</v>
      </c>
      <c r="E103" s="38"/>
      <c r="F103" s="43"/>
      <c r="G103" s="12" t="s">
        <v>1906</v>
      </c>
      <c r="H103" s="63" t="s">
        <v>1907</v>
      </c>
      <c r="I103" s="42" t="s">
        <v>1530</v>
      </c>
      <c r="J103" s="42">
        <v>2510</v>
      </c>
      <c r="K103" s="46"/>
      <c r="L103" s="232" t="s">
        <v>1908</v>
      </c>
      <c r="M103" s="213">
        <v>7.9861111111111116E-4</v>
      </c>
      <c r="N103" s="213">
        <v>1.9097222222222222E-3</v>
      </c>
      <c r="O103" s="38"/>
      <c r="P103" s="202">
        <v>43042</v>
      </c>
      <c r="Q103" s="14"/>
      <c r="R103" s="39" t="s">
        <v>131</v>
      </c>
      <c r="S103" s="39" t="s">
        <v>131</v>
      </c>
      <c r="T103" s="39" t="s">
        <v>63</v>
      </c>
      <c r="U103" s="40"/>
      <c r="V103" s="54"/>
      <c r="W103" s="69" t="s">
        <v>64</v>
      </c>
      <c r="X103" s="56"/>
      <c r="Y103" s="96" t="s">
        <v>1911</v>
      </c>
      <c r="AA103" s="88"/>
      <c r="AB103" s="88"/>
    </row>
    <row r="104" spans="1:37">
      <c r="A104" s="42">
        <v>435.02</v>
      </c>
      <c r="B104" s="39" t="s">
        <v>1806</v>
      </c>
      <c r="C104" s="40"/>
      <c r="D104" s="42" t="s">
        <v>56</v>
      </c>
      <c r="E104" s="38"/>
      <c r="F104" s="43"/>
      <c r="G104" s="63" t="s">
        <v>1912</v>
      </c>
      <c r="H104" s="58" t="s">
        <v>1913</v>
      </c>
      <c r="I104" s="42" t="s">
        <v>1530</v>
      </c>
      <c r="J104" s="12" t="s">
        <v>1530</v>
      </c>
      <c r="K104" s="46"/>
      <c r="L104" s="47"/>
      <c r="M104" s="213">
        <v>1.9212962962962964E-3</v>
      </c>
      <c r="N104" s="213">
        <v>4.9768518518518521E-3</v>
      </c>
      <c r="O104" s="38"/>
      <c r="P104" s="202">
        <v>43042</v>
      </c>
      <c r="Q104" s="14"/>
      <c r="R104" s="39" t="s">
        <v>131</v>
      </c>
      <c r="S104" s="39" t="s">
        <v>131</v>
      </c>
      <c r="T104" s="39" t="s">
        <v>63</v>
      </c>
      <c r="U104" s="40"/>
      <c r="V104" s="54"/>
      <c r="W104" s="69" t="s">
        <v>64</v>
      </c>
      <c r="X104" s="56"/>
      <c r="Y104" s="88"/>
      <c r="Z104" s="88"/>
      <c r="AA104" s="88"/>
      <c r="AB104" s="88"/>
    </row>
    <row r="105" spans="1:37">
      <c r="A105" s="42">
        <v>435.03</v>
      </c>
      <c r="B105" s="39" t="s">
        <v>1806</v>
      </c>
      <c r="C105" s="40"/>
      <c r="D105" s="42" t="s">
        <v>139</v>
      </c>
      <c r="E105" s="38"/>
      <c r="F105" s="43"/>
      <c r="G105" s="63" t="s">
        <v>1916</v>
      </c>
      <c r="H105" s="58" t="s">
        <v>1917</v>
      </c>
      <c r="I105" s="42" t="s">
        <v>1530</v>
      </c>
      <c r="J105" s="12" t="s">
        <v>1530</v>
      </c>
      <c r="K105" s="42" t="s">
        <v>1530</v>
      </c>
      <c r="L105" s="232" t="s">
        <v>1530</v>
      </c>
      <c r="M105" s="213">
        <v>4.9884259259259257E-3</v>
      </c>
      <c r="N105" s="213">
        <v>1.3055555555555556E-2</v>
      </c>
      <c r="O105" s="38"/>
      <c r="P105" s="202">
        <v>43042</v>
      </c>
      <c r="Q105" s="14"/>
      <c r="R105" s="39" t="s">
        <v>131</v>
      </c>
      <c r="S105" s="39" t="s">
        <v>131</v>
      </c>
      <c r="T105" s="39" t="s">
        <v>63</v>
      </c>
      <c r="U105" s="40"/>
      <c r="V105" s="54"/>
      <c r="W105" s="69" t="s">
        <v>64</v>
      </c>
      <c r="X105" s="56"/>
      <c r="Y105" s="88"/>
      <c r="Z105" s="88"/>
      <c r="AA105" s="88"/>
      <c r="AB105" s="88"/>
    </row>
    <row r="106" spans="1:37">
      <c r="A106" s="38">
        <v>556</v>
      </c>
      <c r="B106" s="39" t="s">
        <v>596</v>
      </c>
      <c r="C106" s="40"/>
      <c r="D106" s="42" t="s">
        <v>139</v>
      </c>
      <c r="E106" s="38" t="s">
        <v>1918</v>
      </c>
      <c r="F106" s="43" t="s">
        <v>1919</v>
      </c>
      <c r="G106" s="44"/>
      <c r="H106" s="45"/>
      <c r="I106" s="38"/>
      <c r="J106" s="38">
        <f>3.7*1000</f>
        <v>3700</v>
      </c>
      <c r="K106" s="46">
        <v>6.7870370370370373E-2</v>
      </c>
      <c r="L106" s="47" t="s">
        <v>1452</v>
      </c>
      <c r="M106" s="38"/>
      <c r="N106" s="38"/>
      <c r="O106" s="38"/>
      <c r="P106" s="202">
        <v>43042</v>
      </c>
      <c r="Q106" s="14" t="str">
        <f ca="1">HYPERLINK(IF(INT(A106)-A106=0,"",REPLACE(INDIRECT("MasterList!e"&amp;INT(A106)+1),25,8,"embed/")&amp;"?start="&amp;HOUR(M106)*3600+MINUTE(M106)*60+SECOND(M106)&amp;"&amp;end="&amp;HOUR(N106)*3600+MINUTE(N106)*60+SECOND(N106)&amp;"&amp;autoplay=1"))</f>
        <v/>
      </c>
      <c r="R106" s="51"/>
      <c r="S106" s="51"/>
      <c r="T106" s="51"/>
      <c r="U106" s="40"/>
      <c r="V106" s="54"/>
      <c r="W106" s="69"/>
      <c r="X106" s="56"/>
      <c r="Y106" s="88"/>
      <c r="Z106" s="206" t="s">
        <v>1924</v>
      </c>
      <c r="AA106" s="88"/>
      <c r="AB106" s="88"/>
    </row>
    <row r="107" spans="1:37">
      <c r="A107" s="206">
        <v>556.01</v>
      </c>
      <c r="B107" s="39" t="s">
        <v>596</v>
      </c>
      <c r="C107" s="40"/>
      <c r="D107" s="42" t="s">
        <v>139</v>
      </c>
      <c r="G107" s="154" t="s">
        <v>1925</v>
      </c>
      <c r="H107" s="154" t="s">
        <v>1926</v>
      </c>
      <c r="I107" s="154" t="s">
        <v>1530</v>
      </c>
      <c r="J107" s="203"/>
      <c r="K107" s="204"/>
      <c r="L107" s="204"/>
      <c r="M107" s="204">
        <v>4.6296296296296294E-5</v>
      </c>
      <c r="N107" s="204">
        <v>1.3946759259259259E-2</v>
      </c>
      <c r="O107" s="203"/>
      <c r="P107" s="202">
        <v>43042</v>
      </c>
      <c r="Q107" s="203"/>
      <c r="R107" s="154" t="s">
        <v>63</v>
      </c>
      <c r="S107" s="154" t="s">
        <v>63</v>
      </c>
      <c r="T107" s="154" t="s">
        <v>63</v>
      </c>
      <c r="X107" s="12"/>
    </row>
    <row r="108" spans="1:37">
      <c r="A108" s="206">
        <v>556.02</v>
      </c>
      <c r="B108" s="221" t="s">
        <v>596</v>
      </c>
      <c r="C108" s="216"/>
      <c r="D108" s="42" t="s">
        <v>139</v>
      </c>
      <c r="E108" s="207"/>
      <c r="F108" s="207"/>
      <c r="G108" s="206" t="s">
        <v>1928</v>
      </c>
      <c r="H108" s="206" t="s">
        <v>1930</v>
      </c>
      <c r="I108" s="206" t="s">
        <v>1530</v>
      </c>
      <c r="J108" s="207"/>
      <c r="K108" s="207"/>
      <c r="L108" s="207"/>
      <c r="M108" s="208">
        <v>1.3946759259259259E-2</v>
      </c>
      <c r="N108" s="208">
        <v>3.2581018518518516E-2</v>
      </c>
      <c r="O108" s="207"/>
      <c r="P108" s="210">
        <v>43042</v>
      </c>
      <c r="Q108" s="207"/>
      <c r="R108" s="154" t="s">
        <v>63</v>
      </c>
      <c r="S108" s="154" t="s">
        <v>63</v>
      </c>
      <c r="T108" s="154" t="s">
        <v>63</v>
      </c>
      <c r="X108" s="12"/>
      <c r="Y108" s="207"/>
      <c r="Z108" s="207"/>
      <c r="AA108" s="207"/>
      <c r="AB108" s="207"/>
      <c r="AC108" s="207"/>
      <c r="AD108" s="207"/>
      <c r="AE108" s="207"/>
      <c r="AF108" s="207"/>
      <c r="AG108" s="207"/>
      <c r="AH108" s="207"/>
      <c r="AI108" s="207"/>
      <c r="AJ108" s="207"/>
      <c r="AK108" s="207"/>
    </row>
    <row r="109" spans="1:37">
      <c r="A109" s="206">
        <v>556.03</v>
      </c>
      <c r="B109" s="221" t="s">
        <v>596</v>
      </c>
      <c r="C109" s="216"/>
      <c r="D109" s="42" t="s">
        <v>139</v>
      </c>
      <c r="E109" s="207"/>
      <c r="F109" s="207"/>
      <c r="G109" s="206" t="s">
        <v>1931</v>
      </c>
      <c r="H109" s="206" t="s">
        <v>1932</v>
      </c>
      <c r="I109" s="206" t="s">
        <v>1530</v>
      </c>
      <c r="J109" s="206" t="s">
        <v>1530</v>
      </c>
      <c r="K109" s="207"/>
      <c r="L109" s="207"/>
      <c r="M109" s="208">
        <v>3.2627314814814817E-2</v>
      </c>
      <c r="N109" s="208">
        <v>3.8194444444444448E-2</v>
      </c>
      <c r="O109" s="207"/>
      <c r="P109" s="210">
        <v>43042</v>
      </c>
      <c r="Q109" s="207"/>
      <c r="R109" s="154" t="s">
        <v>63</v>
      </c>
      <c r="S109" s="154" t="s">
        <v>63</v>
      </c>
      <c r="T109" s="154" t="s">
        <v>63</v>
      </c>
      <c r="X109" s="12"/>
      <c r="Y109" s="207"/>
      <c r="AA109" s="207"/>
      <c r="AB109" s="207"/>
      <c r="AC109" s="207"/>
      <c r="AD109" s="207"/>
      <c r="AE109" s="207"/>
      <c r="AF109" s="207"/>
      <c r="AG109" s="207"/>
      <c r="AH109" s="207"/>
      <c r="AI109" s="207"/>
      <c r="AJ109" s="207"/>
      <c r="AK109" s="207"/>
    </row>
    <row r="110" spans="1:37">
      <c r="A110" s="206">
        <v>556.04</v>
      </c>
      <c r="B110" s="221" t="s">
        <v>596</v>
      </c>
      <c r="C110" s="216"/>
      <c r="D110" s="42" t="s">
        <v>139</v>
      </c>
      <c r="E110" s="207"/>
      <c r="F110" s="207"/>
      <c r="G110" s="206" t="s">
        <v>1935</v>
      </c>
      <c r="H110" s="206" t="s">
        <v>1936</v>
      </c>
      <c r="I110" s="206" t="s">
        <v>1937</v>
      </c>
      <c r="J110" s="206" t="s">
        <v>1530</v>
      </c>
      <c r="K110" s="207"/>
      <c r="L110" s="207"/>
      <c r="M110" s="208">
        <v>3.8206018518518521E-2</v>
      </c>
      <c r="N110" s="208">
        <v>3.8854166666666669E-2</v>
      </c>
      <c r="O110" s="207"/>
      <c r="P110" s="210">
        <v>43042</v>
      </c>
      <c r="Q110" s="207"/>
      <c r="R110" s="154" t="s">
        <v>63</v>
      </c>
      <c r="S110" s="154" t="s">
        <v>63</v>
      </c>
      <c r="T110" s="154" t="s">
        <v>63</v>
      </c>
      <c r="X110" s="12"/>
      <c r="Y110" s="206" t="s">
        <v>1938</v>
      </c>
      <c r="Z110" s="12" t="s">
        <v>1530</v>
      </c>
      <c r="AA110" s="207"/>
      <c r="AB110" s="207"/>
      <c r="AC110" s="207"/>
      <c r="AD110" s="207"/>
      <c r="AE110" s="207"/>
      <c r="AF110" s="207"/>
      <c r="AG110" s="207"/>
      <c r="AH110" s="207"/>
      <c r="AI110" s="207"/>
      <c r="AJ110" s="207"/>
      <c r="AK110" s="207"/>
    </row>
    <row r="111" spans="1:37">
      <c r="A111" s="206">
        <v>556.04999999999995</v>
      </c>
      <c r="B111" s="221" t="s">
        <v>596</v>
      </c>
      <c r="C111" s="216"/>
      <c r="D111" s="42" t="s">
        <v>139</v>
      </c>
      <c r="E111" s="207"/>
      <c r="F111" s="207"/>
      <c r="G111" s="206" t="s">
        <v>1939</v>
      </c>
      <c r="H111" s="206" t="s">
        <v>1940</v>
      </c>
      <c r="I111" s="206" t="s">
        <v>1941</v>
      </c>
      <c r="J111" s="206" t="s">
        <v>1530</v>
      </c>
      <c r="K111" s="207"/>
      <c r="L111" s="207"/>
      <c r="M111" s="208">
        <v>3.8865740740740742E-2</v>
      </c>
      <c r="N111" s="208">
        <v>4.7986111111111111E-2</v>
      </c>
      <c r="O111" s="207"/>
      <c r="P111" s="210">
        <v>43042</v>
      </c>
      <c r="Q111" s="207"/>
      <c r="R111" s="154" t="s">
        <v>63</v>
      </c>
      <c r="S111" s="154" t="s">
        <v>63</v>
      </c>
      <c r="T111" s="154" t="s">
        <v>63</v>
      </c>
      <c r="X111" s="12"/>
      <c r="Y111" s="72" t="s">
        <v>1944</v>
      </c>
      <c r="Z111" s="12" t="s">
        <v>1530</v>
      </c>
      <c r="AA111" s="207"/>
      <c r="AB111" s="207"/>
      <c r="AC111" s="207"/>
      <c r="AD111" s="207"/>
      <c r="AE111" s="207"/>
      <c r="AF111" s="207"/>
      <c r="AG111" s="207"/>
      <c r="AH111" s="207"/>
      <c r="AI111" s="207"/>
      <c r="AJ111" s="207"/>
      <c r="AK111" s="207"/>
    </row>
    <row r="112" spans="1:37">
      <c r="A112" s="206">
        <v>556.05999999999995</v>
      </c>
      <c r="B112" s="221" t="s">
        <v>596</v>
      </c>
      <c r="C112" s="216"/>
      <c r="D112" s="42" t="s">
        <v>139</v>
      </c>
      <c r="E112" s="207"/>
      <c r="F112" s="207"/>
      <c r="G112" s="206" t="s">
        <v>1945</v>
      </c>
      <c r="H112" s="206" t="s">
        <v>1946</v>
      </c>
      <c r="I112" s="206" t="s">
        <v>1530</v>
      </c>
      <c r="J112" s="207"/>
      <c r="K112" s="207"/>
      <c r="L112" s="207"/>
      <c r="M112" s="208">
        <v>4.7997685185185185E-2</v>
      </c>
      <c r="N112" s="208">
        <v>5.6458333333333333E-2</v>
      </c>
      <c r="O112" s="207"/>
      <c r="P112" s="210">
        <v>43042</v>
      </c>
      <c r="Q112" s="207"/>
      <c r="R112" s="154" t="s">
        <v>63</v>
      </c>
      <c r="S112" s="154" t="s">
        <v>63</v>
      </c>
      <c r="T112" s="154" t="s">
        <v>63</v>
      </c>
      <c r="X112" s="12"/>
      <c r="Y112" s="207"/>
      <c r="Z112" s="207"/>
      <c r="AA112" s="207"/>
      <c r="AB112" s="207"/>
      <c r="AC112" s="207"/>
      <c r="AD112" s="207"/>
      <c r="AE112" s="207"/>
      <c r="AF112" s="207"/>
      <c r="AG112" s="207"/>
      <c r="AH112" s="207"/>
      <c r="AI112" s="207"/>
      <c r="AJ112" s="207"/>
      <c r="AK112" s="207"/>
    </row>
    <row r="113" spans="1:37">
      <c r="A113" s="206">
        <v>556.07000000000005</v>
      </c>
      <c r="B113" s="221" t="s">
        <v>596</v>
      </c>
      <c r="C113" s="216"/>
      <c r="D113" s="42" t="s">
        <v>139</v>
      </c>
      <c r="E113" s="207"/>
      <c r="F113" s="207"/>
      <c r="G113" s="206" t="s">
        <v>1949</v>
      </c>
      <c r="H113" s="206" t="s">
        <v>1950</v>
      </c>
      <c r="I113" s="206" t="s">
        <v>1530</v>
      </c>
      <c r="J113" s="207"/>
      <c r="K113" s="207"/>
      <c r="L113" s="207"/>
      <c r="M113" s="208">
        <v>5.6539351851851855E-2</v>
      </c>
      <c r="N113" s="208">
        <v>6.5972222222222224E-2</v>
      </c>
      <c r="O113" s="207"/>
      <c r="P113" s="210">
        <v>43042</v>
      </c>
      <c r="Q113" s="207"/>
      <c r="R113" s="154" t="s">
        <v>63</v>
      </c>
      <c r="S113" s="154" t="s">
        <v>63</v>
      </c>
      <c r="T113" s="154" t="s">
        <v>63</v>
      </c>
      <c r="X113" s="12"/>
      <c r="Y113" s="207"/>
      <c r="Z113" s="207"/>
      <c r="AA113" s="207"/>
      <c r="AB113" s="207"/>
      <c r="AC113" s="207"/>
      <c r="AD113" s="207"/>
      <c r="AE113" s="207"/>
      <c r="AF113" s="207"/>
      <c r="AG113" s="207"/>
      <c r="AH113" s="207"/>
      <c r="AI113" s="207"/>
      <c r="AJ113" s="207"/>
      <c r="AK113" s="207"/>
    </row>
    <row r="114" spans="1:37">
      <c r="A114" s="38">
        <v>624</v>
      </c>
      <c r="B114" s="221" t="s">
        <v>1951</v>
      </c>
      <c r="C114" s="216"/>
      <c r="D114" s="42" t="s">
        <v>56</v>
      </c>
      <c r="E114" s="38" t="s">
        <v>1952</v>
      </c>
      <c r="F114" s="43" t="s">
        <v>1953</v>
      </c>
      <c r="G114" s="44"/>
      <c r="H114" s="45"/>
      <c r="I114" s="38"/>
      <c r="J114" s="38">
        <f>8.5*1000</f>
        <v>8500</v>
      </c>
      <c r="K114" s="46">
        <v>5.7048611111111112E-2</v>
      </c>
      <c r="L114" s="47" t="s">
        <v>1956</v>
      </c>
      <c r="M114" s="38"/>
      <c r="N114" s="38"/>
      <c r="O114" s="38"/>
      <c r="P114" s="218">
        <v>43046</v>
      </c>
      <c r="Q114" s="14" t="str">
        <f t="shared" ref="Q114:Q139" ca="1" si="3">HYPERLINK(IF(INT(A114)-A114=0,"",REPLACE(INDIRECT("MasterList!e"&amp;INT(A114)+1),25,8,"embed/")&amp;"?start="&amp;HOUR(M114)*3600+MINUTE(M114)*60+SECOND(M114)&amp;"&amp;end="&amp;HOUR(N114)*3600+MINUTE(N114)*60+SECOND(N114)&amp;"&amp;autoplay=1"))</f>
        <v/>
      </c>
      <c r="R114" s="51"/>
      <c r="S114" s="51"/>
      <c r="T114" s="51"/>
      <c r="U114" s="40"/>
      <c r="V114" s="54"/>
      <c r="W114" s="55"/>
      <c r="X114" s="56"/>
      <c r="Y114" s="88"/>
      <c r="Z114" s="88"/>
      <c r="AA114" s="88"/>
      <c r="AB114" s="88"/>
    </row>
    <row r="115" spans="1:37">
      <c r="A115" s="116">
        <v>624.01</v>
      </c>
      <c r="B115" s="221" t="s">
        <v>1951</v>
      </c>
      <c r="C115" s="216"/>
      <c r="D115" s="42" t="s">
        <v>56</v>
      </c>
      <c r="E115" s="117"/>
      <c r="F115" s="117"/>
      <c r="G115" s="116" t="s">
        <v>1959</v>
      </c>
      <c r="H115" s="116" t="s">
        <v>1960</v>
      </c>
      <c r="I115" s="117"/>
      <c r="J115" s="117"/>
      <c r="K115" s="117"/>
      <c r="L115" s="117"/>
      <c r="M115" s="213">
        <v>0</v>
      </c>
      <c r="N115" s="213">
        <v>1.3078703703703703E-3</v>
      </c>
      <c r="O115" s="117"/>
      <c r="P115" s="218">
        <v>43046</v>
      </c>
      <c r="Q115" s="59" t="str">
        <f t="shared" ca="1" si="3"/>
        <v>https://www.youtube.com/embed/b96t52xbmO8?start=0&amp;end=113&amp;autoplay=1</v>
      </c>
      <c r="R115" s="221" t="s">
        <v>63</v>
      </c>
      <c r="S115" s="221" t="s">
        <v>63</v>
      </c>
      <c r="T115" s="221" t="s">
        <v>63</v>
      </c>
      <c r="U115" s="216"/>
      <c r="V115" s="217"/>
      <c r="W115" s="233"/>
      <c r="X115" s="123"/>
      <c r="Y115" s="117"/>
      <c r="Z115" s="117"/>
    </row>
    <row r="116" spans="1:37">
      <c r="A116" s="117">
        <f t="shared" ref="A116:A130" si="4">A115+0.01</f>
        <v>624.02</v>
      </c>
      <c r="B116" s="221" t="s">
        <v>1951</v>
      </c>
      <c r="C116" s="216"/>
      <c r="D116" s="42" t="s">
        <v>56</v>
      </c>
      <c r="E116" s="117"/>
      <c r="F116" s="117"/>
      <c r="G116" s="116" t="s">
        <v>1965</v>
      </c>
      <c r="H116" s="116" t="s">
        <v>1966</v>
      </c>
      <c r="I116" s="117"/>
      <c r="J116" s="117"/>
      <c r="K116" s="117"/>
      <c r="L116" s="117"/>
      <c r="M116" s="213">
        <v>1.3194444444444445E-3</v>
      </c>
      <c r="N116" s="213">
        <v>3.8541666666666668E-3</v>
      </c>
      <c r="O116" s="117"/>
      <c r="P116" s="218">
        <v>43046</v>
      </c>
      <c r="Q116" s="59" t="str">
        <f t="shared" ca="1" si="3"/>
        <v>https://www.youtube.com/embed/b96t52xbmO8?start=114&amp;end=333&amp;autoplay=1</v>
      </c>
      <c r="R116" s="221" t="s">
        <v>63</v>
      </c>
      <c r="S116" s="221" t="s">
        <v>63</v>
      </c>
      <c r="T116" s="221" t="s">
        <v>63</v>
      </c>
      <c r="U116" s="216"/>
      <c r="V116" s="217"/>
      <c r="W116" s="233"/>
      <c r="X116" s="123"/>
      <c r="Y116" s="117"/>
      <c r="Z116" s="117"/>
    </row>
    <row r="117" spans="1:37">
      <c r="A117" s="117">
        <f t="shared" si="4"/>
        <v>624.03</v>
      </c>
      <c r="B117" s="221" t="s">
        <v>1951</v>
      </c>
      <c r="C117" s="216"/>
      <c r="D117" s="42" t="s">
        <v>56</v>
      </c>
      <c r="E117" s="117"/>
      <c r="F117" s="117"/>
      <c r="G117" s="116" t="s">
        <v>1969</v>
      </c>
      <c r="H117" s="116" t="s">
        <v>1970</v>
      </c>
      <c r="I117" s="117"/>
      <c r="J117" s="117"/>
      <c r="K117" s="117"/>
      <c r="L117" s="117"/>
      <c r="M117" s="213">
        <v>3.8657407407407408E-3</v>
      </c>
      <c r="N117" s="213">
        <v>5.7175925925925927E-3</v>
      </c>
      <c r="O117" s="117"/>
      <c r="P117" s="218">
        <v>43046</v>
      </c>
      <c r="Q117" s="59" t="str">
        <f t="shared" ca="1" si="3"/>
        <v>https://www.youtube.com/embed/b96t52xbmO8?start=334&amp;end=494&amp;autoplay=1</v>
      </c>
      <c r="R117" s="221" t="s">
        <v>63</v>
      </c>
      <c r="S117" s="221" t="s">
        <v>63</v>
      </c>
      <c r="T117" s="221" t="s">
        <v>63</v>
      </c>
      <c r="U117" s="216"/>
      <c r="V117" s="217"/>
      <c r="W117" s="233"/>
      <c r="X117" s="123"/>
      <c r="Y117" s="117"/>
      <c r="Z117" s="117"/>
    </row>
    <row r="118" spans="1:37">
      <c r="A118" s="117">
        <f t="shared" si="4"/>
        <v>624.04</v>
      </c>
      <c r="B118" s="221" t="s">
        <v>1951</v>
      </c>
      <c r="C118" s="216"/>
      <c r="D118" s="42" t="s">
        <v>56</v>
      </c>
      <c r="E118" s="117"/>
      <c r="F118" s="117"/>
      <c r="G118" s="116" t="s">
        <v>1971</v>
      </c>
      <c r="H118" s="116" t="s">
        <v>1971</v>
      </c>
      <c r="I118" s="117"/>
      <c r="J118" s="117"/>
      <c r="K118" s="117"/>
      <c r="L118" s="117"/>
      <c r="M118" s="213">
        <v>5.7291666666666663E-3</v>
      </c>
      <c r="N118" s="213">
        <v>6.5162037037037037E-3</v>
      </c>
      <c r="O118" s="117"/>
      <c r="P118" s="218">
        <v>43046</v>
      </c>
      <c r="Q118" s="59" t="str">
        <f t="shared" ca="1" si="3"/>
        <v>https://www.youtube.com/embed/b96t52xbmO8?start=495&amp;end=563&amp;autoplay=1</v>
      </c>
      <c r="R118" s="221" t="s">
        <v>63</v>
      </c>
      <c r="S118" s="221" t="s">
        <v>63</v>
      </c>
      <c r="T118" s="221" t="s">
        <v>63</v>
      </c>
      <c r="U118" s="216"/>
      <c r="V118" s="217"/>
      <c r="W118" s="233"/>
      <c r="X118" s="123"/>
      <c r="Y118" s="117"/>
      <c r="Z118" s="117"/>
    </row>
    <row r="119" spans="1:37">
      <c r="A119" s="117">
        <f t="shared" si="4"/>
        <v>624.04999999999995</v>
      </c>
      <c r="B119" s="221" t="s">
        <v>1951</v>
      </c>
      <c r="C119" s="216"/>
      <c r="D119" s="42" t="s">
        <v>56</v>
      </c>
      <c r="E119" s="117"/>
      <c r="F119" s="117"/>
      <c r="G119" s="116" t="s">
        <v>1974</v>
      </c>
      <c r="H119" s="116" t="s">
        <v>1975</v>
      </c>
      <c r="I119" s="117"/>
      <c r="J119" s="117"/>
      <c r="K119" s="117"/>
      <c r="L119" s="117"/>
      <c r="M119" s="213">
        <v>6.5277777777777782E-3</v>
      </c>
      <c r="N119" s="213">
        <v>8.0902777777777778E-3</v>
      </c>
      <c r="O119" s="117"/>
      <c r="P119" s="218">
        <v>43046</v>
      </c>
      <c r="Q119" s="59" t="str">
        <f t="shared" ca="1" si="3"/>
        <v>https://www.youtube.com/embed/b96t52xbmO8?start=564&amp;end=699&amp;autoplay=1</v>
      </c>
      <c r="R119" s="221" t="s">
        <v>63</v>
      </c>
      <c r="S119" s="221" t="s">
        <v>63</v>
      </c>
      <c r="T119" s="221" t="s">
        <v>63</v>
      </c>
      <c r="U119" s="216"/>
      <c r="V119" s="217"/>
      <c r="W119" s="233"/>
      <c r="X119" s="123"/>
      <c r="Y119" s="117"/>
      <c r="Z119" s="117"/>
    </row>
    <row r="120" spans="1:37">
      <c r="A120" s="117">
        <f t="shared" si="4"/>
        <v>624.05999999999995</v>
      </c>
      <c r="B120" s="221" t="s">
        <v>1951</v>
      </c>
      <c r="C120" s="216"/>
      <c r="D120" s="42" t="s">
        <v>56</v>
      </c>
      <c r="E120" s="117"/>
      <c r="F120" s="117"/>
      <c r="G120" s="116" t="s">
        <v>1978</v>
      </c>
      <c r="H120" s="116" t="s">
        <v>1979</v>
      </c>
      <c r="I120" s="117"/>
      <c r="J120" s="117"/>
      <c r="K120" s="117"/>
      <c r="L120" s="117"/>
      <c r="M120" s="213">
        <v>8.1018518518518514E-3</v>
      </c>
      <c r="N120" s="213">
        <v>8.7962962962962968E-3</v>
      </c>
      <c r="O120" s="117"/>
      <c r="P120" s="218">
        <v>43046</v>
      </c>
      <c r="Q120" s="59" t="str">
        <f t="shared" ca="1" si="3"/>
        <v>https://www.youtube.com/embed/b96t52xbmO8?start=700&amp;end=760&amp;autoplay=1</v>
      </c>
      <c r="R120" s="221" t="s">
        <v>63</v>
      </c>
      <c r="S120" s="221" t="s">
        <v>63</v>
      </c>
      <c r="T120" s="221" t="s">
        <v>63</v>
      </c>
      <c r="U120" s="216"/>
      <c r="V120" s="217"/>
      <c r="W120" s="233"/>
      <c r="X120" s="123"/>
      <c r="Y120" s="117"/>
      <c r="Z120" s="117"/>
    </row>
    <row r="121" spans="1:37">
      <c r="A121" s="117">
        <f t="shared" si="4"/>
        <v>624.06999999999994</v>
      </c>
      <c r="B121" s="221" t="s">
        <v>1951</v>
      </c>
      <c r="C121" s="216"/>
      <c r="D121" s="42" t="s">
        <v>56</v>
      </c>
      <c r="E121" s="117"/>
      <c r="F121" s="117"/>
      <c r="G121" s="116" t="s">
        <v>1980</v>
      </c>
      <c r="H121" s="116" t="s">
        <v>1981</v>
      </c>
      <c r="I121" s="117"/>
      <c r="J121" s="117"/>
      <c r="K121" s="117"/>
      <c r="L121" s="117"/>
      <c r="M121" s="213">
        <v>8.8078703703703704E-3</v>
      </c>
      <c r="N121" s="213">
        <v>1.1215277777777777E-2</v>
      </c>
      <c r="O121" s="117"/>
      <c r="P121" s="218">
        <v>43046</v>
      </c>
      <c r="Q121" s="59" t="str">
        <f t="shared" ca="1" si="3"/>
        <v>https://www.youtube.com/embed/b96t52xbmO8?start=761&amp;end=969&amp;autoplay=1</v>
      </c>
      <c r="R121" s="221" t="s">
        <v>63</v>
      </c>
      <c r="S121" s="221" t="s">
        <v>63</v>
      </c>
      <c r="T121" s="221" t="s">
        <v>63</v>
      </c>
      <c r="U121" s="216"/>
      <c r="V121" s="217"/>
      <c r="W121" s="233"/>
      <c r="X121" s="123"/>
      <c r="Y121" s="117"/>
      <c r="Z121" s="117"/>
    </row>
    <row r="122" spans="1:37">
      <c r="A122" s="117">
        <f t="shared" si="4"/>
        <v>624.07999999999993</v>
      </c>
      <c r="B122" s="221" t="s">
        <v>1951</v>
      </c>
      <c r="C122" s="216"/>
      <c r="D122" s="42" t="s">
        <v>56</v>
      </c>
      <c r="E122" s="117"/>
      <c r="F122" s="117"/>
      <c r="G122" s="234" t="s">
        <v>1984</v>
      </c>
      <c r="H122" s="116" t="s">
        <v>1985</v>
      </c>
      <c r="I122" s="117"/>
      <c r="J122" s="117"/>
      <c r="K122" s="117"/>
      <c r="L122" s="117"/>
      <c r="M122" s="213">
        <v>1.1226851851851852E-2</v>
      </c>
      <c r="N122" s="213">
        <v>1.306712962962963E-2</v>
      </c>
      <c r="O122" s="117"/>
      <c r="P122" s="218">
        <v>43046</v>
      </c>
      <c r="Q122" s="59" t="str">
        <f t="shared" ca="1" si="3"/>
        <v>https://www.youtube.com/embed/b96t52xbmO8?start=970&amp;end=1129&amp;autoplay=1</v>
      </c>
      <c r="R122" s="221" t="s">
        <v>63</v>
      </c>
      <c r="S122" s="221" t="s">
        <v>63</v>
      </c>
      <c r="T122" s="221" t="s">
        <v>63</v>
      </c>
      <c r="U122" s="216"/>
      <c r="V122" s="217"/>
      <c r="W122" s="233"/>
      <c r="X122" s="123"/>
      <c r="Y122" s="117"/>
      <c r="Z122" s="117"/>
    </row>
    <row r="123" spans="1:37">
      <c r="A123" s="117">
        <f t="shared" si="4"/>
        <v>624.08999999999992</v>
      </c>
      <c r="B123" s="221" t="s">
        <v>1951</v>
      </c>
      <c r="C123" s="216"/>
      <c r="D123" s="42" t="s">
        <v>56</v>
      </c>
      <c r="E123" s="117"/>
      <c r="F123" s="117"/>
      <c r="G123" s="116" t="s">
        <v>1988</v>
      </c>
      <c r="H123" s="116" t="s">
        <v>1989</v>
      </c>
      <c r="I123" s="117"/>
      <c r="J123" s="117"/>
      <c r="K123" s="117"/>
      <c r="L123" s="117"/>
      <c r="M123" s="213">
        <v>1.3078703703703703E-2</v>
      </c>
      <c r="N123" s="213">
        <v>1.6331018518518519E-2</v>
      </c>
      <c r="O123" s="117"/>
      <c r="P123" s="218">
        <v>43046</v>
      </c>
      <c r="Q123" s="59" t="str">
        <f t="shared" ca="1" si="3"/>
        <v>https://www.youtube.com/embed/b96t52xbmO8?start=1130&amp;end=1411&amp;autoplay=1</v>
      </c>
      <c r="R123" s="221" t="s">
        <v>63</v>
      </c>
      <c r="S123" s="221" t="s">
        <v>63</v>
      </c>
      <c r="T123" s="221" t="s">
        <v>63</v>
      </c>
      <c r="U123" s="216"/>
      <c r="V123" s="217"/>
      <c r="W123" s="233"/>
      <c r="X123" s="123"/>
      <c r="Y123" s="117"/>
      <c r="Z123" s="117"/>
    </row>
    <row r="124" spans="1:37">
      <c r="A124" s="117">
        <f t="shared" si="4"/>
        <v>624.09999999999991</v>
      </c>
      <c r="B124" s="221" t="s">
        <v>1951</v>
      </c>
      <c r="C124" s="216"/>
      <c r="D124" s="42" t="s">
        <v>56</v>
      </c>
      <c r="E124" s="117"/>
      <c r="F124" s="117"/>
      <c r="G124" s="116" t="s">
        <v>1992</v>
      </c>
      <c r="H124" s="116" t="s">
        <v>1993</v>
      </c>
      <c r="I124" s="117"/>
      <c r="J124" s="117"/>
      <c r="K124" s="117"/>
      <c r="L124" s="117"/>
      <c r="M124" s="213">
        <v>1.6342592592592593E-2</v>
      </c>
      <c r="N124" s="235">
        <v>2.0532407407407409E-2</v>
      </c>
      <c r="O124" s="117"/>
      <c r="P124" s="218">
        <v>43046</v>
      </c>
      <c r="Q124" s="59" t="str">
        <f t="shared" ca="1" si="3"/>
        <v>https://www.youtube.com/embed/b96t52xbmO8?start=1412&amp;end=1774&amp;autoplay=1</v>
      </c>
      <c r="R124" s="221" t="s">
        <v>63</v>
      </c>
      <c r="S124" s="221" t="s">
        <v>63</v>
      </c>
      <c r="T124" s="221" t="s">
        <v>63</v>
      </c>
      <c r="U124" s="216"/>
      <c r="V124" s="217"/>
      <c r="W124" s="233"/>
      <c r="X124" s="123"/>
      <c r="Y124" s="117"/>
      <c r="Z124" s="117"/>
    </row>
    <row r="125" spans="1:37">
      <c r="A125" s="117">
        <f t="shared" si="4"/>
        <v>624.1099999999999</v>
      </c>
      <c r="B125" s="221"/>
      <c r="C125" s="216"/>
      <c r="D125" s="42" t="s">
        <v>56</v>
      </c>
      <c r="E125" s="117"/>
      <c r="F125" s="117"/>
      <c r="G125" s="116" t="s">
        <v>1996</v>
      </c>
      <c r="H125" s="116" t="s">
        <v>1997</v>
      </c>
      <c r="I125" s="117"/>
      <c r="J125" s="117"/>
      <c r="K125" s="117"/>
      <c r="L125" s="117"/>
      <c r="M125" s="235">
        <v>2.0543981481481483E-2</v>
      </c>
      <c r="N125" s="213">
        <v>2.2199074074074072E-2</v>
      </c>
      <c r="O125" s="117"/>
      <c r="P125" s="218">
        <v>43046</v>
      </c>
      <c r="Q125" s="59" t="str">
        <f t="shared" ca="1" si="3"/>
        <v>https://www.youtube.com/embed/b96t52xbmO8?start=1775&amp;end=1918&amp;autoplay=1</v>
      </c>
      <c r="R125" s="221" t="s">
        <v>63</v>
      </c>
      <c r="S125" s="221" t="s">
        <v>63</v>
      </c>
      <c r="T125" s="221" t="s">
        <v>63</v>
      </c>
      <c r="U125" s="216"/>
      <c r="V125" s="217"/>
      <c r="W125" s="233"/>
      <c r="X125" s="123"/>
      <c r="Y125" s="117"/>
      <c r="Z125" s="117"/>
    </row>
    <row r="126" spans="1:37">
      <c r="A126" s="117">
        <f t="shared" si="4"/>
        <v>624.11999999999989</v>
      </c>
      <c r="B126" s="221" t="s">
        <v>1951</v>
      </c>
      <c r="C126" s="216"/>
      <c r="D126" s="42" t="s">
        <v>56</v>
      </c>
      <c r="E126" s="117"/>
      <c r="F126" s="117"/>
      <c r="G126" s="116" t="s">
        <v>2000</v>
      </c>
      <c r="H126" s="116" t="s">
        <v>2001</v>
      </c>
      <c r="I126" s="117"/>
      <c r="J126" s="117"/>
      <c r="K126" s="117"/>
      <c r="L126" s="117"/>
      <c r="M126" s="213">
        <v>2.2210648148148149E-2</v>
      </c>
      <c r="N126" s="213">
        <v>2.4837962962962964E-2</v>
      </c>
      <c r="O126" s="117"/>
      <c r="P126" s="218">
        <v>43046</v>
      </c>
      <c r="Q126" s="59" t="str">
        <f t="shared" ca="1" si="3"/>
        <v>https://www.youtube.com/embed/b96t52xbmO8?start=1919&amp;end=2146&amp;autoplay=1</v>
      </c>
      <c r="R126" s="221" t="s">
        <v>63</v>
      </c>
      <c r="S126" s="221" t="s">
        <v>63</v>
      </c>
      <c r="T126" s="221" t="s">
        <v>63</v>
      </c>
      <c r="U126" s="216"/>
      <c r="V126" s="217"/>
      <c r="W126" s="233"/>
      <c r="X126" s="123"/>
      <c r="Y126" s="117"/>
      <c r="Z126" s="117"/>
    </row>
    <row r="127" spans="1:37">
      <c r="A127" s="117">
        <f t="shared" si="4"/>
        <v>624.12999999999988</v>
      </c>
      <c r="B127" s="221" t="s">
        <v>1951</v>
      </c>
      <c r="C127" s="216"/>
      <c r="D127" s="42" t="s">
        <v>56</v>
      </c>
      <c r="E127" s="117"/>
      <c r="F127" s="117"/>
      <c r="G127" s="116" t="s">
        <v>2002</v>
      </c>
      <c r="H127" s="116" t="s">
        <v>2003</v>
      </c>
      <c r="I127" s="117"/>
      <c r="J127" s="117"/>
      <c r="K127" s="117"/>
      <c r="L127" s="117"/>
      <c r="M127" s="213">
        <v>2.4849537037037038E-2</v>
      </c>
      <c r="N127" s="213">
        <v>3.1666666666666669E-2</v>
      </c>
      <c r="O127" s="117"/>
      <c r="P127" s="218">
        <v>43046</v>
      </c>
      <c r="Q127" s="59" t="str">
        <f t="shared" ca="1" si="3"/>
        <v>https://www.youtube.com/embed/b96t52xbmO8?start=2147&amp;end=2736&amp;autoplay=1</v>
      </c>
      <c r="R127" s="221" t="s">
        <v>63</v>
      </c>
      <c r="S127" s="221" t="s">
        <v>63</v>
      </c>
      <c r="T127" s="221" t="s">
        <v>63</v>
      </c>
      <c r="U127" s="216"/>
      <c r="V127" s="217"/>
      <c r="W127" s="233"/>
      <c r="X127" s="123"/>
      <c r="Y127" s="117"/>
      <c r="Z127" s="117"/>
    </row>
    <row r="128" spans="1:37">
      <c r="A128" s="117">
        <f t="shared" si="4"/>
        <v>624.13999999999987</v>
      </c>
      <c r="B128" s="221" t="s">
        <v>1951</v>
      </c>
      <c r="C128" s="216"/>
      <c r="D128" s="42" t="s">
        <v>56</v>
      </c>
      <c r="E128" s="117"/>
      <c r="F128" s="117"/>
      <c r="G128" s="116" t="s">
        <v>2006</v>
      </c>
      <c r="H128" s="116" t="s">
        <v>2007</v>
      </c>
      <c r="I128" s="117"/>
      <c r="J128" s="117"/>
      <c r="K128" s="117"/>
      <c r="L128" s="117"/>
      <c r="M128" s="213">
        <v>3.1678240740740743E-2</v>
      </c>
      <c r="N128" s="213">
        <v>3.7499999999999999E-2</v>
      </c>
      <c r="O128" s="117"/>
      <c r="P128" s="218">
        <v>43046</v>
      </c>
      <c r="Q128" s="59" t="str">
        <f t="shared" ca="1" si="3"/>
        <v>https://www.youtube.com/embed/b96t52xbmO8?start=2737&amp;end=3240&amp;autoplay=1</v>
      </c>
      <c r="R128" s="221" t="s">
        <v>63</v>
      </c>
      <c r="S128" s="221" t="s">
        <v>63</v>
      </c>
      <c r="T128" s="221" t="s">
        <v>63</v>
      </c>
      <c r="U128" s="216"/>
      <c r="V128" s="217"/>
      <c r="W128" s="233"/>
      <c r="X128" s="123"/>
      <c r="Y128" s="117"/>
      <c r="Z128" s="117"/>
    </row>
    <row r="129" spans="1:37">
      <c r="A129" s="117">
        <f t="shared" si="4"/>
        <v>624.14999999999986</v>
      </c>
      <c r="B129" s="221" t="s">
        <v>1951</v>
      </c>
      <c r="C129" s="216"/>
      <c r="D129" s="42" t="s">
        <v>56</v>
      </c>
      <c r="E129" s="38"/>
      <c r="F129" s="43"/>
      <c r="G129" s="214" t="s">
        <v>2010</v>
      </c>
      <c r="H129" s="215" t="s">
        <v>2011</v>
      </c>
      <c r="I129" s="38"/>
      <c r="J129" s="38"/>
      <c r="K129" s="46"/>
      <c r="L129" s="47"/>
      <c r="M129" s="213">
        <v>3.7511574074074072E-2</v>
      </c>
      <c r="N129" s="213">
        <v>4.1180555555555554E-2</v>
      </c>
      <c r="O129" s="38"/>
      <c r="P129" s="218">
        <v>43046</v>
      </c>
      <c r="Q129" s="59" t="str">
        <f t="shared" ca="1" si="3"/>
        <v>https://www.youtube.com/embed/b96t52xbmO8?start=3241&amp;end=3558&amp;autoplay=1</v>
      </c>
      <c r="R129" s="221" t="s">
        <v>63</v>
      </c>
      <c r="S129" s="221" t="s">
        <v>63</v>
      </c>
      <c r="T129" s="221" t="s">
        <v>63</v>
      </c>
      <c r="U129" s="40"/>
      <c r="V129" s="54"/>
      <c r="W129" s="55"/>
      <c r="X129" s="56"/>
      <c r="Y129" s="88"/>
      <c r="Z129" s="88"/>
      <c r="AA129" s="88"/>
      <c r="AB129" s="88"/>
    </row>
    <row r="130" spans="1:37">
      <c r="A130" s="117">
        <f t="shared" si="4"/>
        <v>624.15999999999985</v>
      </c>
      <c r="B130" s="221" t="s">
        <v>1951</v>
      </c>
      <c r="C130" s="216"/>
      <c r="D130" s="42" t="s">
        <v>56</v>
      </c>
      <c r="E130" s="38"/>
      <c r="F130" s="43"/>
      <c r="G130" s="214" t="s">
        <v>2014</v>
      </c>
      <c r="H130" s="214" t="s">
        <v>2015</v>
      </c>
      <c r="I130" s="117"/>
      <c r="J130" s="117"/>
      <c r="K130" s="211"/>
      <c r="L130" s="212"/>
      <c r="M130" s="213">
        <v>4.1192129629629627E-2</v>
      </c>
      <c r="N130" s="236">
        <v>5.6944444444444443E-2</v>
      </c>
      <c r="O130" s="38"/>
      <c r="P130" s="218">
        <v>43046</v>
      </c>
      <c r="Q130" s="59" t="str">
        <f t="shared" ca="1" si="3"/>
        <v>https://www.youtube.com/embed/b96t52xbmO8?start=3559&amp;end=4920&amp;autoplay=1</v>
      </c>
      <c r="R130" s="221" t="s">
        <v>63</v>
      </c>
      <c r="S130" s="221" t="s">
        <v>63</v>
      </c>
      <c r="T130" s="221" t="s">
        <v>63</v>
      </c>
      <c r="U130" s="40"/>
      <c r="V130" s="54"/>
      <c r="W130" s="55"/>
      <c r="X130" s="56"/>
      <c r="Y130" s="88"/>
      <c r="Z130" s="96" t="s">
        <v>2016</v>
      </c>
      <c r="AA130" s="88"/>
      <c r="AB130" s="88"/>
    </row>
    <row r="131" spans="1:37">
      <c r="A131" s="38">
        <v>306</v>
      </c>
      <c r="B131" s="39" t="s">
        <v>596</v>
      </c>
      <c r="C131" s="40"/>
      <c r="D131" s="42" t="s">
        <v>56</v>
      </c>
      <c r="E131" s="38" t="s">
        <v>1344</v>
      </c>
      <c r="F131" s="43" t="s">
        <v>1345</v>
      </c>
      <c r="G131" s="44"/>
      <c r="H131" s="45"/>
      <c r="I131" s="38"/>
      <c r="J131" s="38">
        <f>6.3*1000</f>
        <v>6300</v>
      </c>
      <c r="K131" s="46">
        <v>5.4166666666666669E-2</v>
      </c>
      <c r="L131" s="47" t="s">
        <v>1283</v>
      </c>
      <c r="M131" s="48"/>
      <c r="N131" s="48"/>
      <c r="O131" s="48">
        <f>N131-M131</f>
        <v>0</v>
      </c>
      <c r="P131" s="38"/>
      <c r="Q131" s="14" t="str">
        <f t="shared" ca="1" si="3"/>
        <v/>
      </c>
      <c r="R131" s="51"/>
      <c r="S131" s="51"/>
      <c r="T131" s="51"/>
      <c r="U131" s="40"/>
      <c r="V131" s="54"/>
      <c r="W131" s="55"/>
      <c r="X131" s="56"/>
      <c r="Y131" s="88"/>
      <c r="Z131" s="88"/>
      <c r="AA131" s="88"/>
      <c r="AB131" s="88"/>
    </row>
    <row r="132" spans="1:37">
      <c r="A132" s="206">
        <v>306.01</v>
      </c>
      <c r="B132" s="221" t="s">
        <v>596</v>
      </c>
      <c r="C132" s="216"/>
      <c r="D132" s="116" t="s">
        <v>56</v>
      </c>
      <c r="E132" s="207"/>
      <c r="F132" s="207"/>
      <c r="G132" s="206" t="s">
        <v>2021</v>
      </c>
      <c r="H132" s="206" t="s">
        <v>2022</v>
      </c>
      <c r="I132" s="207"/>
      <c r="J132" s="207"/>
      <c r="K132" s="207"/>
      <c r="L132" s="207"/>
      <c r="M132" s="208">
        <v>0</v>
      </c>
      <c r="N132" s="208">
        <v>3.449074074074074E-3</v>
      </c>
      <c r="O132" s="207"/>
      <c r="P132" s="218">
        <v>43046</v>
      </c>
      <c r="Q132" s="59" t="str">
        <f t="shared" ca="1" si="3"/>
        <v>https://www.youtube.com/embed/7JNUG5Lyals?start=0&amp;end=298&amp;autoplay=1</v>
      </c>
      <c r="R132" s="221" t="s">
        <v>63</v>
      </c>
      <c r="S132" s="221" t="s">
        <v>63</v>
      </c>
      <c r="T132" s="221" t="s">
        <v>63</v>
      </c>
      <c r="U132" s="207"/>
      <c r="V132" s="207"/>
      <c r="W132" s="237" t="s">
        <v>64</v>
      </c>
      <c r="X132" s="207"/>
      <c r="Y132" s="207"/>
      <c r="Z132" s="207"/>
      <c r="AA132" s="207"/>
      <c r="AB132" s="207"/>
      <c r="AC132" s="207"/>
      <c r="AD132" s="207"/>
      <c r="AE132" s="207"/>
      <c r="AF132" s="207"/>
      <c r="AG132" s="207"/>
      <c r="AH132" s="207"/>
      <c r="AI132" s="207"/>
      <c r="AJ132" s="207"/>
      <c r="AK132" s="207"/>
    </row>
    <row r="133" spans="1:37">
      <c r="A133" s="206">
        <v>306.02</v>
      </c>
      <c r="B133" s="221" t="s">
        <v>596</v>
      </c>
      <c r="C133" s="216"/>
      <c r="D133" s="116" t="s">
        <v>56</v>
      </c>
      <c r="E133" s="207"/>
      <c r="F133" s="207"/>
      <c r="G133" s="206" t="s">
        <v>2025</v>
      </c>
      <c r="H133" s="206" t="s">
        <v>2026</v>
      </c>
      <c r="I133" s="207"/>
      <c r="J133" s="207"/>
      <c r="K133" s="207"/>
      <c r="L133" s="207"/>
      <c r="M133" s="208">
        <v>3.449074074074074E-3</v>
      </c>
      <c r="N133" s="208">
        <v>1.1064814814814816E-2</v>
      </c>
      <c r="O133" s="207"/>
      <c r="P133" s="218">
        <v>43046</v>
      </c>
      <c r="Q133" s="59" t="str">
        <f t="shared" ca="1" si="3"/>
        <v>https://www.youtube.com/embed/7JNUG5Lyals?start=298&amp;end=956&amp;autoplay=1</v>
      </c>
      <c r="R133" s="221" t="s">
        <v>63</v>
      </c>
      <c r="S133" s="221" t="s">
        <v>63</v>
      </c>
      <c r="T133" s="221" t="s">
        <v>63</v>
      </c>
      <c r="U133" s="207"/>
      <c r="V133" s="207"/>
      <c r="W133" s="237" t="s">
        <v>64</v>
      </c>
      <c r="X133" s="207"/>
      <c r="Y133" s="207"/>
      <c r="Z133" s="207"/>
      <c r="AA133" s="207"/>
      <c r="AB133" s="207"/>
      <c r="AC133" s="207"/>
      <c r="AD133" s="207"/>
      <c r="AE133" s="207"/>
      <c r="AF133" s="207"/>
      <c r="AG133" s="207"/>
      <c r="AH133" s="207"/>
      <c r="AI133" s="207"/>
      <c r="AJ133" s="207"/>
      <c r="AK133" s="207"/>
    </row>
    <row r="134" spans="1:37">
      <c r="A134" s="206">
        <v>306.02999999999997</v>
      </c>
      <c r="B134" s="221" t="s">
        <v>596</v>
      </c>
      <c r="C134" s="216"/>
      <c r="D134" s="116" t="s">
        <v>56</v>
      </c>
      <c r="E134" s="207"/>
      <c r="F134" s="207"/>
      <c r="G134" s="206" t="s">
        <v>2029</v>
      </c>
      <c r="H134" s="206" t="s">
        <v>2030</v>
      </c>
      <c r="I134" s="207"/>
      <c r="J134" s="207"/>
      <c r="K134" s="207"/>
      <c r="L134" s="207"/>
      <c r="M134" s="208">
        <v>1.1076388888888889E-2</v>
      </c>
      <c r="N134" s="208">
        <v>1.7615740740740741E-2</v>
      </c>
      <c r="O134" s="207"/>
      <c r="P134" s="218">
        <v>43046</v>
      </c>
      <c r="Q134" s="59" t="str">
        <f t="shared" ca="1" si="3"/>
        <v>https://www.youtube.com/embed/7JNUG5Lyals?start=957&amp;end=1522&amp;autoplay=1</v>
      </c>
      <c r="R134" s="221" t="s">
        <v>63</v>
      </c>
      <c r="S134" s="221" t="s">
        <v>63</v>
      </c>
      <c r="T134" s="221" t="s">
        <v>63</v>
      </c>
      <c r="U134" s="207"/>
      <c r="V134" s="207"/>
      <c r="W134" s="237" t="s">
        <v>64</v>
      </c>
      <c r="X134" s="207"/>
      <c r="Y134" s="207"/>
      <c r="Z134" s="207"/>
      <c r="AA134" s="207"/>
      <c r="AB134" s="207"/>
      <c r="AC134" s="207"/>
      <c r="AD134" s="207"/>
      <c r="AE134" s="207"/>
      <c r="AF134" s="207"/>
      <c r="AG134" s="207"/>
      <c r="AH134" s="207"/>
      <c r="AI134" s="207"/>
      <c r="AJ134" s="207"/>
      <c r="AK134" s="207"/>
    </row>
    <row r="135" spans="1:37">
      <c r="A135" s="206">
        <v>306.04000000000002</v>
      </c>
      <c r="B135" s="221" t="s">
        <v>596</v>
      </c>
      <c r="C135" s="216"/>
      <c r="D135" s="116" t="s">
        <v>56</v>
      </c>
      <c r="E135" s="207"/>
      <c r="F135" s="207"/>
      <c r="G135" s="206" t="s">
        <v>2033</v>
      </c>
      <c r="H135" s="206" t="s">
        <v>2034</v>
      </c>
      <c r="I135" s="207"/>
      <c r="J135" s="207"/>
      <c r="K135" s="207"/>
      <c r="L135" s="207"/>
      <c r="M135" s="208">
        <v>2.0266203703703703E-2</v>
      </c>
      <c r="N135" s="208">
        <v>2.1388888888888888E-2</v>
      </c>
      <c r="O135" s="207"/>
      <c r="P135" s="218">
        <v>43046</v>
      </c>
      <c r="Q135" s="59" t="str">
        <f t="shared" ca="1" si="3"/>
        <v>https://www.youtube.com/embed/7JNUG5Lyals?start=1751&amp;end=1848&amp;autoplay=1</v>
      </c>
      <c r="R135" s="221" t="s">
        <v>63</v>
      </c>
      <c r="S135" s="221" t="s">
        <v>63</v>
      </c>
      <c r="T135" s="221" t="s">
        <v>63</v>
      </c>
      <c r="U135" s="207"/>
      <c r="V135" s="207"/>
      <c r="W135" s="237" t="s">
        <v>64</v>
      </c>
      <c r="X135" s="207"/>
      <c r="Y135" s="207"/>
      <c r="Z135" s="207"/>
      <c r="AA135" s="207"/>
      <c r="AB135" s="207"/>
      <c r="AC135" s="207"/>
      <c r="AD135" s="207"/>
      <c r="AE135" s="207"/>
      <c r="AF135" s="207"/>
      <c r="AG135" s="207"/>
      <c r="AH135" s="207"/>
      <c r="AI135" s="207"/>
      <c r="AJ135" s="207"/>
      <c r="AK135" s="207"/>
    </row>
    <row r="136" spans="1:37">
      <c r="A136" s="206">
        <v>306.05</v>
      </c>
      <c r="B136" s="221" t="s">
        <v>596</v>
      </c>
      <c r="C136" s="216"/>
      <c r="D136" s="116" t="s">
        <v>56</v>
      </c>
      <c r="E136" s="207"/>
      <c r="F136" s="207"/>
      <c r="G136" s="206" t="s">
        <v>2035</v>
      </c>
      <c r="H136" s="206" t="s">
        <v>2038</v>
      </c>
      <c r="I136" s="207"/>
      <c r="J136" s="207"/>
      <c r="K136" s="207"/>
      <c r="L136" s="207"/>
      <c r="M136" s="208">
        <v>2.1400462962962961E-2</v>
      </c>
      <c r="N136" s="208">
        <v>2.585648148148148E-2</v>
      </c>
      <c r="O136" s="207"/>
      <c r="P136" s="218">
        <v>43046</v>
      </c>
      <c r="Q136" s="59" t="str">
        <f t="shared" ca="1" si="3"/>
        <v>https://www.youtube.com/embed/7JNUG5Lyals?start=1849&amp;end=2234&amp;autoplay=1</v>
      </c>
      <c r="R136" s="221" t="s">
        <v>63</v>
      </c>
      <c r="S136" s="221" t="s">
        <v>63</v>
      </c>
      <c r="T136" s="221" t="s">
        <v>63</v>
      </c>
      <c r="U136" s="207"/>
      <c r="V136" s="207"/>
      <c r="W136" s="237" t="s">
        <v>64</v>
      </c>
      <c r="X136" s="207"/>
      <c r="Y136" s="207"/>
      <c r="Z136" s="207"/>
      <c r="AA136" s="207"/>
      <c r="AB136" s="207"/>
      <c r="AC136" s="207"/>
      <c r="AD136" s="207"/>
      <c r="AE136" s="207"/>
      <c r="AF136" s="207"/>
      <c r="AG136" s="207"/>
      <c r="AH136" s="207"/>
      <c r="AI136" s="207"/>
      <c r="AJ136" s="207"/>
      <c r="AK136" s="207"/>
    </row>
    <row r="137" spans="1:37">
      <c r="A137" s="206">
        <v>306.06</v>
      </c>
      <c r="B137" s="221" t="s">
        <v>596</v>
      </c>
      <c r="C137" s="216"/>
      <c r="D137" s="116" t="s">
        <v>56</v>
      </c>
      <c r="E137" s="207"/>
      <c r="F137" s="207"/>
      <c r="G137" s="206" t="s">
        <v>2039</v>
      </c>
      <c r="H137" s="206" t="s">
        <v>2040</v>
      </c>
      <c r="I137" s="207"/>
      <c r="J137" s="207"/>
      <c r="K137" s="207"/>
      <c r="L137" s="207"/>
      <c r="M137" s="208">
        <v>2.5879629629629631E-2</v>
      </c>
      <c r="N137" s="208">
        <v>2.8391203703703703E-2</v>
      </c>
      <c r="O137" s="207"/>
      <c r="P137" s="218">
        <v>43046</v>
      </c>
      <c r="Q137" s="59" t="str">
        <f t="shared" ca="1" si="3"/>
        <v>https://www.youtube.com/embed/7JNUG5Lyals?start=2236&amp;end=2453&amp;autoplay=1</v>
      </c>
      <c r="R137" s="221" t="s">
        <v>63</v>
      </c>
      <c r="S137" s="221" t="s">
        <v>63</v>
      </c>
      <c r="T137" s="221" t="s">
        <v>63</v>
      </c>
      <c r="U137" s="207"/>
      <c r="V137" s="207"/>
      <c r="W137" s="237" t="s">
        <v>64</v>
      </c>
      <c r="X137" s="207"/>
      <c r="Y137" s="207"/>
      <c r="Z137" s="207"/>
      <c r="AA137" s="207"/>
      <c r="AB137" s="207"/>
      <c r="AC137" s="207"/>
      <c r="AD137" s="207"/>
      <c r="AE137" s="207"/>
      <c r="AF137" s="207"/>
      <c r="AG137" s="207"/>
      <c r="AH137" s="207"/>
      <c r="AI137" s="207"/>
      <c r="AJ137" s="207"/>
      <c r="AK137" s="207"/>
    </row>
    <row r="138" spans="1:37">
      <c r="A138" s="206">
        <v>306.07</v>
      </c>
      <c r="B138" s="221" t="s">
        <v>596</v>
      </c>
      <c r="C138" s="216"/>
      <c r="D138" s="116" t="s">
        <v>56</v>
      </c>
      <c r="E138" s="207"/>
      <c r="F138" s="207"/>
      <c r="G138" s="206" t="s">
        <v>2043</v>
      </c>
      <c r="H138" s="206" t="s">
        <v>2044</v>
      </c>
      <c r="I138" s="207"/>
      <c r="J138" s="207"/>
      <c r="K138" s="207"/>
      <c r="L138" s="207"/>
      <c r="M138" s="208">
        <v>2.8437500000000001E-2</v>
      </c>
      <c r="N138" s="208">
        <v>2.9780092592592594E-2</v>
      </c>
      <c r="O138" s="207"/>
      <c r="P138" s="218">
        <v>43046</v>
      </c>
      <c r="Q138" s="59" t="str">
        <f t="shared" ca="1" si="3"/>
        <v>https://www.youtube.com/embed/7JNUG5Lyals?start=2457&amp;end=2573&amp;autoplay=1</v>
      </c>
      <c r="R138" s="221" t="s">
        <v>63</v>
      </c>
      <c r="S138" s="221" t="s">
        <v>63</v>
      </c>
      <c r="T138" s="221" t="s">
        <v>63</v>
      </c>
      <c r="U138" s="207"/>
      <c r="V138" s="207"/>
      <c r="W138" s="237" t="s">
        <v>64</v>
      </c>
      <c r="X138" s="207"/>
      <c r="Y138" s="207"/>
      <c r="Z138" s="207"/>
      <c r="AA138" s="207"/>
      <c r="AB138" s="207"/>
      <c r="AC138" s="207"/>
      <c r="AD138" s="207"/>
      <c r="AE138" s="207"/>
      <c r="AF138" s="207"/>
      <c r="AG138" s="207"/>
      <c r="AH138" s="207"/>
      <c r="AI138" s="207"/>
      <c r="AJ138" s="207"/>
      <c r="AK138" s="207"/>
    </row>
    <row r="139" spans="1:37">
      <c r="A139" s="206">
        <v>306.08</v>
      </c>
      <c r="B139" s="221" t="s">
        <v>596</v>
      </c>
      <c r="C139" s="216"/>
      <c r="D139" s="116" t="s">
        <v>56</v>
      </c>
      <c r="E139" s="207"/>
      <c r="F139" s="207"/>
      <c r="G139" s="206" t="s">
        <v>2047</v>
      </c>
      <c r="H139" s="206" t="s">
        <v>2048</v>
      </c>
      <c r="I139" s="207"/>
      <c r="J139" s="207"/>
      <c r="K139" s="207"/>
      <c r="L139" s="207"/>
      <c r="M139" s="208">
        <v>2.9837962962962962E-2</v>
      </c>
      <c r="N139" s="208">
        <v>5.409722222222222E-2</v>
      </c>
      <c r="O139" s="207"/>
      <c r="P139" s="218">
        <v>43046</v>
      </c>
      <c r="Q139" s="59" t="str">
        <f t="shared" ca="1" si="3"/>
        <v>https://www.youtube.com/embed/7JNUG5Lyals?start=2578&amp;end=4674&amp;autoplay=1</v>
      </c>
      <c r="R139" s="221" t="s">
        <v>63</v>
      </c>
      <c r="S139" s="221" t="s">
        <v>63</v>
      </c>
      <c r="T139" s="221" t="s">
        <v>63</v>
      </c>
      <c r="U139" s="207"/>
      <c r="V139" s="207"/>
      <c r="W139" s="237" t="s">
        <v>64</v>
      </c>
      <c r="X139" s="207"/>
      <c r="Y139" s="207"/>
      <c r="Z139" s="207"/>
      <c r="AA139" s="207"/>
      <c r="AB139" s="207"/>
      <c r="AC139" s="207"/>
      <c r="AD139" s="207"/>
      <c r="AE139" s="207"/>
      <c r="AF139" s="207"/>
      <c r="AG139" s="207"/>
      <c r="AH139" s="207"/>
      <c r="AI139" s="207"/>
      <c r="AJ139" s="207"/>
      <c r="AK139" s="207"/>
    </row>
    <row r="140" spans="1:37">
      <c r="A140" s="154">
        <v>306.08999999999997</v>
      </c>
      <c r="B140" s="221" t="s">
        <v>596</v>
      </c>
      <c r="C140" s="216"/>
      <c r="D140" s="116" t="s">
        <v>56</v>
      </c>
      <c r="E140" s="203"/>
      <c r="F140" s="203"/>
      <c r="G140" s="154" t="s">
        <v>2051</v>
      </c>
      <c r="H140" s="154" t="s">
        <v>2052</v>
      </c>
      <c r="I140" s="203"/>
      <c r="J140" s="203"/>
      <c r="K140" s="203"/>
      <c r="L140" s="203"/>
      <c r="M140" s="203"/>
      <c r="N140" s="203"/>
      <c r="O140" s="203"/>
      <c r="P140" s="203"/>
      <c r="Q140" s="203"/>
      <c r="R140" s="203"/>
      <c r="S140" s="203"/>
      <c r="T140" s="203"/>
      <c r="U140" s="203"/>
      <c r="V140" s="203"/>
      <c r="W140" s="203"/>
      <c r="X140" s="203"/>
      <c r="Y140" s="203"/>
      <c r="Z140" s="203"/>
      <c r="AA140" s="203"/>
      <c r="AB140" s="203"/>
      <c r="AC140" s="203"/>
      <c r="AD140" s="203"/>
      <c r="AE140" s="203"/>
      <c r="AF140" s="203"/>
      <c r="AG140" s="203"/>
      <c r="AH140" s="203"/>
      <c r="AI140" s="203"/>
      <c r="AJ140" s="203"/>
      <c r="AK140" s="203"/>
    </row>
    <row r="141" spans="1:37">
      <c r="A141" s="38">
        <v>626</v>
      </c>
      <c r="B141" s="39" t="s">
        <v>596</v>
      </c>
      <c r="C141" s="40"/>
      <c r="D141" s="38"/>
      <c r="E141" s="38" t="s">
        <v>2055</v>
      </c>
      <c r="F141" s="43" t="s">
        <v>2056</v>
      </c>
      <c r="G141" s="44"/>
      <c r="H141" s="238"/>
      <c r="I141" s="38"/>
      <c r="J141" s="38">
        <f>7.1*1000</f>
        <v>7100</v>
      </c>
      <c r="K141" s="46">
        <v>4.221064814814815E-2</v>
      </c>
      <c r="L141" s="47" t="s">
        <v>1956</v>
      </c>
      <c r="M141" s="48"/>
      <c r="N141" s="48"/>
      <c r="O141" s="48">
        <f>N141-M141</f>
        <v>0</v>
      </c>
      <c r="P141" s="38"/>
      <c r="Q141" s="14" t="str">
        <f ca="1">HYPERLINK(IF(INT(A141)-A141=0,"",REPLACE(INDIRECT("MasterList!e"&amp;INT(A141)+1),25,8,"embed/")&amp;"?start="&amp;HOUR(M141)*3600+MINUTE(M141)*60+SECOND(M141)&amp;"&amp;end="&amp;HOUR(N141)*3600+MINUTE(N141)*60+SECOND(N141)&amp;"&amp;autoplay=1"))</f>
        <v/>
      </c>
      <c r="R141" s="51"/>
      <c r="S141" s="51"/>
      <c r="T141" s="51"/>
      <c r="U141" s="40"/>
      <c r="V141" s="54"/>
      <c r="W141" s="55"/>
      <c r="X141" s="56"/>
      <c r="Y141" s="88"/>
      <c r="Z141" s="88"/>
      <c r="AA141" s="88"/>
      <c r="AB141" s="88"/>
    </row>
    <row r="142" spans="1:37">
      <c r="A142" s="12">
        <v>626.01</v>
      </c>
      <c r="B142" s="39" t="s">
        <v>596</v>
      </c>
      <c r="C142" s="40"/>
      <c r="G142" s="12" t="s">
        <v>2068</v>
      </c>
      <c r="H142" s="12" t="s">
        <v>2069</v>
      </c>
      <c r="I142" s="38"/>
      <c r="J142" s="38"/>
      <c r="K142" s="46"/>
      <c r="L142" s="47"/>
      <c r="M142" s="236">
        <v>1.0069444444444444E-3</v>
      </c>
      <c r="N142" s="236">
        <v>7.6851851851851855E-3</v>
      </c>
      <c r="O142" s="117"/>
      <c r="P142" s="38"/>
      <c r="Q142" s="14" t="str">
        <f t="shared" ref="Q142:Q149" ca="1" si="5">HYPERLINK(IF(INT(A151)-A151=0,"",REPLACE(INDIRECT("MasterList!e"&amp;INT(A151)+1),25,8,"embed/")&amp;"?start="&amp;HOUR(M142)*3600+MINUTE(M142)*60+SECOND(M142)&amp;"&amp;end="&amp;HOUR(N142)*3600+MINUTE(N142)*60+SECOND(N142)&amp;"&amp;autoplay=1"))</f>
        <v/>
      </c>
      <c r="R142" s="39" t="s">
        <v>63</v>
      </c>
      <c r="S142" s="39" t="s">
        <v>63</v>
      </c>
      <c r="T142" s="39" t="s">
        <v>63</v>
      </c>
      <c r="U142" s="40"/>
      <c r="V142" s="54"/>
      <c r="W142" s="69" t="s">
        <v>64</v>
      </c>
      <c r="X142" s="56"/>
      <c r="Y142" s="88"/>
      <c r="Z142" s="88"/>
      <c r="AA142" s="88"/>
      <c r="AB142" s="88"/>
    </row>
    <row r="143" spans="1:37">
      <c r="A143" s="12">
        <v>626.02</v>
      </c>
      <c r="B143" s="39" t="s">
        <v>596</v>
      </c>
      <c r="C143" s="40"/>
      <c r="H143" s="12" t="s">
        <v>2078</v>
      </c>
      <c r="I143" s="38"/>
      <c r="J143" s="38"/>
      <c r="K143" s="46"/>
      <c r="L143" s="47"/>
      <c r="M143" s="236">
        <v>7.6967592592592591E-3</v>
      </c>
      <c r="N143" s="236">
        <v>1.7800925925925925E-2</v>
      </c>
      <c r="O143" s="117"/>
      <c r="P143" s="38"/>
      <c r="Q143" s="14" t="str">
        <f t="shared" ca="1" si="5"/>
        <v/>
      </c>
      <c r="R143" s="39" t="s">
        <v>63</v>
      </c>
      <c r="S143" s="39" t="s">
        <v>63</v>
      </c>
      <c r="T143" s="39" t="s">
        <v>63</v>
      </c>
      <c r="U143" s="40"/>
      <c r="V143" s="54"/>
      <c r="W143" s="69" t="s">
        <v>64</v>
      </c>
      <c r="X143" s="56"/>
      <c r="Y143" s="88"/>
      <c r="Z143" s="88"/>
      <c r="AA143" s="88"/>
      <c r="AB143" s="88"/>
    </row>
    <row r="144" spans="1:37">
      <c r="A144" s="12">
        <v>626.03</v>
      </c>
      <c r="B144" s="39" t="s">
        <v>596</v>
      </c>
      <c r="C144" s="40"/>
      <c r="H144" s="12" t="s">
        <v>2085</v>
      </c>
      <c r="I144" s="38"/>
      <c r="J144" s="38"/>
      <c r="K144" s="46"/>
      <c r="L144" s="47"/>
      <c r="M144" s="236">
        <v>1.7812499999999998E-2</v>
      </c>
      <c r="N144" s="236">
        <v>2.3148148148148147E-2</v>
      </c>
      <c r="O144" s="117"/>
      <c r="P144" s="38"/>
      <c r="Q144" s="14" t="str">
        <f t="shared" ca="1" si="5"/>
        <v/>
      </c>
      <c r="R144" s="39" t="s">
        <v>63</v>
      </c>
      <c r="S144" s="39" t="s">
        <v>63</v>
      </c>
      <c r="T144" s="39" t="s">
        <v>63</v>
      </c>
      <c r="U144" s="40"/>
      <c r="V144" s="54"/>
      <c r="W144" s="69" t="s">
        <v>64</v>
      </c>
      <c r="X144" s="56"/>
      <c r="Y144" s="88"/>
      <c r="Z144" s="88"/>
      <c r="AA144" s="88"/>
      <c r="AB144" s="88"/>
    </row>
    <row r="145" spans="1:28">
      <c r="A145" s="12">
        <v>626.04</v>
      </c>
      <c r="B145" s="39" t="s">
        <v>596</v>
      </c>
      <c r="C145" s="40"/>
      <c r="H145" s="12" t="s">
        <v>2088</v>
      </c>
      <c r="I145" s="38"/>
      <c r="J145" s="38"/>
      <c r="K145" s="46"/>
      <c r="L145" s="47"/>
      <c r="M145" s="236">
        <v>2.3252314814814816E-2</v>
      </c>
      <c r="N145" s="236">
        <v>2.6493055555555554E-2</v>
      </c>
      <c r="O145" s="117"/>
      <c r="P145" s="38"/>
      <c r="Q145" s="14" t="str">
        <f t="shared" ca="1" si="5"/>
        <v/>
      </c>
      <c r="R145" s="39" t="s">
        <v>63</v>
      </c>
      <c r="S145" s="39" t="s">
        <v>63</v>
      </c>
      <c r="T145" s="39" t="s">
        <v>63</v>
      </c>
      <c r="U145" s="40"/>
      <c r="V145" s="54"/>
      <c r="W145" s="69" t="s">
        <v>64</v>
      </c>
      <c r="X145" s="56"/>
      <c r="Y145" s="88"/>
      <c r="Z145" s="88"/>
      <c r="AA145" s="88"/>
      <c r="AB145" s="88"/>
    </row>
    <row r="146" spans="1:28">
      <c r="A146" s="12">
        <v>626.04999999999995</v>
      </c>
      <c r="B146" s="39" t="s">
        <v>596</v>
      </c>
      <c r="C146" s="40"/>
      <c r="H146" s="12"/>
      <c r="I146" s="38"/>
      <c r="J146" s="38"/>
      <c r="K146" s="46"/>
      <c r="L146" s="47"/>
      <c r="M146" s="236">
        <v>2.6550925925925926E-2</v>
      </c>
      <c r="N146" s="236">
        <v>2.9976851851851852E-2</v>
      </c>
      <c r="O146" s="117"/>
      <c r="P146" s="38"/>
      <c r="Q146" s="14" t="str">
        <f t="shared" ca="1" si="5"/>
        <v/>
      </c>
      <c r="R146" s="39" t="s">
        <v>63</v>
      </c>
      <c r="S146" s="39" t="s">
        <v>63</v>
      </c>
      <c r="T146" s="39" t="s">
        <v>63</v>
      </c>
      <c r="U146" s="40"/>
      <c r="V146" s="54"/>
      <c r="W146" s="69" t="s">
        <v>64</v>
      </c>
      <c r="X146" s="56"/>
      <c r="Y146" s="88"/>
      <c r="Z146" s="88"/>
      <c r="AA146" s="88"/>
      <c r="AB146" s="88"/>
    </row>
    <row r="147" spans="1:28">
      <c r="A147" s="12">
        <v>626.05999999999995</v>
      </c>
      <c r="B147" s="39" t="s">
        <v>596</v>
      </c>
      <c r="C147" s="40"/>
      <c r="I147" s="38"/>
      <c r="J147" s="38"/>
      <c r="K147" s="46"/>
      <c r="L147" s="47"/>
      <c r="M147" s="236">
        <v>3.4953703703703702E-2</v>
      </c>
      <c r="N147" s="236">
        <v>3.7592592592592594E-2</v>
      </c>
      <c r="O147" s="117"/>
      <c r="P147" s="38"/>
      <c r="Q147" s="14" t="str">
        <f t="shared" ca="1" si="5"/>
        <v/>
      </c>
      <c r="R147" s="39" t="s">
        <v>63</v>
      </c>
      <c r="S147" s="39" t="s">
        <v>63</v>
      </c>
      <c r="T147" s="39" t="s">
        <v>63</v>
      </c>
      <c r="U147" s="40"/>
      <c r="V147" s="54"/>
      <c r="W147" s="69" t="s">
        <v>64</v>
      </c>
      <c r="X147" s="56"/>
      <c r="Y147" s="88"/>
      <c r="Z147" s="88"/>
      <c r="AA147" s="88"/>
      <c r="AB147" s="88"/>
    </row>
    <row r="148" spans="1:28">
      <c r="A148" s="12">
        <v>626.07000000000005</v>
      </c>
      <c r="B148" s="39" t="s">
        <v>596</v>
      </c>
      <c r="C148" s="40"/>
      <c r="H148" s="12"/>
      <c r="I148" s="38"/>
      <c r="J148" s="38"/>
      <c r="K148" s="46"/>
      <c r="L148" s="47"/>
      <c r="M148" s="236">
        <v>3.7604166666666668E-2</v>
      </c>
      <c r="N148" s="236">
        <v>3.9583333333333331E-2</v>
      </c>
      <c r="O148" s="117"/>
      <c r="P148" s="38"/>
      <c r="Q148" s="14" t="str">
        <f t="shared" ca="1" si="5"/>
        <v/>
      </c>
      <c r="R148" s="39" t="s">
        <v>63</v>
      </c>
      <c r="S148" s="39" t="s">
        <v>63</v>
      </c>
      <c r="T148" s="39" t="s">
        <v>63</v>
      </c>
      <c r="U148" s="40"/>
      <c r="V148" s="54"/>
      <c r="W148" s="69" t="s">
        <v>64</v>
      </c>
      <c r="X148" s="56"/>
      <c r="Y148" s="88"/>
      <c r="Z148" s="88"/>
      <c r="AA148" s="88"/>
      <c r="AB148" s="88"/>
    </row>
    <row r="149" spans="1:28">
      <c r="A149" s="12">
        <v>626.08000000000004</v>
      </c>
      <c r="B149" s="39" t="s">
        <v>596</v>
      </c>
      <c r="C149" s="40"/>
      <c r="I149" s="38"/>
      <c r="J149" s="38"/>
      <c r="K149" s="46"/>
      <c r="L149" s="47"/>
      <c r="M149" s="236">
        <v>3.9594907407407405E-2</v>
      </c>
      <c r="N149" s="236">
        <v>4.0763888888888891E-2</v>
      </c>
      <c r="O149" s="117"/>
      <c r="P149" s="38"/>
      <c r="Q149" s="14" t="str">
        <f t="shared" ca="1" si="5"/>
        <v/>
      </c>
      <c r="R149" s="39" t="s">
        <v>63</v>
      </c>
      <c r="S149" s="39" t="s">
        <v>63</v>
      </c>
      <c r="T149" s="39" t="s">
        <v>63</v>
      </c>
      <c r="U149" s="40"/>
      <c r="V149" s="54"/>
      <c r="W149" s="69" t="s">
        <v>64</v>
      </c>
      <c r="X149" s="56"/>
      <c r="Y149" s="88"/>
      <c r="Z149" s="88"/>
      <c r="AA149" s="88"/>
      <c r="AB149" s="88"/>
    </row>
    <row r="150" spans="1:28">
      <c r="A150" s="116">
        <v>626.09</v>
      </c>
      <c r="B150" s="39" t="s">
        <v>596</v>
      </c>
      <c r="C150" s="40"/>
      <c r="D150" s="117"/>
      <c r="E150" s="117"/>
      <c r="F150" s="117"/>
      <c r="G150" s="116"/>
      <c r="H150" s="12"/>
      <c r="I150" s="117"/>
      <c r="J150" s="117"/>
      <c r="K150" s="117"/>
      <c r="L150" s="117"/>
      <c r="M150" s="213">
        <v>4.1122685185185186E-2</v>
      </c>
      <c r="N150" s="213">
        <v>4.2175925925925929E-2</v>
      </c>
      <c r="O150" s="117"/>
      <c r="P150" s="117"/>
      <c r="Q150" s="200"/>
      <c r="R150" s="39" t="s">
        <v>63</v>
      </c>
      <c r="S150" s="39" t="s">
        <v>63</v>
      </c>
      <c r="T150" s="39" t="s">
        <v>63</v>
      </c>
      <c r="U150" s="40"/>
      <c r="V150" s="54"/>
      <c r="W150" s="69" t="s">
        <v>64</v>
      </c>
      <c r="X150" s="123"/>
      <c r="Y150" s="117"/>
      <c r="Z150" s="117"/>
    </row>
    <row r="151" spans="1:28">
      <c r="A151" s="38">
        <v>669</v>
      </c>
      <c r="B151" s="39" t="s">
        <v>596</v>
      </c>
      <c r="C151" s="40"/>
      <c r="D151" s="38"/>
      <c r="E151" s="38" t="s">
        <v>2105</v>
      </c>
      <c r="F151" s="43" t="s">
        <v>2106</v>
      </c>
      <c r="G151" s="44"/>
      <c r="I151" s="117"/>
      <c r="J151" s="117"/>
      <c r="K151" s="117"/>
      <c r="L151" s="117"/>
      <c r="M151" s="213"/>
      <c r="N151" s="117"/>
      <c r="O151" s="117"/>
      <c r="P151" s="117"/>
      <c r="Q151" s="200"/>
      <c r="R151" s="239"/>
      <c r="S151" s="239"/>
      <c r="T151" s="239"/>
      <c r="U151" s="216"/>
      <c r="V151" s="217"/>
      <c r="W151" s="233"/>
      <c r="X151" s="123"/>
      <c r="Y151" s="117"/>
      <c r="Z151" s="117"/>
    </row>
    <row r="152" spans="1:28">
      <c r="A152" s="38">
        <v>695</v>
      </c>
      <c r="B152" s="39" t="s">
        <v>596</v>
      </c>
      <c r="C152" s="40"/>
      <c r="D152" s="38"/>
      <c r="E152" s="38" t="s">
        <v>2111</v>
      </c>
      <c r="F152" s="43" t="s">
        <v>2112</v>
      </c>
      <c r="G152" s="44"/>
      <c r="H152" s="12"/>
      <c r="I152" s="117"/>
      <c r="J152" s="117"/>
      <c r="K152" s="117"/>
      <c r="L152" s="117"/>
      <c r="M152" s="213"/>
      <c r="N152" s="117"/>
      <c r="O152" s="117"/>
      <c r="P152" s="117"/>
      <c r="Q152" s="200"/>
      <c r="R152" s="239"/>
      <c r="S152" s="239"/>
      <c r="T152" s="239"/>
      <c r="U152" s="216"/>
      <c r="V152" s="217"/>
      <c r="W152" s="233"/>
      <c r="X152" s="123"/>
      <c r="Y152" s="117"/>
      <c r="Z152" s="117"/>
    </row>
    <row r="153" spans="1:28">
      <c r="A153" s="38">
        <v>699</v>
      </c>
      <c r="B153" s="39" t="s">
        <v>596</v>
      </c>
      <c r="C153" s="40"/>
      <c r="D153" s="38"/>
      <c r="E153" s="38" t="s">
        <v>2115</v>
      </c>
      <c r="F153" s="43" t="s">
        <v>2116</v>
      </c>
      <c r="G153" s="44"/>
      <c r="I153" s="117"/>
      <c r="J153" s="117"/>
      <c r="K153" s="117"/>
      <c r="L153" s="117"/>
      <c r="M153" s="213"/>
      <c r="N153" s="117"/>
      <c r="O153" s="117"/>
      <c r="P153" s="117"/>
      <c r="Q153" s="200"/>
      <c r="R153" s="239"/>
      <c r="S153" s="239"/>
      <c r="T153" s="239"/>
      <c r="U153" s="216"/>
      <c r="V153" s="217"/>
      <c r="W153" s="233"/>
      <c r="X153" s="123"/>
      <c r="Y153" s="117"/>
      <c r="Z153" s="117"/>
    </row>
    <row r="154" spans="1:28">
      <c r="A154" s="38">
        <v>753</v>
      </c>
      <c r="B154" s="39" t="s">
        <v>596</v>
      </c>
      <c r="C154" s="40"/>
      <c r="D154" s="38"/>
      <c r="E154" s="38" t="s">
        <v>2119</v>
      </c>
      <c r="F154" s="43" t="s">
        <v>2120</v>
      </c>
      <c r="G154" s="44"/>
      <c r="H154" s="12"/>
      <c r="I154" s="117"/>
      <c r="J154" s="117"/>
      <c r="K154" s="117"/>
      <c r="L154" s="117"/>
      <c r="M154" s="213"/>
      <c r="N154" s="117"/>
      <c r="O154" s="117"/>
      <c r="P154" s="117"/>
      <c r="Q154" s="200"/>
      <c r="R154" s="239"/>
      <c r="S154" s="239"/>
      <c r="T154" s="239"/>
      <c r="U154" s="216"/>
      <c r="V154" s="217"/>
      <c r="W154" s="233"/>
      <c r="X154" s="123"/>
      <c r="Y154" s="117"/>
      <c r="Z154" s="117"/>
    </row>
    <row r="155" spans="1:28">
      <c r="A155" s="38">
        <v>747</v>
      </c>
      <c r="B155" s="39" t="s">
        <v>596</v>
      </c>
      <c r="C155" s="40"/>
      <c r="D155" s="38"/>
      <c r="E155" s="38" t="s">
        <v>2121</v>
      </c>
      <c r="F155" s="43" t="s">
        <v>2122</v>
      </c>
      <c r="G155" s="44"/>
      <c r="I155" s="117"/>
      <c r="J155" s="117"/>
      <c r="K155" s="117"/>
      <c r="L155" s="117"/>
      <c r="M155" s="213"/>
      <c r="N155" s="117"/>
      <c r="O155" s="117"/>
      <c r="P155" s="117"/>
      <c r="Q155" s="200"/>
      <c r="R155" s="239"/>
      <c r="S155" s="239"/>
      <c r="T155" s="239"/>
      <c r="U155" s="216"/>
      <c r="V155" s="217"/>
      <c r="W155" s="233"/>
      <c r="X155" s="123"/>
      <c r="Y155" s="117"/>
      <c r="Z155" s="117"/>
    </row>
    <row r="156" spans="1:28">
      <c r="A156" s="38">
        <v>744</v>
      </c>
      <c r="B156" s="39" t="s">
        <v>596</v>
      </c>
      <c r="C156" s="40"/>
      <c r="D156" s="38"/>
      <c r="E156" s="38" t="s">
        <v>2127</v>
      </c>
      <c r="F156" s="43" t="s">
        <v>2128</v>
      </c>
      <c r="G156" s="44"/>
      <c r="H156" s="12"/>
      <c r="I156" s="117"/>
      <c r="J156" s="117"/>
      <c r="K156" s="117"/>
      <c r="L156" s="117"/>
      <c r="M156" s="213"/>
      <c r="N156" s="117"/>
      <c r="O156" s="117"/>
      <c r="P156" s="117"/>
      <c r="Q156" s="200"/>
      <c r="R156" s="239"/>
      <c r="S156" s="239"/>
      <c r="T156" s="239"/>
      <c r="U156" s="216"/>
      <c r="V156" s="217"/>
      <c r="W156" s="233"/>
      <c r="X156" s="123"/>
      <c r="Y156" s="117"/>
      <c r="Z156" s="117"/>
    </row>
    <row r="157" spans="1:28">
      <c r="A157" s="38">
        <v>755</v>
      </c>
      <c r="B157" s="39" t="s">
        <v>596</v>
      </c>
      <c r="C157" s="40"/>
      <c r="D157" s="38"/>
      <c r="E157" s="38" t="s">
        <v>2130</v>
      </c>
      <c r="F157" s="43" t="s">
        <v>2131</v>
      </c>
      <c r="G157" s="44"/>
      <c r="I157" s="117"/>
      <c r="J157" s="117"/>
      <c r="K157" s="117"/>
      <c r="L157" s="117"/>
      <c r="M157" s="213"/>
      <c r="N157" s="117"/>
      <c r="O157" s="117"/>
      <c r="P157" s="117"/>
      <c r="Q157" s="200"/>
      <c r="R157" s="239"/>
      <c r="S157" s="239"/>
      <c r="T157" s="239"/>
      <c r="U157" s="216"/>
      <c r="V157" s="217"/>
      <c r="W157" s="233"/>
      <c r="X157" s="123"/>
      <c r="Y157" s="117"/>
      <c r="Z157" s="117"/>
    </row>
    <row r="158" spans="1:28">
      <c r="A158" s="38">
        <v>756</v>
      </c>
      <c r="B158" s="39" t="s">
        <v>596</v>
      </c>
      <c r="C158" s="40"/>
      <c r="D158" s="38"/>
      <c r="E158" s="38" t="s">
        <v>2135</v>
      </c>
      <c r="F158" s="43" t="s">
        <v>2136</v>
      </c>
      <c r="G158" s="44"/>
      <c r="H158" s="12"/>
      <c r="I158" s="117"/>
      <c r="J158" s="117"/>
      <c r="K158" s="117"/>
      <c r="L158" s="117"/>
      <c r="M158" s="213"/>
      <c r="N158" s="117"/>
      <c r="O158" s="117"/>
      <c r="P158" s="117"/>
      <c r="Q158" s="200"/>
      <c r="R158" s="239"/>
      <c r="S158" s="239"/>
      <c r="T158" s="239"/>
      <c r="U158" s="216"/>
      <c r="V158" s="217"/>
      <c r="W158" s="233"/>
      <c r="X158" s="123"/>
      <c r="Y158" s="117"/>
      <c r="Z158" s="117"/>
    </row>
    <row r="159" spans="1:28">
      <c r="A159" s="117"/>
      <c r="B159" s="117"/>
      <c r="C159" s="117"/>
      <c r="D159" s="117"/>
      <c r="E159" s="117"/>
      <c r="F159" s="117"/>
      <c r="G159" s="116"/>
      <c r="I159" s="117"/>
      <c r="J159" s="117"/>
      <c r="K159" s="117"/>
      <c r="L159" s="117"/>
      <c r="M159" s="213"/>
      <c r="N159" s="117"/>
      <c r="O159" s="117"/>
      <c r="P159" s="117"/>
      <c r="Q159" s="200"/>
      <c r="R159" s="239"/>
      <c r="S159" s="239"/>
      <c r="T159" s="239"/>
      <c r="U159" s="216"/>
      <c r="V159" s="217"/>
      <c r="W159" s="233"/>
      <c r="X159" s="123"/>
      <c r="Y159" s="117"/>
      <c r="Z159" s="117"/>
    </row>
    <row r="160" spans="1:28">
      <c r="A160" s="117"/>
      <c r="B160" s="117"/>
      <c r="C160" s="117"/>
      <c r="D160" s="117"/>
      <c r="E160" s="117"/>
      <c r="F160" s="117"/>
      <c r="G160" s="116"/>
      <c r="H160" s="12"/>
      <c r="I160" s="117"/>
      <c r="J160" s="117"/>
      <c r="K160" s="117"/>
      <c r="L160" s="117"/>
      <c r="M160" s="213"/>
      <c r="N160" s="117"/>
      <c r="O160" s="117"/>
      <c r="P160" s="117"/>
      <c r="Q160" s="200"/>
      <c r="R160" s="239"/>
      <c r="S160" s="239"/>
      <c r="T160" s="239"/>
      <c r="U160" s="216"/>
      <c r="V160" s="217"/>
      <c r="W160" s="233"/>
      <c r="X160" s="123"/>
      <c r="Y160" s="117"/>
      <c r="Z160" s="117"/>
    </row>
    <row r="161" spans="1:26">
      <c r="A161" s="117"/>
      <c r="B161" s="117"/>
      <c r="C161" s="116" t="s">
        <v>2137</v>
      </c>
      <c r="D161" s="117"/>
      <c r="E161" s="117"/>
      <c r="F161" s="117"/>
      <c r="G161" s="116"/>
      <c r="I161" s="117"/>
      <c r="J161" s="117"/>
      <c r="K161" s="117"/>
      <c r="L161" s="117"/>
      <c r="M161" s="213"/>
      <c r="N161" s="117"/>
      <c r="O161" s="117"/>
      <c r="P161" s="117"/>
      <c r="Q161" s="200"/>
      <c r="R161" s="239"/>
      <c r="S161" s="239"/>
      <c r="T161" s="239"/>
      <c r="U161" s="216"/>
      <c r="V161" s="217"/>
      <c r="W161" s="233"/>
      <c r="X161" s="123"/>
      <c r="Y161" s="117"/>
      <c r="Z161" s="117"/>
    </row>
    <row r="162" spans="1:26">
      <c r="A162" s="117"/>
      <c r="B162" s="117"/>
      <c r="C162" s="117"/>
      <c r="D162" s="117"/>
      <c r="E162" s="117"/>
      <c r="F162" s="117"/>
      <c r="G162" s="116"/>
      <c r="H162" s="12"/>
      <c r="I162" s="117"/>
      <c r="J162" s="117"/>
      <c r="K162" s="117"/>
      <c r="L162" s="117"/>
      <c r="M162" s="213"/>
      <c r="N162" s="117"/>
      <c r="O162" s="117"/>
      <c r="P162" s="117"/>
      <c r="Q162" s="200"/>
      <c r="R162" s="239"/>
      <c r="S162" s="239"/>
      <c r="T162" s="239"/>
      <c r="U162" s="216"/>
      <c r="V162" s="217"/>
      <c r="W162" s="233"/>
      <c r="X162" s="123"/>
      <c r="Y162" s="117"/>
      <c r="Z162" s="117"/>
    </row>
    <row r="163" spans="1:26">
      <c r="A163" s="117"/>
      <c r="B163" s="117"/>
      <c r="C163" s="117"/>
      <c r="D163" s="117"/>
      <c r="E163" s="117"/>
      <c r="F163" s="117"/>
      <c r="G163" s="116"/>
      <c r="I163" s="117"/>
      <c r="J163" s="117"/>
      <c r="K163" s="117"/>
      <c r="L163" s="117"/>
      <c r="M163" s="213"/>
      <c r="N163" s="117"/>
      <c r="O163" s="117"/>
      <c r="P163" s="117"/>
      <c r="Q163" s="200"/>
      <c r="R163" s="239"/>
      <c r="S163" s="239"/>
      <c r="T163" s="239"/>
      <c r="U163" s="216"/>
      <c r="V163" s="217"/>
      <c r="W163" s="233"/>
      <c r="X163" s="123"/>
      <c r="Y163" s="117"/>
      <c r="Z163" s="117"/>
    </row>
    <row r="164" spans="1:26">
      <c r="A164" s="117"/>
      <c r="B164" s="117"/>
      <c r="C164" s="117"/>
      <c r="D164" s="117"/>
      <c r="E164" s="117"/>
      <c r="F164" s="117"/>
      <c r="G164" s="116"/>
      <c r="H164" s="12"/>
      <c r="I164" s="117"/>
      <c r="J164" s="117"/>
      <c r="K164" s="117"/>
      <c r="L164" s="117"/>
      <c r="M164" s="213"/>
      <c r="N164" s="117"/>
      <c r="O164" s="117"/>
      <c r="P164" s="117"/>
      <c r="Q164" s="200"/>
      <c r="R164" s="239"/>
      <c r="S164" s="239"/>
      <c r="T164" s="239"/>
      <c r="U164" s="216"/>
      <c r="V164" s="217"/>
      <c r="W164" s="233"/>
      <c r="X164" s="123"/>
      <c r="Y164" s="117"/>
      <c r="Z164" s="117"/>
    </row>
    <row r="165" spans="1:26">
      <c r="A165" s="117"/>
      <c r="B165" s="117"/>
      <c r="C165" s="117"/>
      <c r="D165" s="117"/>
      <c r="E165" s="117"/>
      <c r="F165" s="117"/>
      <c r="G165" s="116"/>
      <c r="I165" s="117"/>
      <c r="J165" s="117"/>
      <c r="K165" s="117"/>
      <c r="L165" s="117"/>
      <c r="M165" s="213"/>
      <c r="N165" s="117"/>
      <c r="O165" s="117"/>
      <c r="P165" s="117"/>
      <c r="Q165" s="200"/>
      <c r="R165" s="239"/>
      <c r="S165" s="239"/>
      <c r="T165" s="239"/>
      <c r="U165" s="216"/>
      <c r="V165" s="217"/>
      <c r="W165" s="233"/>
      <c r="X165" s="123"/>
      <c r="Y165" s="117"/>
      <c r="Z165" s="117"/>
    </row>
    <row r="166" spans="1:26">
      <c r="A166" s="117"/>
      <c r="B166" s="117"/>
      <c r="C166" s="117"/>
      <c r="D166" s="117"/>
      <c r="E166" s="117"/>
      <c r="F166" s="117"/>
      <c r="G166" s="116"/>
      <c r="H166" s="12"/>
      <c r="I166" s="117"/>
      <c r="J166" s="117"/>
      <c r="K166" s="117"/>
      <c r="L166" s="117"/>
      <c r="M166" s="213"/>
      <c r="N166" s="117"/>
      <c r="O166" s="117"/>
      <c r="P166" s="117"/>
      <c r="Q166" s="200"/>
      <c r="R166" s="239"/>
      <c r="S166" s="239"/>
      <c r="T166" s="239"/>
      <c r="U166" s="216"/>
      <c r="V166" s="217"/>
      <c r="W166" s="233"/>
      <c r="X166" s="123"/>
      <c r="Y166" s="117"/>
      <c r="Z166" s="117"/>
    </row>
    <row r="167" spans="1:26">
      <c r="A167" s="117"/>
      <c r="B167" s="117"/>
      <c r="C167" s="117"/>
      <c r="D167" s="117"/>
      <c r="E167" s="117"/>
      <c r="F167" s="117"/>
      <c r="G167" s="116"/>
      <c r="I167" s="117"/>
      <c r="J167" s="117"/>
      <c r="K167" s="117"/>
      <c r="L167" s="117"/>
      <c r="M167" s="213"/>
      <c r="N167" s="117"/>
      <c r="O167" s="117"/>
      <c r="P167" s="117"/>
      <c r="Q167" s="200"/>
      <c r="R167" s="239"/>
      <c r="S167" s="239"/>
      <c r="T167" s="239"/>
      <c r="U167" s="216"/>
      <c r="V167" s="217"/>
      <c r="W167" s="233"/>
      <c r="X167" s="123"/>
      <c r="Y167" s="117"/>
      <c r="Z167" s="117"/>
    </row>
    <row r="168" spans="1:26">
      <c r="A168" s="117"/>
      <c r="B168" s="117"/>
      <c r="C168" s="117"/>
      <c r="D168" s="117"/>
      <c r="E168" s="117"/>
      <c r="F168" s="117"/>
      <c r="G168" s="116"/>
      <c r="H168" s="12"/>
      <c r="I168" s="117"/>
      <c r="J168" s="117"/>
      <c r="K168" s="117"/>
      <c r="L168" s="117"/>
      <c r="M168" s="213"/>
      <c r="N168" s="117"/>
      <c r="O168" s="117"/>
      <c r="P168" s="117"/>
      <c r="Q168" s="200"/>
      <c r="R168" s="239"/>
      <c r="S168" s="239"/>
      <c r="T168" s="239"/>
      <c r="U168" s="216"/>
      <c r="V168" s="217"/>
      <c r="W168" s="233"/>
      <c r="X168" s="123"/>
      <c r="Y168" s="117"/>
      <c r="Z168" s="117"/>
    </row>
    <row r="169" spans="1:26">
      <c r="A169" s="117"/>
      <c r="B169" s="117"/>
      <c r="C169" s="117"/>
      <c r="D169" s="117"/>
      <c r="E169" s="117"/>
      <c r="F169" s="117"/>
      <c r="G169" s="116"/>
      <c r="I169" s="117"/>
      <c r="J169" s="117"/>
      <c r="K169" s="117"/>
      <c r="L169" s="117"/>
      <c r="M169" s="213"/>
      <c r="N169" s="117"/>
      <c r="O169" s="117"/>
      <c r="P169" s="117"/>
      <c r="Q169" s="200"/>
      <c r="R169" s="239"/>
      <c r="S169" s="239"/>
      <c r="T169" s="239"/>
      <c r="U169" s="216"/>
      <c r="V169" s="217"/>
      <c r="W169" s="233"/>
      <c r="X169" s="123"/>
      <c r="Y169" s="117"/>
      <c r="Z169" s="117"/>
    </row>
    <row r="170" spans="1:26">
      <c r="A170" s="117"/>
      <c r="B170" s="117"/>
      <c r="C170" s="117"/>
      <c r="D170" s="117"/>
      <c r="E170" s="117"/>
      <c r="F170" s="117"/>
      <c r="G170" s="116"/>
      <c r="H170" s="12"/>
      <c r="I170" s="117"/>
      <c r="J170" s="117"/>
      <c r="K170" s="117"/>
      <c r="L170" s="117"/>
      <c r="M170" s="213"/>
      <c r="N170" s="117"/>
      <c r="O170" s="117"/>
      <c r="P170" s="117"/>
      <c r="Q170" s="200"/>
      <c r="R170" s="239"/>
      <c r="S170" s="239"/>
      <c r="T170" s="239"/>
      <c r="U170" s="216"/>
      <c r="V170" s="217"/>
      <c r="W170" s="233"/>
      <c r="X170" s="123"/>
      <c r="Y170" s="117"/>
      <c r="Z170" s="117"/>
    </row>
    <row r="171" spans="1:26">
      <c r="A171" s="117"/>
      <c r="B171" s="117"/>
      <c r="C171" s="117"/>
      <c r="D171" s="117"/>
      <c r="E171" s="117"/>
      <c r="F171" s="117"/>
      <c r="G171" s="116"/>
      <c r="I171" s="117"/>
      <c r="J171" s="117"/>
      <c r="K171" s="117"/>
      <c r="L171" s="117"/>
      <c r="M171" s="213"/>
      <c r="N171" s="117"/>
      <c r="O171" s="117"/>
      <c r="P171" s="117"/>
      <c r="Q171" s="200"/>
      <c r="R171" s="239"/>
      <c r="S171" s="239"/>
      <c r="T171" s="239"/>
      <c r="U171" s="216"/>
      <c r="V171" s="217"/>
      <c r="W171" s="233"/>
      <c r="X171" s="123"/>
      <c r="Y171" s="117"/>
      <c r="Z171" s="117"/>
    </row>
    <row r="172" spans="1:26">
      <c r="A172" s="116" t="s">
        <v>2147</v>
      </c>
      <c r="B172" s="117"/>
      <c r="C172" s="117"/>
      <c r="D172" s="117"/>
      <c r="E172" s="117"/>
      <c r="F172" s="117"/>
      <c r="G172" s="116"/>
      <c r="H172" s="117"/>
      <c r="I172" s="117"/>
      <c r="J172" s="117"/>
      <c r="K172" s="117"/>
      <c r="L172" s="117"/>
      <c r="M172" s="213"/>
      <c r="N172" s="117"/>
      <c r="O172" s="117"/>
      <c r="P172" s="117"/>
      <c r="Q172" s="200"/>
      <c r="R172" s="239"/>
      <c r="S172" s="239"/>
      <c r="T172" s="239"/>
      <c r="U172" s="216"/>
      <c r="V172" s="217"/>
      <c r="W172" s="233"/>
      <c r="X172" s="123"/>
      <c r="Y172" s="117"/>
      <c r="Z172" s="117"/>
    </row>
    <row r="173" spans="1:26">
      <c r="A173" s="116" t="s">
        <v>2148</v>
      </c>
      <c r="B173" s="117"/>
      <c r="C173" s="117"/>
      <c r="D173" s="117"/>
      <c r="E173" s="117"/>
      <c r="F173" s="117"/>
      <c r="G173" s="116"/>
      <c r="H173" s="117"/>
      <c r="I173" s="117"/>
      <c r="J173" s="117"/>
      <c r="K173" s="117"/>
      <c r="L173" s="117"/>
      <c r="M173" s="213"/>
      <c r="N173" s="117"/>
      <c r="O173" s="117"/>
      <c r="P173" s="117"/>
      <c r="Q173" s="200"/>
      <c r="R173" s="239"/>
      <c r="S173" s="239"/>
      <c r="T173" s="239"/>
      <c r="U173" s="216"/>
      <c r="V173" s="217"/>
      <c r="W173" s="233"/>
      <c r="X173" s="123"/>
      <c r="Y173" s="117"/>
      <c r="Z173" s="117"/>
    </row>
    <row r="174" spans="1:26">
      <c r="A174" s="117"/>
      <c r="B174" s="117"/>
      <c r="C174" s="117"/>
      <c r="D174" s="117"/>
      <c r="E174" s="117"/>
      <c r="F174" s="117"/>
      <c r="G174" s="116"/>
      <c r="H174" s="117"/>
      <c r="I174" s="117"/>
      <c r="J174" s="117"/>
      <c r="K174" s="117"/>
      <c r="L174" s="117"/>
      <c r="M174" s="213"/>
      <c r="N174" s="117"/>
      <c r="O174" s="117"/>
      <c r="P174" s="117"/>
      <c r="Q174" s="200"/>
      <c r="R174" s="239"/>
      <c r="S174" s="239"/>
      <c r="T174" s="239"/>
      <c r="U174" s="216"/>
      <c r="V174" s="217"/>
      <c r="W174" s="233"/>
      <c r="X174" s="123"/>
      <c r="Y174" s="117"/>
      <c r="Z174" s="117"/>
    </row>
    <row r="175" spans="1:26">
      <c r="A175" s="117"/>
      <c r="B175" s="117"/>
      <c r="C175" s="117"/>
      <c r="D175" s="117"/>
      <c r="E175" s="117"/>
      <c r="F175" s="117"/>
      <c r="G175" s="116"/>
      <c r="H175" s="117"/>
      <c r="I175" s="117"/>
      <c r="J175" s="117"/>
      <c r="K175" s="117"/>
      <c r="L175" s="117"/>
      <c r="M175" s="213"/>
      <c r="N175" s="117"/>
      <c r="O175" s="117"/>
      <c r="P175" s="117"/>
      <c r="Q175" s="200"/>
      <c r="R175" s="239"/>
      <c r="S175" s="239"/>
      <c r="T175" s="239"/>
      <c r="U175" s="216"/>
      <c r="V175" s="217"/>
      <c r="W175" s="233"/>
      <c r="X175" s="123"/>
      <c r="Y175" s="117"/>
      <c r="Z175" s="117"/>
    </row>
    <row r="176" spans="1:26">
      <c r="A176" s="117"/>
      <c r="B176" s="117"/>
      <c r="C176" s="117"/>
      <c r="D176" s="117"/>
      <c r="E176" s="117"/>
      <c r="F176" s="117"/>
      <c r="G176" s="116"/>
      <c r="H176" s="117"/>
      <c r="I176" s="117"/>
      <c r="J176" s="117"/>
      <c r="K176" s="117"/>
      <c r="L176" s="117"/>
      <c r="M176" s="213"/>
      <c r="N176" s="117"/>
      <c r="O176" s="117"/>
      <c r="P176" s="117"/>
      <c r="Q176" s="200"/>
      <c r="R176" s="239"/>
      <c r="S176" s="239"/>
      <c r="T176" s="239"/>
      <c r="U176" s="216"/>
      <c r="V176" s="217"/>
      <c r="W176" s="233"/>
      <c r="X176" s="123"/>
      <c r="Y176" s="117"/>
      <c r="Z176" s="117"/>
    </row>
    <row r="177" spans="1:26">
      <c r="A177" s="117"/>
      <c r="B177" s="117"/>
      <c r="C177" s="117"/>
      <c r="D177" s="117"/>
      <c r="E177" s="117"/>
      <c r="F177" s="117"/>
      <c r="G177" s="116"/>
      <c r="H177" s="117"/>
      <c r="I177" s="117"/>
      <c r="J177" s="117"/>
      <c r="K177" s="117"/>
      <c r="L177" s="117"/>
      <c r="M177" s="213"/>
      <c r="N177" s="117"/>
      <c r="O177" s="117"/>
      <c r="P177" s="117"/>
      <c r="Q177" s="200"/>
      <c r="R177" s="239"/>
      <c r="S177" s="239"/>
      <c r="T177" s="239"/>
      <c r="U177" s="216"/>
      <c r="V177" s="217"/>
      <c r="W177" s="233"/>
      <c r="X177" s="123"/>
      <c r="Y177" s="117"/>
      <c r="Z177" s="117"/>
    </row>
    <row r="178" spans="1:26">
      <c r="A178" s="117"/>
      <c r="B178" s="117"/>
      <c r="C178" s="117"/>
      <c r="D178" s="117"/>
      <c r="E178" s="117"/>
      <c r="F178" s="117"/>
      <c r="G178" s="116"/>
      <c r="H178" s="117"/>
      <c r="I178" s="117"/>
      <c r="J178" s="117"/>
      <c r="K178" s="117"/>
      <c r="L178" s="117"/>
      <c r="M178" s="213"/>
      <c r="N178" s="117"/>
      <c r="O178" s="117"/>
      <c r="P178" s="117"/>
      <c r="Q178" s="200"/>
      <c r="R178" s="239"/>
      <c r="S178" s="239"/>
      <c r="T178" s="239"/>
      <c r="U178" s="216"/>
      <c r="V178" s="217"/>
      <c r="W178" s="233"/>
      <c r="X178" s="123"/>
      <c r="Y178" s="117"/>
      <c r="Z178" s="117"/>
    </row>
    <row r="179" spans="1:26">
      <c r="A179" s="117"/>
      <c r="B179" s="117"/>
      <c r="C179" s="117"/>
      <c r="D179" s="117"/>
      <c r="E179" s="117"/>
      <c r="F179" s="117"/>
      <c r="G179" s="116"/>
      <c r="H179" s="117"/>
      <c r="I179" s="117"/>
      <c r="J179" s="117"/>
      <c r="K179" s="117"/>
      <c r="L179" s="117"/>
      <c r="M179" s="213"/>
      <c r="N179" s="117"/>
      <c r="O179" s="117"/>
      <c r="P179" s="117"/>
      <c r="Q179" s="200"/>
      <c r="R179" s="239"/>
      <c r="S179" s="239"/>
      <c r="T179" s="239"/>
      <c r="U179" s="216"/>
      <c r="V179" s="217"/>
      <c r="W179" s="233"/>
      <c r="X179" s="123"/>
      <c r="Y179" s="117"/>
      <c r="Z179" s="117"/>
    </row>
    <row r="180" spans="1:26">
      <c r="A180" s="117"/>
      <c r="B180" s="117"/>
      <c r="C180" s="117"/>
      <c r="D180" s="117"/>
      <c r="E180" s="117"/>
      <c r="F180" s="117"/>
      <c r="G180" s="116"/>
      <c r="H180" s="117"/>
      <c r="I180" s="117"/>
      <c r="J180" s="117"/>
      <c r="K180" s="117"/>
      <c r="L180" s="117"/>
      <c r="M180" s="213"/>
      <c r="N180" s="117"/>
      <c r="O180" s="117"/>
      <c r="P180" s="117"/>
      <c r="Q180" s="200"/>
      <c r="R180" s="239"/>
      <c r="S180" s="239"/>
      <c r="T180" s="239"/>
      <c r="U180" s="216"/>
      <c r="V180" s="217"/>
      <c r="W180" s="233"/>
      <c r="X180" s="123"/>
      <c r="Y180" s="117"/>
      <c r="Z180" s="117"/>
    </row>
    <row r="181" spans="1:26">
      <c r="A181" s="117"/>
      <c r="B181" s="117"/>
      <c r="C181" s="117"/>
      <c r="D181" s="117"/>
      <c r="E181" s="117"/>
      <c r="F181" s="117"/>
      <c r="G181" s="116"/>
      <c r="H181" s="117"/>
      <c r="I181" s="117"/>
      <c r="J181" s="117"/>
      <c r="K181" s="117"/>
      <c r="L181" s="117"/>
      <c r="M181" s="213"/>
      <c r="N181" s="117"/>
      <c r="O181" s="117"/>
      <c r="P181" s="117"/>
      <c r="Q181" s="200"/>
      <c r="R181" s="239"/>
      <c r="S181" s="239"/>
      <c r="T181" s="239"/>
      <c r="U181" s="216"/>
      <c r="V181" s="217"/>
      <c r="W181" s="233"/>
      <c r="X181" s="123"/>
      <c r="Y181" s="117"/>
      <c r="Z181" s="117"/>
    </row>
    <row r="182" spans="1:26">
      <c r="A182" s="117"/>
      <c r="B182" s="117"/>
      <c r="C182" s="117"/>
      <c r="D182" s="117"/>
      <c r="E182" s="117"/>
      <c r="F182" s="117"/>
      <c r="G182" s="116"/>
      <c r="H182" s="117"/>
      <c r="I182" s="117"/>
      <c r="J182" s="117"/>
      <c r="K182" s="117"/>
      <c r="L182" s="117"/>
      <c r="M182" s="213"/>
      <c r="N182" s="117"/>
      <c r="O182" s="117"/>
      <c r="P182" s="117"/>
      <c r="Q182" s="200"/>
      <c r="R182" s="239"/>
      <c r="S182" s="239"/>
      <c r="T182" s="239"/>
      <c r="U182" s="216"/>
      <c r="V182" s="217"/>
      <c r="W182" s="233"/>
      <c r="X182" s="123"/>
      <c r="Y182" s="117"/>
      <c r="Z182" s="117"/>
    </row>
    <row r="183" spans="1:26">
      <c r="A183" s="117"/>
      <c r="B183" s="117"/>
      <c r="C183" s="117"/>
      <c r="D183" s="117"/>
      <c r="E183" s="117"/>
      <c r="F183" s="117"/>
      <c r="G183" s="116"/>
      <c r="H183" s="117"/>
      <c r="I183" s="117"/>
      <c r="J183" s="117"/>
      <c r="K183" s="117"/>
      <c r="L183" s="117"/>
      <c r="M183" s="213"/>
      <c r="N183" s="117"/>
      <c r="O183" s="117"/>
      <c r="P183" s="117"/>
      <c r="Q183" s="200"/>
      <c r="R183" s="239"/>
      <c r="S183" s="239"/>
      <c r="T183" s="239"/>
      <c r="U183" s="216"/>
      <c r="V183" s="217"/>
      <c r="W183" s="233"/>
      <c r="X183" s="123"/>
      <c r="Y183" s="117"/>
      <c r="Z183" s="117"/>
    </row>
    <row r="184" spans="1:26">
      <c r="A184" s="117"/>
      <c r="B184" s="117"/>
      <c r="C184" s="117"/>
      <c r="D184" s="117"/>
      <c r="E184" s="117"/>
      <c r="F184" s="117"/>
      <c r="G184" s="116"/>
      <c r="H184" s="117"/>
      <c r="I184" s="117"/>
      <c r="J184" s="117"/>
      <c r="K184" s="117"/>
      <c r="L184" s="117"/>
      <c r="M184" s="213"/>
      <c r="N184" s="117"/>
      <c r="O184" s="117"/>
      <c r="P184" s="117"/>
      <c r="Q184" s="200"/>
      <c r="R184" s="239"/>
      <c r="S184" s="239"/>
      <c r="T184" s="239"/>
      <c r="U184" s="216"/>
      <c r="V184" s="217"/>
      <c r="W184" s="233"/>
      <c r="X184" s="123"/>
      <c r="Y184" s="117"/>
      <c r="Z184" s="117"/>
    </row>
    <row r="185" spans="1:26">
      <c r="A185" s="117"/>
      <c r="B185" s="117"/>
      <c r="C185" s="117"/>
      <c r="D185" s="117"/>
      <c r="E185" s="117"/>
      <c r="F185" s="117"/>
      <c r="G185" s="116"/>
      <c r="H185" s="117"/>
      <c r="I185" s="117"/>
      <c r="J185" s="117"/>
      <c r="K185" s="117"/>
      <c r="L185" s="117"/>
      <c r="M185" s="213"/>
      <c r="N185" s="117"/>
      <c r="O185" s="117"/>
      <c r="P185" s="117"/>
      <c r="Q185" s="200"/>
      <c r="R185" s="239"/>
      <c r="S185" s="239"/>
      <c r="T185" s="239"/>
      <c r="U185" s="216"/>
      <c r="V185" s="217"/>
      <c r="W185" s="233"/>
      <c r="X185" s="123"/>
      <c r="Y185" s="117"/>
      <c r="Z185" s="117"/>
    </row>
    <row r="186" spans="1:26">
      <c r="A186" s="117"/>
      <c r="B186" s="117"/>
      <c r="C186" s="117"/>
      <c r="D186" s="117"/>
      <c r="E186" s="117"/>
      <c r="F186" s="117"/>
      <c r="G186" s="116"/>
      <c r="H186" s="117"/>
      <c r="I186" s="117"/>
      <c r="J186" s="117"/>
      <c r="K186" s="117"/>
      <c r="L186" s="117"/>
      <c r="M186" s="213"/>
      <c r="N186" s="117"/>
      <c r="O186" s="117"/>
      <c r="P186" s="117"/>
      <c r="Q186" s="200"/>
      <c r="R186" s="239"/>
      <c r="S186" s="239"/>
      <c r="T186" s="239"/>
      <c r="U186" s="216"/>
      <c r="V186" s="217"/>
      <c r="W186" s="233"/>
      <c r="X186" s="123"/>
      <c r="Y186" s="117"/>
      <c r="Z186" s="117"/>
    </row>
    <row r="187" spans="1:26">
      <c r="A187" s="117"/>
      <c r="B187" s="117"/>
      <c r="C187" s="117"/>
      <c r="D187" s="117"/>
      <c r="E187" s="117"/>
      <c r="F187" s="117"/>
      <c r="G187" s="116"/>
      <c r="H187" s="117"/>
      <c r="I187" s="117"/>
      <c r="J187" s="117"/>
      <c r="K187" s="117"/>
      <c r="L187" s="117"/>
      <c r="M187" s="213"/>
      <c r="N187" s="117"/>
      <c r="O187" s="117"/>
      <c r="P187" s="117"/>
      <c r="Q187" s="200"/>
      <c r="R187" s="239"/>
      <c r="S187" s="239"/>
      <c r="T187" s="239"/>
      <c r="U187" s="216"/>
      <c r="V187" s="217"/>
      <c r="W187" s="233"/>
      <c r="X187" s="123"/>
      <c r="Y187" s="117"/>
      <c r="Z187" s="117"/>
    </row>
    <row r="188" spans="1:26">
      <c r="A188" s="117"/>
      <c r="B188" s="117"/>
      <c r="C188" s="117"/>
      <c r="D188" s="117"/>
      <c r="E188" s="117"/>
      <c r="F188" s="117"/>
      <c r="G188" s="116"/>
      <c r="H188" s="117"/>
      <c r="I188" s="117"/>
      <c r="J188" s="117"/>
      <c r="K188" s="117"/>
      <c r="L188" s="117"/>
      <c r="M188" s="213"/>
      <c r="N188" s="117"/>
      <c r="O188" s="117"/>
      <c r="P188" s="117"/>
      <c r="Q188" s="200"/>
      <c r="R188" s="239"/>
      <c r="S188" s="239"/>
      <c r="T188" s="239"/>
      <c r="U188" s="216"/>
      <c r="V188" s="217"/>
      <c r="W188" s="233"/>
      <c r="X188" s="123"/>
      <c r="Y188" s="117"/>
      <c r="Z188" s="117"/>
    </row>
    <row r="189" spans="1:26">
      <c r="A189" s="117"/>
      <c r="B189" s="117"/>
      <c r="C189" s="117"/>
      <c r="D189" s="117"/>
      <c r="E189" s="117"/>
      <c r="F189" s="117"/>
      <c r="G189" s="116"/>
      <c r="H189" s="117"/>
      <c r="I189" s="117"/>
      <c r="J189" s="117"/>
      <c r="K189" s="117"/>
      <c r="L189" s="117"/>
      <c r="M189" s="213"/>
      <c r="N189" s="117"/>
      <c r="O189" s="117"/>
      <c r="P189" s="117"/>
      <c r="Q189" s="200"/>
      <c r="R189" s="239"/>
      <c r="S189" s="239"/>
      <c r="T189" s="239"/>
      <c r="U189" s="216"/>
      <c r="V189" s="217"/>
      <c r="W189" s="233"/>
      <c r="X189" s="123"/>
      <c r="Y189" s="117"/>
      <c r="Z189" s="117"/>
    </row>
    <row r="190" spans="1:26">
      <c r="A190" s="117"/>
      <c r="B190" s="117"/>
      <c r="C190" s="117"/>
      <c r="D190" s="117"/>
      <c r="E190" s="117"/>
      <c r="F190" s="117"/>
      <c r="G190" s="116"/>
      <c r="H190" s="117"/>
      <c r="I190" s="117"/>
      <c r="J190" s="117"/>
      <c r="K190" s="117"/>
      <c r="L190" s="117"/>
      <c r="M190" s="213"/>
      <c r="N190" s="117"/>
      <c r="O190" s="117"/>
      <c r="P190" s="117"/>
      <c r="Q190" s="200"/>
      <c r="R190" s="239"/>
      <c r="S190" s="239"/>
      <c r="T190" s="239"/>
      <c r="U190" s="216"/>
      <c r="V190" s="217"/>
      <c r="W190" s="233"/>
      <c r="X190" s="123"/>
      <c r="Y190" s="117"/>
      <c r="Z190" s="117"/>
    </row>
    <row r="191" spans="1:26">
      <c r="A191" s="117"/>
      <c r="B191" s="117"/>
      <c r="C191" s="117"/>
      <c r="D191" s="117"/>
      <c r="E191" s="117"/>
      <c r="F191" s="117"/>
      <c r="G191" s="116"/>
      <c r="H191" s="117"/>
      <c r="I191" s="117"/>
      <c r="J191" s="117"/>
      <c r="K191" s="117"/>
      <c r="L191" s="117"/>
      <c r="M191" s="213"/>
      <c r="N191" s="117"/>
      <c r="O191" s="117"/>
      <c r="P191" s="117"/>
      <c r="Q191" s="200"/>
      <c r="R191" s="239"/>
      <c r="S191" s="239"/>
      <c r="T191" s="239"/>
      <c r="U191" s="216"/>
      <c r="V191" s="217"/>
      <c r="W191" s="233"/>
      <c r="X191" s="123"/>
      <c r="Y191" s="117"/>
      <c r="Z191" s="117"/>
    </row>
    <row r="192" spans="1:26">
      <c r="A192" s="117"/>
      <c r="B192" s="117"/>
      <c r="C192" s="117"/>
      <c r="D192" s="117"/>
      <c r="E192" s="117"/>
      <c r="F192" s="117"/>
      <c r="G192" s="116"/>
      <c r="H192" s="117"/>
      <c r="I192" s="117"/>
      <c r="J192" s="117"/>
      <c r="K192" s="117"/>
      <c r="L192" s="117"/>
      <c r="M192" s="213"/>
      <c r="N192" s="117"/>
      <c r="O192" s="117"/>
      <c r="P192" s="117"/>
      <c r="Q192" s="200"/>
      <c r="R192" s="239"/>
      <c r="S192" s="239"/>
      <c r="T192" s="239"/>
      <c r="U192" s="216"/>
      <c r="V192" s="217"/>
      <c r="W192" s="233"/>
      <c r="X192" s="123"/>
      <c r="Y192" s="117"/>
      <c r="Z192" s="117"/>
    </row>
    <row r="193" spans="1:26">
      <c r="A193" s="117"/>
      <c r="B193" s="117"/>
      <c r="C193" s="117"/>
      <c r="D193" s="117"/>
      <c r="E193" s="117"/>
      <c r="F193" s="117"/>
      <c r="G193" s="116"/>
      <c r="H193" s="117"/>
      <c r="I193" s="117"/>
      <c r="J193" s="117"/>
      <c r="K193" s="117"/>
      <c r="L193" s="117"/>
      <c r="M193" s="213"/>
      <c r="N193" s="117"/>
      <c r="O193" s="117"/>
      <c r="P193" s="117"/>
      <c r="Q193" s="200"/>
      <c r="R193" s="239"/>
      <c r="S193" s="239"/>
      <c r="T193" s="239"/>
      <c r="U193" s="216"/>
      <c r="V193" s="217"/>
      <c r="W193" s="233"/>
      <c r="X193" s="123"/>
      <c r="Y193" s="117"/>
      <c r="Z193" s="117"/>
    </row>
    <row r="194" spans="1:26">
      <c r="A194" s="117"/>
      <c r="B194" s="117"/>
      <c r="C194" s="117"/>
      <c r="D194" s="117"/>
      <c r="E194" s="117"/>
      <c r="F194" s="117"/>
      <c r="G194" s="116"/>
      <c r="H194" s="117"/>
      <c r="I194" s="117"/>
      <c r="J194" s="117"/>
      <c r="K194" s="117"/>
      <c r="L194" s="117"/>
      <c r="M194" s="213"/>
      <c r="N194" s="117"/>
      <c r="O194" s="117"/>
      <c r="P194" s="117"/>
      <c r="Q194" s="200"/>
      <c r="R194" s="239"/>
      <c r="S194" s="239"/>
      <c r="T194" s="239"/>
      <c r="U194" s="216"/>
      <c r="V194" s="217"/>
      <c r="W194" s="233"/>
      <c r="X194" s="123"/>
      <c r="Y194" s="117"/>
      <c r="Z194" s="117"/>
    </row>
    <row r="195" spans="1:26">
      <c r="A195" s="117"/>
      <c r="B195" s="117"/>
      <c r="C195" s="117"/>
      <c r="D195" s="117"/>
      <c r="E195" s="117"/>
      <c r="F195" s="117"/>
      <c r="G195" s="116"/>
      <c r="H195" s="117"/>
      <c r="I195" s="117"/>
      <c r="J195" s="117"/>
      <c r="K195" s="117"/>
      <c r="L195" s="117"/>
      <c r="M195" s="213"/>
      <c r="N195" s="117"/>
      <c r="O195" s="117"/>
      <c r="P195" s="117"/>
      <c r="Q195" s="200"/>
      <c r="R195" s="239"/>
      <c r="S195" s="239"/>
      <c r="T195" s="239"/>
      <c r="U195" s="216"/>
      <c r="V195" s="217"/>
      <c r="W195" s="233"/>
      <c r="X195" s="123"/>
      <c r="Y195" s="117"/>
      <c r="Z195" s="117"/>
    </row>
    <row r="196" spans="1:26">
      <c r="A196" s="117"/>
      <c r="B196" s="117"/>
      <c r="C196" s="117"/>
      <c r="D196" s="117"/>
      <c r="E196" s="117"/>
      <c r="F196" s="117"/>
      <c r="G196" s="116"/>
      <c r="H196" s="117"/>
      <c r="I196" s="117"/>
      <c r="J196" s="117"/>
      <c r="K196" s="117"/>
      <c r="L196" s="117"/>
      <c r="M196" s="213"/>
      <c r="N196" s="117"/>
      <c r="O196" s="117"/>
      <c r="P196" s="117"/>
      <c r="Q196" s="200"/>
      <c r="R196" s="239"/>
      <c r="S196" s="239"/>
      <c r="T196" s="239"/>
      <c r="U196" s="216"/>
      <c r="V196" s="217"/>
      <c r="W196" s="233"/>
      <c r="X196" s="123"/>
      <c r="Y196" s="117"/>
      <c r="Z196" s="117"/>
    </row>
    <row r="197" spans="1:26">
      <c r="A197" s="117"/>
      <c r="B197" s="117"/>
      <c r="C197" s="117"/>
      <c r="D197" s="117"/>
      <c r="E197" s="117"/>
      <c r="F197" s="117"/>
      <c r="G197" s="116"/>
      <c r="H197" s="117"/>
      <c r="I197" s="117"/>
      <c r="J197" s="117"/>
      <c r="K197" s="117"/>
      <c r="L197" s="117"/>
      <c r="M197" s="213"/>
      <c r="N197" s="117"/>
      <c r="O197" s="117"/>
      <c r="P197" s="117"/>
      <c r="Q197" s="200"/>
      <c r="R197" s="239"/>
      <c r="S197" s="239"/>
      <c r="T197" s="239"/>
      <c r="U197" s="216"/>
      <c r="V197" s="217"/>
      <c r="W197" s="233"/>
      <c r="X197" s="123"/>
      <c r="Y197" s="117"/>
      <c r="Z197" s="117"/>
    </row>
    <row r="198" spans="1:26">
      <c r="A198" s="117"/>
      <c r="B198" s="117"/>
      <c r="C198" s="117"/>
      <c r="D198" s="117"/>
      <c r="E198" s="117"/>
      <c r="F198" s="117"/>
      <c r="G198" s="116"/>
      <c r="H198" s="117"/>
      <c r="I198" s="117"/>
      <c r="J198" s="117"/>
      <c r="K198" s="117"/>
      <c r="L198" s="117"/>
      <c r="M198" s="213"/>
      <c r="N198" s="117"/>
      <c r="O198" s="117"/>
      <c r="P198" s="117"/>
      <c r="Q198" s="200"/>
      <c r="R198" s="239"/>
      <c r="S198" s="239"/>
      <c r="T198" s="239"/>
      <c r="U198" s="216"/>
      <c r="V198" s="217"/>
      <c r="W198" s="233"/>
      <c r="X198" s="123"/>
      <c r="Y198" s="117"/>
      <c r="Z198" s="117"/>
    </row>
    <row r="199" spans="1:26">
      <c r="A199" s="117"/>
      <c r="B199" s="117"/>
      <c r="C199" s="117"/>
      <c r="D199" s="117"/>
      <c r="E199" s="117"/>
      <c r="F199" s="117"/>
      <c r="G199" s="116"/>
      <c r="H199" s="117"/>
      <c r="I199" s="117"/>
      <c r="J199" s="117"/>
      <c r="K199" s="117"/>
      <c r="L199" s="117"/>
      <c r="M199" s="213"/>
      <c r="N199" s="117"/>
      <c r="O199" s="117"/>
      <c r="P199" s="117"/>
      <c r="Q199" s="200"/>
      <c r="R199" s="239"/>
      <c r="S199" s="239"/>
      <c r="T199" s="239"/>
      <c r="U199" s="216"/>
      <c r="V199" s="217"/>
      <c r="W199" s="233"/>
      <c r="X199" s="123"/>
      <c r="Y199" s="117"/>
      <c r="Z199" s="117"/>
    </row>
    <row r="200" spans="1:26">
      <c r="A200" s="117"/>
      <c r="B200" s="117"/>
      <c r="C200" s="117"/>
      <c r="D200" s="117"/>
      <c r="E200" s="117"/>
      <c r="F200" s="117"/>
      <c r="G200" s="116"/>
      <c r="H200" s="117"/>
      <c r="I200" s="117"/>
      <c r="J200" s="117"/>
      <c r="K200" s="117"/>
      <c r="L200" s="117"/>
      <c r="M200" s="213"/>
      <c r="N200" s="117"/>
      <c r="O200" s="117"/>
      <c r="P200" s="117"/>
      <c r="Q200" s="200"/>
      <c r="R200" s="239"/>
      <c r="S200" s="239"/>
      <c r="T200" s="239"/>
      <c r="U200" s="216"/>
      <c r="V200" s="217"/>
      <c r="W200" s="233"/>
      <c r="X200" s="123"/>
      <c r="Y200" s="117"/>
      <c r="Z200" s="117"/>
    </row>
    <row r="201" spans="1:26">
      <c r="A201" s="117"/>
      <c r="B201" s="117"/>
      <c r="C201" s="117"/>
      <c r="D201" s="117"/>
      <c r="E201" s="117"/>
      <c r="F201" s="117"/>
      <c r="G201" s="116"/>
      <c r="H201" s="117"/>
      <c r="I201" s="117"/>
      <c r="J201" s="117"/>
      <c r="K201" s="117"/>
      <c r="L201" s="117"/>
      <c r="M201" s="213"/>
      <c r="N201" s="117"/>
      <c r="O201" s="117"/>
      <c r="P201" s="117"/>
      <c r="Q201" s="200"/>
      <c r="R201" s="239"/>
      <c r="S201" s="239"/>
      <c r="T201" s="239"/>
      <c r="U201" s="216"/>
      <c r="V201" s="217"/>
      <c r="W201" s="233"/>
      <c r="X201" s="123"/>
      <c r="Y201" s="117"/>
      <c r="Z201" s="117"/>
    </row>
    <row r="202" spans="1:26">
      <c r="A202" s="117"/>
      <c r="B202" s="117"/>
      <c r="C202" s="117"/>
      <c r="D202" s="117"/>
      <c r="E202" s="117"/>
      <c r="F202" s="117"/>
      <c r="G202" s="116"/>
      <c r="H202" s="117"/>
      <c r="I202" s="117"/>
      <c r="J202" s="117"/>
      <c r="K202" s="117"/>
      <c r="L202" s="117"/>
      <c r="M202" s="213"/>
      <c r="N202" s="117"/>
      <c r="O202" s="117"/>
      <c r="P202" s="117"/>
      <c r="Q202" s="200"/>
      <c r="R202" s="239"/>
      <c r="S202" s="239"/>
      <c r="T202" s="239"/>
      <c r="U202" s="216"/>
      <c r="V202" s="217"/>
      <c r="W202" s="233"/>
      <c r="X202" s="123"/>
      <c r="Y202" s="117"/>
      <c r="Z202" s="117"/>
    </row>
    <row r="203" spans="1:26">
      <c r="A203" s="117"/>
      <c r="B203" s="117"/>
      <c r="C203" s="117"/>
      <c r="D203" s="117"/>
      <c r="E203" s="117"/>
      <c r="F203" s="117"/>
      <c r="G203" s="116"/>
      <c r="H203" s="117"/>
      <c r="I203" s="117"/>
      <c r="J203" s="117"/>
      <c r="K203" s="117"/>
      <c r="L203" s="117"/>
      <c r="M203" s="213"/>
      <c r="N203" s="117"/>
      <c r="O203" s="117"/>
      <c r="P203" s="117"/>
      <c r="Q203" s="200"/>
      <c r="R203" s="239"/>
      <c r="S203" s="239"/>
      <c r="T203" s="239"/>
      <c r="U203" s="216"/>
      <c r="V203" s="217"/>
      <c r="W203" s="233"/>
      <c r="X203" s="123"/>
      <c r="Y203" s="117"/>
      <c r="Z203" s="117"/>
    </row>
    <row r="204" spans="1:26">
      <c r="A204" s="117"/>
      <c r="B204" s="117"/>
      <c r="C204" s="117"/>
      <c r="D204" s="117"/>
      <c r="E204" s="117"/>
      <c r="F204" s="117"/>
      <c r="G204" s="116"/>
      <c r="H204" s="117"/>
      <c r="I204" s="117"/>
      <c r="J204" s="117"/>
      <c r="K204" s="117"/>
      <c r="L204" s="117"/>
      <c r="M204" s="213"/>
      <c r="N204" s="117"/>
      <c r="O204" s="117"/>
      <c r="P204" s="117"/>
      <c r="Q204" s="200"/>
      <c r="R204" s="239"/>
      <c r="S204" s="239"/>
      <c r="T204" s="239"/>
      <c r="U204" s="216"/>
      <c r="V204" s="217"/>
      <c r="W204" s="233"/>
      <c r="X204" s="123"/>
      <c r="Y204" s="117"/>
      <c r="Z204" s="117"/>
    </row>
    <row r="205" spans="1:26">
      <c r="A205" s="117"/>
      <c r="B205" s="117"/>
      <c r="C205" s="117"/>
      <c r="D205" s="117"/>
      <c r="E205" s="117"/>
      <c r="F205" s="117"/>
      <c r="G205" s="116"/>
      <c r="H205" s="117"/>
      <c r="I205" s="117"/>
      <c r="J205" s="117"/>
      <c r="K205" s="117"/>
      <c r="L205" s="117"/>
      <c r="M205" s="213"/>
      <c r="N205" s="117"/>
      <c r="O205" s="117"/>
      <c r="P205" s="117"/>
      <c r="Q205" s="200"/>
      <c r="R205" s="239"/>
      <c r="S205" s="239"/>
      <c r="T205" s="239"/>
      <c r="U205" s="216"/>
      <c r="V205" s="217"/>
      <c r="W205" s="233"/>
      <c r="X205" s="123"/>
      <c r="Y205" s="117"/>
      <c r="Z205" s="117"/>
    </row>
    <row r="206" spans="1:26">
      <c r="A206" s="117"/>
      <c r="B206" s="117"/>
      <c r="C206" s="117"/>
      <c r="D206" s="117"/>
      <c r="E206" s="117"/>
      <c r="F206" s="117"/>
      <c r="G206" s="116"/>
      <c r="H206" s="117"/>
      <c r="I206" s="117"/>
      <c r="J206" s="117"/>
      <c r="K206" s="117"/>
      <c r="L206" s="117"/>
      <c r="M206" s="213"/>
      <c r="N206" s="117"/>
      <c r="O206" s="117"/>
      <c r="P206" s="117"/>
      <c r="Q206" s="200"/>
      <c r="R206" s="239"/>
      <c r="S206" s="239"/>
      <c r="T206" s="239"/>
      <c r="U206" s="216"/>
      <c r="V206" s="217"/>
      <c r="W206" s="233"/>
      <c r="X206" s="123"/>
      <c r="Y206" s="117"/>
      <c r="Z206" s="117"/>
    </row>
    <row r="207" spans="1:26">
      <c r="A207" s="117"/>
      <c r="B207" s="117"/>
      <c r="C207" s="117"/>
      <c r="D207" s="117"/>
      <c r="E207" s="117"/>
      <c r="F207" s="117"/>
      <c r="G207" s="116"/>
      <c r="H207" s="117"/>
      <c r="I207" s="117"/>
      <c r="J207" s="117"/>
      <c r="K207" s="117"/>
      <c r="L207" s="117"/>
      <c r="M207" s="213"/>
      <c r="N207" s="117"/>
      <c r="O207" s="117"/>
      <c r="P207" s="117"/>
      <c r="Q207" s="200"/>
      <c r="R207" s="239"/>
      <c r="S207" s="239"/>
      <c r="T207" s="239"/>
      <c r="U207" s="216"/>
      <c r="V207" s="217"/>
      <c r="W207" s="233"/>
      <c r="X207" s="123"/>
      <c r="Y207" s="117"/>
      <c r="Z207" s="117"/>
    </row>
    <row r="208" spans="1:26">
      <c r="A208" s="117"/>
      <c r="B208" s="117"/>
      <c r="C208" s="117"/>
      <c r="D208" s="117"/>
      <c r="E208" s="117"/>
      <c r="F208" s="117"/>
      <c r="G208" s="116"/>
      <c r="H208" s="117"/>
      <c r="I208" s="117"/>
      <c r="J208" s="117"/>
      <c r="K208" s="117"/>
      <c r="L208" s="117"/>
      <c r="M208" s="213"/>
      <c r="N208" s="117"/>
      <c r="O208" s="117"/>
      <c r="P208" s="117"/>
      <c r="Q208" s="200"/>
      <c r="R208" s="239"/>
      <c r="S208" s="239"/>
      <c r="T208" s="239"/>
      <c r="U208" s="216"/>
      <c r="V208" s="217"/>
      <c r="W208" s="233"/>
      <c r="X208" s="123"/>
      <c r="Y208" s="117"/>
      <c r="Z208" s="117"/>
    </row>
    <row r="209" spans="1:26">
      <c r="A209" s="117"/>
      <c r="B209" s="117"/>
      <c r="C209" s="117"/>
      <c r="D209" s="117"/>
      <c r="E209" s="117"/>
      <c r="F209" s="117"/>
      <c r="G209" s="116"/>
      <c r="H209" s="117"/>
      <c r="I209" s="117"/>
      <c r="J209" s="117"/>
      <c r="K209" s="117"/>
      <c r="L209" s="117"/>
      <c r="M209" s="213"/>
      <c r="N209" s="117"/>
      <c r="O209" s="117"/>
      <c r="P209" s="117"/>
      <c r="Q209" s="200"/>
      <c r="R209" s="239"/>
      <c r="S209" s="239"/>
      <c r="T209" s="239"/>
      <c r="U209" s="216"/>
      <c r="V209" s="217"/>
      <c r="W209" s="233"/>
      <c r="X209" s="123"/>
      <c r="Y209" s="117"/>
      <c r="Z209" s="117"/>
    </row>
    <row r="210" spans="1:26">
      <c r="A210" s="117"/>
      <c r="B210" s="117"/>
      <c r="C210" s="117"/>
      <c r="D210" s="117"/>
      <c r="E210" s="117"/>
      <c r="F210" s="117"/>
      <c r="G210" s="116"/>
      <c r="H210" s="117"/>
      <c r="I210" s="117"/>
      <c r="J210" s="117"/>
      <c r="K210" s="117"/>
      <c r="L210" s="117"/>
      <c r="M210" s="213"/>
      <c r="N210" s="117"/>
      <c r="O210" s="117"/>
      <c r="P210" s="117"/>
      <c r="Q210" s="200"/>
      <c r="R210" s="239"/>
      <c r="S210" s="239"/>
      <c r="T210" s="239"/>
      <c r="U210" s="216"/>
      <c r="V210" s="217"/>
      <c r="W210" s="233"/>
      <c r="X210" s="123"/>
      <c r="Y210" s="117"/>
      <c r="Z210" s="117"/>
    </row>
    <row r="211" spans="1:26">
      <c r="A211" s="117"/>
      <c r="B211" s="117"/>
      <c r="C211" s="117"/>
      <c r="D211" s="117"/>
      <c r="E211" s="117"/>
      <c r="F211" s="117"/>
      <c r="G211" s="116"/>
      <c r="H211" s="117"/>
      <c r="I211" s="117"/>
      <c r="J211" s="117"/>
      <c r="K211" s="117"/>
      <c r="L211" s="117"/>
      <c r="M211" s="213"/>
      <c r="N211" s="117"/>
      <c r="O211" s="117"/>
      <c r="P211" s="117"/>
      <c r="Q211" s="200"/>
      <c r="R211" s="239"/>
      <c r="S211" s="239"/>
      <c r="T211" s="239"/>
      <c r="U211" s="216"/>
      <c r="V211" s="217"/>
      <c r="W211" s="233"/>
      <c r="X211" s="123"/>
      <c r="Y211" s="117"/>
      <c r="Z211" s="117"/>
    </row>
    <row r="212" spans="1:26">
      <c r="A212" s="117"/>
      <c r="B212" s="117"/>
      <c r="C212" s="117"/>
      <c r="D212" s="117"/>
      <c r="E212" s="117"/>
      <c r="F212" s="117"/>
      <c r="G212" s="116"/>
      <c r="H212" s="117"/>
      <c r="I212" s="117"/>
      <c r="J212" s="117"/>
      <c r="K212" s="117"/>
      <c r="L212" s="117"/>
      <c r="M212" s="213"/>
      <c r="N212" s="117"/>
      <c r="O212" s="117"/>
      <c r="P212" s="117"/>
      <c r="Q212" s="200"/>
      <c r="R212" s="239"/>
      <c r="S212" s="239"/>
      <c r="T212" s="239"/>
      <c r="U212" s="216"/>
      <c r="V212" s="217"/>
      <c r="W212" s="233"/>
      <c r="X212" s="123"/>
      <c r="Y212" s="117"/>
      <c r="Z212" s="117"/>
    </row>
    <row r="213" spans="1:26">
      <c r="A213" s="117"/>
      <c r="B213" s="117"/>
      <c r="C213" s="117"/>
      <c r="D213" s="117"/>
      <c r="E213" s="117"/>
      <c r="F213" s="117"/>
      <c r="G213" s="116"/>
      <c r="H213" s="117"/>
      <c r="I213" s="117"/>
      <c r="J213" s="117"/>
      <c r="K213" s="117"/>
      <c r="L213" s="117"/>
      <c r="M213" s="213"/>
      <c r="N213" s="117"/>
      <c r="O213" s="117"/>
      <c r="P213" s="117"/>
      <c r="Q213" s="200"/>
      <c r="R213" s="239"/>
      <c r="S213" s="239"/>
      <c r="T213" s="239"/>
      <c r="U213" s="216"/>
      <c r="V213" s="217"/>
      <c r="W213" s="233"/>
      <c r="X213" s="123"/>
      <c r="Y213" s="117"/>
      <c r="Z213" s="117"/>
    </row>
    <row r="214" spans="1:26">
      <c r="A214" s="117"/>
      <c r="B214" s="117"/>
      <c r="C214" s="117"/>
      <c r="D214" s="117"/>
      <c r="E214" s="117"/>
      <c r="F214" s="117"/>
      <c r="G214" s="116"/>
      <c r="H214" s="117"/>
      <c r="I214" s="117"/>
      <c r="J214" s="117"/>
      <c r="K214" s="117"/>
      <c r="L214" s="117"/>
      <c r="M214" s="213"/>
      <c r="N214" s="117"/>
      <c r="O214" s="117"/>
      <c r="P214" s="117"/>
      <c r="Q214" s="200"/>
      <c r="R214" s="239"/>
      <c r="S214" s="239"/>
      <c r="T214" s="239"/>
      <c r="U214" s="216"/>
      <c r="V214" s="217"/>
      <c r="W214" s="233"/>
      <c r="X214" s="123"/>
      <c r="Y214" s="117"/>
      <c r="Z214" s="117"/>
    </row>
    <row r="215" spans="1:26">
      <c r="A215" s="117"/>
      <c r="B215" s="117"/>
      <c r="C215" s="117"/>
      <c r="D215" s="117"/>
      <c r="E215" s="117"/>
      <c r="F215" s="117"/>
      <c r="G215" s="116"/>
      <c r="H215" s="117"/>
      <c r="I215" s="117"/>
      <c r="J215" s="117"/>
      <c r="K215" s="117"/>
      <c r="L215" s="117"/>
      <c r="M215" s="213"/>
      <c r="N215" s="117"/>
      <c r="O215" s="117"/>
      <c r="P215" s="117"/>
      <c r="Q215" s="200"/>
      <c r="R215" s="239"/>
      <c r="S215" s="239"/>
      <c r="T215" s="239"/>
      <c r="U215" s="216"/>
      <c r="V215" s="217"/>
      <c r="W215" s="233"/>
      <c r="X215" s="123"/>
      <c r="Y215" s="117"/>
      <c r="Z215" s="117"/>
    </row>
    <row r="216" spans="1:26">
      <c r="A216" s="117"/>
      <c r="B216" s="117"/>
      <c r="C216" s="117"/>
      <c r="D216" s="117"/>
      <c r="E216" s="117"/>
      <c r="F216" s="117"/>
      <c r="G216" s="116"/>
      <c r="H216" s="117"/>
      <c r="I216" s="117"/>
      <c r="J216" s="117"/>
      <c r="K216" s="117"/>
      <c r="L216" s="117"/>
      <c r="M216" s="213"/>
      <c r="N216" s="117"/>
      <c r="O216" s="117"/>
      <c r="P216" s="117"/>
      <c r="Q216" s="200"/>
      <c r="R216" s="239"/>
      <c r="S216" s="239"/>
      <c r="T216" s="239"/>
      <c r="U216" s="216"/>
      <c r="V216" s="217"/>
      <c r="W216" s="233"/>
      <c r="X216" s="123"/>
      <c r="Y216" s="117"/>
      <c r="Z216" s="117"/>
    </row>
    <row r="217" spans="1:26">
      <c r="A217" s="117"/>
      <c r="B217" s="117"/>
      <c r="C217" s="117"/>
      <c r="D217" s="117"/>
      <c r="E217" s="117"/>
      <c r="F217" s="117"/>
      <c r="G217" s="116"/>
      <c r="H217" s="117"/>
      <c r="I217" s="117"/>
      <c r="J217" s="117"/>
      <c r="K217" s="117"/>
      <c r="L217" s="117"/>
      <c r="M217" s="213"/>
      <c r="N217" s="117"/>
      <c r="O217" s="117"/>
      <c r="P217" s="117"/>
      <c r="Q217" s="200"/>
      <c r="R217" s="239"/>
      <c r="S217" s="239"/>
      <c r="T217" s="239"/>
      <c r="U217" s="216"/>
      <c r="V217" s="217"/>
      <c r="W217" s="233"/>
      <c r="X217" s="123"/>
      <c r="Y217" s="117"/>
      <c r="Z217" s="117"/>
    </row>
    <row r="218" spans="1:26">
      <c r="A218" s="117"/>
      <c r="B218" s="117"/>
      <c r="C218" s="117"/>
      <c r="D218" s="117"/>
      <c r="E218" s="117"/>
      <c r="F218" s="117"/>
      <c r="G218" s="116"/>
      <c r="H218" s="117"/>
      <c r="I218" s="117"/>
      <c r="J218" s="117"/>
      <c r="K218" s="117"/>
      <c r="L218" s="117"/>
      <c r="M218" s="213"/>
      <c r="N218" s="117"/>
      <c r="O218" s="117"/>
      <c r="P218" s="117"/>
      <c r="Q218" s="200"/>
      <c r="R218" s="239"/>
      <c r="S218" s="239"/>
      <c r="T218" s="239"/>
      <c r="U218" s="216"/>
      <c r="V218" s="217"/>
      <c r="W218" s="233"/>
      <c r="X218" s="123"/>
      <c r="Y218" s="117"/>
      <c r="Z218" s="117"/>
    </row>
    <row r="219" spans="1:26">
      <c r="A219" s="117"/>
      <c r="B219" s="117"/>
      <c r="C219" s="117"/>
      <c r="D219" s="117"/>
      <c r="E219" s="117"/>
      <c r="F219" s="117"/>
      <c r="G219" s="116"/>
      <c r="H219" s="117"/>
      <c r="I219" s="117"/>
      <c r="J219" s="117"/>
      <c r="K219" s="117"/>
      <c r="L219" s="117"/>
      <c r="M219" s="213"/>
      <c r="N219" s="117"/>
      <c r="O219" s="117"/>
      <c r="P219" s="117"/>
      <c r="Q219" s="200"/>
      <c r="R219" s="239"/>
      <c r="S219" s="239"/>
      <c r="T219" s="239"/>
      <c r="U219" s="216"/>
      <c r="V219" s="217"/>
      <c r="W219" s="233"/>
      <c r="X219" s="123"/>
      <c r="Y219" s="117"/>
      <c r="Z219" s="117"/>
    </row>
    <row r="220" spans="1:26">
      <c r="A220" s="117"/>
      <c r="B220" s="117"/>
      <c r="C220" s="117"/>
      <c r="D220" s="117"/>
      <c r="E220" s="117"/>
      <c r="F220" s="117"/>
      <c r="G220" s="116"/>
      <c r="H220" s="117"/>
      <c r="I220" s="117"/>
      <c r="J220" s="117"/>
      <c r="K220" s="117"/>
      <c r="L220" s="117"/>
      <c r="M220" s="213"/>
      <c r="N220" s="117"/>
      <c r="O220" s="117"/>
      <c r="P220" s="117"/>
      <c r="Q220" s="200"/>
      <c r="R220" s="239"/>
      <c r="S220" s="239"/>
      <c r="T220" s="239"/>
      <c r="U220" s="216"/>
      <c r="V220" s="217"/>
      <c r="W220" s="233"/>
      <c r="X220" s="123"/>
      <c r="Y220" s="117"/>
      <c r="Z220" s="117"/>
    </row>
    <row r="221" spans="1:26">
      <c r="A221" s="117"/>
      <c r="B221" s="117"/>
      <c r="C221" s="117"/>
      <c r="D221" s="117"/>
      <c r="E221" s="117"/>
      <c r="F221" s="117"/>
      <c r="G221" s="116"/>
      <c r="H221" s="117"/>
      <c r="I221" s="117"/>
      <c r="J221" s="117"/>
      <c r="K221" s="117"/>
      <c r="L221" s="117"/>
      <c r="M221" s="213"/>
      <c r="N221" s="117"/>
      <c r="O221" s="117"/>
      <c r="P221" s="117"/>
      <c r="Q221" s="200"/>
      <c r="R221" s="239"/>
      <c r="S221" s="239"/>
      <c r="T221" s="239"/>
      <c r="U221" s="216"/>
      <c r="V221" s="217"/>
      <c r="W221" s="233"/>
      <c r="X221" s="123"/>
      <c r="Y221" s="117"/>
      <c r="Z221" s="117"/>
    </row>
    <row r="222" spans="1:26">
      <c r="A222" s="117"/>
      <c r="B222" s="117"/>
      <c r="C222" s="117"/>
      <c r="D222" s="117"/>
      <c r="E222" s="117"/>
      <c r="F222" s="117"/>
      <c r="G222" s="116"/>
      <c r="H222" s="117"/>
      <c r="I222" s="117"/>
      <c r="J222" s="117"/>
      <c r="K222" s="117"/>
      <c r="L222" s="117"/>
      <c r="M222" s="213"/>
      <c r="N222" s="117"/>
      <c r="O222" s="117"/>
      <c r="P222" s="117"/>
      <c r="Q222" s="200"/>
      <c r="R222" s="239"/>
      <c r="S222" s="239"/>
      <c r="T222" s="239"/>
      <c r="U222" s="216"/>
      <c r="V222" s="217"/>
      <c r="W222" s="233"/>
      <c r="X222" s="123"/>
      <c r="Y222" s="117"/>
      <c r="Z222" s="117"/>
    </row>
    <row r="223" spans="1:26">
      <c r="A223" s="117"/>
      <c r="B223" s="117"/>
      <c r="C223" s="117"/>
      <c r="D223" s="117"/>
      <c r="E223" s="117"/>
      <c r="F223" s="117"/>
      <c r="G223" s="116"/>
      <c r="H223" s="117"/>
      <c r="I223" s="117"/>
      <c r="J223" s="117"/>
      <c r="K223" s="117"/>
      <c r="L223" s="117"/>
      <c r="M223" s="213"/>
      <c r="N223" s="117"/>
      <c r="O223" s="117"/>
      <c r="P223" s="117"/>
      <c r="Q223" s="200"/>
      <c r="R223" s="239"/>
      <c r="S223" s="239"/>
      <c r="T223" s="239"/>
      <c r="U223" s="216"/>
      <c r="V223" s="217"/>
      <c r="W223" s="233"/>
      <c r="X223" s="123"/>
      <c r="Y223" s="117"/>
      <c r="Z223" s="117"/>
    </row>
    <row r="224" spans="1:26">
      <c r="A224" s="117"/>
      <c r="B224" s="117"/>
      <c r="C224" s="117"/>
      <c r="D224" s="117"/>
      <c r="E224" s="117"/>
      <c r="F224" s="117"/>
      <c r="G224" s="116"/>
      <c r="H224" s="117"/>
      <c r="I224" s="117"/>
      <c r="J224" s="117"/>
      <c r="K224" s="117"/>
      <c r="L224" s="117"/>
      <c r="M224" s="213"/>
      <c r="N224" s="117"/>
      <c r="O224" s="117"/>
      <c r="P224" s="117"/>
      <c r="Q224" s="200"/>
      <c r="R224" s="239"/>
      <c r="S224" s="239"/>
      <c r="T224" s="239"/>
      <c r="U224" s="216"/>
      <c r="V224" s="217"/>
      <c r="W224" s="233"/>
      <c r="X224" s="123"/>
      <c r="Y224" s="117"/>
      <c r="Z224" s="117"/>
    </row>
    <row r="225" spans="1:26">
      <c r="A225" s="117"/>
      <c r="B225" s="117"/>
      <c r="C225" s="117"/>
      <c r="D225" s="117"/>
      <c r="E225" s="117"/>
      <c r="F225" s="117"/>
      <c r="G225" s="116"/>
      <c r="H225" s="117"/>
      <c r="I225" s="117"/>
      <c r="J225" s="117"/>
      <c r="K225" s="117"/>
      <c r="L225" s="117"/>
      <c r="M225" s="213"/>
      <c r="N225" s="117"/>
      <c r="O225" s="117"/>
      <c r="P225" s="117"/>
      <c r="Q225" s="200"/>
      <c r="R225" s="239"/>
      <c r="S225" s="239"/>
      <c r="T225" s="239"/>
      <c r="U225" s="216"/>
      <c r="V225" s="217"/>
      <c r="W225" s="233"/>
      <c r="X225" s="123"/>
      <c r="Y225" s="117"/>
      <c r="Z225" s="117"/>
    </row>
    <row r="226" spans="1:26">
      <c r="A226" s="117"/>
      <c r="B226" s="117"/>
      <c r="C226" s="117"/>
      <c r="D226" s="117"/>
      <c r="E226" s="117"/>
      <c r="F226" s="117"/>
      <c r="G226" s="116"/>
      <c r="H226" s="117"/>
      <c r="I226" s="117"/>
      <c r="J226" s="117"/>
      <c r="K226" s="117"/>
      <c r="L226" s="117"/>
      <c r="M226" s="213"/>
      <c r="N226" s="117"/>
      <c r="O226" s="117"/>
      <c r="P226" s="117"/>
      <c r="Q226" s="200"/>
      <c r="R226" s="239"/>
      <c r="S226" s="239"/>
      <c r="T226" s="239"/>
      <c r="U226" s="216"/>
      <c r="V226" s="217"/>
      <c r="W226" s="233"/>
      <c r="X226" s="123"/>
      <c r="Y226" s="117"/>
      <c r="Z226" s="117"/>
    </row>
    <row r="227" spans="1:26">
      <c r="A227" s="117"/>
      <c r="B227" s="117"/>
      <c r="C227" s="117"/>
      <c r="D227" s="117"/>
      <c r="E227" s="117"/>
      <c r="F227" s="117"/>
      <c r="G227" s="116"/>
      <c r="H227" s="117"/>
      <c r="I227" s="117"/>
      <c r="J227" s="117"/>
      <c r="K227" s="117"/>
      <c r="L227" s="117"/>
      <c r="M227" s="213"/>
      <c r="N227" s="117"/>
      <c r="O227" s="117"/>
      <c r="P227" s="117"/>
      <c r="Q227" s="200"/>
      <c r="R227" s="239"/>
      <c r="S227" s="239"/>
      <c r="T227" s="239"/>
      <c r="U227" s="216"/>
      <c r="V227" s="217"/>
      <c r="W227" s="233"/>
      <c r="X227" s="123"/>
      <c r="Y227" s="117"/>
      <c r="Z227" s="117"/>
    </row>
    <row r="228" spans="1:26">
      <c r="A228" s="117"/>
      <c r="B228" s="117"/>
      <c r="C228" s="117"/>
      <c r="D228" s="117"/>
      <c r="E228" s="117"/>
      <c r="F228" s="117"/>
      <c r="G228" s="116"/>
      <c r="H228" s="117"/>
      <c r="I228" s="117"/>
      <c r="J228" s="117"/>
      <c r="K228" s="117"/>
      <c r="L228" s="117"/>
      <c r="M228" s="213"/>
      <c r="N228" s="117"/>
      <c r="O228" s="117"/>
      <c r="P228" s="117"/>
      <c r="Q228" s="200"/>
      <c r="R228" s="239"/>
      <c r="S228" s="239"/>
      <c r="T228" s="239"/>
      <c r="U228" s="216"/>
      <c r="V228" s="217"/>
      <c r="W228" s="233"/>
      <c r="X228" s="123"/>
      <c r="Y228" s="117"/>
      <c r="Z228" s="117"/>
    </row>
    <row r="229" spans="1:26">
      <c r="A229" s="117"/>
      <c r="B229" s="117"/>
      <c r="C229" s="117"/>
      <c r="D229" s="117"/>
      <c r="E229" s="117"/>
      <c r="F229" s="117"/>
      <c r="G229" s="116"/>
      <c r="H229" s="117"/>
      <c r="I229" s="117"/>
      <c r="J229" s="117"/>
      <c r="K229" s="117"/>
      <c r="L229" s="117"/>
      <c r="M229" s="213"/>
      <c r="N229" s="117"/>
      <c r="O229" s="117"/>
      <c r="P229" s="117"/>
      <c r="Q229" s="200"/>
      <c r="R229" s="239"/>
      <c r="S229" s="239"/>
      <c r="T229" s="239"/>
      <c r="U229" s="216"/>
      <c r="V229" s="217"/>
      <c r="W229" s="233"/>
      <c r="X229" s="123"/>
      <c r="Y229" s="117"/>
      <c r="Z229" s="117"/>
    </row>
    <row r="230" spans="1:26">
      <c r="A230" s="117"/>
      <c r="B230" s="117"/>
      <c r="C230" s="117"/>
      <c r="D230" s="117"/>
      <c r="E230" s="117"/>
      <c r="F230" s="117"/>
      <c r="G230" s="116"/>
      <c r="H230" s="117"/>
      <c r="I230" s="117"/>
      <c r="J230" s="117"/>
      <c r="K230" s="117"/>
      <c r="L230" s="117"/>
      <c r="M230" s="213"/>
      <c r="N230" s="117"/>
      <c r="O230" s="117"/>
      <c r="P230" s="117"/>
      <c r="Q230" s="200"/>
      <c r="R230" s="239"/>
      <c r="S230" s="239"/>
      <c r="T230" s="239"/>
      <c r="U230" s="216"/>
      <c r="V230" s="217"/>
      <c r="W230" s="233"/>
      <c r="X230" s="123"/>
      <c r="Y230" s="117"/>
      <c r="Z230" s="117"/>
    </row>
    <row r="231" spans="1:26">
      <c r="A231" s="117"/>
      <c r="B231" s="117"/>
      <c r="C231" s="117"/>
      <c r="D231" s="117"/>
      <c r="E231" s="117"/>
      <c r="F231" s="117"/>
      <c r="G231" s="116"/>
      <c r="H231" s="117"/>
      <c r="I231" s="117"/>
      <c r="J231" s="117"/>
      <c r="K231" s="117"/>
      <c r="L231" s="117"/>
      <c r="M231" s="213"/>
      <c r="N231" s="117"/>
      <c r="O231" s="117"/>
      <c r="P231" s="117"/>
      <c r="Q231" s="200"/>
      <c r="R231" s="239"/>
      <c r="S231" s="239"/>
      <c r="T231" s="239"/>
      <c r="U231" s="216"/>
      <c r="V231" s="217"/>
      <c r="W231" s="233"/>
      <c r="X231" s="123"/>
      <c r="Y231" s="117"/>
      <c r="Z231" s="117"/>
    </row>
    <row r="232" spans="1:26">
      <c r="A232" s="117"/>
      <c r="B232" s="117"/>
      <c r="C232" s="117"/>
      <c r="D232" s="117"/>
      <c r="E232" s="117"/>
      <c r="F232" s="117"/>
      <c r="G232" s="116"/>
      <c r="H232" s="117"/>
      <c r="I232" s="117"/>
      <c r="J232" s="117"/>
      <c r="K232" s="117"/>
      <c r="L232" s="117"/>
      <c r="M232" s="213"/>
      <c r="N232" s="117"/>
      <c r="O232" s="117"/>
      <c r="P232" s="117"/>
      <c r="Q232" s="200"/>
      <c r="R232" s="239"/>
      <c r="S232" s="239"/>
      <c r="T232" s="239"/>
      <c r="U232" s="216"/>
      <c r="V232" s="217"/>
      <c r="W232" s="233"/>
      <c r="X232" s="123"/>
      <c r="Y232" s="117"/>
      <c r="Z232" s="117"/>
    </row>
    <row r="233" spans="1:26">
      <c r="A233" s="117"/>
      <c r="B233" s="117"/>
      <c r="C233" s="117"/>
      <c r="D233" s="117"/>
      <c r="E233" s="117"/>
      <c r="F233" s="117"/>
      <c r="G233" s="116"/>
      <c r="H233" s="117"/>
      <c r="I233" s="117"/>
      <c r="J233" s="117"/>
      <c r="K233" s="117"/>
      <c r="L233" s="117"/>
      <c r="M233" s="213"/>
      <c r="N233" s="117"/>
      <c r="O233" s="117"/>
      <c r="P233" s="117"/>
      <c r="Q233" s="200"/>
      <c r="R233" s="239"/>
      <c r="S233" s="239"/>
      <c r="T233" s="239"/>
      <c r="U233" s="216"/>
      <c r="V233" s="217"/>
      <c r="W233" s="233"/>
      <c r="X233" s="123"/>
      <c r="Y233" s="117"/>
      <c r="Z233" s="117"/>
    </row>
    <row r="234" spans="1:26">
      <c r="A234" s="117"/>
      <c r="B234" s="117"/>
      <c r="C234" s="117"/>
      <c r="D234" s="117"/>
      <c r="E234" s="117"/>
      <c r="F234" s="117"/>
      <c r="G234" s="116"/>
      <c r="H234" s="117"/>
      <c r="I234" s="117"/>
      <c r="J234" s="117"/>
      <c r="K234" s="117"/>
      <c r="L234" s="117"/>
      <c r="M234" s="213"/>
      <c r="N234" s="117"/>
      <c r="O234" s="117"/>
      <c r="P234" s="117"/>
      <c r="Q234" s="200"/>
      <c r="R234" s="239"/>
      <c r="S234" s="239"/>
      <c r="T234" s="239"/>
      <c r="U234" s="216"/>
      <c r="V234" s="217"/>
      <c r="W234" s="233"/>
      <c r="X234" s="123"/>
      <c r="Y234" s="117"/>
      <c r="Z234" s="117"/>
    </row>
    <row r="235" spans="1:26">
      <c r="A235" s="117"/>
      <c r="B235" s="117"/>
      <c r="C235" s="117"/>
      <c r="D235" s="117"/>
      <c r="E235" s="117"/>
      <c r="F235" s="117"/>
      <c r="G235" s="116"/>
      <c r="H235" s="117"/>
      <c r="I235" s="117"/>
      <c r="J235" s="117"/>
      <c r="K235" s="117"/>
      <c r="L235" s="117"/>
      <c r="M235" s="213"/>
      <c r="N235" s="117"/>
      <c r="O235" s="117"/>
      <c r="P235" s="117"/>
      <c r="Q235" s="200"/>
      <c r="R235" s="239"/>
      <c r="S235" s="239"/>
      <c r="T235" s="239"/>
      <c r="U235" s="216"/>
      <c r="V235" s="217"/>
      <c r="W235" s="233"/>
      <c r="X235" s="123"/>
      <c r="Y235" s="117"/>
      <c r="Z235" s="117"/>
    </row>
    <row r="236" spans="1:26">
      <c r="A236" s="117"/>
      <c r="B236" s="117"/>
      <c r="C236" s="117"/>
      <c r="D236" s="117"/>
      <c r="E236" s="117"/>
      <c r="F236" s="117"/>
      <c r="G236" s="116"/>
      <c r="H236" s="117"/>
      <c r="I236" s="117"/>
      <c r="J236" s="117"/>
      <c r="K236" s="117"/>
      <c r="L236" s="117"/>
      <c r="M236" s="213"/>
      <c r="N236" s="117"/>
      <c r="O236" s="117"/>
      <c r="P236" s="117"/>
      <c r="Q236" s="200"/>
      <c r="R236" s="239"/>
      <c r="S236" s="239"/>
      <c r="T236" s="239"/>
      <c r="U236" s="216"/>
      <c r="V236" s="217"/>
      <c r="W236" s="233"/>
      <c r="X236" s="123"/>
      <c r="Y236" s="117"/>
      <c r="Z236" s="117"/>
    </row>
    <row r="237" spans="1:26">
      <c r="A237" s="117"/>
      <c r="B237" s="117"/>
      <c r="C237" s="117"/>
      <c r="D237" s="117"/>
      <c r="E237" s="117"/>
      <c r="F237" s="117"/>
      <c r="G237" s="116"/>
      <c r="H237" s="117"/>
      <c r="I237" s="117"/>
      <c r="J237" s="117"/>
      <c r="K237" s="117"/>
      <c r="L237" s="117"/>
      <c r="M237" s="213"/>
      <c r="N237" s="117"/>
      <c r="O237" s="117"/>
      <c r="P237" s="117"/>
      <c r="Q237" s="200"/>
      <c r="R237" s="239"/>
      <c r="S237" s="239"/>
      <c r="T237" s="239"/>
      <c r="U237" s="216"/>
      <c r="V237" s="217"/>
      <c r="W237" s="233"/>
      <c r="X237" s="123"/>
      <c r="Y237" s="117"/>
      <c r="Z237" s="117"/>
    </row>
    <row r="238" spans="1:26">
      <c r="A238" s="117"/>
      <c r="B238" s="117"/>
      <c r="C238" s="117"/>
      <c r="D238" s="117"/>
      <c r="E238" s="117"/>
      <c r="F238" s="117"/>
      <c r="G238" s="116"/>
      <c r="H238" s="117"/>
      <c r="I238" s="117"/>
      <c r="J238" s="117"/>
      <c r="K238" s="117"/>
      <c r="L238" s="117"/>
      <c r="M238" s="213"/>
      <c r="N238" s="117"/>
      <c r="O238" s="117"/>
      <c r="P238" s="117"/>
      <c r="Q238" s="200"/>
      <c r="R238" s="239"/>
      <c r="S238" s="239"/>
      <c r="T238" s="239"/>
      <c r="U238" s="216"/>
      <c r="V238" s="217"/>
      <c r="W238" s="233"/>
      <c r="X238" s="123"/>
      <c r="Y238" s="117"/>
      <c r="Z238" s="117"/>
    </row>
    <row r="239" spans="1:26">
      <c r="A239" s="117"/>
      <c r="B239" s="117"/>
      <c r="C239" s="117"/>
      <c r="D239" s="117"/>
      <c r="E239" s="117"/>
      <c r="F239" s="117"/>
      <c r="G239" s="116"/>
      <c r="H239" s="117"/>
      <c r="I239" s="117"/>
      <c r="J239" s="117"/>
      <c r="K239" s="117"/>
      <c r="L239" s="117"/>
      <c r="M239" s="213"/>
      <c r="N239" s="117"/>
      <c r="O239" s="117"/>
      <c r="P239" s="117"/>
      <c r="Q239" s="200"/>
      <c r="R239" s="239"/>
      <c r="S239" s="239"/>
      <c r="T239" s="239"/>
      <c r="U239" s="216"/>
      <c r="V239" s="217"/>
      <c r="W239" s="233"/>
      <c r="X239" s="123"/>
      <c r="Y239" s="117"/>
      <c r="Z239" s="117"/>
    </row>
    <row r="240" spans="1:26">
      <c r="A240" s="117"/>
      <c r="B240" s="117"/>
      <c r="C240" s="117"/>
      <c r="D240" s="117"/>
      <c r="E240" s="117"/>
      <c r="F240" s="117"/>
      <c r="G240" s="116"/>
      <c r="H240" s="117"/>
      <c r="I240" s="117"/>
      <c r="J240" s="117"/>
      <c r="K240" s="117"/>
      <c r="L240" s="117"/>
      <c r="M240" s="213"/>
      <c r="N240" s="117"/>
      <c r="O240" s="117"/>
      <c r="P240" s="117"/>
      <c r="Q240" s="200"/>
      <c r="R240" s="239"/>
      <c r="S240" s="239"/>
      <c r="T240" s="239"/>
      <c r="U240" s="216"/>
      <c r="V240" s="217"/>
      <c r="W240" s="233"/>
      <c r="X240" s="123"/>
      <c r="Y240" s="117"/>
      <c r="Z240" s="117"/>
    </row>
    <row r="241" spans="1:26">
      <c r="A241" s="117"/>
      <c r="B241" s="117"/>
      <c r="C241" s="117"/>
      <c r="D241" s="117"/>
      <c r="E241" s="117"/>
      <c r="F241" s="117"/>
      <c r="G241" s="116"/>
      <c r="H241" s="117"/>
      <c r="I241" s="117"/>
      <c r="J241" s="117"/>
      <c r="K241" s="117"/>
      <c r="L241" s="117"/>
      <c r="M241" s="213"/>
      <c r="N241" s="117"/>
      <c r="O241" s="117"/>
      <c r="P241" s="117"/>
      <c r="Q241" s="200"/>
      <c r="R241" s="239"/>
      <c r="S241" s="239"/>
      <c r="T241" s="239"/>
      <c r="U241" s="216"/>
      <c r="V241" s="217"/>
      <c r="W241" s="233"/>
      <c r="X241" s="123"/>
      <c r="Y241" s="117"/>
      <c r="Z241" s="117"/>
    </row>
    <row r="242" spans="1:26">
      <c r="A242" s="117"/>
      <c r="B242" s="117"/>
      <c r="C242" s="117"/>
      <c r="D242" s="117"/>
      <c r="E242" s="117"/>
      <c r="F242" s="117"/>
      <c r="G242" s="116"/>
      <c r="H242" s="117"/>
      <c r="I242" s="117"/>
      <c r="J242" s="117"/>
      <c r="K242" s="117"/>
      <c r="L242" s="117"/>
      <c r="M242" s="213"/>
      <c r="N242" s="117"/>
      <c r="O242" s="117"/>
      <c r="P242" s="117"/>
      <c r="Q242" s="200"/>
      <c r="R242" s="239"/>
      <c r="S242" s="239"/>
      <c r="T242" s="239"/>
      <c r="U242" s="216"/>
      <c r="V242" s="217"/>
      <c r="W242" s="233"/>
      <c r="X242" s="123"/>
      <c r="Y242" s="117"/>
      <c r="Z242" s="117"/>
    </row>
    <row r="243" spans="1:26">
      <c r="A243" s="117"/>
      <c r="B243" s="117"/>
      <c r="C243" s="117"/>
      <c r="D243" s="117"/>
      <c r="E243" s="117"/>
      <c r="F243" s="117"/>
      <c r="G243" s="116"/>
      <c r="H243" s="117"/>
      <c r="I243" s="117"/>
      <c r="J243" s="117"/>
      <c r="K243" s="117"/>
      <c r="L243" s="117"/>
      <c r="M243" s="213"/>
      <c r="N243" s="117"/>
      <c r="O243" s="117"/>
      <c r="P243" s="117"/>
      <c r="Q243" s="200"/>
      <c r="R243" s="239"/>
      <c r="S243" s="239"/>
      <c r="T243" s="239"/>
      <c r="U243" s="216"/>
      <c r="V243" s="217"/>
      <c r="W243" s="233"/>
      <c r="X243" s="123"/>
      <c r="Y243" s="117"/>
      <c r="Z243" s="117"/>
    </row>
    <row r="244" spans="1:26">
      <c r="A244" s="117"/>
      <c r="B244" s="117"/>
      <c r="C244" s="117"/>
      <c r="D244" s="117"/>
      <c r="E244" s="117"/>
      <c r="F244" s="117"/>
      <c r="G244" s="116"/>
      <c r="H244" s="117"/>
      <c r="I244" s="117"/>
      <c r="J244" s="117"/>
      <c r="K244" s="117"/>
      <c r="L244" s="117"/>
      <c r="M244" s="213"/>
      <c r="N244" s="117"/>
      <c r="O244" s="117"/>
      <c r="P244" s="117"/>
      <c r="Q244" s="200"/>
      <c r="R244" s="239"/>
      <c r="S244" s="239"/>
      <c r="T244" s="239"/>
      <c r="U244" s="216"/>
      <c r="V244" s="217"/>
      <c r="W244" s="233"/>
      <c r="X244" s="123"/>
      <c r="Y244" s="117"/>
      <c r="Z244" s="117"/>
    </row>
    <row r="245" spans="1:26">
      <c r="A245" s="117"/>
      <c r="B245" s="117"/>
      <c r="C245" s="117"/>
      <c r="D245" s="117"/>
      <c r="E245" s="117"/>
      <c r="F245" s="117"/>
      <c r="G245" s="116"/>
      <c r="H245" s="117"/>
      <c r="I245" s="117"/>
      <c r="J245" s="117"/>
      <c r="K245" s="117"/>
      <c r="L245" s="117"/>
      <c r="M245" s="213"/>
      <c r="N245" s="117"/>
      <c r="O245" s="117"/>
      <c r="P245" s="117"/>
      <c r="Q245" s="200"/>
      <c r="R245" s="239"/>
      <c r="S245" s="239"/>
      <c r="T245" s="239"/>
      <c r="U245" s="216"/>
      <c r="V245" s="217"/>
      <c r="W245" s="233"/>
      <c r="X245" s="123"/>
      <c r="Y245" s="117"/>
      <c r="Z245" s="117"/>
    </row>
    <row r="246" spans="1:26">
      <c r="A246" s="117"/>
      <c r="B246" s="117"/>
      <c r="C246" s="117"/>
      <c r="D246" s="117"/>
      <c r="E246" s="117"/>
      <c r="F246" s="117"/>
      <c r="G246" s="116"/>
      <c r="H246" s="117"/>
      <c r="I246" s="117"/>
      <c r="J246" s="117"/>
      <c r="K246" s="117"/>
      <c r="L246" s="117"/>
      <c r="M246" s="213"/>
      <c r="N246" s="117"/>
      <c r="O246" s="117"/>
      <c r="P246" s="117"/>
      <c r="Q246" s="200"/>
      <c r="R246" s="239"/>
      <c r="S246" s="239"/>
      <c r="T246" s="239"/>
      <c r="U246" s="216"/>
      <c r="V246" s="217"/>
      <c r="W246" s="233"/>
      <c r="X246" s="123"/>
      <c r="Y246" s="117"/>
      <c r="Z246" s="117"/>
    </row>
    <row r="247" spans="1:26">
      <c r="A247" s="117"/>
      <c r="B247" s="117"/>
      <c r="C247" s="117"/>
      <c r="D247" s="117"/>
      <c r="E247" s="117"/>
      <c r="F247" s="117"/>
      <c r="G247" s="116"/>
      <c r="H247" s="117"/>
      <c r="I247" s="117"/>
      <c r="J247" s="117"/>
      <c r="K247" s="117"/>
      <c r="L247" s="117"/>
      <c r="M247" s="213"/>
      <c r="N247" s="117"/>
      <c r="O247" s="117"/>
      <c r="P247" s="117"/>
      <c r="Q247" s="200"/>
      <c r="R247" s="239"/>
      <c r="S247" s="239"/>
      <c r="T247" s="239"/>
      <c r="U247" s="216"/>
      <c r="V247" s="217"/>
      <c r="W247" s="233"/>
      <c r="X247" s="123"/>
      <c r="Y247" s="117"/>
      <c r="Z247" s="117"/>
    </row>
    <row r="248" spans="1:26">
      <c r="A248" s="117"/>
      <c r="B248" s="117"/>
      <c r="C248" s="117"/>
      <c r="D248" s="117"/>
      <c r="E248" s="117"/>
      <c r="F248" s="117"/>
      <c r="G248" s="116"/>
      <c r="H248" s="117"/>
      <c r="I248" s="117"/>
      <c r="J248" s="117"/>
      <c r="K248" s="117"/>
      <c r="L248" s="117"/>
      <c r="M248" s="213"/>
      <c r="N248" s="117"/>
      <c r="O248" s="117"/>
      <c r="P248" s="117"/>
      <c r="Q248" s="200"/>
      <c r="R248" s="239"/>
      <c r="S248" s="239"/>
      <c r="T248" s="239"/>
      <c r="U248" s="216"/>
      <c r="V248" s="217"/>
      <c r="W248" s="233"/>
      <c r="X248" s="123"/>
      <c r="Y248" s="117"/>
      <c r="Z248" s="117"/>
    </row>
    <row r="249" spans="1:26">
      <c r="A249" s="117"/>
      <c r="B249" s="117"/>
      <c r="C249" s="117"/>
      <c r="D249" s="117"/>
      <c r="E249" s="117"/>
      <c r="F249" s="117"/>
      <c r="G249" s="116"/>
      <c r="H249" s="117"/>
      <c r="I249" s="117"/>
      <c r="J249" s="117"/>
      <c r="K249" s="117"/>
      <c r="L249" s="117"/>
      <c r="M249" s="213"/>
      <c r="N249" s="117"/>
      <c r="O249" s="117"/>
      <c r="P249" s="117"/>
      <c r="Q249" s="200"/>
      <c r="R249" s="239"/>
      <c r="S249" s="239"/>
      <c r="T249" s="239"/>
      <c r="U249" s="216"/>
      <c r="V249" s="217"/>
      <c r="W249" s="233"/>
      <c r="X249" s="123"/>
      <c r="Y249" s="117"/>
      <c r="Z249" s="117"/>
    </row>
    <row r="250" spans="1:26">
      <c r="A250" s="117"/>
      <c r="B250" s="117"/>
      <c r="C250" s="117"/>
      <c r="D250" s="117"/>
      <c r="E250" s="117"/>
      <c r="F250" s="117"/>
      <c r="G250" s="116"/>
      <c r="H250" s="117"/>
      <c r="I250" s="117"/>
      <c r="J250" s="117"/>
      <c r="K250" s="117"/>
      <c r="L250" s="117"/>
      <c r="M250" s="213"/>
      <c r="N250" s="117"/>
      <c r="O250" s="117"/>
      <c r="P250" s="117"/>
      <c r="Q250" s="200"/>
      <c r="R250" s="239"/>
      <c r="S250" s="239"/>
      <c r="T250" s="239"/>
      <c r="U250" s="216"/>
      <c r="V250" s="217"/>
      <c r="W250" s="233"/>
      <c r="X250" s="123"/>
      <c r="Y250" s="117"/>
      <c r="Z250" s="117"/>
    </row>
    <row r="251" spans="1:26">
      <c r="A251" s="117"/>
      <c r="B251" s="117"/>
      <c r="C251" s="117"/>
      <c r="D251" s="117"/>
      <c r="E251" s="117"/>
      <c r="F251" s="117"/>
      <c r="G251" s="116"/>
      <c r="H251" s="117"/>
      <c r="I251" s="117"/>
      <c r="J251" s="117"/>
      <c r="K251" s="117"/>
      <c r="L251" s="117"/>
      <c r="M251" s="213"/>
      <c r="N251" s="117"/>
      <c r="O251" s="117"/>
      <c r="P251" s="117"/>
      <c r="Q251" s="200"/>
      <c r="R251" s="239"/>
      <c r="S251" s="239"/>
      <c r="T251" s="239"/>
      <c r="U251" s="216"/>
      <c r="V251" s="217"/>
      <c r="W251" s="233"/>
      <c r="X251" s="123"/>
      <c r="Y251" s="117"/>
      <c r="Z251" s="117"/>
    </row>
    <row r="252" spans="1:26">
      <c r="A252" s="117"/>
      <c r="B252" s="117"/>
      <c r="C252" s="117"/>
      <c r="D252" s="117"/>
      <c r="E252" s="117"/>
      <c r="F252" s="117"/>
      <c r="G252" s="116"/>
      <c r="H252" s="117"/>
      <c r="I252" s="117"/>
      <c r="J252" s="117"/>
      <c r="K252" s="117"/>
      <c r="L252" s="117"/>
      <c r="M252" s="213"/>
      <c r="N252" s="117"/>
      <c r="O252" s="117"/>
      <c r="P252" s="117"/>
      <c r="Q252" s="200"/>
      <c r="R252" s="239"/>
      <c r="S252" s="239"/>
      <c r="T252" s="239"/>
      <c r="U252" s="216"/>
      <c r="V252" s="217"/>
      <c r="W252" s="233"/>
      <c r="X252" s="123"/>
      <c r="Y252" s="117"/>
      <c r="Z252" s="117"/>
    </row>
    <row r="253" spans="1:26">
      <c r="A253" s="117"/>
      <c r="B253" s="117"/>
      <c r="C253" s="117"/>
      <c r="D253" s="117"/>
      <c r="E253" s="117"/>
      <c r="F253" s="117"/>
      <c r="G253" s="116"/>
      <c r="H253" s="117"/>
      <c r="I253" s="117"/>
      <c r="J253" s="117"/>
      <c r="K253" s="117"/>
      <c r="L253" s="117"/>
      <c r="M253" s="213"/>
      <c r="N253" s="117"/>
      <c r="O253" s="117"/>
      <c r="P253" s="117"/>
      <c r="Q253" s="200"/>
      <c r="R253" s="239"/>
      <c r="S253" s="239"/>
      <c r="T253" s="239"/>
      <c r="U253" s="216"/>
      <c r="V253" s="217"/>
      <c r="W253" s="233"/>
      <c r="X253" s="123"/>
      <c r="Y253" s="117"/>
      <c r="Z253" s="117"/>
    </row>
    <row r="254" spans="1:26">
      <c r="A254" s="117"/>
      <c r="B254" s="117"/>
      <c r="C254" s="117"/>
      <c r="D254" s="117"/>
      <c r="E254" s="117"/>
      <c r="F254" s="117"/>
      <c r="G254" s="116"/>
      <c r="H254" s="117"/>
      <c r="I254" s="117"/>
      <c r="J254" s="117"/>
      <c r="K254" s="117"/>
      <c r="L254" s="117"/>
      <c r="M254" s="213"/>
      <c r="N254" s="117"/>
      <c r="O254" s="117"/>
      <c r="P254" s="117"/>
      <c r="Q254" s="200"/>
      <c r="R254" s="239"/>
      <c r="S254" s="239"/>
      <c r="T254" s="239"/>
      <c r="U254" s="216"/>
      <c r="V254" s="217"/>
      <c r="W254" s="233"/>
      <c r="X254" s="123"/>
      <c r="Y254" s="117"/>
      <c r="Z254" s="117"/>
    </row>
    <row r="255" spans="1:26">
      <c r="A255" s="117"/>
      <c r="B255" s="117"/>
      <c r="C255" s="117"/>
      <c r="D255" s="117"/>
      <c r="E255" s="117"/>
      <c r="F255" s="117"/>
      <c r="G255" s="116"/>
      <c r="H255" s="117"/>
      <c r="I255" s="117"/>
      <c r="J255" s="117"/>
      <c r="K255" s="117"/>
      <c r="L255" s="117"/>
      <c r="M255" s="213"/>
      <c r="N255" s="117"/>
      <c r="O255" s="117"/>
      <c r="P255" s="117"/>
      <c r="Q255" s="200"/>
      <c r="R255" s="239"/>
      <c r="S255" s="239"/>
      <c r="T255" s="239"/>
      <c r="U255" s="216"/>
      <c r="V255" s="217"/>
      <c r="W255" s="233"/>
      <c r="X255" s="123"/>
      <c r="Y255" s="117"/>
      <c r="Z255" s="117"/>
    </row>
    <row r="256" spans="1:26">
      <c r="A256" s="117"/>
      <c r="B256" s="117"/>
      <c r="C256" s="117"/>
      <c r="D256" s="117"/>
      <c r="E256" s="117"/>
      <c r="F256" s="117"/>
      <c r="G256" s="116"/>
      <c r="H256" s="117"/>
      <c r="I256" s="117"/>
      <c r="J256" s="117"/>
      <c r="K256" s="117"/>
      <c r="L256" s="117"/>
      <c r="M256" s="213"/>
      <c r="N256" s="117"/>
      <c r="O256" s="117"/>
      <c r="P256" s="117"/>
      <c r="Q256" s="200"/>
      <c r="R256" s="239"/>
      <c r="S256" s="239"/>
      <c r="T256" s="239"/>
      <c r="U256" s="216"/>
      <c r="V256" s="217"/>
      <c r="W256" s="233"/>
      <c r="X256" s="123"/>
      <c r="Y256" s="117"/>
      <c r="Z256" s="117"/>
    </row>
    <row r="257" spans="1:26">
      <c r="A257" s="117"/>
      <c r="B257" s="117"/>
      <c r="C257" s="117"/>
      <c r="D257" s="117"/>
      <c r="E257" s="117"/>
      <c r="F257" s="117"/>
      <c r="G257" s="116"/>
      <c r="H257" s="117"/>
      <c r="I257" s="117"/>
      <c r="J257" s="117"/>
      <c r="K257" s="117"/>
      <c r="L257" s="117"/>
      <c r="M257" s="213"/>
      <c r="N257" s="117"/>
      <c r="O257" s="117"/>
      <c r="P257" s="117"/>
      <c r="Q257" s="200"/>
      <c r="R257" s="239"/>
      <c r="S257" s="239"/>
      <c r="T257" s="239"/>
      <c r="U257" s="216"/>
      <c r="V257" s="217"/>
      <c r="W257" s="233"/>
      <c r="X257" s="123"/>
      <c r="Y257" s="117"/>
      <c r="Z257" s="117"/>
    </row>
    <row r="258" spans="1:26">
      <c r="A258" s="117"/>
      <c r="B258" s="117"/>
      <c r="C258" s="117"/>
      <c r="D258" s="117"/>
      <c r="E258" s="117"/>
      <c r="F258" s="117"/>
      <c r="G258" s="116"/>
      <c r="H258" s="117"/>
      <c r="I258" s="117"/>
      <c r="J258" s="117"/>
      <c r="K258" s="117"/>
      <c r="L258" s="117"/>
      <c r="M258" s="213"/>
      <c r="N258" s="117"/>
      <c r="O258" s="117"/>
      <c r="P258" s="117"/>
      <c r="Q258" s="200"/>
      <c r="R258" s="239"/>
      <c r="S258" s="239"/>
      <c r="T258" s="239"/>
      <c r="U258" s="216"/>
      <c r="V258" s="217"/>
      <c r="W258" s="233"/>
      <c r="X258" s="123"/>
      <c r="Y258" s="117"/>
      <c r="Z258" s="117"/>
    </row>
    <row r="259" spans="1:26">
      <c r="A259" s="117"/>
      <c r="B259" s="117"/>
      <c r="C259" s="117"/>
      <c r="D259" s="117"/>
      <c r="E259" s="117"/>
      <c r="F259" s="117"/>
      <c r="G259" s="116"/>
      <c r="H259" s="117"/>
      <c r="I259" s="117"/>
      <c r="J259" s="117"/>
      <c r="K259" s="117"/>
      <c r="L259" s="117"/>
      <c r="M259" s="213"/>
      <c r="N259" s="117"/>
      <c r="O259" s="117"/>
      <c r="P259" s="117"/>
      <c r="Q259" s="200"/>
      <c r="R259" s="239"/>
      <c r="S259" s="239"/>
      <c r="T259" s="239"/>
      <c r="U259" s="216"/>
      <c r="V259" s="217"/>
      <c r="W259" s="233"/>
      <c r="X259" s="123"/>
      <c r="Y259" s="117"/>
      <c r="Z259" s="117"/>
    </row>
    <row r="260" spans="1:26">
      <c r="A260" s="117"/>
      <c r="B260" s="117"/>
      <c r="C260" s="117"/>
      <c r="D260" s="117"/>
      <c r="E260" s="117"/>
      <c r="F260" s="117"/>
      <c r="G260" s="116"/>
      <c r="H260" s="117"/>
      <c r="I260" s="117"/>
      <c r="J260" s="117"/>
      <c r="K260" s="117"/>
      <c r="L260" s="117"/>
      <c r="M260" s="213"/>
      <c r="N260" s="117"/>
      <c r="O260" s="117"/>
      <c r="P260" s="117"/>
      <c r="Q260" s="200"/>
      <c r="R260" s="239"/>
      <c r="S260" s="239"/>
      <c r="T260" s="239"/>
      <c r="U260" s="216"/>
      <c r="V260" s="217"/>
      <c r="W260" s="233"/>
      <c r="X260" s="123"/>
      <c r="Y260" s="117"/>
      <c r="Z260" s="117"/>
    </row>
    <row r="261" spans="1:26">
      <c r="A261" s="117"/>
      <c r="B261" s="117"/>
      <c r="C261" s="117"/>
      <c r="D261" s="117"/>
      <c r="E261" s="117"/>
      <c r="F261" s="117"/>
      <c r="G261" s="116"/>
      <c r="H261" s="117"/>
      <c r="I261" s="117"/>
      <c r="J261" s="117"/>
      <c r="K261" s="117"/>
      <c r="L261" s="117"/>
      <c r="M261" s="213"/>
      <c r="N261" s="117"/>
      <c r="O261" s="117"/>
      <c r="P261" s="117"/>
      <c r="Q261" s="200"/>
      <c r="R261" s="239"/>
      <c r="S261" s="239"/>
      <c r="T261" s="239"/>
      <c r="U261" s="216"/>
      <c r="V261" s="217"/>
      <c r="W261" s="233"/>
      <c r="X261" s="123"/>
      <c r="Y261" s="117"/>
      <c r="Z261" s="117"/>
    </row>
    <row r="262" spans="1:26">
      <c r="A262" s="117"/>
      <c r="B262" s="117"/>
      <c r="C262" s="117"/>
      <c r="D262" s="117"/>
      <c r="E262" s="117"/>
      <c r="F262" s="117"/>
      <c r="G262" s="116"/>
      <c r="H262" s="117"/>
      <c r="I262" s="117"/>
      <c r="J262" s="117"/>
      <c r="K262" s="117"/>
      <c r="L262" s="117"/>
      <c r="M262" s="213"/>
      <c r="N262" s="117"/>
      <c r="O262" s="117"/>
      <c r="P262" s="117"/>
      <c r="Q262" s="200"/>
      <c r="R262" s="239"/>
      <c r="S262" s="239"/>
      <c r="T262" s="239"/>
      <c r="U262" s="216"/>
      <c r="V262" s="217"/>
      <c r="W262" s="233"/>
      <c r="X262" s="123"/>
      <c r="Y262" s="117"/>
      <c r="Z262" s="117"/>
    </row>
    <row r="263" spans="1:26">
      <c r="A263" s="117"/>
      <c r="B263" s="117"/>
      <c r="C263" s="117"/>
      <c r="D263" s="117"/>
      <c r="E263" s="117"/>
      <c r="F263" s="117"/>
      <c r="G263" s="116"/>
      <c r="H263" s="117"/>
      <c r="I263" s="117"/>
      <c r="J263" s="117"/>
      <c r="K263" s="117"/>
      <c r="L263" s="117"/>
      <c r="M263" s="213"/>
      <c r="N263" s="117"/>
      <c r="O263" s="117"/>
      <c r="P263" s="117"/>
      <c r="Q263" s="200"/>
      <c r="R263" s="239"/>
      <c r="S263" s="239"/>
      <c r="T263" s="239"/>
      <c r="U263" s="216"/>
      <c r="V263" s="217"/>
      <c r="W263" s="233"/>
      <c r="X263" s="123"/>
      <c r="Y263" s="117"/>
      <c r="Z263" s="117"/>
    </row>
    <row r="264" spans="1:26">
      <c r="A264" s="117"/>
      <c r="B264" s="117"/>
      <c r="C264" s="117"/>
      <c r="D264" s="117"/>
      <c r="E264" s="117"/>
      <c r="F264" s="117"/>
      <c r="G264" s="116"/>
      <c r="H264" s="117"/>
      <c r="I264" s="117"/>
      <c r="J264" s="117"/>
      <c r="K264" s="117"/>
      <c r="L264" s="117"/>
      <c r="M264" s="213"/>
      <c r="N264" s="117"/>
      <c r="O264" s="117"/>
      <c r="P264" s="117"/>
      <c r="Q264" s="200"/>
      <c r="R264" s="239"/>
      <c r="S264" s="239"/>
      <c r="T264" s="239"/>
      <c r="U264" s="216"/>
      <c r="V264" s="217"/>
      <c r="W264" s="233"/>
      <c r="X264" s="123"/>
      <c r="Y264" s="117"/>
      <c r="Z264" s="117"/>
    </row>
    <row r="265" spans="1:26">
      <c r="A265" s="117"/>
      <c r="B265" s="117"/>
      <c r="C265" s="117"/>
      <c r="D265" s="117"/>
      <c r="E265" s="117"/>
      <c r="F265" s="117"/>
      <c r="G265" s="116"/>
      <c r="H265" s="117"/>
      <c r="I265" s="117"/>
      <c r="J265" s="117"/>
      <c r="K265" s="117"/>
      <c r="L265" s="117"/>
      <c r="M265" s="213"/>
      <c r="N265" s="117"/>
      <c r="O265" s="117"/>
      <c r="P265" s="117"/>
      <c r="Q265" s="200"/>
      <c r="R265" s="239"/>
      <c r="S265" s="239"/>
      <c r="T265" s="239"/>
      <c r="U265" s="216"/>
      <c r="V265" s="217"/>
      <c r="W265" s="233"/>
      <c r="X265" s="123"/>
      <c r="Y265" s="117"/>
      <c r="Z265" s="117"/>
    </row>
    <row r="266" spans="1:26">
      <c r="A266" s="117"/>
      <c r="B266" s="117"/>
      <c r="C266" s="117"/>
      <c r="D266" s="117"/>
      <c r="E266" s="117"/>
      <c r="F266" s="117"/>
      <c r="G266" s="116"/>
      <c r="H266" s="117"/>
      <c r="I266" s="117"/>
      <c r="J266" s="117"/>
      <c r="K266" s="117"/>
      <c r="L266" s="117"/>
      <c r="M266" s="213"/>
      <c r="N266" s="117"/>
      <c r="O266" s="117"/>
      <c r="P266" s="117"/>
      <c r="Q266" s="200"/>
      <c r="R266" s="239"/>
      <c r="S266" s="239"/>
      <c r="T266" s="239"/>
      <c r="U266" s="216"/>
      <c r="V266" s="217"/>
      <c r="W266" s="233"/>
      <c r="X266" s="123"/>
      <c r="Y266" s="117"/>
      <c r="Z266" s="117"/>
    </row>
    <row r="267" spans="1:26">
      <c r="A267" s="117"/>
      <c r="B267" s="117"/>
      <c r="C267" s="117"/>
      <c r="D267" s="117"/>
      <c r="E267" s="117"/>
      <c r="F267" s="117"/>
      <c r="G267" s="116"/>
      <c r="H267" s="117"/>
      <c r="I267" s="117"/>
      <c r="J267" s="117"/>
      <c r="K267" s="117"/>
      <c r="L267" s="117"/>
      <c r="M267" s="213"/>
      <c r="N267" s="117"/>
      <c r="O267" s="117"/>
      <c r="P267" s="117"/>
      <c r="Q267" s="200"/>
      <c r="R267" s="239"/>
      <c r="S267" s="239"/>
      <c r="T267" s="239"/>
      <c r="U267" s="216"/>
      <c r="V267" s="217"/>
      <c r="W267" s="233"/>
      <c r="X267" s="123"/>
      <c r="Y267" s="117"/>
      <c r="Z267" s="117"/>
    </row>
    <row r="268" spans="1:26">
      <c r="A268" s="117"/>
      <c r="B268" s="117"/>
      <c r="C268" s="117"/>
      <c r="D268" s="117"/>
      <c r="E268" s="117"/>
      <c r="F268" s="117"/>
      <c r="G268" s="116"/>
      <c r="H268" s="117"/>
      <c r="I268" s="117"/>
      <c r="J268" s="117"/>
      <c r="K268" s="117"/>
      <c r="L268" s="117"/>
      <c r="M268" s="213"/>
      <c r="N268" s="117"/>
      <c r="O268" s="117"/>
      <c r="P268" s="117"/>
      <c r="Q268" s="200"/>
      <c r="R268" s="239"/>
      <c r="S268" s="239"/>
      <c r="T268" s="239"/>
      <c r="U268" s="216"/>
      <c r="V268" s="217"/>
      <c r="W268" s="233"/>
      <c r="X268" s="123"/>
      <c r="Y268" s="117"/>
      <c r="Z268" s="117"/>
    </row>
    <row r="269" spans="1:26">
      <c r="A269" s="117"/>
      <c r="B269" s="117"/>
      <c r="C269" s="117"/>
      <c r="D269" s="117"/>
      <c r="E269" s="117"/>
      <c r="F269" s="117"/>
      <c r="G269" s="116"/>
      <c r="H269" s="117"/>
      <c r="I269" s="117"/>
      <c r="J269" s="117"/>
      <c r="K269" s="117"/>
      <c r="L269" s="117"/>
      <c r="M269" s="213"/>
      <c r="N269" s="117"/>
      <c r="O269" s="117"/>
      <c r="P269" s="117"/>
      <c r="Q269" s="200"/>
      <c r="R269" s="239"/>
      <c r="S269" s="239"/>
      <c r="T269" s="239"/>
      <c r="U269" s="216"/>
      <c r="V269" s="217"/>
      <c r="W269" s="233"/>
      <c r="X269" s="123"/>
      <c r="Y269" s="117"/>
      <c r="Z269" s="117"/>
    </row>
    <row r="270" spans="1:26">
      <c r="A270" s="117"/>
      <c r="B270" s="117"/>
      <c r="C270" s="117"/>
      <c r="D270" s="117"/>
      <c r="E270" s="117"/>
      <c r="F270" s="117"/>
      <c r="G270" s="116"/>
      <c r="H270" s="117"/>
      <c r="I270" s="117"/>
      <c r="J270" s="117"/>
      <c r="K270" s="117"/>
      <c r="L270" s="117"/>
      <c r="M270" s="213"/>
      <c r="N270" s="117"/>
      <c r="O270" s="117"/>
      <c r="P270" s="117"/>
      <c r="Q270" s="200"/>
      <c r="R270" s="239"/>
      <c r="S270" s="239"/>
      <c r="T270" s="239"/>
      <c r="U270" s="216"/>
      <c r="V270" s="217"/>
      <c r="W270" s="233"/>
      <c r="X270" s="123"/>
      <c r="Y270" s="117"/>
      <c r="Z270" s="117"/>
    </row>
    <row r="271" spans="1:26">
      <c r="A271" s="117"/>
      <c r="B271" s="117"/>
      <c r="C271" s="117"/>
      <c r="D271" s="117"/>
      <c r="E271" s="117"/>
      <c r="F271" s="117"/>
      <c r="G271" s="116"/>
      <c r="H271" s="117"/>
      <c r="I271" s="117"/>
      <c r="J271" s="117"/>
      <c r="K271" s="117"/>
      <c r="L271" s="117"/>
      <c r="M271" s="213"/>
      <c r="N271" s="117"/>
      <c r="O271" s="117"/>
      <c r="P271" s="117"/>
      <c r="Q271" s="200"/>
      <c r="R271" s="239"/>
      <c r="S271" s="239"/>
      <c r="T271" s="239"/>
      <c r="U271" s="216"/>
      <c r="V271" s="217"/>
      <c r="W271" s="233"/>
      <c r="X271" s="123"/>
      <c r="Y271" s="117"/>
      <c r="Z271" s="117"/>
    </row>
    <row r="272" spans="1:26">
      <c r="A272" s="117"/>
      <c r="B272" s="117"/>
      <c r="C272" s="117"/>
      <c r="D272" s="117"/>
      <c r="E272" s="117"/>
      <c r="F272" s="117"/>
      <c r="G272" s="116"/>
      <c r="H272" s="117"/>
      <c r="I272" s="117"/>
      <c r="J272" s="117"/>
      <c r="K272" s="117"/>
      <c r="L272" s="117"/>
      <c r="M272" s="213"/>
      <c r="N272" s="117"/>
      <c r="O272" s="117"/>
      <c r="P272" s="117"/>
      <c r="Q272" s="200"/>
      <c r="R272" s="239"/>
      <c r="S272" s="239"/>
      <c r="T272" s="239"/>
      <c r="U272" s="216"/>
      <c r="V272" s="217"/>
      <c r="W272" s="233"/>
      <c r="X272" s="123"/>
      <c r="Y272" s="117"/>
      <c r="Z272" s="117"/>
    </row>
    <row r="273" spans="1:26">
      <c r="A273" s="117"/>
      <c r="B273" s="117"/>
      <c r="C273" s="117"/>
      <c r="D273" s="117"/>
      <c r="E273" s="117"/>
      <c r="F273" s="117"/>
      <c r="G273" s="116"/>
      <c r="H273" s="117"/>
      <c r="I273" s="117"/>
      <c r="J273" s="117"/>
      <c r="K273" s="117"/>
      <c r="L273" s="117"/>
      <c r="M273" s="213"/>
      <c r="N273" s="117"/>
      <c r="O273" s="117"/>
      <c r="P273" s="117"/>
      <c r="Q273" s="200"/>
      <c r="R273" s="239"/>
      <c r="S273" s="239"/>
      <c r="T273" s="239"/>
      <c r="U273" s="216"/>
      <c r="V273" s="217"/>
      <c r="W273" s="233"/>
      <c r="X273" s="123"/>
      <c r="Y273" s="117"/>
      <c r="Z273" s="117"/>
    </row>
    <row r="274" spans="1:26">
      <c r="A274" s="117"/>
      <c r="B274" s="117"/>
      <c r="C274" s="117"/>
      <c r="D274" s="117"/>
      <c r="E274" s="117"/>
      <c r="F274" s="117"/>
      <c r="G274" s="116"/>
      <c r="H274" s="117"/>
      <c r="I274" s="117"/>
      <c r="J274" s="117"/>
      <c r="K274" s="117"/>
      <c r="L274" s="117"/>
      <c r="M274" s="213"/>
      <c r="N274" s="117"/>
      <c r="O274" s="117"/>
      <c r="P274" s="117"/>
      <c r="Q274" s="200"/>
      <c r="R274" s="239"/>
      <c r="S274" s="239"/>
      <c r="T274" s="239"/>
      <c r="U274" s="216"/>
      <c r="V274" s="217"/>
      <c r="W274" s="233"/>
      <c r="X274" s="123"/>
      <c r="Y274" s="117"/>
      <c r="Z274" s="117"/>
    </row>
    <row r="275" spans="1:26">
      <c r="A275" s="117"/>
      <c r="B275" s="117"/>
      <c r="C275" s="117"/>
      <c r="D275" s="117"/>
      <c r="E275" s="117"/>
      <c r="F275" s="117"/>
      <c r="G275" s="116"/>
      <c r="H275" s="117"/>
      <c r="I275" s="117"/>
      <c r="J275" s="117"/>
      <c r="K275" s="117"/>
      <c r="L275" s="117"/>
      <c r="M275" s="213"/>
      <c r="N275" s="117"/>
      <c r="O275" s="117"/>
      <c r="P275" s="117"/>
      <c r="Q275" s="200"/>
      <c r="R275" s="239"/>
      <c r="S275" s="239"/>
      <c r="T275" s="239"/>
      <c r="U275" s="216"/>
      <c r="V275" s="217"/>
      <c r="W275" s="233"/>
      <c r="X275" s="123"/>
      <c r="Y275" s="117"/>
      <c r="Z275" s="117"/>
    </row>
    <row r="276" spans="1:26">
      <c r="A276" s="117"/>
      <c r="B276" s="117"/>
      <c r="C276" s="117"/>
      <c r="D276" s="117"/>
      <c r="E276" s="117"/>
      <c r="F276" s="117"/>
      <c r="G276" s="116"/>
      <c r="H276" s="117"/>
      <c r="I276" s="117"/>
      <c r="J276" s="117"/>
      <c r="K276" s="117"/>
      <c r="L276" s="117"/>
      <c r="M276" s="213"/>
      <c r="N276" s="117"/>
      <c r="O276" s="117"/>
      <c r="P276" s="117"/>
      <c r="Q276" s="200"/>
      <c r="R276" s="239"/>
      <c r="S276" s="239"/>
      <c r="T276" s="239"/>
      <c r="U276" s="216"/>
      <c r="V276" s="217"/>
      <c r="W276" s="233"/>
      <c r="X276" s="123"/>
      <c r="Y276" s="117"/>
      <c r="Z276" s="117"/>
    </row>
    <row r="277" spans="1:26">
      <c r="A277" s="117"/>
      <c r="B277" s="117"/>
      <c r="C277" s="117"/>
      <c r="D277" s="117"/>
      <c r="E277" s="117"/>
      <c r="F277" s="117"/>
      <c r="G277" s="116"/>
      <c r="H277" s="117"/>
      <c r="I277" s="117"/>
      <c r="J277" s="117"/>
      <c r="K277" s="117"/>
      <c r="L277" s="117"/>
      <c r="M277" s="213"/>
      <c r="N277" s="117"/>
      <c r="O277" s="117"/>
      <c r="P277" s="117"/>
      <c r="Q277" s="200"/>
      <c r="R277" s="239"/>
      <c r="S277" s="239"/>
      <c r="T277" s="239"/>
      <c r="U277" s="216"/>
      <c r="V277" s="217"/>
      <c r="W277" s="233"/>
      <c r="X277" s="123"/>
      <c r="Y277" s="117"/>
      <c r="Z277" s="117"/>
    </row>
    <row r="278" spans="1:26">
      <c r="A278" s="117"/>
      <c r="B278" s="117"/>
      <c r="C278" s="117"/>
      <c r="D278" s="117"/>
      <c r="E278" s="117"/>
      <c r="F278" s="117"/>
      <c r="G278" s="116"/>
      <c r="H278" s="117"/>
      <c r="I278" s="117"/>
      <c r="J278" s="117"/>
      <c r="K278" s="117"/>
      <c r="L278" s="117"/>
      <c r="M278" s="213"/>
      <c r="N278" s="117"/>
      <c r="O278" s="117"/>
      <c r="P278" s="117"/>
      <c r="Q278" s="200"/>
      <c r="R278" s="239"/>
      <c r="S278" s="239"/>
      <c r="T278" s="239"/>
      <c r="U278" s="216"/>
      <c r="V278" s="217"/>
      <c r="W278" s="233"/>
      <c r="X278" s="123"/>
      <c r="Y278" s="117"/>
      <c r="Z278" s="117"/>
    </row>
    <row r="279" spans="1:26">
      <c r="A279" s="117"/>
      <c r="B279" s="117"/>
      <c r="C279" s="117"/>
      <c r="D279" s="117"/>
      <c r="E279" s="117"/>
      <c r="F279" s="117"/>
      <c r="G279" s="116"/>
      <c r="H279" s="117"/>
      <c r="I279" s="117"/>
      <c r="J279" s="117"/>
      <c r="K279" s="117"/>
      <c r="L279" s="117"/>
      <c r="M279" s="213"/>
      <c r="N279" s="117"/>
      <c r="O279" s="117"/>
      <c r="P279" s="117"/>
      <c r="Q279" s="200"/>
      <c r="R279" s="239"/>
      <c r="S279" s="239"/>
      <c r="T279" s="239"/>
      <c r="U279" s="216"/>
      <c r="V279" s="217"/>
      <c r="W279" s="233"/>
      <c r="X279" s="123"/>
      <c r="Y279" s="117"/>
      <c r="Z279" s="117"/>
    </row>
    <row r="280" spans="1:26">
      <c r="A280" s="117"/>
      <c r="B280" s="117"/>
      <c r="C280" s="117"/>
      <c r="D280" s="117"/>
      <c r="E280" s="117"/>
      <c r="F280" s="117"/>
      <c r="G280" s="116"/>
      <c r="H280" s="117"/>
      <c r="I280" s="117"/>
      <c r="J280" s="117"/>
      <c r="K280" s="117"/>
      <c r="L280" s="117"/>
      <c r="M280" s="213"/>
      <c r="N280" s="117"/>
      <c r="O280" s="117"/>
      <c r="P280" s="117"/>
      <c r="Q280" s="200"/>
      <c r="R280" s="239"/>
      <c r="S280" s="239"/>
      <c r="T280" s="239"/>
      <c r="U280" s="216"/>
      <c r="V280" s="217"/>
      <c r="W280" s="233"/>
      <c r="X280" s="123"/>
      <c r="Y280" s="117"/>
      <c r="Z280" s="117"/>
    </row>
    <row r="281" spans="1:26">
      <c r="A281" s="117"/>
      <c r="B281" s="117"/>
      <c r="C281" s="117"/>
      <c r="D281" s="117"/>
      <c r="E281" s="117"/>
      <c r="F281" s="117"/>
      <c r="G281" s="116"/>
      <c r="H281" s="117"/>
      <c r="I281" s="117"/>
      <c r="J281" s="117"/>
      <c r="K281" s="117"/>
      <c r="L281" s="117"/>
      <c r="M281" s="213"/>
      <c r="N281" s="117"/>
      <c r="O281" s="117"/>
      <c r="P281" s="117"/>
      <c r="Q281" s="200"/>
      <c r="R281" s="239"/>
      <c r="S281" s="239"/>
      <c r="T281" s="239"/>
      <c r="U281" s="216"/>
      <c r="V281" s="217"/>
      <c r="W281" s="233"/>
      <c r="X281" s="123"/>
      <c r="Y281" s="117"/>
      <c r="Z281" s="117"/>
    </row>
    <row r="282" spans="1:26">
      <c r="A282" s="117"/>
      <c r="B282" s="117"/>
      <c r="C282" s="117"/>
      <c r="D282" s="117"/>
      <c r="E282" s="117"/>
      <c r="F282" s="117"/>
      <c r="G282" s="116"/>
      <c r="H282" s="117"/>
      <c r="I282" s="117"/>
      <c r="J282" s="117"/>
      <c r="K282" s="117"/>
      <c r="L282" s="117"/>
      <c r="M282" s="213"/>
      <c r="N282" s="117"/>
      <c r="O282" s="117"/>
      <c r="P282" s="117"/>
      <c r="Q282" s="200"/>
      <c r="R282" s="239"/>
      <c r="S282" s="239"/>
      <c r="T282" s="239"/>
      <c r="U282" s="216"/>
      <c r="V282" s="217"/>
      <c r="W282" s="233"/>
      <c r="X282" s="123"/>
      <c r="Y282" s="117"/>
      <c r="Z282" s="117"/>
    </row>
    <row r="283" spans="1:26">
      <c r="A283" s="117"/>
      <c r="B283" s="117"/>
      <c r="C283" s="117"/>
      <c r="D283" s="117"/>
      <c r="E283" s="117"/>
      <c r="F283" s="117"/>
      <c r="G283" s="116"/>
      <c r="H283" s="117"/>
      <c r="I283" s="117"/>
      <c r="J283" s="117"/>
      <c r="K283" s="117"/>
      <c r="L283" s="117"/>
      <c r="M283" s="213"/>
      <c r="N283" s="117"/>
      <c r="O283" s="117"/>
      <c r="P283" s="117"/>
      <c r="Q283" s="200"/>
      <c r="R283" s="239"/>
      <c r="S283" s="239"/>
      <c r="T283" s="239"/>
      <c r="U283" s="216"/>
      <c r="V283" s="217"/>
      <c r="W283" s="233"/>
      <c r="X283" s="123"/>
      <c r="Y283" s="117"/>
      <c r="Z283" s="117"/>
    </row>
    <row r="284" spans="1:26">
      <c r="A284" s="117"/>
      <c r="B284" s="117"/>
      <c r="C284" s="117"/>
      <c r="D284" s="117"/>
      <c r="E284" s="117"/>
      <c r="F284" s="117"/>
      <c r="G284" s="116"/>
      <c r="H284" s="117"/>
      <c r="I284" s="117"/>
      <c r="J284" s="117"/>
      <c r="K284" s="117"/>
      <c r="L284" s="117"/>
      <c r="M284" s="213"/>
      <c r="N284" s="117"/>
      <c r="O284" s="117"/>
      <c r="P284" s="117"/>
      <c r="Q284" s="200"/>
      <c r="R284" s="239"/>
      <c r="S284" s="239"/>
      <c r="T284" s="239"/>
      <c r="U284" s="216"/>
      <c r="V284" s="217"/>
      <c r="W284" s="233"/>
      <c r="X284" s="123"/>
      <c r="Y284" s="117"/>
      <c r="Z284" s="117"/>
    </row>
    <row r="285" spans="1:26">
      <c r="A285" s="117"/>
      <c r="B285" s="117"/>
      <c r="C285" s="117"/>
      <c r="D285" s="117"/>
      <c r="E285" s="117"/>
      <c r="F285" s="117"/>
      <c r="G285" s="116"/>
      <c r="H285" s="117"/>
      <c r="I285" s="117"/>
      <c r="J285" s="117"/>
      <c r="K285" s="117"/>
      <c r="L285" s="117"/>
      <c r="M285" s="213"/>
      <c r="N285" s="117"/>
      <c r="O285" s="117"/>
      <c r="P285" s="117"/>
      <c r="Q285" s="200"/>
      <c r="R285" s="239"/>
      <c r="S285" s="239"/>
      <c r="T285" s="239"/>
      <c r="U285" s="216"/>
      <c r="V285" s="217"/>
      <c r="W285" s="233"/>
      <c r="X285" s="123"/>
      <c r="Y285" s="117"/>
      <c r="Z285" s="117"/>
    </row>
    <row r="286" spans="1:26">
      <c r="A286" s="117"/>
      <c r="B286" s="117"/>
      <c r="C286" s="117"/>
      <c r="D286" s="117"/>
      <c r="E286" s="117"/>
      <c r="F286" s="117"/>
      <c r="G286" s="116"/>
      <c r="H286" s="117"/>
      <c r="I286" s="117"/>
      <c r="J286" s="117"/>
      <c r="K286" s="117"/>
      <c r="L286" s="117"/>
      <c r="M286" s="213"/>
      <c r="N286" s="117"/>
      <c r="O286" s="117"/>
      <c r="P286" s="117"/>
      <c r="Q286" s="200"/>
      <c r="R286" s="239"/>
      <c r="S286" s="239"/>
      <c r="T286" s="239"/>
      <c r="U286" s="216"/>
      <c r="V286" s="217"/>
      <c r="W286" s="233"/>
      <c r="X286" s="123"/>
      <c r="Y286" s="117"/>
      <c r="Z286" s="117"/>
    </row>
    <row r="287" spans="1:26">
      <c r="A287" s="117"/>
      <c r="B287" s="117"/>
      <c r="C287" s="117"/>
      <c r="D287" s="117"/>
      <c r="E287" s="117"/>
      <c r="F287" s="117"/>
      <c r="G287" s="116"/>
      <c r="H287" s="117"/>
      <c r="I287" s="117"/>
      <c r="J287" s="117"/>
      <c r="K287" s="117"/>
      <c r="L287" s="117"/>
      <c r="M287" s="213"/>
      <c r="N287" s="117"/>
      <c r="O287" s="117"/>
      <c r="P287" s="117"/>
      <c r="Q287" s="200"/>
      <c r="R287" s="239"/>
      <c r="S287" s="239"/>
      <c r="T287" s="239"/>
      <c r="U287" s="216"/>
      <c r="V287" s="217"/>
      <c r="W287" s="233"/>
      <c r="X287" s="123"/>
      <c r="Y287" s="117"/>
      <c r="Z287" s="117"/>
    </row>
    <row r="288" spans="1:26">
      <c r="A288" s="117"/>
      <c r="B288" s="117"/>
      <c r="C288" s="117"/>
      <c r="D288" s="117"/>
      <c r="E288" s="117"/>
      <c r="F288" s="117"/>
      <c r="G288" s="116"/>
      <c r="H288" s="117"/>
      <c r="I288" s="117"/>
      <c r="J288" s="117"/>
      <c r="K288" s="117"/>
      <c r="L288" s="117"/>
      <c r="M288" s="213"/>
      <c r="N288" s="117"/>
      <c r="O288" s="117"/>
      <c r="P288" s="117"/>
      <c r="Q288" s="200"/>
      <c r="R288" s="239"/>
      <c r="S288" s="239"/>
      <c r="T288" s="239"/>
      <c r="U288" s="216"/>
      <c r="V288" s="217"/>
      <c r="W288" s="233"/>
      <c r="X288" s="123"/>
      <c r="Y288" s="117"/>
      <c r="Z288" s="117"/>
    </row>
    <row r="289" spans="1:26">
      <c r="A289" s="117"/>
      <c r="B289" s="117"/>
      <c r="C289" s="117"/>
      <c r="D289" s="117"/>
      <c r="E289" s="117"/>
      <c r="F289" s="117"/>
      <c r="G289" s="116"/>
      <c r="H289" s="117"/>
      <c r="I289" s="117"/>
      <c r="J289" s="117"/>
      <c r="K289" s="117"/>
      <c r="L289" s="117"/>
      <c r="M289" s="213"/>
      <c r="N289" s="117"/>
      <c r="O289" s="117"/>
      <c r="P289" s="117"/>
      <c r="Q289" s="200"/>
      <c r="R289" s="239"/>
      <c r="S289" s="239"/>
      <c r="T289" s="239"/>
      <c r="U289" s="216"/>
      <c r="V289" s="217"/>
      <c r="W289" s="233"/>
      <c r="X289" s="123"/>
      <c r="Y289" s="117"/>
      <c r="Z289" s="117"/>
    </row>
    <row r="290" spans="1:26">
      <c r="A290" s="117"/>
      <c r="B290" s="117"/>
      <c r="C290" s="117"/>
      <c r="D290" s="117"/>
      <c r="E290" s="117"/>
      <c r="F290" s="117"/>
      <c r="G290" s="116"/>
      <c r="H290" s="117"/>
      <c r="I290" s="117"/>
      <c r="J290" s="117"/>
      <c r="K290" s="117"/>
      <c r="L290" s="117"/>
      <c r="M290" s="213"/>
      <c r="N290" s="117"/>
      <c r="O290" s="117"/>
      <c r="P290" s="117"/>
      <c r="Q290" s="200"/>
      <c r="R290" s="239"/>
      <c r="S290" s="239"/>
      <c r="T290" s="239"/>
      <c r="U290" s="216"/>
      <c r="V290" s="217"/>
      <c r="W290" s="233"/>
      <c r="X290" s="123"/>
      <c r="Y290" s="117"/>
      <c r="Z290" s="117"/>
    </row>
    <row r="291" spans="1:26">
      <c r="A291" s="117"/>
      <c r="B291" s="117"/>
      <c r="C291" s="117"/>
      <c r="D291" s="117"/>
      <c r="E291" s="117"/>
      <c r="F291" s="117"/>
      <c r="G291" s="116"/>
      <c r="H291" s="117"/>
      <c r="I291" s="117"/>
      <c r="J291" s="117"/>
      <c r="K291" s="117"/>
      <c r="L291" s="117"/>
      <c r="M291" s="213"/>
      <c r="N291" s="117"/>
      <c r="O291" s="117"/>
      <c r="P291" s="117"/>
      <c r="Q291" s="200"/>
      <c r="R291" s="239"/>
      <c r="S291" s="239"/>
      <c r="T291" s="239"/>
      <c r="U291" s="216"/>
      <c r="V291" s="217"/>
      <c r="W291" s="233"/>
      <c r="X291" s="123"/>
      <c r="Y291" s="117"/>
      <c r="Z291" s="117"/>
    </row>
    <row r="292" spans="1:26">
      <c r="A292" s="117"/>
      <c r="B292" s="117"/>
      <c r="C292" s="117"/>
      <c r="D292" s="117"/>
      <c r="E292" s="117"/>
      <c r="F292" s="117"/>
      <c r="G292" s="116"/>
      <c r="H292" s="117"/>
      <c r="I292" s="117"/>
      <c r="J292" s="117"/>
      <c r="K292" s="117"/>
      <c r="L292" s="117"/>
      <c r="M292" s="213"/>
      <c r="N292" s="117"/>
      <c r="O292" s="117"/>
      <c r="P292" s="117"/>
      <c r="Q292" s="200"/>
      <c r="R292" s="239"/>
      <c r="S292" s="239"/>
      <c r="T292" s="239"/>
      <c r="U292" s="216"/>
      <c r="V292" s="217"/>
      <c r="W292" s="233"/>
      <c r="X292" s="123"/>
      <c r="Y292" s="117"/>
      <c r="Z292" s="117"/>
    </row>
    <row r="293" spans="1:26">
      <c r="A293" s="117"/>
      <c r="B293" s="117"/>
      <c r="C293" s="117"/>
      <c r="D293" s="117"/>
      <c r="E293" s="117"/>
      <c r="F293" s="117"/>
      <c r="G293" s="116"/>
      <c r="H293" s="117"/>
      <c r="I293" s="117"/>
      <c r="J293" s="117"/>
      <c r="K293" s="117"/>
      <c r="L293" s="117"/>
      <c r="M293" s="213"/>
      <c r="N293" s="117"/>
      <c r="O293" s="117"/>
      <c r="P293" s="117"/>
      <c r="Q293" s="200"/>
      <c r="R293" s="239"/>
      <c r="S293" s="239"/>
      <c r="T293" s="239"/>
      <c r="U293" s="216"/>
      <c r="V293" s="217"/>
      <c r="W293" s="233"/>
      <c r="X293" s="123"/>
      <c r="Y293" s="117"/>
      <c r="Z293" s="117"/>
    </row>
    <row r="294" spans="1:26">
      <c r="A294" s="117"/>
      <c r="B294" s="117"/>
      <c r="C294" s="117"/>
      <c r="D294" s="117"/>
      <c r="E294" s="117"/>
      <c r="F294" s="117"/>
      <c r="G294" s="116"/>
      <c r="H294" s="117"/>
      <c r="I294" s="117"/>
      <c r="J294" s="117"/>
      <c r="K294" s="117"/>
      <c r="L294" s="117"/>
      <c r="M294" s="213"/>
      <c r="N294" s="117"/>
      <c r="O294" s="117"/>
      <c r="P294" s="117"/>
      <c r="Q294" s="200"/>
      <c r="R294" s="239"/>
      <c r="S294" s="239"/>
      <c r="T294" s="239"/>
      <c r="U294" s="216"/>
      <c r="V294" s="217"/>
      <c r="W294" s="233"/>
      <c r="X294" s="123"/>
      <c r="Y294" s="117"/>
      <c r="Z294" s="117"/>
    </row>
    <row r="295" spans="1:26">
      <c r="A295" s="117"/>
      <c r="B295" s="117"/>
      <c r="C295" s="117"/>
      <c r="D295" s="117"/>
      <c r="E295" s="117"/>
      <c r="F295" s="117"/>
      <c r="G295" s="116"/>
      <c r="H295" s="117"/>
      <c r="I295" s="117"/>
      <c r="J295" s="117"/>
      <c r="K295" s="117"/>
      <c r="L295" s="117"/>
      <c r="M295" s="213"/>
      <c r="N295" s="117"/>
      <c r="O295" s="117"/>
      <c r="P295" s="117"/>
      <c r="Q295" s="200"/>
      <c r="R295" s="239"/>
      <c r="S295" s="239"/>
      <c r="T295" s="239"/>
      <c r="U295" s="216"/>
      <c r="V295" s="217"/>
      <c r="W295" s="233"/>
      <c r="X295" s="123"/>
      <c r="Y295" s="117"/>
      <c r="Z295" s="117"/>
    </row>
    <row r="296" spans="1:26">
      <c r="A296" s="117"/>
      <c r="B296" s="117"/>
      <c r="C296" s="117"/>
      <c r="D296" s="117"/>
      <c r="E296" s="117"/>
      <c r="F296" s="117"/>
      <c r="G296" s="116"/>
      <c r="H296" s="117"/>
      <c r="I296" s="117"/>
      <c r="J296" s="117"/>
      <c r="K296" s="117"/>
      <c r="L296" s="117"/>
      <c r="M296" s="213"/>
      <c r="N296" s="117"/>
      <c r="O296" s="117"/>
      <c r="P296" s="117"/>
      <c r="Q296" s="200"/>
      <c r="R296" s="239"/>
      <c r="S296" s="239"/>
      <c r="T296" s="239"/>
      <c r="U296" s="216"/>
      <c r="V296" s="217"/>
      <c r="W296" s="233"/>
      <c r="X296" s="123"/>
      <c r="Y296" s="117"/>
      <c r="Z296" s="117"/>
    </row>
    <row r="297" spans="1:26">
      <c r="A297" s="117"/>
      <c r="B297" s="117"/>
      <c r="C297" s="117"/>
      <c r="D297" s="117"/>
      <c r="E297" s="117"/>
      <c r="F297" s="117"/>
      <c r="G297" s="116"/>
      <c r="H297" s="117"/>
      <c r="I297" s="117"/>
      <c r="J297" s="117"/>
      <c r="K297" s="117"/>
      <c r="L297" s="117"/>
      <c r="M297" s="213"/>
      <c r="N297" s="117"/>
      <c r="O297" s="117"/>
      <c r="P297" s="117"/>
      <c r="Q297" s="200"/>
      <c r="R297" s="239"/>
      <c r="S297" s="239"/>
      <c r="T297" s="239"/>
      <c r="U297" s="216"/>
      <c r="V297" s="217"/>
      <c r="W297" s="233"/>
      <c r="X297" s="123"/>
      <c r="Y297" s="117"/>
      <c r="Z297" s="117"/>
    </row>
    <row r="298" spans="1:26">
      <c r="A298" s="117"/>
      <c r="B298" s="117"/>
      <c r="C298" s="117"/>
      <c r="D298" s="117"/>
      <c r="E298" s="117"/>
      <c r="F298" s="117"/>
      <c r="G298" s="116"/>
      <c r="H298" s="117"/>
      <c r="I298" s="117"/>
      <c r="J298" s="117"/>
      <c r="K298" s="117"/>
      <c r="L298" s="117"/>
      <c r="M298" s="213"/>
      <c r="N298" s="117"/>
      <c r="O298" s="117"/>
      <c r="P298" s="117"/>
      <c r="Q298" s="200"/>
      <c r="R298" s="239"/>
      <c r="S298" s="239"/>
      <c r="T298" s="239"/>
      <c r="U298" s="216"/>
      <c r="V298" s="217"/>
      <c r="W298" s="233"/>
      <c r="X298" s="123"/>
      <c r="Y298" s="117"/>
      <c r="Z298" s="117"/>
    </row>
    <row r="299" spans="1:26">
      <c r="A299" s="117"/>
      <c r="B299" s="117"/>
      <c r="C299" s="117"/>
      <c r="D299" s="117"/>
      <c r="E299" s="117"/>
      <c r="F299" s="117"/>
      <c r="G299" s="116"/>
      <c r="H299" s="117"/>
      <c r="I299" s="117"/>
      <c r="J299" s="117"/>
      <c r="K299" s="117"/>
      <c r="L299" s="117"/>
      <c r="M299" s="213"/>
      <c r="N299" s="117"/>
      <c r="O299" s="117"/>
      <c r="P299" s="117"/>
      <c r="Q299" s="200"/>
      <c r="R299" s="239"/>
      <c r="S299" s="239"/>
      <c r="T299" s="239"/>
      <c r="U299" s="216"/>
      <c r="V299" s="217"/>
      <c r="W299" s="233"/>
      <c r="X299" s="123"/>
      <c r="Y299" s="117"/>
      <c r="Z299" s="117"/>
    </row>
    <row r="300" spans="1:26">
      <c r="A300" s="117"/>
      <c r="B300" s="117"/>
      <c r="C300" s="117"/>
      <c r="D300" s="117"/>
      <c r="E300" s="117"/>
      <c r="F300" s="117"/>
      <c r="G300" s="116"/>
      <c r="H300" s="117"/>
      <c r="I300" s="117"/>
      <c r="J300" s="117"/>
      <c r="K300" s="117"/>
      <c r="L300" s="117"/>
      <c r="M300" s="213"/>
      <c r="N300" s="117"/>
      <c r="O300" s="117"/>
      <c r="P300" s="117"/>
      <c r="Q300" s="200"/>
      <c r="R300" s="239"/>
      <c r="S300" s="239"/>
      <c r="T300" s="239"/>
      <c r="U300" s="216"/>
      <c r="V300" s="217"/>
      <c r="W300" s="233"/>
      <c r="X300" s="123"/>
      <c r="Y300" s="117"/>
      <c r="Z300" s="117"/>
    </row>
    <row r="301" spans="1:26">
      <c r="A301" s="117"/>
      <c r="B301" s="117"/>
      <c r="C301" s="117"/>
      <c r="D301" s="117"/>
      <c r="E301" s="117"/>
      <c r="F301" s="117"/>
      <c r="G301" s="116"/>
      <c r="H301" s="117"/>
      <c r="I301" s="117"/>
      <c r="J301" s="117"/>
      <c r="K301" s="117"/>
      <c r="L301" s="117"/>
      <c r="M301" s="213"/>
      <c r="N301" s="117"/>
      <c r="O301" s="117"/>
      <c r="P301" s="117"/>
      <c r="Q301" s="200"/>
      <c r="R301" s="239"/>
      <c r="S301" s="239"/>
      <c r="T301" s="239"/>
      <c r="U301" s="216"/>
      <c r="V301" s="217"/>
      <c r="W301" s="233"/>
      <c r="X301" s="123"/>
      <c r="Y301" s="117"/>
      <c r="Z301" s="117"/>
    </row>
    <row r="302" spans="1:26">
      <c r="A302" s="117"/>
      <c r="B302" s="117"/>
      <c r="C302" s="117"/>
      <c r="D302" s="117"/>
      <c r="E302" s="117"/>
      <c r="F302" s="117"/>
      <c r="G302" s="116"/>
      <c r="H302" s="117"/>
      <c r="I302" s="117"/>
      <c r="J302" s="117"/>
      <c r="K302" s="117"/>
      <c r="L302" s="117"/>
      <c r="M302" s="213"/>
      <c r="N302" s="117"/>
      <c r="O302" s="117"/>
      <c r="P302" s="117"/>
      <c r="Q302" s="200"/>
      <c r="R302" s="239"/>
      <c r="S302" s="239"/>
      <c r="T302" s="239"/>
      <c r="U302" s="216"/>
      <c r="V302" s="217"/>
      <c r="W302" s="233"/>
      <c r="X302" s="123"/>
      <c r="Y302" s="117"/>
      <c r="Z302" s="117"/>
    </row>
    <row r="303" spans="1:26">
      <c r="A303" s="117"/>
      <c r="B303" s="117"/>
      <c r="C303" s="117"/>
      <c r="D303" s="117"/>
      <c r="E303" s="117"/>
      <c r="F303" s="117"/>
      <c r="G303" s="116"/>
      <c r="H303" s="117"/>
      <c r="I303" s="117"/>
      <c r="J303" s="117"/>
      <c r="K303" s="117"/>
      <c r="L303" s="117"/>
      <c r="M303" s="213"/>
      <c r="N303" s="117"/>
      <c r="O303" s="117"/>
      <c r="P303" s="117"/>
      <c r="Q303" s="200"/>
      <c r="R303" s="239"/>
      <c r="S303" s="239"/>
      <c r="T303" s="239"/>
      <c r="U303" s="216"/>
      <c r="V303" s="217"/>
      <c r="W303" s="233"/>
      <c r="X303" s="123"/>
      <c r="Y303" s="117"/>
      <c r="Z303" s="117"/>
    </row>
    <row r="304" spans="1:26">
      <c r="A304" s="117"/>
      <c r="B304" s="117"/>
      <c r="C304" s="117"/>
      <c r="D304" s="117"/>
      <c r="E304" s="117"/>
      <c r="F304" s="117"/>
      <c r="G304" s="116"/>
      <c r="H304" s="117"/>
      <c r="I304" s="117"/>
      <c r="J304" s="117"/>
      <c r="K304" s="117"/>
      <c r="L304" s="117"/>
      <c r="M304" s="213"/>
      <c r="N304" s="117"/>
      <c r="O304" s="117"/>
      <c r="P304" s="117"/>
      <c r="Q304" s="200"/>
      <c r="R304" s="239"/>
      <c r="S304" s="239"/>
      <c r="T304" s="239"/>
      <c r="U304" s="216"/>
      <c r="V304" s="217"/>
      <c r="W304" s="233"/>
      <c r="X304" s="123"/>
      <c r="Y304" s="117"/>
      <c r="Z304" s="117"/>
    </row>
    <row r="305" spans="1:26">
      <c r="A305" s="117"/>
      <c r="B305" s="117"/>
      <c r="C305" s="117"/>
      <c r="D305" s="117"/>
      <c r="E305" s="117"/>
      <c r="F305" s="117"/>
      <c r="G305" s="116"/>
      <c r="H305" s="117"/>
      <c r="I305" s="117"/>
      <c r="J305" s="117"/>
      <c r="K305" s="117"/>
      <c r="L305" s="117"/>
      <c r="M305" s="213"/>
      <c r="N305" s="117"/>
      <c r="O305" s="117"/>
      <c r="P305" s="117"/>
      <c r="Q305" s="200"/>
      <c r="R305" s="239"/>
      <c r="S305" s="239"/>
      <c r="T305" s="239"/>
      <c r="U305" s="216"/>
      <c r="V305" s="217"/>
      <c r="W305" s="233"/>
      <c r="X305" s="123"/>
      <c r="Y305" s="117"/>
      <c r="Z305" s="117"/>
    </row>
    <row r="306" spans="1:26">
      <c r="A306" s="117"/>
      <c r="B306" s="117"/>
      <c r="C306" s="117"/>
      <c r="D306" s="117"/>
      <c r="E306" s="117"/>
      <c r="F306" s="117"/>
      <c r="G306" s="116"/>
      <c r="H306" s="117"/>
      <c r="I306" s="117"/>
      <c r="J306" s="117"/>
      <c r="K306" s="117"/>
      <c r="L306" s="117"/>
      <c r="M306" s="213"/>
      <c r="N306" s="117"/>
      <c r="O306" s="117"/>
      <c r="P306" s="117"/>
      <c r="Q306" s="200"/>
      <c r="R306" s="239"/>
      <c r="S306" s="239"/>
      <c r="T306" s="239"/>
      <c r="U306" s="216"/>
      <c r="V306" s="217"/>
      <c r="W306" s="233"/>
      <c r="X306" s="123"/>
      <c r="Y306" s="117"/>
      <c r="Z306" s="117"/>
    </row>
    <row r="307" spans="1:26">
      <c r="A307" s="117"/>
      <c r="B307" s="117"/>
      <c r="C307" s="117"/>
      <c r="D307" s="117"/>
      <c r="E307" s="117"/>
      <c r="F307" s="117"/>
      <c r="G307" s="116"/>
      <c r="H307" s="117"/>
      <c r="I307" s="117"/>
      <c r="J307" s="117"/>
      <c r="K307" s="117"/>
      <c r="L307" s="117"/>
      <c r="M307" s="213"/>
      <c r="N307" s="117"/>
      <c r="O307" s="117"/>
      <c r="P307" s="117"/>
      <c r="Q307" s="200"/>
      <c r="R307" s="239"/>
      <c r="S307" s="239"/>
      <c r="T307" s="239"/>
      <c r="U307" s="216"/>
      <c r="V307" s="217"/>
      <c r="W307" s="233"/>
      <c r="X307" s="123"/>
      <c r="Y307" s="117"/>
      <c r="Z307" s="117"/>
    </row>
    <row r="308" spans="1:26">
      <c r="A308" s="117"/>
      <c r="B308" s="117"/>
      <c r="C308" s="117"/>
      <c r="D308" s="117"/>
      <c r="E308" s="117"/>
      <c r="F308" s="117"/>
      <c r="G308" s="116"/>
      <c r="H308" s="117"/>
      <c r="I308" s="117"/>
      <c r="J308" s="117"/>
      <c r="K308" s="117"/>
      <c r="L308" s="117"/>
      <c r="M308" s="213"/>
      <c r="N308" s="117"/>
      <c r="O308" s="117"/>
      <c r="P308" s="117"/>
      <c r="Q308" s="200"/>
      <c r="R308" s="239"/>
      <c r="S308" s="239"/>
      <c r="T308" s="239"/>
      <c r="U308" s="216"/>
      <c r="V308" s="217"/>
      <c r="W308" s="233"/>
      <c r="X308" s="123"/>
      <c r="Y308" s="117"/>
      <c r="Z308" s="117"/>
    </row>
    <row r="309" spans="1:26">
      <c r="A309" s="117"/>
      <c r="B309" s="117"/>
      <c r="C309" s="117"/>
      <c r="D309" s="117"/>
      <c r="E309" s="117"/>
      <c r="F309" s="117"/>
      <c r="G309" s="116"/>
      <c r="H309" s="117"/>
      <c r="I309" s="117"/>
      <c r="J309" s="117"/>
      <c r="K309" s="117"/>
      <c r="L309" s="117"/>
      <c r="M309" s="213"/>
      <c r="N309" s="117"/>
      <c r="O309" s="117"/>
      <c r="P309" s="117"/>
      <c r="Q309" s="200"/>
      <c r="R309" s="239"/>
      <c r="S309" s="239"/>
      <c r="T309" s="239"/>
      <c r="U309" s="216"/>
      <c r="V309" s="217"/>
      <c r="W309" s="233"/>
      <c r="X309" s="123"/>
      <c r="Y309" s="117"/>
      <c r="Z309" s="117"/>
    </row>
    <row r="310" spans="1:26">
      <c r="A310" s="117"/>
      <c r="B310" s="117"/>
      <c r="C310" s="117"/>
      <c r="D310" s="117"/>
      <c r="E310" s="117"/>
      <c r="F310" s="117"/>
      <c r="G310" s="116"/>
      <c r="H310" s="117"/>
      <c r="I310" s="117"/>
      <c r="J310" s="117"/>
      <c r="K310" s="117"/>
      <c r="L310" s="117"/>
      <c r="M310" s="213"/>
      <c r="N310" s="117"/>
      <c r="O310" s="117"/>
      <c r="P310" s="117"/>
      <c r="Q310" s="200"/>
      <c r="R310" s="239"/>
      <c r="S310" s="239"/>
      <c r="T310" s="239"/>
      <c r="U310" s="216"/>
      <c r="V310" s="217"/>
      <c r="W310" s="233"/>
      <c r="X310" s="123"/>
      <c r="Y310" s="117"/>
      <c r="Z310" s="117"/>
    </row>
    <row r="311" spans="1:26">
      <c r="A311" s="117"/>
      <c r="B311" s="117"/>
      <c r="C311" s="117"/>
      <c r="D311" s="117"/>
      <c r="E311" s="117"/>
      <c r="F311" s="117"/>
      <c r="G311" s="116"/>
      <c r="H311" s="117"/>
      <c r="I311" s="117"/>
      <c r="J311" s="117"/>
      <c r="K311" s="117"/>
      <c r="L311" s="117"/>
      <c r="M311" s="213"/>
      <c r="N311" s="117"/>
      <c r="O311" s="117"/>
      <c r="P311" s="117"/>
      <c r="Q311" s="200"/>
      <c r="R311" s="239"/>
      <c r="S311" s="239"/>
      <c r="T311" s="239"/>
      <c r="U311" s="216"/>
      <c r="V311" s="217"/>
      <c r="W311" s="233"/>
      <c r="X311" s="123"/>
      <c r="Y311" s="117"/>
      <c r="Z311" s="117"/>
    </row>
    <row r="312" spans="1:26">
      <c r="A312" s="117"/>
      <c r="B312" s="117"/>
      <c r="C312" s="117"/>
      <c r="D312" s="117"/>
      <c r="E312" s="117"/>
      <c r="F312" s="117"/>
      <c r="G312" s="116"/>
      <c r="H312" s="117"/>
      <c r="I312" s="117"/>
      <c r="J312" s="117"/>
      <c r="K312" s="117"/>
      <c r="L312" s="117"/>
      <c r="M312" s="213"/>
      <c r="N312" s="117"/>
      <c r="O312" s="117"/>
      <c r="P312" s="117"/>
      <c r="Q312" s="200"/>
      <c r="R312" s="239"/>
      <c r="S312" s="239"/>
      <c r="T312" s="239"/>
      <c r="U312" s="216"/>
      <c r="V312" s="217"/>
      <c r="W312" s="233"/>
      <c r="X312" s="123"/>
      <c r="Y312" s="117"/>
      <c r="Z312" s="117"/>
    </row>
    <row r="313" spans="1:26">
      <c r="A313" s="117"/>
      <c r="B313" s="117"/>
      <c r="C313" s="117"/>
      <c r="D313" s="117"/>
      <c r="E313" s="117"/>
      <c r="F313" s="117"/>
      <c r="G313" s="116"/>
      <c r="H313" s="117"/>
      <c r="I313" s="117"/>
      <c r="J313" s="117"/>
      <c r="K313" s="117"/>
      <c r="L313" s="117"/>
      <c r="M313" s="213"/>
      <c r="N313" s="117"/>
      <c r="O313" s="117"/>
      <c r="P313" s="117"/>
      <c r="Q313" s="200"/>
      <c r="R313" s="239"/>
      <c r="S313" s="239"/>
      <c r="T313" s="239"/>
      <c r="U313" s="216"/>
      <c r="V313" s="217"/>
      <c r="W313" s="233"/>
      <c r="X313" s="123"/>
      <c r="Y313" s="117"/>
      <c r="Z313" s="117"/>
    </row>
    <row r="314" spans="1:26">
      <c r="A314" s="117"/>
      <c r="B314" s="117"/>
      <c r="C314" s="117"/>
      <c r="D314" s="117"/>
      <c r="E314" s="117"/>
      <c r="F314" s="117"/>
      <c r="G314" s="116"/>
      <c r="H314" s="117"/>
      <c r="I314" s="117"/>
      <c r="J314" s="117"/>
      <c r="K314" s="117"/>
      <c r="L314" s="117"/>
      <c r="M314" s="213"/>
      <c r="N314" s="117"/>
      <c r="O314" s="117"/>
      <c r="P314" s="117"/>
      <c r="Q314" s="200"/>
      <c r="R314" s="239"/>
      <c r="S314" s="239"/>
      <c r="T314" s="239"/>
      <c r="U314" s="216"/>
      <c r="V314" s="217"/>
      <c r="W314" s="233"/>
      <c r="X314" s="123"/>
      <c r="Y314" s="117"/>
      <c r="Z314" s="117"/>
    </row>
    <row r="315" spans="1:26">
      <c r="A315" s="117"/>
      <c r="B315" s="117"/>
      <c r="C315" s="117"/>
      <c r="D315" s="117"/>
      <c r="E315" s="117"/>
      <c r="F315" s="117"/>
      <c r="G315" s="116"/>
      <c r="H315" s="117"/>
      <c r="I315" s="117"/>
      <c r="J315" s="117"/>
      <c r="K315" s="117"/>
      <c r="L315" s="117"/>
      <c r="M315" s="213"/>
      <c r="N315" s="117"/>
      <c r="O315" s="117"/>
      <c r="P315" s="117"/>
      <c r="Q315" s="200"/>
      <c r="R315" s="239"/>
      <c r="S315" s="239"/>
      <c r="T315" s="239"/>
      <c r="U315" s="216"/>
      <c r="V315" s="217"/>
      <c r="W315" s="233"/>
      <c r="X315" s="123"/>
      <c r="Y315" s="117"/>
      <c r="Z315" s="117"/>
    </row>
    <row r="316" spans="1:26">
      <c r="A316" s="117"/>
      <c r="B316" s="117"/>
      <c r="C316" s="117"/>
      <c r="D316" s="117"/>
      <c r="E316" s="117"/>
      <c r="F316" s="117"/>
      <c r="G316" s="116"/>
      <c r="H316" s="117"/>
      <c r="I316" s="117"/>
      <c r="J316" s="117"/>
      <c r="K316" s="117"/>
      <c r="L316" s="117"/>
      <c r="M316" s="213"/>
      <c r="N316" s="117"/>
      <c r="O316" s="117"/>
      <c r="P316" s="117"/>
      <c r="Q316" s="200"/>
      <c r="R316" s="239"/>
      <c r="S316" s="239"/>
      <c r="T316" s="239"/>
      <c r="U316" s="216"/>
      <c r="V316" s="217"/>
      <c r="W316" s="233"/>
      <c r="X316" s="123"/>
      <c r="Y316" s="117"/>
      <c r="Z316" s="117"/>
    </row>
    <row r="317" spans="1:26">
      <c r="A317" s="117"/>
      <c r="B317" s="117"/>
      <c r="C317" s="117"/>
      <c r="D317" s="117"/>
      <c r="E317" s="117"/>
      <c r="F317" s="117"/>
      <c r="G317" s="116"/>
      <c r="H317" s="117"/>
      <c r="I317" s="117"/>
      <c r="J317" s="117"/>
      <c r="K317" s="117"/>
      <c r="L317" s="117"/>
      <c r="M317" s="213"/>
      <c r="N317" s="117"/>
      <c r="O317" s="117"/>
      <c r="P317" s="117"/>
      <c r="Q317" s="200"/>
      <c r="R317" s="239"/>
      <c r="S317" s="239"/>
      <c r="T317" s="239"/>
      <c r="U317" s="216"/>
      <c r="V317" s="217"/>
      <c r="W317" s="233"/>
      <c r="X317" s="123"/>
      <c r="Y317" s="117"/>
      <c r="Z317" s="117"/>
    </row>
    <row r="318" spans="1:26">
      <c r="A318" s="117"/>
      <c r="B318" s="117"/>
      <c r="C318" s="117"/>
      <c r="D318" s="117"/>
      <c r="E318" s="117"/>
      <c r="F318" s="117"/>
      <c r="G318" s="116"/>
      <c r="H318" s="117"/>
      <c r="I318" s="117"/>
      <c r="J318" s="117"/>
      <c r="K318" s="117"/>
      <c r="L318" s="117"/>
      <c r="M318" s="213"/>
      <c r="N318" s="117"/>
      <c r="O318" s="117"/>
      <c r="P318" s="117"/>
      <c r="Q318" s="200"/>
      <c r="R318" s="239"/>
      <c r="S318" s="239"/>
      <c r="T318" s="239"/>
      <c r="U318" s="216"/>
      <c r="V318" s="217"/>
      <c r="W318" s="233"/>
      <c r="X318" s="123"/>
      <c r="Y318" s="117"/>
      <c r="Z318" s="117"/>
    </row>
    <row r="319" spans="1:26">
      <c r="A319" s="117"/>
      <c r="B319" s="117"/>
      <c r="C319" s="117"/>
      <c r="D319" s="117"/>
      <c r="E319" s="117"/>
      <c r="F319" s="117"/>
      <c r="G319" s="116"/>
      <c r="H319" s="117"/>
      <c r="I319" s="117"/>
      <c r="J319" s="117"/>
      <c r="K319" s="117"/>
      <c r="L319" s="117"/>
      <c r="M319" s="213"/>
      <c r="N319" s="117"/>
      <c r="O319" s="117"/>
      <c r="P319" s="117"/>
      <c r="Q319" s="200"/>
      <c r="R319" s="239"/>
      <c r="S319" s="239"/>
      <c r="T319" s="239"/>
      <c r="U319" s="216"/>
      <c r="V319" s="217"/>
      <c r="W319" s="233"/>
      <c r="X319" s="123"/>
      <c r="Y319" s="117"/>
      <c r="Z319" s="117"/>
    </row>
    <row r="320" spans="1:26">
      <c r="A320" s="117"/>
      <c r="B320" s="117"/>
      <c r="C320" s="117"/>
      <c r="D320" s="117"/>
      <c r="E320" s="117"/>
      <c r="F320" s="117"/>
      <c r="G320" s="116"/>
      <c r="H320" s="117"/>
      <c r="I320" s="117"/>
      <c r="J320" s="117"/>
      <c r="K320" s="117"/>
      <c r="L320" s="117"/>
      <c r="M320" s="213"/>
      <c r="N320" s="117"/>
      <c r="O320" s="117"/>
      <c r="P320" s="117"/>
      <c r="Q320" s="200"/>
      <c r="R320" s="239"/>
      <c r="S320" s="239"/>
      <c r="T320" s="239"/>
      <c r="U320" s="216"/>
      <c r="V320" s="217"/>
      <c r="W320" s="233"/>
      <c r="X320" s="123"/>
      <c r="Y320" s="117"/>
      <c r="Z320" s="117"/>
    </row>
    <row r="321" spans="1:26">
      <c r="A321" s="117"/>
      <c r="B321" s="117"/>
      <c r="C321" s="117"/>
      <c r="D321" s="117"/>
      <c r="E321" s="117"/>
      <c r="F321" s="117"/>
      <c r="G321" s="116"/>
      <c r="H321" s="117"/>
      <c r="I321" s="117"/>
      <c r="J321" s="117"/>
      <c r="K321" s="117"/>
      <c r="L321" s="117"/>
      <c r="M321" s="213"/>
      <c r="N321" s="117"/>
      <c r="O321" s="117"/>
      <c r="P321" s="117"/>
      <c r="Q321" s="200"/>
      <c r="R321" s="239"/>
      <c r="S321" s="239"/>
      <c r="T321" s="239"/>
      <c r="U321" s="216"/>
      <c r="V321" s="217"/>
      <c r="W321" s="233"/>
      <c r="X321" s="123"/>
      <c r="Y321" s="117"/>
      <c r="Z321" s="117"/>
    </row>
    <row r="322" spans="1:26">
      <c r="A322" s="117"/>
      <c r="B322" s="117"/>
      <c r="C322" s="117"/>
      <c r="D322" s="117"/>
      <c r="E322" s="117"/>
      <c r="F322" s="117"/>
      <c r="G322" s="116"/>
      <c r="H322" s="117"/>
      <c r="I322" s="117"/>
      <c r="J322" s="117"/>
      <c r="K322" s="117"/>
      <c r="L322" s="117"/>
      <c r="M322" s="213"/>
      <c r="N322" s="117"/>
      <c r="O322" s="117"/>
      <c r="P322" s="117"/>
      <c r="Q322" s="200"/>
      <c r="R322" s="239"/>
      <c r="S322" s="239"/>
      <c r="T322" s="239"/>
      <c r="U322" s="216"/>
      <c r="V322" s="217"/>
      <c r="W322" s="233"/>
      <c r="X322" s="123"/>
      <c r="Y322" s="117"/>
      <c r="Z322" s="117"/>
    </row>
    <row r="323" spans="1:26">
      <c r="A323" s="117"/>
      <c r="B323" s="117"/>
      <c r="C323" s="117"/>
      <c r="D323" s="117"/>
      <c r="E323" s="117"/>
      <c r="F323" s="117"/>
      <c r="G323" s="116"/>
      <c r="H323" s="117"/>
      <c r="I323" s="117"/>
      <c r="J323" s="117"/>
      <c r="K323" s="117"/>
      <c r="L323" s="117"/>
      <c r="M323" s="213"/>
      <c r="N323" s="117"/>
      <c r="O323" s="117"/>
      <c r="P323" s="117"/>
      <c r="Q323" s="200"/>
      <c r="R323" s="239"/>
      <c r="S323" s="239"/>
      <c r="T323" s="239"/>
      <c r="U323" s="216"/>
      <c r="V323" s="217"/>
      <c r="W323" s="233"/>
      <c r="X323" s="123"/>
      <c r="Y323" s="117"/>
      <c r="Z323" s="117"/>
    </row>
    <row r="324" spans="1:26">
      <c r="A324" s="117"/>
      <c r="B324" s="117"/>
      <c r="C324" s="117"/>
      <c r="D324" s="117"/>
      <c r="E324" s="117"/>
      <c r="F324" s="117"/>
      <c r="G324" s="116"/>
      <c r="H324" s="117"/>
      <c r="I324" s="117"/>
      <c r="J324" s="117"/>
      <c r="K324" s="117"/>
      <c r="L324" s="117"/>
      <c r="M324" s="213"/>
      <c r="N324" s="117"/>
      <c r="O324" s="117"/>
      <c r="P324" s="117"/>
      <c r="Q324" s="200"/>
      <c r="R324" s="239"/>
      <c r="S324" s="239"/>
      <c r="T324" s="239"/>
      <c r="U324" s="216"/>
      <c r="V324" s="217"/>
      <c r="W324" s="233"/>
      <c r="X324" s="123"/>
      <c r="Y324" s="117"/>
      <c r="Z324" s="117"/>
    </row>
    <row r="325" spans="1:26">
      <c r="A325" s="117"/>
      <c r="B325" s="117"/>
      <c r="C325" s="117"/>
      <c r="D325" s="117"/>
      <c r="E325" s="117"/>
      <c r="F325" s="117"/>
      <c r="G325" s="116"/>
      <c r="H325" s="117"/>
      <c r="I325" s="117"/>
      <c r="J325" s="117"/>
      <c r="K325" s="117"/>
      <c r="L325" s="117"/>
      <c r="M325" s="213"/>
      <c r="N325" s="117"/>
      <c r="O325" s="117"/>
      <c r="P325" s="117"/>
      <c r="Q325" s="200"/>
      <c r="R325" s="239"/>
      <c r="S325" s="239"/>
      <c r="T325" s="239"/>
      <c r="U325" s="216"/>
      <c r="V325" s="217"/>
      <c r="W325" s="233"/>
      <c r="X325" s="123"/>
      <c r="Y325" s="117"/>
      <c r="Z325" s="117"/>
    </row>
    <row r="326" spans="1:26">
      <c r="A326" s="117"/>
      <c r="B326" s="117"/>
      <c r="C326" s="117"/>
      <c r="D326" s="117"/>
      <c r="E326" s="117"/>
      <c r="F326" s="117"/>
      <c r="G326" s="116"/>
      <c r="H326" s="117"/>
      <c r="I326" s="117"/>
      <c r="J326" s="117"/>
      <c r="K326" s="117"/>
      <c r="L326" s="117"/>
      <c r="M326" s="213"/>
      <c r="N326" s="117"/>
      <c r="O326" s="117"/>
      <c r="P326" s="117"/>
      <c r="Q326" s="200"/>
      <c r="R326" s="239"/>
      <c r="S326" s="239"/>
      <c r="T326" s="239"/>
      <c r="U326" s="216"/>
      <c r="V326" s="217"/>
      <c r="W326" s="233"/>
      <c r="X326" s="123"/>
      <c r="Y326" s="117"/>
      <c r="Z326" s="117"/>
    </row>
    <row r="327" spans="1:26">
      <c r="A327" s="117"/>
      <c r="B327" s="117"/>
      <c r="C327" s="117"/>
      <c r="D327" s="117"/>
      <c r="E327" s="117"/>
      <c r="F327" s="117"/>
      <c r="G327" s="116"/>
      <c r="H327" s="117"/>
      <c r="I327" s="117"/>
      <c r="J327" s="117"/>
      <c r="K327" s="117"/>
      <c r="L327" s="117"/>
      <c r="M327" s="213"/>
      <c r="N327" s="117"/>
      <c r="O327" s="117"/>
      <c r="P327" s="117"/>
      <c r="Q327" s="200"/>
      <c r="R327" s="239"/>
      <c r="S327" s="239"/>
      <c r="T327" s="239"/>
      <c r="U327" s="216"/>
      <c r="V327" s="217"/>
      <c r="W327" s="233"/>
      <c r="X327" s="123"/>
      <c r="Y327" s="117"/>
      <c r="Z327" s="117"/>
    </row>
    <row r="328" spans="1:26">
      <c r="A328" s="117"/>
      <c r="B328" s="117"/>
      <c r="C328" s="117"/>
      <c r="D328" s="117"/>
      <c r="E328" s="117"/>
      <c r="F328" s="117"/>
      <c r="G328" s="116"/>
      <c r="H328" s="117"/>
      <c r="I328" s="117"/>
      <c r="J328" s="117"/>
      <c r="K328" s="117"/>
      <c r="L328" s="117"/>
      <c r="M328" s="213"/>
      <c r="N328" s="117"/>
      <c r="O328" s="117"/>
      <c r="P328" s="117"/>
      <c r="Q328" s="200"/>
      <c r="R328" s="239"/>
      <c r="S328" s="239"/>
      <c r="T328" s="239"/>
      <c r="U328" s="216"/>
      <c r="V328" s="217"/>
      <c r="W328" s="233"/>
      <c r="X328" s="123"/>
      <c r="Y328" s="117"/>
      <c r="Z328" s="117"/>
    </row>
    <row r="329" spans="1:26">
      <c r="A329" s="117"/>
      <c r="B329" s="117"/>
      <c r="C329" s="117"/>
      <c r="D329" s="117"/>
      <c r="E329" s="117"/>
      <c r="F329" s="117"/>
      <c r="G329" s="116"/>
      <c r="H329" s="117"/>
      <c r="I329" s="117"/>
      <c r="J329" s="117"/>
      <c r="K329" s="117"/>
      <c r="L329" s="117"/>
      <c r="M329" s="213"/>
      <c r="N329" s="117"/>
      <c r="O329" s="117"/>
      <c r="P329" s="117"/>
      <c r="Q329" s="200"/>
      <c r="R329" s="239"/>
      <c r="S329" s="239"/>
      <c r="T329" s="239"/>
      <c r="U329" s="216"/>
      <c r="V329" s="217"/>
      <c r="W329" s="233"/>
      <c r="X329" s="123"/>
      <c r="Y329" s="117"/>
      <c r="Z329" s="117"/>
    </row>
    <row r="330" spans="1:26">
      <c r="A330" s="117"/>
      <c r="B330" s="117"/>
      <c r="C330" s="117"/>
      <c r="D330" s="117"/>
      <c r="E330" s="117"/>
      <c r="F330" s="117"/>
      <c r="G330" s="116"/>
      <c r="H330" s="117"/>
      <c r="I330" s="117"/>
      <c r="J330" s="117"/>
      <c r="K330" s="117"/>
      <c r="L330" s="117"/>
      <c r="M330" s="213"/>
      <c r="N330" s="117"/>
      <c r="O330" s="117"/>
      <c r="P330" s="117"/>
      <c r="Q330" s="200"/>
      <c r="R330" s="239"/>
      <c r="S330" s="239"/>
      <c r="T330" s="239"/>
      <c r="U330" s="216"/>
      <c r="V330" s="217"/>
      <c r="W330" s="233"/>
      <c r="X330" s="123"/>
      <c r="Y330" s="117"/>
      <c r="Z330" s="117"/>
    </row>
    <row r="331" spans="1:26">
      <c r="A331" s="117"/>
      <c r="B331" s="117"/>
      <c r="C331" s="117"/>
      <c r="D331" s="117"/>
      <c r="E331" s="117"/>
      <c r="F331" s="117"/>
      <c r="G331" s="116"/>
      <c r="H331" s="117"/>
      <c r="I331" s="117"/>
      <c r="J331" s="117"/>
      <c r="K331" s="117"/>
      <c r="L331" s="117"/>
      <c r="M331" s="213"/>
      <c r="N331" s="117"/>
      <c r="O331" s="117"/>
      <c r="P331" s="117"/>
      <c r="Q331" s="200"/>
      <c r="R331" s="239"/>
      <c r="S331" s="239"/>
      <c r="T331" s="239"/>
      <c r="U331" s="216"/>
      <c r="V331" s="217"/>
      <c r="W331" s="233"/>
      <c r="X331" s="123"/>
      <c r="Y331" s="117"/>
      <c r="Z331" s="117"/>
    </row>
    <row r="332" spans="1:26">
      <c r="A332" s="117"/>
      <c r="B332" s="117"/>
      <c r="C332" s="117"/>
      <c r="D332" s="117"/>
      <c r="E332" s="117"/>
      <c r="F332" s="117"/>
      <c r="G332" s="116"/>
      <c r="H332" s="117"/>
      <c r="I332" s="117"/>
      <c r="J332" s="117"/>
      <c r="K332" s="117"/>
      <c r="L332" s="117"/>
      <c r="M332" s="213"/>
      <c r="N332" s="117"/>
      <c r="O332" s="117"/>
      <c r="P332" s="117"/>
      <c r="Q332" s="200"/>
      <c r="R332" s="239"/>
      <c r="S332" s="239"/>
      <c r="T332" s="239"/>
      <c r="U332" s="216"/>
      <c r="V332" s="217"/>
      <c r="W332" s="233"/>
      <c r="X332" s="123"/>
      <c r="Y332" s="117"/>
      <c r="Z332" s="117"/>
    </row>
    <row r="333" spans="1:26">
      <c r="A333" s="117"/>
      <c r="B333" s="117"/>
      <c r="C333" s="117"/>
      <c r="D333" s="117"/>
      <c r="E333" s="117"/>
      <c r="F333" s="117"/>
      <c r="G333" s="116"/>
      <c r="H333" s="117"/>
      <c r="I333" s="117"/>
      <c r="J333" s="117"/>
      <c r="K333" s="117"/>
      <c r="L333" s="117"/>
      <c r="M333" s="213"/>
      <c r="N333" s="117"/>
      <c r="O333" s="117"/>
      <c r="P333" s="117"/>
      <c r="Q333" s="200"/>
      <c r="R333" s="239"/>
      <c r="S333" s="239"/>
      <c r="T333" s="239"/>
      <c r="U333" s="216"/>
      <c r="V333" s="217"/>
      <c r="W333" s="233"/>
      <c r="X333" s="123"/>
      <c r="Y333" s="117"/>
      <c r="Z333" s="117"/>
    </row>
    <row r="334" spans="1:26">
      <c r="A334" s="117"/>
      <c r="B334" s="117"/>
      <c r="C334" s="117"/>
      <c r="D334" s="117"/>
      <c r="E334" s="117"/>
      <c r="F334" s="117"/>
      <c r="G334" s="116"/>
      <c r="H334" s="117"/>
      <c r="I334" s="117"/>
      <c r="J334" s="117"/>
      <c r="K334" s="117"/>
      <c r="L334" s="117"/>
      <c r="M334" s="213"/>
      <c r="N334" s="117"/>
      <c r="O334" s="117"/>
      <c r="P334" s="117"/>
      <c r="Q334" s="200"/>
      <c r="R334" s="239"/>
      <c r="S334" s="239"/>
      <c r="T334" s="239"/>
      <c r="U334" s="216"/>
      <c r="V334" s="217"/>
      <c r="W334" s="233"/>
      <c r="X334" s="123"/>
      <c r="Y334" s="117"/>
      <c r="Z334" s="117"/>
    </row>
    <row r="335" spans="1:26">
      <c r="A335" s="117"/>
      <c r="B335" s="117"/>
      <c r="C335" s="117"/>
      <c r="D335" s="117"/>
      <c r="E335" s="117"/>
      <c r="F335" s="117"/>
      <c r="G335" s="116"/>
      <c r="H335" s="117"/>
      <c r="I335" s="117"/>
      <c r="J335" s="117"/>
      <c r="K335" s="117"/>
      <c r="L335" s="117"/>
      <c r="M335" s="213"/>
      <c r="N335" s="117"/>
      <c r="O335" s="117"/>
      <c r="P335" s="117"/>
      <c r="Q335" s="200"/>
      <c r="R335" s="239"/>
      <c r="S335" s="239"/>
      <c r="T335" s="239"/>
      <c r="U335" s="216"/>
      <c r="V335" s="217"/>
      <c r="W335" s="233"/>
      <c r="X335" s="123"/>
      <c r="Y335" s="117"/>
      <c r="Z335" s="117"/>
    </row>
    <row r="336" spans="1:26">
      <c r="A336" s="117"/>
      <c r="B336" s="117"/>
      <c r="C336" s="117"/>
      <c r="D336" s="117"/>
      <c r="E336" s="117"/>
      <c r="F336" s="117"/>
      <c r="G336" s="116"/>
      <c r="H336" s="117"/>
      <c r="I336" s="117"/>
      <c r="J336" s="117"/>
      <c r="K336" s="117"/>
      <c r="L336" s="117"/>
      <c r="M336" s="213"/>
      <c r="N336" s="117"/>
      <c r="O336" s="117"/>
      <c r="P336" s="117"/>
      <c r="Q336" s="200"/>
      <c r="R336" s="239"/>
      <c r="S336" s="239"/>
      <c r="T336" s="239"/>
      <c r="U336" s="216"/>
      <c r="V336" s="217"/>
      <c r="W336" s="233"/>
      <c r="X336" s="123"/>
      <c r="Y336" s="117"/>
      <c r="Z336" s="117"/>
    </row>
    <row r="337" spans="1:26">
      <c r="A337" s="117"/>
      <c r="B337" s="117"/>
      <c r="C337" s="117"/>
      <c r="D337" s="117"/>
      <c r="E337" s="117"/>
      <c r="F337" s="117"/>
      <c r="G337" s="116"/>
      <c r="H337" s="117"/>
      <c r="I337" s="117"/>
      <c r="J337" s="117"/>
      <c r="K337" s="117"/>
      <c r="L337" s="117"/>
      <c r="M337" s="213"/>
      <c r="N337" s="117"/>
      <c r="O337" s="117"/>
      <c r="P337" s="117"/>
      <c r="Q337" s="200"/>
      <c r="R337" s="239"/>
      <c r="S337" s="239"/>
      <c r="T337" s="239"/>
      <c r="U337" s="216"/>
      <c r="V337" s="217"/>
      <c r="W337" s="233"/>
      <c r="X337" s="123"/>
      <c r="Y337" s="117"/>
      <c r="Z337" s="117"/>
    </row>
    <row r="338" spans="1:26">
      <c r="A338" s="117"/>
      <c r="B338" s="117"/>
      <c r="C338" s="117"/>
      <c r="D338" s="117"/>
      <c r="E338" s="117"/>
      <c r="F338" s="117"/>
      <c r="G338" s="116"/>
      <c r="H338" s="117"/>
      <c r="I338" s="117"/>
      <c r="J338" s="117"/>
      <c r="K338" s="117"/>
      <c r="L338" s="117"/>
      <c r="M338" s="213"/>
      <c r="N338" s="117"/>
      <c r="O338" s="117"/>
      <c r="P338" s="117"/>
      <c r="Q338" s="200"/>
      <c r="R338" s="239"/>
      <c r="S338" s="239"/>
      <c r="T338" s="239"/>
      <c r="U338" s="216"/>
      <c r="V338" s="217"/>
      <c r="W338" s="233"/>
      <c r="X338" s="123"/>
      <c r="Y338" s="117"/>
      <c r="Z338" s="117"/>
    </row>
    <row r="339" spans="1:26">
      <c r="A339" s="117"/>
      <c r="B339" s="117"/>
      <c r="C339" s="117"/>
      <c r="D339" s="117"/>
      <c r="E339" s="117"/>
      <c r="F339" s="117"/>
      <c r="G339" s="116"/>
      <c r="H339" s="117"/>
      <c r="I339" s="117"/>
      <c r="J339" s="117"/>
      <c r="K339" s="117"/>
      <c r="L339" s="117"/>
      <c r="M339" s="213"/>
      <c r="N339" s="117"/>
      <c r="O339" s="117"/>
      <c r="P339" s="117"/>
      <c r="Q339" s="200"/>
      <c r="R339" s="239"/>
      <c r="S339" s="239"/>
      <c r="T339" s="239"/>
      <c r="U339" s="216"/>
      <c r="V339" s="217"/>
      <c r="W339" s="233"/>
      <c r="X339" s="123"/>
      <c r="Y339" s="117"/>
      <c r="Z339" s="117"/>
    </row>
    <row r="340" spans="1:26">
      <c r="A340" s="117"/>
      <c r="B340" s="117"/>
      <c r="C340" s="117"/>
      <c r="D340" s="117"/>
      <c r="E340" s="117"/>
      <c r="F340" s="117"/>
      <c r="G340" s="116"/>
      <c r="H340" s="117"/>
      <c r="I340" s="117"/>
      <c r="J340" s="117"/>
      <c r="K340" s="117"/>
      <c r="L340" s="117"/>
      <c r="M340" s="213"/>
      <c r="N340" s="117"/>
      <c r="O340" s="117"/>
      <c r="P340" s="117"/>
      <c r="Q340" s="200"/>
      <c r="R340" s="239"/>
      <c r="S340" s="239"/>
      <c r="T340" s="239"/>
      <c r="U340" s="216"/>
      <c r="V340" s="217"/>
      <c r="W340" s="233"/>
      <c r="X340" s="123"/>
      <c r="Y340" s="117"/>
      <c r="Z340" s="117"/>
    </row>
    <row r="341" spans="1:26">
      <c r="A341" s="117"/>
      <c r="B341" s="117"/>
      <c r="C341" s="117"/>
      <c r="D341" s="117"/>
      <c r="E341" s="117"/>
      <c r="F341" s="117"/>
      <c r="G341" s="116"/>
      <c r="H341" s="117"/>
      <c r="I341" s="117"/>
      <c r="J341" s="117"/>
      <c r="K341" s="117"/>
      <c r="L341" s="117"/>
      <c r="M341" s="213"/>
      <c r="N341" s="117"/>
      <c r="O341" s="117"/>
      <c r="P341" s="117"/>
      <c r="Q341" s="200"/>
      <c r="R341" s="239"/>
      <c r="S341" s="239"/>
      <c r="T341" s="239"/>
      <c r="U341" s="216"/>
      <c r="V341" s="217"/>
      <c r="W341" s="233"/>
      <c r="X341" s="123"/>
      <c r="Y341" s="117"/>
      <c r="Z341" s="117"/>
    </row>
    <row r="342" spans="1:26">
      <c r="A342" s="117"/>
      <c r="B342" s="117"/>
      <c r="C342" s="117"/>
      <c r="D342" s="117"/>
      <c r="E342" s="117"/>
      <c r="F342" s="117"/>
      <c r="G342" s="116"/>
      <c r="H342" s="117"/>
      <c r="I342" s="117"/>
      <c r="J342" s="117"/>
      <c r="K342" s="117"/>
      <c r="L342" s="117"/>
      <c r="M342" s="213"/>
      <c r="N342" s="117"/>
      <c r="O342" s="117"/>
      <c r="P342" s="117"/>
      <c r="Q342" s="200"/>
      <c r="R342" s="239"/>
      <c r="S342" s="239"/>
      <c r="T342" s="239"/>
      <c r="U342" s="216"/>
      <c r="V342" s="217"/>
      <c r="W342" s="233"/>
      <c r="X342" s="123"/>
      <c r="Y342" s="117"/>
      <c r="Z342" s="117"/>
    </row>
    <row r="343" spans="1:26">
      <c r="A343" s="117"/>
      <c r="B343" s="117"/>
      <c r="C343" s="117"/>
      <c r="D343" s="117"/>
      <c r="E343" s="117"/>
      <c r="F343" s="117"/>
      <c r="G343" s="116"/>
      <c r="H343" s="117"/>
      <c r="I343" s="117"/>
      <c r="J343" s="117"/>
      <c r="K343" s="117"/>
      <c r="L343" s="117"/>
      <c r="M343" s="213"/>
      <c r="N343" s="117"/>
      <c r="O343" s="117"/>
      <c r="P343" s="117"/>
      <c r="Q343" s="200"/>
      <c r="R343" s="239"/>
      <c r="S343" s="239"/>
      <c r="T343" s="239"/>
      <c r="U343" s="216"/>
      <c r="V343" s="217"/>
      <c r="W343" s="233"/>
      <c r="X343" s="123"/>
      <c r="Y343" s="117"/>
      <c r="Z343" s="117"/>
    </row>
    <row r="344" spans="1:26">
      <c r="A344" s="117"/>
      <c r="B344" s="117"/>
      <c r="C344" s="117"/>
      <c r="D344" s="117"/>
      <c r="E344" s="117"/>
      <c r="F344" s="117"/>
      <c r="G344" s="116"/>
      <c r="H344" s="117"/>
      <c r="I344" s="117"/>
      <c r="J344" s="117"/>
      <c r="K344" s="117"/>
      <c r="L344" s="117"/>
      <c r="M344" s="213"/>
      <c r="N344" s="117"/>
      <c r="O344" s="117"/>
      <c r="P344" s="117"/>
      <c r="Q344" s="200"/>
      <c r="R344" s="239"/>
      <c r="S344" s="239"/>
      <c r="T344" s="239"/>
      <c r="U344" s="216"/>
      <c r="V344" s="217"/>
      <c r="W344" s="233"/>
      <c r="X344" s="123"/>
      <c r="Y344" s="117"/>
      <c r="Z344" s="117"/>
    </row>
    <row r="345" spans="1:26">
      <c r="A345" s="117"/>
      <c r="B345" s="117"/>
      <c r="C345" s="117"/>
      <c r="D345" s="117"/>
      <c r="E345" s="117"/>
      <c r="F345" s="117"/>
      <c r="G345" s="116"/>
      <c r="H345" s="117"/>
      <c r="I345" s="117"/>
      <c r="J345" s="117"/>
      <c r="K345" s="117"/>
      <c r="L345" s="117"/>
      <c r="M345" s="213"/>
      <c r="N345" s="117"/>
      <c r="O345" s="117"/>
      <c r="P345" s="117"/>
      <c r="Q345" s="200"/>
      <c r="R345" s="239"/>
      <c r="S345" s="239"/>
      <c r="T345" s="239"/>
      <c r="U345" s="216"/>
      <c r="V345" s="217"/>
      <c r="W345" s="233"/>
      <c r="X345" s="123"/>
      <c r="Y345" s="117"/>
      <c r="Z345" s="117"/>
    </row>
    <row r="346" spans="1:26">
      <c r="A346" s="117"/>
      <c r="B346" s="117"/>
      <c r="C346" s="117"/>
      <c r="D346" s="117"/>
      <c r="E346" s="117"/>
      <c r="F346" s="117"/>
      <c r="G346" s="116"/>
      <c r="H346" s="117"/>
      <c r="I346" s="117"/>
      <c r="J346" s="117"/>
      <c r="K346" s="117"/>
      <c r="L346" s="117"/>
      <c r="M346" s="213"/>
      <c r="N346" s="117"/>
      <c r="O346" s="117"/>
      <c r="P346" s="117"/>
      <c r="Q346" s="200"/>
      <c r="R346" s="239"/>
      <c r="S346" s="239"/>
      <c r="T346" s="239"/>
      <c r="U346" s="216"/>
      <c r="V346" s="217"/>
      <c r="W346" s="233"/>
      <c r="X346" s="123"/>
      <c r="Y346" s="117"/>
      <c r="Z346" s="117"/>
    </row>
    <row r="347" spans="1:26">
      <c r="A347" s="117"/>
      <c r="B347" s="117"/>
      <c r="C347" s="117"/>
      <c r="D347" s="117"/>
      <c r="E347" s="117"/>
      <c r="F347" s="117"/>
      <c r="G347" s="116"/>
      <c r="H347" s="117"/>
      <c r="I347" s="117"/>
      <c r="J347" s="117"/>
      <c r="K347" s="117"/>
      <c r="L347" s="117"/>
      <c r="M347" s="213"/>
      <c r="N347" s="117"/>
      <c r="O347" s="117"/>
      <c r="P347" s="117"/>
      <c r="Q347" s="200"/>
      <c r="R347" s="239"/>
      <c r="S347" s="239"/>
      <c r="T347" s="239"/>
      <c r="U347" s="216"/>
      <c r="V347" s="217"/>
      <c r="W347" s="233"/>
      <c r="X347" s="123"/>
      <c r="Y347" s="117"/>
      <c r="Z347" s="117"/>
    </row>
    <row r="348" spans="1:26">
      <c r="A348" s="117"/>
      <c r="B348" s="117"/>
      <c r="C348" s="117"/>
      <c r="D348" s="117"/>
      <c r="E348" s="117"/>
      <c r="F348" s="117"/>
      <c r="G348" s="116"/>
      <c r="H348" s="117"/>
      <c r="I348" s="117"/>
      <c r="J348" s="117"/>
      <c r="K348" s="117"/>
      <c r="L348" s="117"/>
      <c r="M348" s="213"/>
      <c r="N348" s="117"/>
      <c r="O348" s="117"/>
      <c r="P348" s="117"/>
      <c r="Q348" s="200"/>
      <c r="R348" s="239"/>
      <c r="S348" s="239"/>
      <c r="T348" s="239"/>
      <c r="U348" s="216"/>
      <c r="V348" s="217"/>
      <c r="W348" s="233"/>
      <c r="X348" s="123"/>
      <c r="Y348" s="117"/>
      <c r="Z348" s="117"/>
    </row>
    <row r="349" spans="1:26">
      <c r="A349" s="117"/>
      <c r="B349" s="117"/>
      <c r="C349" s="117"/>
      <c r="D349" s="117"/>
      <c r="E349" s="117"/>
      <c r="F349" s="117"/>
      <c r="G349" s="116"/>
      <c r="H349" s="117"/>
      <c r="I349" s="117"/>
      <c r="J349" s="117"/>
      <c r="K349" s="117"/>
      <c r="L349" s="117"/>
      <c r="M349" s="213"/>
      <c r="N349" s="117"/>
      <c r="O349" s="117"/>
      <c r="P349" s="117"/>
      <c r="Q349" s="200"/>
      <c r="R349" s="239"/>
      <c r="S349" s="239"/>
      <c r="T349" s="239"/>
      <c r="U349" s="216"/>
      <c r="V349" s="217"/>
      <c r="W349" s="233"/>
      <c r="X349" s="123"/>
      <c r="Y349" s="117"/>
      <c r="Z349" s="117"/>
    </row>
    <row r="350" spans="1:26">
      <c r="A350" s="117"/>
      <c r="B350" s="117"/>
      <c r="C350" s="117"/>
      <c r="D350" s="117"/>
      <c r="E350" s="117"/>
      <c r="F350" s="117"/>
      <c r="G350" s="116"/>
      <c r="H350" s="117"/>
      <c r="I350" s="117"/>
      <c r="J350" s="117"/>
      <c r="K350" s="117"/>
      <c r="L350" s="117"/>
      <c r="M350" s="213"/>
      <c r="N350" s="117"/>
      <c r="O350" s="117"/>
      <c r="P350" s="117"/>
      <c r="Q350" s="200"/>
      <c r="R350" s="239"/>
      <c r="S350" s="239"/>
      <c r="T350" s="239"/>
      <c r="U350" s="216"/>
      <c r="V350" s="217"/>
      <c r="W350" s="233"/>
      <c r="X350" s="123"/>
      <c r="Y350" s="117"/>
      <c r="Z350" s="117"/>
    </row>
    <row r="351" spans="1:26">
      <c r="A351" s="117"/>
      <c r="B351" s="117"/>
      <c r="C351" s="117"/>
      <c r="D351" s="117"/>
      <c r="E351" s="117"/>
      <c r="F351" s="117"/>
      <c r="G351" s="116"/>
      <c r="H351" s="117"/>
      <c r="I351" s="117"/>
      <c r="J351" s="117"/>
      <c r="K351" s="117"/>
      <c r="L351" s="117"/>
      <c r="M351" s="213"/>
      <c r="N351" s="117"/>
      <c r="O351" s="117"/>
      <c r="P351" s="117"/>
      <c r="Q351" s="200"/>
      <c r="R351" s="239"/>
      <c r="S351" s="239"/>
      <c r="T351" s="239"/>
      <c r="U351" s="216"/>
      <c r="V351" s="217"/>
      <c r="W351" s="233"/>
      <c r="X351" s="123"/>
      <c r="Y351" s="117"/>
      <c r="Z351" s="117"/>
    </row>
    <row r="352" spans="1:26">
      <c r="A352" s="117"/>
      <c r="B352" s="117"/>
      <c r="C352" s="117"/>
      <c r="D352" s="117"/>
      <c r="E352" s="117"/>
      <c r="F352" s="117"/>
      <c r="G352" s="116"/>
      <c r="H352" s="117"/>
      <c r="I352" s="117"/>
      <c r="J352" s="117"/>
      <c r="K352" s="117"/>
      <c r="L352" s="117"/>
      <c r="M352" s="213"/>
      <c r="N352" s="117"/>
      <c r="O352" s="117"/>
      <c r="P352" s="117"/>
      <c r="Q352" s="200"/>
      <c r="R352" s="239"/>
      <c r="S352" s="239"/>
      <c r="T352" s="239"/>
      <c r="U352" s="216"/>
      <c r="V352" s="217"/>
      <c r="W352" s="233"/>
      <c r="X352" s="123"/>
      <c r="Y352" s="117"/>
      <c r="Z352" s="117"/>
    </row>
    <row r="353" spans="1:26">
      <c r="A353" s="117"/>
      <c r="B353" s="117"/>
      <c r="C353" s="117"/>
      <c r="D353" s="117"/>
      <c r="E353" s="117"/>
      <c r="F353" s="117"/>
      <c r="G353" s="116"/>
      <c r="H353" s="117"/>
      <c r="I353" s="117"/>
      <c r="J353" s="117"/>
      <c r="K353" s="117"/>
      <c r="L353" s="117"/>
      <c r="M353" s="213"/>
      <c r="N353" s="117"/>
      <c r="O353" s="117"/>
      <c r="P353" s="117"/>
      <c r="Q353" s="200"/>
      <c r="R353" s="239"/>
      <c r="S353" s="239"/>
      <c r="T353" s="239"/>
      <c r="U353" s="216"/>
      <c r="V353" s="217"/>
      <c r="W353" s="233"/>
      <c r="X353" s="123"/>
      <c r="Y353" s="117"/>
      <c r="Z353" s="117"/>
    </row>
    <row r="354" spans="1:26">
      <c r="A354" s="117"/>
      <c r="B354" s="117"/>
      <c r="C354" s="117"/>
      <c r="D354" s="117"/>
      <c r="E354" s="117"/>
      <c r="F354" s="117"/>
      <c r="G354" s="116"/>
      <c r="H354" s="117"/>
      <c r="I354" s="117"/>
      <c r="J354" s="117"/>
      <c r="K354" s="117"/>
      <c r="L354" s="117"/>
      <c r="M354" s="213"/>
      <c r="N354" s="117"/>
      <c r="O354" s="117"/>
      <c r="P354" s="117"/>
      <c r="Q354" s="200"/>
      <c r="R354" s="239"/>
      <c r="S354" s="239"/>
      <c r="T354" s="239"/>
      <c r="U354" s="216"/>
      <c r="V354" s="217"/>
      <c r="W354" s="233"/>
      <c r="X354" s="123"/>
      <c r="Y354" s="117"/>
      <c r="Z354" s="117"/>
    </row>
    <row r="355" spans="1:26">
      <c r="A355" s="117"/>
      <c r="B355" s="117"/>
      <c r="C355" s="117"/>
      <c r="D355" s="117"/>
      <c r="E355" s="117"/>
      <c r="F355" s="117"/>
      <c r="G355" s="116"/>
      <c r="H355" s="117"/>
      <c r="I355" s="117"/>
      <c r="J355" s="117"/>
      <c r="K355" s="117"/>
      <c r="L355" s="117"/>
      <c r="M355" s="213"/>
      <c r="N355" s="117"/>
      <c r="O355" s="117"/>
      <c r="P355" s="117"/>
      <c r="Q355" s="200"/>
      <c r="R355" s="239"/>
      <c r="S355" s="239"/>
      <c r="T355" s="239"/>
      <c r="U355" s="216"/>
      <c r="V355" s="217"/>
      <c r="W355" s="233"/>
      <c r="X355" s="123"/>
      <c r="Y355" s="117"/>
      <c r="Z355" s="117"/>
    </row>
    <row r="356" spans="1:26">
      <c r="A356" s="117"/>
      <c r="B356" s="117"/>
      <c r="C356" s="117"/>
      <c r="D356" s="117"/>
      <c r="E356" s="117"/>
      <c r="F356" s="117"/>
      <c r="G356" s="116"/>
      <c r="H356" s="117"/>
      <c r="I356" s="117"/>
      <c r="J356" s="117"/>
      <c r="K356" s="117"/>
      <c r="L356" s="117"/>
      <c r="M356" s="213"/>
      <c r="N356" s="117"/>
      <c r="O356" s="117"/>
      <c r="P356" s="117"/>
      <c r="Q356" s="200"/>
      <c r="R356" s="239"/>
      <c r="S356" s="239"/>
      <c r="T356" s="239"/>
      <c r="U356" s="216"/>
      <c r="V356" s="217"/>
      <c r="W356" s="233"/>
      <c r="X356" s="123"/>
      <c r="Y356" s="117"/>
      <c r="Z356" s="117"/>
    </row>
    <row r="357" spans="1:26">
      <c r="A357" s="117"/>
      <c r="B357" s="117"/>
      <c r="C357" s="117"/>
      <c r="D357" s="117"/>
      <c r="E357" s="117"/>
      <c r="F357" s="117"/>
      <c r="G357" s="116"/>
      <c r="H357" s="117"/>
      <c r="I357" s="117"/>
      <c r="J357" s="117"/>
      <c r="K357" s="117"/>
      <c r="L357" s="117"/>
      <c r="M357" s="213"/>
      <c r="N357" s="117"/>
      <c r="O357" s="117"/>
      <c r="P357" s="117"/>
      <c r="Q357" s="200"/>
      <c r="R357" s="239"/>
      <c r="S357" s="239"/>
      <c r="T357" s="239"/>
      <c r="U357" s="216"/>
      <c r="V357" s="217"/>
      <c r="W357" s="233"/>
      <c r="X357" s="123"/>
      <c r="Y357" s="117"/>
      <c r="Z357" s="117"/>
    </row>
    <row r="358" spans="1:26">
      <c r="A358" s="117"/>
      <c r="B358" s="117"/>
      <c r="C358" s="117"/>
      <c r="D358" s="117"/>
      <c r="E358" s="117"/>
      <c r="F358" s="117"/>
      <c r="G358" s="116"/>
      <c r="H358" s="117"/>
      <c r="I358" s="117"/>
      <c r="J358" s="117"/>
      <c r="K358" s="117"/>
      <c r="L358" s="117"/>
      <c r="M358" s="213"/>
      <c r="N358" s="117"/>
      <c r="O358" s="117"/>
      <c r="P358" s="117"/>
      <c r="Q358" s="200"/>
      <c r="R358" s="239"/>
      <c r="S358" s="239"/>
      <c r="T358" s="239"/>
      <c r="U358" s="216"/>
      <c r="V358" s="217"/>
      <c r="W358" s="233"/>
      <c r="X358" s="123"/>
      <c r="Y358" s="117"/>
      <c r="Z358" s="117"/>
    </row>
    <row r="359" spans="1:26">
      <c r="A359" s="117"/>
      <c r="B359" s="117"/>
      <c r="C359" s="117"/>
      <c r="D359" s="117"/>
      <c r="E359" s="117"/>
      <c r="F359" s="117"/>
      <c r="G359" s="116"/>
      <c r="H359" s="117"/>
      <c r="I359" s="117"/>
      <c r="J359" s="117"/>
      <c r="K359" s="117"/>
      <c r="L359" s="117"/>
      <c r="M359" s="213"/>
      <c r="N359" s="117"/>
      <c r="O359" s="117"/>
      <c r="P359" s="117"/>
      <c r="Q359" s="200"/>
      <c r="R359" s="239"/>
      <c r="S359" s="239"/>
      <c r="T359" s="239"/>
      <c r="U359" s="216"/>
      <c r="V359" s="217"/>
      <c r="W359" s="233"/>
      <c r="X359" s="123"/>
      <c r="Y359" s="117"/>
      <c r="Z359" s="117"/>
    </row>
    <row r="360" spans="1:26">
      <c r="A360" s="117"/>
      <c r="B360" s="117"/>
      <c r="C360" s="117"/>
      <c r="D360" s="117"/>
      <c r="E360" s="117"/>
      <c r="F360" s="117"/>
      <c r="G360" s="116"/>
      <c r="H360" s="117"/>
      <c r="I360" s="117"/>
      <c r="J360" s="117"/>
      <c r="K360" s="117"/>
      <c r="L360" s="117"/>
      <c r="M360" s="213"/>
      <c r="N360" s="117"/>
      <c r="O360" s="117"/>
      <c r="P360" s="117"/>
      <c r="Q360" s="200"/>
      <c r="R360" s="239"/>
      <c r="S360" s="239"/>
      <c r="T360" s="239"/>
      <c r="U360" s="216"/>
      <c r="V360" s="217"/>
      <c r="W360" s="233"/>
      <c r="X360" s="123"/>
      <c r="Y360" s="117"/>
      <c r="Z360" s="117"/>
    </row>
    <row r="361" spans="1:26">
      <c r="A361" s="117"/>
      <c r="B361" s="117"/>
      <c r="C361" s="117"/>
      <c r="D361" s="117"/>
      <c r="E361" s="117"/>
      <c r="F361" s="117"/>
      <c r="G361" s="116"/>
      <c r="H361" s="117"/>
      <c r="I361" s="117"/>
      <c r="J361" s="117"/>
      <c r="K361" s="117"/>
      <c r="L361" s="117"/>
      <c r="M361" s="213"/>
      <c r="N361" s="117"/>
      <c r="O361" s="117"/>
      <c r="P361" s="117"/>
      <c r="Q361" s="200"/>
      <c r="R361" s="239"/>
      <c r="S361" s="239"/>
      <c r="T361" s="239"/>
      <c r="U361" s="216"/>
      <c r="V361" s="217"/>
      <c r="W361" s="233"/>
      <c r="X361" s="123"/>
      <c r="Y361" s="117"/>
      <c r="Z361" s="117"/>
    </row>
    <row r="362" spans="1:26">
      <c r="A362" s="117"/>
      <c r="B362" s="117"/>
      <c r="C362" s="117"/>
      <c r="D362" s="117"/>
      <c r="E362" s="117"/>
      <c r="F362" s="117"/>
      <c r="G362" s="116"/>
      <c r="H362" s="117"/>
      <c r="I362" s="117"/>
      <c r="J362" s="117"/>
      <c r="K362" s="117"/>
      <c r="L362" s="117"/>
      <c r="M362" s="213"/>
      <c r="N362" s="117"/>
      <c r="O362" s="117"/>
      <c r="P362" s="117"/>
      <c r="Q362" s="200"/>
      <c r="R362" s="239"/>
      <c r="S362" s="239"/>
      <c r="T362" s="239"/>
      <c r="U362" s="216"/>
      <c r="V362" s="217"/>
      <c r="W362" s="233"/>
      <c r="X362" s="123"/>
      <c r="Y362" s="117"/>
      <c r="Z362" s="117"/>
    </row>
    <row r="363" spans="1:26">
      <c r="A363" s="117"/>
      <c r="B363" s="117"/>
      <c r="C363" s="117"/>
      <c r="D363" s="117"/>
      <c r="E363" s="117"/>
      <c r="F363" s="117"/>
      <c r="G363" s="116"/>
      <c r="H363" s="117"/>
      <c r="I363" s="117"/>
      <c r="J363" s="117"/>
      <c r="K363" s="117"/>
      <c r="L363" s="117"/>
      <c r="M363" s="213"/>
      <c r="N363" s="117"/>
      <c r="O363" s="117"/>
      <c r="P363" s="117"/>
      <c r="Q363" s="200"/>
      <c r="R363" s="239"/>
      <c r="S363" s="239"/>
      <c r="T363" s="239"/>
      <c r="U363" s="216"/>
      <c r="V363" s="217"/>
      <c r="W363" s="233"/>
      <c r="X363" s="123"/>
      <c r="Y363" s="117"/>
      <c r="Z363" s="117"/>
    </row>
    <row r="364" spans="1:26">
      <c r="A364" s="117"/>
      <c r="B364" s="117"/>
      <c r="C364" s="117"/>
      <c r="D364" s="117"/>
      <c r="E364" s="117"/>
      <c r="F364" s="117"/>
      <c r="G364" s="116"/>
      <c r="H364" s="117"/>
      <c r="I364" s="117"/>
      <c r="J364" s="117"/>
      <c r="K364" s="117"/>
      <c r="L364" s="117"/>
      <c r="M364" s="213"/>
      <c r="N364" s="117"/>
      <c r="O364" s="117"/>
      <c r="P364" s="117"/>
      <c r="Q364" s="200"/>
      <c r="R364" s="239"/>
      <c r="S364" s="239"/>
      <c r="T364" s="239"/>
      <c r="U364" s="216"/>
      <c r="V364" s="217"/>
      <c r="W364" s="233"/>
      <c r="X364" s="123"/>
      <c r="Y364" s="117"/>
      <c r="Z364" s="117"/>
    </row>
    <row r="365" spans="1:26">
      <c r="A365" s="117"/>
      <c r="B365" s="117"/>
      <c r="C365" s="117"/>
      <c r="D365" s="117"/>
      <c r="E365" s="117"/>
      <c r="F365" s="117"/>
      <c r="G365" s="116"/>
      <c r="H365" s="117"/>
      <c r="I365" s="117"/>
      <c r="J365" s="117"/>
      <c r="K365" s="117"/>
      <c r="L365" s="117"/>
      <c r="M365" s="213"/>
      <c r="N365" s="117"/>
      <c r="O365" s="117"/>
      <c r="P365" s="117"/>
      <c r="Q365" s="200"/>
      <c r="R365" s="239"/>
      <c r="S365" s="239"/>
      <c r="T365" s="239"/>
      <c r="U365" s="216"/>
      <c r="V365" s="217"/>
      <c r="W365" s="233"/>
      <c r="X365" s="123"/>
      <c r="Y365" s="117"/>
      <c r="Z365" s="117"/>
    </row>
    <row r="366" spans="1:26">
      <c r="A366" s="117"/>
      <c r="B366" s="117"/>
      <c r="C366" s="117"/>
      <c r="D366" s="117"/>
      <c r="E366" s="117"/>
      <c r="F366" s="117"/>
      <c r="G366" s="116"/>
      <c r="H366" s="117"/>
      <c r="I366" s="117"/>
      <c r="J366" s="117"/>
      <c r="K366" s="117"/>
      <c r="L366" s="117"/>
      <c r="M366" s="213"/>
      <c r="N366" s="117"/>
      <c r="O366" s="117"/>
      <c r="P366" s="117"/>
      <c r="Q366" s="200"/>
      <c r="R366" s="239"/>
      <c r="S366" s="239"/>
      <c r="T366" s="239"/>
      <c r="U366" s="216"/>
      <c r="V366" s="217"/>
      <c r="W366" s="233"/>
      <c r="X366" s="123"/>
      <c r="Y366" s="117"/>
      <c r="Z366" s="117"/>
    </row>
    <row r="367" spans="1:26">
      <c r="A367" s="117"/>
      <c r="B367" s="117"/>
      <c r="C367" s="117"/>
      <c r="D367" s="117"/>
      <c r="E367" s="117"/>
      <c r="F367" s="117"/>
      <c r="G367" s="116"/>
      <c r="H367" s="117"/>
      <c r="I367" s="117"/>
      <c r="J367" s="117"/>
      <c r="K367" s="117"/>
      <c r="L367" s="117"/>
      <c r="M367" s="213"/>
      <c r="N367" s="117"/>
      <c r="O367" s="117"/>
      <c r="P367" s="117"/>
      <c r="Q367" s="200"/>
      <c r="R367" s="239"/>
      <c r="S367" s="239"/>
      <c r="T367" s="239"/>
      <c r="U367" s="216"/>
      <c r="V367" s="217"/>
      <c r="W367" s="233"/>
      <c r="X367" s="123"/>
      <c r="Y367" s="117"/>
      <c r="Z367" s="117"/>
    </row>
    <row r="368" spans="1:26">
      <c r="A368" s="117"/>
      <c r="B368" s="117"/>
      <c r="C368" s="117"/>
      <c r="D368" s="117"/>
      <c r="E368" s="117"/>
      <c r="F368" s="117"/>
      <c r="G368" s="116"/>
      <c r="H368" s="117"/>
      <c r="I368" s="117"/>
      <c r="J368" s="117"/>
      <c r="K368" s="117"/>
      <c r="L368" s="117"/>
      <c r="M368" s="213"/>
      <c r="N368" s="117"/>
      <c r="O368" s="117"/>
      <c r="P368" s="117"/>
      <c r="Q368" s="200"/>
      <c r="R368" s="239"/>
      <c r="S368" s="239"/>
      <c r="T368" s="239"/>
      <c r="U368" s="216"/>
      <c r="V368" s="217"/>
      <c r="W368" s="233"/>
      <c r="X368" s="123"/>
      <c r="Y368" s="117"/>
      <c r="Z368" s="117"/>
    </row>
    <row r="369" spans="1:26">
      <c r="A369" s="117"/>
      <c r="B369" s="117"/>
      <c r="C369" s="117"/>
      <c r="D369" s="117"/>
      <c r="E369" s="117"/>
      <c r="F369" s="117"/>
      <c r="G369" s="116"/>
      <c r="H369" s="117"/>
      <c r="I369" s="117"/>
      <c r="J369" s="117"/>
      <c r="K369" s="117"/>
      <c r="L369" s="117"/>
      <c r="M369" s="213"/>
      <c r="N369" s="117"/>
      <c r="O369" s="117"/>
      <c r="P369" s="117"/>
      <c r="Q369" s="200"/>
      <c r="R369" s="239"/>
      <c r="S369" s="239"/>
      <c r="T369" s="239"/>
      <c r="U369" s="216"/>
      <c r="V369" s="217"/>
      <c r="W369" s="233"/>
      <c r="X369" s="123"/>
      <c r="Y369" s="117"/>
      <c r="Z369" s="117"/>
    </row>
    <row r="370" spans="1:26">
      <c r="A370" s="117"/>
      <c r="B370" s="117"/>
      <c r="C370" s="117"/>
      <c r="D370" s="117"/>
      <c r="E370" s="117"/>
      <c r="F370" s="117"/>
      <c r="G370" s="116"/>
      <c r="H370" s="117"/>
      <c r="I370" s="117"/>
      <c r="J370" s="117"/>
      <c r="K370" s="117"/>
      <c r="L370" s="117"/>
      <c r="M370" s="213"/>
      <c r="N370" s="117"/>
      <c r="O370" s="117"/>
      <c r="P370" s="117"/>
      <c r="Q370" s="200"/>
      <c r="R370" s="239"/>
      <c r="S370" s="239"/>
      <c r="T370" s="239"/>
      <c r="U370" s="216"/>
      <c r="V370" s="217"/>
      <c r="W370" s="233"/>
      <c r="X370" s="123"/>
      <c r="Y370" s="117"/>
      <c r="Z370" s="117"/>
    </row>
    <row r="371" spans="1:26">
      <c r="A371" s="117"/>
      <c r="B371" s="117"/>
      <c r="C371" s="117"/>
      <c r="D371" s="117"/>
      <c r="E371" s="117"/>
      <c r="F371" s="117"/>
      <c r="G371" s="116"/>
      <c r="H371" s="117"/>
      <c r="I371" s="117"/>
      <c r="J371" s="117"/>
      <c r="K371" s="117"/>
      <c r="L371" s="117"/>
      <c r="M371" s="213"/>
      <c r="N371" s="117"/>
      <c r="O371" s="117"/>
      <c r="P371" s="117"/>
      <c r="Q371" s="200"/>
      <c r="R371" s="239"/>
      <c r="S371" s="239"/>
      <c r="T371" s="239"/>
      <c r="U371" s="216"/>
      <c r="V371" s="217"/>
      <c r="W371" s="233"/>
      <c r="X371" s="123"/>
      <c r="Y371" s="117"/>
      <c r="Z371" s="117"/>
    </row>
    <row r="372" spans="1:26">
      <c r="A372" s="117"/>
      <c r="B372" s="117"/>
      <c r="C372" s="117"/>
      <c r="D372" s="117"/>
      <c r="E372" s="117"/>
      <c r="F372" s="117"/>
      <c r="G372" s="116"/>
      <c r="H372" s="117"/>
      <c r="I372" s="117"/>
      <c r="J372" s="117"/>
      <c r="K372" s="117"/>
      <c r="L372" s="117"/>
      <c r="M372" s="213"/>
      <c r="N372" s="117"/>
      <c r="O372" s="117"/>
      <c r="P372" s="117"/>
      <c r="Q372" s="200"/>
      <c r="R372" s="239"/>
      <c r="S372" s="239"/>
      <c r="T372" s="239"/>
      <c r="U372" s="216"/>
      <c r="V372" s="217"/>
      <c r="W372" s="233"/>
      <c r="X372" s="123"/>
      <c r="Y372" s="117"/>
      <c r="Z372" s="117"/>
    </row>
    <row r="373" spans="1:26">
      <c r="A373" s="117"/>
      <c r="B373" s="117"/>
      <c r="C373" s="117"/>
      <c r="D373" s="117"/>
      <c r="E373" s="117"/>
      <c r="F373" s="117"/>
      <c r="G373" s="116"/>
      <c r="H373" s="117"/>
      <c r="I373" s="117"/>
      <c r="J373" s="117"/>
      <c r="K373" s="117"/>
      <c r="L373" s="117"/>
      <c r="M373" s="213"/>
      <c r="N373" s="117"/>
      <c r="O373" s="117"/>
      <c r="P373" s="117"/>
      <c r="Q373" s="200"/>
      <c r="R373" s="239"/>
      <c r="S373" s="239"/>
      <c r="T373" s="239"/>
      <c r="U373" s="216"/>
      <c r="V373" s="217"/>
      <c r="W373" s="233"/>
      <c r="X373" s="123"/>
      <c r="Y373" s="117"/>
      <c r="Z373" s="117"/>
    </row>
    <row r="374" spans="1:26">
      <c r="A374" s="117"/>
      <c r="B374" s="117"/>
      <c r="C374" s="117"/>
      <c r="D374" s="117"/>
      <c r="E374" s="117"/>
      <c r="F374" s="117"/>
      <c r="G374" s="116"/>
      <c r="H374" s="117"/>
      <c r="I374" s="117"/>
      <c r="J374" s="117"/>
      <c r="K374" s="117"/>
      <c r="L374" s="117"/>
      <c r="M374" s="213"/>
      <c r="N374" s="117"/>
      <c r="O374" s="117"/>
      <c r="P374" s="117"/>
      <c r="Q374" s="200"/>
      <c r="R374" s="239"/>
      <c r="S374" s="239"/>
      <c r="T374" s="239"/>
      <c r="U374" s="216"/>
      <c r="V374" s="217"/>
      <c r="W374" s="233"/>
      <c r="X374" s="123"/>
      <c r="Y374" s="117"/>
      <c r="Z374" s="117"/>
    </row>
    <row r="375" spans="1:26">
      <c r="A375" s="117"/>
      <c r="B375" s="117"/>
      <c r="C375" s="117"/>
      <c r="D375" s="117"/>
      <c r="E375" s="117"/>
      <c r="F375" s="117"/>
      <c r="G375" s="116"/>
      <c r="H375" s="117"/>
      <c r="I375" s="117"/>
      <c r="J375" s="117"/>
      <c r="K375" s="117"/>
      <c r="L375" s="117"/>
      <c r="M375" s="213"/>
      <c r="N375" s="117"/>
      <c r="O375" s="117"/>
      <c r="P375" s="117"/>
      <c r="Q375" s="200"/>
      <c r="R375" s="239"/>
      <c r="S375" s="239"/>
      <c r="T375" s="239"/>
      <c r="U375" s="216"/>
      <c r="V375" s="217"/>
      <c r="W375" s="233"/>
      <c r="X375" s="123"/>
      <c r="Y375" s="117"/>
      <c r="Z375" s="117"/>
    </row>
    <row r="376" spans="1:26">
      <c r="A376" s="117"/>
      <c r="B376" s="117"/>
      <c r="C376" s="117"/>
      <c r="D376" s="117"/>
      <c r="E376" s="117"/>
      <c r="F376" s="117"/>
      <c r="G376" s="116"/>
      <c r="H376" s="117"/>
      <c r="I376" s="117"/>
      <c r="J376" s="117"/>
      <c r="K376" s="117"/>
      <c r="L376" s="117"/>
      <c r="M376" s="213"/>
      <c r="N376" s="117"/>
      <c r="O376" s="117"/>
      <c r="P376" s="117"/>
      <c r="Q376" s="200"/>
      <c r="R376" s="239"/>
      <c r="S376" s="239"/>
      <c r="T376" s="239"/>
      <c r="U376" s="216"/>
      <c r="V376" s="217"/>
      <c r="W376" s="233"/>
      <c r="X376" s="123"/>
      <c r="Y376" s="117"/>
      <c r="Z376" s="117"/>
    </row>
    <row r="377" spans="1:26">
      <c r="A377" s="117"/>
      <c r="B377" s="117"/>
      <c r="C377" s="117"/>
      <c r="D377" s="117"/>
      <c r="E377" s="117"/>
      <c r="F377" s="117"/>
      <c r="G377" s="116"/>
      <c r="H377" s="117"/>
      <c r="I377" s="117"/>
      <c r="J377" s="117"/>
      <c r="K377" s="117"/>
      <c r="L377" s="117"/>
      <c r="M377" s="213"/>
      <c r="N377" s="117"/>
      <c r="O377" s="117"/>
      <c r="P377" s="117"/>
      <c r="Q377" s="200"/>
      <c r="R377" s="239"/>
      <c r="S377" s="239"/>
      <c r="T377" s="239"/>
      <c r="U377" s="216"/>
      <c r="V377" s="217"/>
      <c r="W377" s="233"/>
      <c r="X377" s="123"/>
      <c r="Y377" s="117"/>
      <c r="Z377" s="117"/>
    </row>
    <row r="378" spans="1:26">
      <c r="A378" s="117"/>
      <c r="B378" s="117"/>
      <c r="C378" s="117"/>
      <c r="D378" s="117"/>
      <c r="E378" s="117"/>
      <c r="F378" s="117"/>
      <c r="G378" s="116"/>
      <c r="H378" s="117"/>
      <c r="I378" s="117"/>
      <c r="J378" s="117"/>
      <c r="K378" s="117"/>
      <c r="L378" s="117"/>
      <c r="M378" s="213"/>
      <c r="N378" s="117"/>
      <c r="O378" s="117"/>
      <c r="P378" s="117"/>
      <c r="Q378" s="200"/>
      <c r="R378" s="239"/>
      <c r="S378" s="239"/>
      <c r="T378" s="239"/>
      <c r="U378" s="216"/>
      <c r="V378" s="217"/>
      <c r="W378" s="233"/>
      <c r="X378" s="123"/>
      <c r="Y378" s="117"/>
      <c r="Z378" s="117"/>
    </row>
    <row r="379" spans="1:26">
      <c r="A379" s="117"/>
      <c r="B379" s="117"/>
      <c r="C379" s="117"/>
      <c r="D379" s="117"/>
      <c r="E379" s="117"/>
      <c r="F379" s="117"/>
      <c r="G379" s="116"/>
      <c r="H379" s="117"/>
      <c r="I379" s="117"/>
      <c r="J379" s="117"/>
      <c r="K379" s="117"/>
      <c r="L379" s="117"/>
      <c r="M379" s="213"/>
      <c r="N379" s="117"/>
      <c r="O379" s="117"/>
      <c r="P379" s="117"/>
      <c r="Q379" s="200"/>
      <c r="R379" s="239"/>
      <c r="S379" s="239"/>
      <c r="T379" s="239"/>
      <c r="U379" s="216"/>
      <c r="V379" s="217"/>
      <c r="W379" s="233"/>
      <c r="X379" s="123"/>
      <c r="Y379" s="117"/>
      <c r="Z379" s="117"/>
    </row>
    <row r="380" spans="1:26">
      <c r="A380" s="117"/>
      <c r="B380" s="117"/>
      <c r="C380" s="117"/>
      <c r="D380" s="117"/>
      <c r="E380" s="117"/>
      <c r="F380" s="117"/>
      <c r="G380" s="116"/>
      <c r="H380" s="117"/>
      <c r="I380" s="117"/>
      <c r="J380" s="117"/>
      <c r="K380" s="117"/>
      <c r="L380" s="117"/>
      <c r="M380" s="213"/>
      <c r="N380" s="117"/>
      <c r="O380" s="117"/>
      <c r="P380" s="117"/>
      <c r="Q380" s="200"/>
      <c r="R380" s="239"/>
      <c r="S380" s="239"/>
      <c r="T380" s="239"/>
      <c r="U380" s="216"/>
      <c r="V380" s="217"/>
      <c r="W380" s="233"/>
      <c r="X380" s="123"/>
      <c r="Y380" s="117"/>
      <c r="Z380" s="117"/>
    </row>
    <row r="381" spans="1:26">
      <c r="A381" s="117"/>
      <c r="B381" s="117"/>
      <c r="C381" s="117"/>
      <c r="D381" s="117"/>
      <c r="E381" s="117"/>
      <c r="F381" s="117"/>
      <c r="G381" s="116"/>
      <c r="H381" s="117"/>
      <c r="I381" s="117"/>
      <c r="J381" s="117"/>
      <c r="K381" s="117"/>
      <c r="L381" s="117"/>
      <c r="M381" s="213"/>
      <c r="N381" s="117"/>
      <c r="O381" s="117"/>
      <c r="P381" s="117"/>
      <c r="Q381" s="200"/>
      <c r="R381" s="239"/>
      <c r="S381" s="239"/>
      <c r="T381" s="239"/>
      <c r="U381" s="216"/>
      <c r="V381" s="217"/>
      <c r="W381" s="233"/>
      <c r="X381" s="123"/>
      <c r="Y381" s="117"/>
      <c r="Z381" s="117"/>
    </row>
    <row r="382" spans="1:26">
      <c r="A382" s="117"/>
      <c r="B382" s="117"/>
      <c r="C382" s="117"/>
      <c r="D382" s="117"/>
      <c r="E382" s="117"/>
      <c r="F382" s="117"/>
      <c r="G382" s="116"/>
      <c r="H382" s="117"/>
      <c r="I382" s="117"/>
      <c r="J382" s="117"/>
      <c r="K382" s="117"/>
      <c r="L382" s="117"/>
      <c r="M382" s="213"/>
      <c r="N382" s="117"/>
      <c r="O382" s="117"/>
      <c r="P382" s="117"/>
      <c r="Q382" s="200"/>
      <c r="R382" s="239"/>
      <c r="S382" s="239"/>
      <c r="T382" s="239"/>
      <c r="U382" s="216"/>
      <c r="V382" s="217"/>
      <c r="W382" s="233"/>
      <c r="X382" s="123"/>
      <c r="Y382" s="117"/>
      <c r="Z382" s="117"/>
    </row>
    <row r="383" spans="1:26">
      <c r="A383" s="117"/>
      <c r="B383" s="117"/>
      <c r="C383" s="117"/>
      <c r="D383" s="117"/>
      <c r="E383" s="117"/>
      <c r="F383" s="117"/>
      <c r="G383" s="116"/>
      <c r="H383" s="117"/>
      <c r="I383" s="117"/>
      <c r="J383" s="117"/>
      <c r="K383" s="117"/>
      <c r="L383" s="117"/>
      <c r="M383" s="213"/>
      <c r="N383" s="117"/>
      <c r="O383" s="117"/>
      <c r="P383" s="117"/>
      <c r="Q383" s="200"/>
      <c r="R383" s="239"/>
      <c r="S383" s="239"/>
      <c r="T383" s="239"/>
      <c r="U383" s="216"/>
      <c r="V383" s="217"/>
      <c r="W383" s="233"/>
      <c r="X383" s="123"/>
      <c r="Y383" s="117"/>
      <c r="Z383" s="117"/>
    </row>
    <row r="384" spans="1:26">
      <c r="A384" s="117"/>
      <c r="B384" s="117"/>
      <c r="C384" s="117"/>
      <c r="D384" s="117"/>
      <c r="E384" s="117"/>
      <c r="F384" s="117"/>
      <c r="G384" s="116"/>
      <c r="H384" s="117"/>
      <c r="I384" s="117"/>
      <c r="J384" s="117"/>
      <c r="K384" s="117"/>
      <c r="L384" s="117"/>
      <c r="M384" s="213"/>
      <c r="N384" s="117"/>
      <c r="O384" s="117"/>
      <c r="P384" s="117"/>
      <c r="Q384" s="200"/>
      <c r="R384" s="239"/>
      <c r="S384" s="239"/>
      <c r="T384" s="239"/>
      <c r="U384" s="216"/>
      <c r="V384" s="217"/>
      <c r="W384" s="233"/>
      <c r="X384" s="123"/>
      <c r="Y384" s="117"/>
      <c r="Z384" s="117"/>
    </row>
    <row r="385" spans="1:26">
      <c r="A385" s="117"/>
      <c r="B385" s="117"/>
      <c r="C385" s="117"/>
      <c r="D385" s="117"/>
      <c r="E385" s="117"/>
      <c r="F385" s="117"/>
      <c r="G385" s="116"/>
      <c r="H385" s="117"/>
      <c r="I385" s="117"/>
      <c r="J385" s="117"/>
      <c r="K385" s="117"/>
      <c r="L385" s="117"/>
      <c r="M385" s="213"/>
      <c r="N385" s="117"/>
      <c r="O385" s="117"/>
      <c r="P385" s="117"/>
      <c r="Q385" s="200"/>
      <c r="R385" s="239"/>
      <c r="S385" s="239"/>
      <c r="T385" s="239"/>
      <c r="U385" s="216"/>
      <c r="V385" s="217"/>
      <c r="W385" s="233"/>
      <c r="X385" s="123"/>
      <c r="Y385" s="117"/>
      <c r="Z385" s="117"/>
    </row>
    <row r="386" spans="1:26">
      <c r="A386" s="117"/>
      <c r="B386" s="117"/>
      <c r="C386" s="117"/>
      <c r="D386" s="117"/>
      <c r="E386" s="117"/>
      <c r="F386" s="117"/>
      <c r="G386" s="116"/>
      <c r="H386" s="117"/>
      <c r="I386" s="117"/>
      <c r="J386" s="117"/>
      <c r="K386" s="117"/>
      <c r="L386" s="117"/>
      <c r="M386" s="213"/>
      <c r="N386" s="117"/>
      <c r="O386" s="117"/>
      <c r="P386" s="117"/>
      <c r="Q386" s="200"/>
      <c r="R386" s="239"/>
      <c r="S386" s="239"/>
      <c r="T386" s="239"/>
      <c r="U386" s="216"/>
      <c r="V386" s="217"/>
      <c r="W386" s="233"/>
      <c r="X386" s="123"/>
      <c r="Y386" s="117"/>
      <c r="Z386" s="117"/>
    </row>
    <row r="387" spans="1:26">
      <c r="A387" s="117"/>
      <c r="B387" s="117"/>
      <c r="C387" s="117"/>
      <c r="D387" s="117"/>
      <c r="E387" s="117"/>
      <c r="F387" s="117"/>
      <c r="G387" s="116"/>
      <c r="H387" s="117"/>
      <c r="I387" s="117"/>
      <c r="J387" s="117"/>
      <c r="K387" s="117"/>
      <c r="L387" s="117"/>
      <c r="M387" s="213"/>
      <c r="N387" s="117"/>
      <c r="O387" s="117"/>
      <c r="P387" s="117"/>
      <c r="Q387" s="200"/>
      <c r="R387" s="239"/>
      <c r="S387" s="239"/>
      <c r="T387" s="239"/>
      <c r="U387" s="216"/>
      <c r="V387" s="217"/>
      <c r="W387" s="233"/>
      <c r="X387" s="123"/>
      <c r="Y387" s="117"/>
      <c r="Z387" s="117"/>
    </row>
    <row r="388" spans="1:26">
      <c r="A388" s="117"/>
      <c r="B388" s="117"/>
      <c r="C388" s="117"/>
      <c r="D388" s="117"/>
      <c r="E388" s="117"/>
      <c r="F388" s="117"/>
      <c r="G388" s="116"/>
      <c r="H388" s="117"/>
      <c r="I388" s="117"/>
      <c r="J388" s="117"/>
      <c r="K388" s="117"/>
      <c r="L388" s="117"/>
      <c r="M388" s="213"/>
      <c r="N388" s="117"/>
      <c r="O388" s="117"/>
      <c r="P388" s="117"/>
      <c r="Q388" s="200"/>
      <c r="R388" s="239"/>
      <c r="S388" s="239"/>
      <c r="T388" s="239"/>
      <c r="U388" s="216"/>
      <c r="V388" s="217"/>
      <c r="W388" s="233"/>
      <c r="X388" s="123"/>
      <c r="Y388" s="117"/>
      <c r="Z388" s="117"/>
    </row>
    <row r="389" spans="1:26">
      <c r="A389" s="117"/>
      <c r="B389" s="117"/>
      <c r="C389" s="117"/>
      <c r="D389" s="117"/>
      <c r="E389" s="117"/>
      <c r="F389" s="117"/>
      <c r="G389" s="116"/>
      <c r="H389" s="117"/>
      <c r="I389" s="117"/>
      <c r="J389" s="117"/>
      <c r="K389" s="117"/>
      <c r="L389" s="117"/>
      <c r="M389" s="213"/>
      <c r="N389" s="117"/>
      <c r="O389" s="117"/>
      <c r="P389" s="117"/>
      <c r="Q389" s="200"/>
      <c r="R389" s="239"/>
      <c r="S389" s="239"/>
      <c r="T389" s="239"/>
      <c r="U389" s="216"/>
      <c r="V389" s="217"/>
      <c r="W389" s="233"/>
      <c r="X389" s="123"/>
      <c r="Y389" s="117"/>
      <c r="Z389" s="117"/>
    </row>
    <row r="390" spans="1:26">
      <c r="A390" s="117"/>
      <c r="B390" s="117"/>
      <c r="C390" s="117"/>
      <c r="D390" s="117"/>
      <c r="E390" s="117"/>
      <c r="F390" s="117"/>
      <c r="G390" s="116"/>
      <c r="H390" s="117"/>
      <c r="I390" s="117"/>
      <c r="J390" s="117"/>
      <c r="K390" s="117"/>
      <c r="L390" s="117"/>
      <c r="M390" s="213"/>
      <c r="N390" s="117"/>
      <c r="O390" s="117"/>
      <c r="P390" s="117"/>
      <c r="Q390" s="200"/>
      <c r="R390" s="239"/>
      <c r="S390" s="239"/>
      <c r="T390" s="239"/>
      <c r="U390" s="216"/>
      <c r="V390" s="217"/>
      <c r="W390" s="233"/>
      <c r="X390" s="123"/>
      <c r="Y390" s="117"/>
      <c r="Z390" s="117"/>
    </row>
    <row r="391" spans="1:26">
      <c r="A391" s="117"/>
      <c r="B391" s="117"/>
      <c r="C391" s="117"/>
      <c r="D391" s="117"/>
      <c r="E391" s="117"/>
      <c r="F391" s="117"/>
      <c r="G391" s="116"/>
      <c r="H391" s="117"/>
      <c r="I391" s="117"/>
      <c r="J391" s="117"/>
      <c r="K391" s="117"/>
      <c r="L391" s="117"/>
      <c r="M391" s="213"/>
      <c r="N391" s="117"/>
      <c r="O391" s="117"/>
      <c r="P391" s="117"/>
      <c r="Q391" s="200"/>
      <c r="R391" s="239"/>
      <c r="S391" s="239"/>
      <c r="T391" s="239"/>
      <c r="U391" s="216"/>
      <c r="V391" s="217"/>
      <c r="W391" s="233"/>
      <c r="X391" s="123"/>
      <c r="Y391" s="117"/>
      <c r="Z391" s="117"/>
    </row>
    <row r="392" spans="1:26">
      <c r="A392" s="117"/>
      <c r="B392" s="117"/>
      <c r="C392" s="117"/>
      <c r="D392" s="117"/>
      <c r="E392" s="117"/>
      <c r="F392" s="117"/>
      <c r="G392" s="116"/>
      <c r="H392" s="117"/>
      <c r="I392" s="117"/>
      <c r="J392" s="117"/>
      <c r="K392" s="117"/>
      <c r="L392" s="117"/>
      <c r="M392" s="213"/>
      <c r="N392" s="117"/>
      <c r="O392" s="117"/>
      <c r="P392" s="117"/>
      <c r="Q392" s="200"/>
      <c r="R392" s="239"/>
      <c r="S392" s="239"/>
      <c r="T392" s="239"/>
      <c r="U392" s="216"/>
      <c r="V392" s="217"/>
      <c r="W392" s="233"/>
      <c r="X392" s="123"/>
      <c r="Y392" s="117"/>
      <c r="Z392" s="117"/>
    </row>
    <row r="393" spans="1:26">
      <c r="A393" s="117"/>
      <c r="B393" s="117"/>
      <c r="C393" s="117"/>
      <c r="D393" s="117"/>
      <c r="E393" s="117"/>
      <c r="F393" s="117"/>
      <c r="G393" s="116"/>
      <c r="H393" s="117"/>
      <c r="I393" s="117"/>
      <c r="J393" s="117"/>
      <c r="K393" s="117"/>
      <c r="L393" s="117"/>
      <c r="M393" s="213"/>
      <c r="N393" s="117"/>
      <c r="O393" s="117"/>
      <c r="P393" s="117"/>
      <c r="Q393" s="200"/>
      <c r="R393" s="239"/>
      <c r="S393" s="239"/>
      <c r="T393" s="239"/>
      <c r="U393" s="216"/>
      <c r="V393" s="217"/>
      <c r="W393" s="233"/>
      <c r="X393" s="123"/>
      <c r="Y393" s="117"/>
      <c r="Z393" s="117"/>
    </row>
    <row r="394" spans="1:26">
      <c r="A394" s="117"/>
      <c r="B394" s="117"/>
      <c r="C394" s="117"/>
      <c r="D394" s="117"/>
      <c r="E394" s="117"/>
      <c r="F394" s="117"/>
      <c r="G394" s="116"/>
      <c r="H394" s="117"/>
      <c r="I394" s="117"/>
      <c r="J394" s="117"/>
      <c r="K394" s="117"/>
      <c r="L394" s="117"/>
      <c r="M394" s="213"/>
      <c r="N394" s="117"/>
      <c r="O394" s="117"/>
      <c r="P394" s="117"/>
      <c r="Q394" s="200"/>
      <c r="R394" s="239"/>
      <c r="S394" s="239"/>
      <c r="T394" s="239"/>
      <c r="U394" s="216"/>
      <c r="V394" s="217"/>
      <c r="W394" s="233"/>
      <c r="X394" s="123"/>
      <c r="Y394" s="117"/>
      <c r="Z394" s="117"/>
    </row>
    <row r="395" spans="1:26">
      <c r="A395" s="117"/>
      <c r="B395" s="117"/>
      <c r="C395" s="117"/>
      <c r="D395" s="117"/>
      <c r="E395" s="117"/>
      <c r="F395" s="117"/>
      <c r="G395" s="116"/>
      <c r="H395" s="117"/>
      <c r="I395" s="117"/>
      <c r="J395" s="117"/>
      <c r="K395" s="117"/>
      <c r="L395" s="117"/>
      <c r="M395" s="213"/>
      <c r="N395" s="117"/>
      <c r="O395" s="117"/>
      <c r="P395" s="117"/>
      <c r="Q395" s="200"/>
      <c r="R395" s="239"/>
      <c r="S395" s="239"/>
      <c r="T395" s="239"/>
      <c r="U395" s="216"/>
      <c r="V395" s="217"/>
      <c r="W395" s="233"/>
      <c r="X395" s="123"/>
      <c r="Y395" s="117"/>
      <c r="Z395" s="117"/>
    </row>
    <row r="396" spans="1:26">
      <c r="A396" s="117"/>
      <c r="B396" s="117"/>
      <c r="C396" s="117"/>
      <c r="D396" s="117"/>
      <c r="E396" s="117"/>
      <c r="F396" s="117"/>
      <c r="G396" s="116"/>
      <c r="H396" s="117"/>
      <c r="I396" s="117"/>
      <c r="J396" s="117"/>
      <c r="K396" s="117"/>
      <c r="L396" s="117"/>
      <c r="M396" s="213"/>
      <c r="N396" s="117"/>
      <c r="O396" s="117"/>
      <c r="P396" s="117"/>
      <c r="Q396" s="200"/>
      <c r="R396" s="239"/>
      <c r="S396" s="239"/>
      <c r="T396" s="239"/>
      <c r="U396" s="216"/>
      <c r="V396" s="217"/>
      <c r="W396" s="233"/>
      <c r="X396" s="123"/>
      <c r="Y396" s="117"/>
      <c r="Z396" s="117"/>
    </row>
    <row r="397" spans="1:26">
      <c r="A397" s="117"/>
      <c r="B397" s="117"/>
      <c r="C397" s="117"/>
      <c r="D397" s="117"/>
      <c r="E397" s="117"/>
      <c r="F397" s="117"/>
      <c r="G397" s="116"/>
      <c r="H397" s="117"/>
      <c r="I397" s="117"/>
      <c r="J397" s="117"/>
      <c r="K397" s="117"/>
      <c r="L397" s="117"/>
      <c r="M397" s="213"/>
      <c r="N397" s="117"/>
      <c r="O397" s="117"/>
      <c r="P397" s="117"/>
      <c r="Q397" s="200"/>
      <c r="R397" s="239"/>
      <c r="S397" s="239"/>
      <c r="T397" s="239"/>
      <c r="U397" s="216"/>
      <c r="V397" s="217"/>
      <c r="W397" s="233"/>
      <c r="X397" s="123"/>
      <c r="Y397" s="117"/>
      <c r="Z397" s="117"/>
    </row>
    <row r="398" spans="1:26">
      <c r="A398" s="117"/>
      <c r="B398" s="117"/>
      <c r="C398" s="117"/>
      <c r="D398" s="117"/>
      <c r="E398" s="117"/>
      <c r="F398" s="117"/>
      <c r="G398" s="116"/>
      <c r="H398" s="117"/>
      <c r="I398" s="117"/>
      <c r="J398" s="117"/>
      <c r="K398" s="117"/>
      <c r="L398" s="117"/>
      <c r="M398" s="213"/>
      <c r="N398" s="117"/>
      <c r="O398" s="117"/>
      <c r="P398" s="117"/>
      <c r="Q398" s="200"/>
      <c r="R398" s="239"/>
      <c r="S398" s="239"/>
      <c r="T398" s="239"/>
      <c r="U398" s="216"/>
      <c r="V398" s="217"/>
      <c r="W398" s="233"/>
      <c r="X398" s="123"/>
      <c r="Y398" s="117"/>
      <c r="Z398" s="117"/>
    </row>
    <row r="399" spans="1:26">
      <c r="A399" s="117"/>
      <c r="B399" s="117"/>
      <c r="C399" s="117"/>
      <c r="D399" s="117"/>
      <c r="E399" s="117"/>
      <c r="F399" s="117"/>
      <c r="G399" s="116"/>
      <c r="H399" s="117"/>
      <c r="I399" s="117"/>
      <c r="J399" s="117"/>
      <c r="K399" s="117"/>
      <c r="L399" s="117"/>
      <c r="M399" s="213"/>
      <c r="N399" s="117"/>
      <c r="O399" s="117"/>
      <c r="P399" s="117"/>
      <c r="Q399" s="200"/>
      <c r="R399" s="239"/>
      <c r="S399" s="239"/>
      <c r="T399" s="239"/>
      <c r="U399" s="216"/>
      <c r="V399" s="217"/>
      <c r="W399" s="233"/>
      <c r="X399" s="123"/>
      <c r="Y399" s="117"/>
      <c r="Z399" s="117"/>
    </row>
    <row r="400" spans="1:26">
      <c r="A400" s="117"/>
      <c r="B400" s="117"/>
      <c r="C400" s="117"/>
      <c r="D400" s="117"/>
      <c r="E400" s="117"/>
      <c r="F400" s="117"/>
      <c r="G400" s="116"/>
      <c r="H400" s="117"/>
      <c r="I400" s="117"/>
      <c r="J400" s="117"/>
      <c r="K400" s="117"/>
      <c r="L400" s="117"/>
      <c r="M400" s="213"/>
      <c r="N400" s="117"/>
      <c r="O400" s="117"/>
      <c r="P400" s="117"/>
      <c r="Q400" s="200"/>
      <c r="R400" s="239"/>
      <c r="S400" s="239"/>
      <c r="T400" s="239"/>
      <c r="U400" s="216"/>
      <c r="V400" s="217"/>
      <c r="W400" s="233"/>
      <c r="X400" s="123"/>
      <c r="Y400" s="117"/>
      <c r="Z400" s="117"/>
    </row>
    <row r="401" spans="1:26">
      <c r="A401" s="117"/>
      <c r="B401" s="117"/>
      <c r="C401" s="117"/>
      <c r="D401" s="117"/>
      <c r="E401" s="117"/>
      <c r="F401" s="117"/>
      <c r="G401" s="116"/>
      <c r="H401" s="117"/>
      <c r="I401" s="117"/>
      <c r="J401" s="117"/>
      <c r="K401" s="117"/>
      <c r="L401" s="117"/>
      <c r="M401" s="213"/>
      <c r="N401" s="117"/>
      <c r="O401" s="117"/>
      <c r="P401" s="117"/>
      <c r="Q401" s="200"/>
      <c r="R401" s="239"/>
      <c r="S401" s="239"/>
      <c r="T401" s="239"/>
      <c r="U401" s="216"/>
      <c r="V401" s="217"/>
      <c r="W401" s="233"/>
      <c r="X401" s="123"/>
      <c r="Y401" s="117"/>
      <c r="Z401" s="117"/>
    </row>
    <row r="402" spans="1:26">
      <c r="A402" s="117"/>
      <c r="B402" s="117"/>
      <c r="C402" s="117"/>
      <c r="D402" s="117"/>
      <c r="E402" s="117"/>
      <c r="F402" s="117"/>
      <c r="G402" s="116"/>
      <c r="H402" s="117"/>
      <c r="I402" s="117"/>
      <c r="J402" s="117"/>
      <c r="K402" s="117"/>
      <c r="L402" s="117"/>
      <c r="M402" s="213"/>
      <c r="N402" s="117"/>
      <c r="O402" s="117"/>
      <c r="P402" s="117"/>
      <c r="Q402" s="200"/>
      <c r="R402" s="239"/>
      <c r="S402" s="239"/>
      <c r="T402" s="239"/>
      <c r="U402" s="216"/>
      <c r="V402" s="217"/>
      <c r="W402" s="233"/>
      <c r="X402" s="123"/>
      <c r="Y402" s="117"/>
      <c r="Z402" s="117"/>
    </row>
    <row r="403" spans="1:26">
      <c r="A403" s="117"/>
      <c r="B403" s="117"/>
      <c r="C403" s="117"/>
      <c r="D403" s="117"/>
      <c r="E403" s="117"/>
      <c r="F403" s="117"/>
      <c r="G403" s="116"/>
      <c r="H403" s="117"/>
      <c r="I403" s="117"/>
      <c r="J403" s="117"/>
      <c r="K403" s="117"/>
      <c r="L403" s="117"/>
      <c r="M403" s="213"/>
      <c r="N403" s="117"/>
      <c r="O403" s="117"/>
      <c r="P403" s="117"/>
      <c r="Q403" s="200"/>
      <c r="R403" s="239"/>
      <c r="S403" s="239"/>
      <c r="T403" s="239"/>
      <c r="U403" s="216"/>
      <c r="V403" s="217"/>
      <c r="W403" s="233"/>
      <c r="X403" s="123"/>
      <c r="Y403" s="117"/>
      <c r="Z403" s="117"/>
    </row>
    <row r="404" spans="1:26">
      <c r="A404" s="117"/>
      <c r="B404" s="117"/>
      <c r="C404" s="117"/>
      <c r="D404" s="117"/>
      <c r="E404" s="117"/>
      <c r="F404" s="117"/>
      <c r="G404" s="116"/>
      <c r="H404" s="117"/>
      <c r="I404" s="117"/>
      <c r="J404" s="117"/>
      <c r="K404" s="117"/>
      <c r="L404" s="117"/>
      <c r="M404" s="213"/>
      <c r="N404" s="117"/>
      <c r="O404" s="117"/>
      <c r="P404" s="117"/>
      <c r="Q404" s="200"/>
      <c r="R404" s="239"/>
      <c r="S404" s="239"/>
      <c r="T404" s="239"/>
      <c r="U404" s="216"/>
      <c r="V404" s="217"/>
      <c r="W404" s="233"/>
      <c r="X404" s="123"/>
      <c r="Y404" s="117"/>
      <c r="Z404" s="117"/>
    </row>
    <row r="405" spans="1:26">
      <c r="A405" s="117"/>
      <c r="B405" s="117"/>
      <c r="C405" s="117"/>
      <c r="D405" s="117"/>
      <c r="E405" s="117"/>
      <c r="F405" s="117"/>
      <c r="G405" s="116"/>
      <c r="H405" s="117"/>
      <c r="I405" s="117"/>
      <c r="J405" s="117"/>
      <c r="K405" s="117"/>
      <c r="L405" s="117"/>
      <c r="M405" s="213"/>
      <c r="N405" s="117"/>
      <c r="O405" s="117"/>
      <c r="P405" s="117"/>
      <c r="Q405" s="200"/>
      <c r="R405" s="239"/>
      <c r="S405" s="239"/>
      <c r="T405" s="239"/>
      <c r="U405" s="216"/>
      <c r="V405" s="217"/>
      <c r="W405" s="233"/>
      <c r="X405" s="123"/>
      <c r="Y405" s="117"/>
      <c r="Z405" s="117"/>
    </row>
    <row r="406" spans="1:26">
      <c r="A406" s="117"/>
      <c r="B406" s="117"/>
      <c r="C406" s="117"/>
      <c r="D406" s="117"/>
      <c r="E406" s="117"/>
      <c r="F406" s="117"/>
      <c r="G406" s="116"/>
      <c r="H406" s="117"/>
      <c r="I406" s="117"/>
      <c r="J406" s="117"/>
      <c r="K406" s="117"/>
      <c r="L406" s="117"/>
      <c r="M406" s="213"/>
      <c r="N406" s="117"/>
      <c r="O406" s="117"/>
      <c r="P406" s="117"/>
      <c r="Q406" s="200"/>
      <c r="R406" s="239"/>
      <c r="S406" s="239"/>
      <c r="T406" s="239"/>
      <c r="U406" s="216"/>
      <c r="V406" s="217"/>
      <c r="W406" s="233"/>
      <c r="X406" s="123"/>
      <c r="Y406" s="117"/>
      <c r="Z406" s="117"/>
    </row>
    <row r="407" spans="1:26">
      <c r="A407" s="117"/>
      <c r="B407" s="117"/>
      <c r="C407" s="117"/>
      <c r="D407" s="117"/>
      <c r="E407" s="117"/>
      <c r="F407" s="117"/>
      <c r="G407" s="116"/>
      <c r="H407" s="117"/>
      <c r="I407" s="117"/>
      <c r="J407" s="117"/>
      <c r="K407" s="117"/>
      <c r="L407" s="117"/>
      <c r="M407" s="213"/>
      <c r="N407" s="117"/>
      <c r="O407" s="117"/>
      <c r="P407" s="117"/>
      <c r="Q407" s="200"/>
      <c r="R407" s="239"/>
      <c r="S407" s="239"/>
      <c r="T407" s="239"/>
      <c r="U407" s="216"/>
      <c r="V407" s="217"/>
      <c r="W407" s="233"/>
      <c r="X407" s="123"/>
      <c r="Y407" s="117"/>
      <c r="Z407" s="117"/>
    </row>
    <row r="408" spans="1:26">
      <c r="A408" s="117"/>
      <c r="B408" s="117"/>
      <c r="C408" s="117"/>
      <c r="D408" s="117"/>
      <c r="E408" s="117"/>
      <c r="F408" s="117"/>
      <c r="G408" s="116"/>
      <c r="H408" s="117"/>
      <c r="I408" s="117"/>
      <c r="J408" s="117"/>
      <c r="K408" s="117"/>
      <c r="L408" s="117"/>
      <c r="M408" s="213"/>
      <c r="N408" s="117"/>
      <c r="O408" s="117"/>
      <c r="P408" s="117"/>
      <c r="Q408" s="200"/>
      <c r="R408" s="239"/>
      <c r="S408" s="239"/>
      <c r="T408" s="239"/>
      <c r="U408" s="216"/>
      <c r="V408" s="217"/>
      <c r="W408" s="233"/>
      <c r="X408" s="123"/>
      <c r="Y408" s="117"/>
      <c r="Z408" s="117"/>
    </row>
    <row r="409" spans="1:26">
      <c r="A409" s="117"/>
      <c r="B409" s="117"/>
      <c r="C409" s="117"/>
      <c r="D409" s="117"/>
      <c r="E409" s="117"/>
      <c r="F409" s="117"/>
      <c r="G409" s="116"/>
      <c r="H409" s="117"/>
      <c r="I409" s="117"/>
      <c r="J409" s="117"/>
      <c r="K409" s="117"/>
      <c r="L409" s="117"/>
      <c r="M409" s="213"/>
      <c r="N409" s="117"/>
      <c r="O409" s="117"/>
      <c r="P409" s="117"/>
      <c r="Q409" s="200"/>
      <c r="R409" s="239"/>
      <c r="S409" s="239"/>
      <c r="T409" s="239"/>
      <c r="U409" s="216"/>
      <c r="V409" s="217"/>
      <c r="W409" s="233"/>
      <c r="X409" s="123"/>
      <c r="Y409" s="117"/>
      <c r="Z409" s="117"/>
    </row>
    <row r="410" spans="1:26">
      <c r="A410" s="117"/>
      <c r="B410" s="117"/>
      <c r="C410" s="117"/>
      <c r="D410" s="117"/>
      <c r="E410" s="117"/>
      <c r="F410" s="117"/>
      <c r="G410" s="116"/>
      <c r="H410" s="117"/>
      <c r="I410" s="117"/>
      <c r="J410" s="117"/>
      <c r="K410" s="117"/>
      <c r="L410" s="117"/>
      <c r="M410" s="213"/>
      <c r="N410" s="117"/>
      <c r="O410" s="117"/>
      <c r="P410" s="117"/>
      <c r="Q410" s="200"/>
      <c r="R410" s="239"/>
      <c r="S410" s="239"/>
      <c r="T410" s="239"/>
      <c r="U410" s="216"/>
      <c r="V410" s="217"/>
      <c r="W410" s="233"/>
      <c r="X410" s="123"/>
      <c r="Y410" s="117"/>
      <c r="Z410" s="117"/>
    </row>
    <row r="411" spans="1:26">
      <c r="A411" s="117"/>
      <c r="B411" s="117"/>
      <c r="C411" s="117"/>
      <c r="D411" s="117"/>
      <c r="E411" s="117"/>
      <c r="F411" s="117"/>
      <c r="G411" s="116"/>
      <c r="H411" s="117"/>
      <c r="I411" s="117"/>
      <c r="J411" s="117"/>
      <c r="K411" s="117"/>
      <c r="L411" s="117"/>
      <c r="M411" s="213"/>
      <c r="N411" s="117"/>
      <c r="O411" s="117"/>
      <c r="P411" s="117"/>
      <c r="Q411" s="200"/>
      <c r="R411" s="239"/>
      <c r="S411" s="239"/>
      <c r="T411" s="239"/>
      <c r="U411" s="216"/>
      <c r="V411" s="217"/>
      <c r="W411" s="233"/>
      <c r="X411" s="123"/>
      <c r="Y411" s="117"/>
      <c r="Z411" s="117"/>
    </row>
    <row r="412" spans="1:26">
      <c r="A412" s="117"/>
      <c r="B412" s="117"/>
      <c r="C412" s="117"/>
      <c r="D412" s="117"/>
      <c r="E412" s="117"/>
      <c r="F412" s="117"/>
      <c r="G412" s="116"/>
      <c r="H412" s="117"/>
      <c r="I412" s="117"/>
      <c r="J412" s="117"/>
      <c r="K412" s="117"/>
      <c r="L412" s="117"/>
      <c r="M412" s="213"/>
      <c r="N412" s="117"/>
      <c r="O412" s="117"/>
      <c r="P412" s="117"/>
      <c r="Q412" s="200"/>
      <c r="R412" s="239"/>
      <c r="S412" s="239"/>
      <c r="T412" s="239"/>
      <c r="U412" s="216"/>
      <c r="V412" s="217"/>
      <c r="W412" s="233"/>
      <c r="X412" s="123"/>
      <c r="Y412" s="117"/>
      <c r="Z412" s="117"/>
    </row>
    <row r="413" spans="1:26">
      <c r="A413" s="117"/>
      <c r="B413" s="117"/>
      <c r="C413" s="117"/>
      <c r="D413" s="117"/>
      <c r="E413" s="117"/>
      <c r="F413" s="117"/>
      <c r="G413" s="116"/>
      <c r="H413" s="117"/>
      <c r="I413" s="117"/>
      <c r="J413" s="117"/>
      <c r="K413" s="117"/>
      <c r="L413" s="117"/>
      <c r="M413" s="213"/>
      <c r="N413" s="117"/>
      <c r="O413" s="117"/>
      <c r="P413" s="117"/>
      <c r="Q413" s="200"/>
      <c r="R413" s="239"/>
      <c r="S413" s="239"/>
      <c r="T413" s="239"/>
      <c r="U413" s="216"/>
      <c r="V413" s="217"/>
      <c r="W413" s="233"/>
      <c r="X413" s="123"/>
      <c r="Y413" s="117"/>
      <c r="Z413" s="117"/>
    </row>
    <row r="414" spans="1:26">
      <c r="A414" s="117"/>
      <c r="B414" s="117"/>
      <c r="C414" s="117"/>
      <c r="D414" s="117"/>
      <c r="E414" s="117"/>
      <c r="F414" s="117"/>
      <c r="G414" s="116"/>
      <c r="H414" s="117"/>
      <c r="I414" s="117"/>
      <c r="J414" s="117"/>
      <c r="K414" s="117"/>
      <c r="L414" s="117"/>
      <c r="M414" s="213"/>
      <c r="N414" s="117"/>
      <c r="O414" s="117"/>
      <c r="P414" s="117"/>
      <c r="Q414" s="200"/>
      <c r="R414" s="239"/>
      <c r="S414" s="239"/>
      <c r="T414" s="239"/>
      <c r="U414" s="216"/>
      <c r="V414" s="217"/>
      <c r="W414" s="233"/>
      <c r="X414" s="123"/>
      <c r="Y414" s="117"/>
      <c r="Z414" s="117"/>
    </row>
    <row r="415" spans="1:26">
      <c r="A415" s="117"/>
      <c r="B415" s="117"/>
      <c r="C415" s="117"/>
      <c r="D415" s="117"/>
      <c r="E415" s="117"/>
      <c r="F415" s="117"/>
      <c r="G415" s="116"/>
      <c r="H415" s="117"/>
      <c r="I415" s="117"/>
      <c r="J415" s="117"/>
      <c r="K415" s="117"/>
      <c r="L415" s="117"/>
      <c r="M415" s="213"/>
      <c r="N415" s="117"/>
      <c r="O415" s="117"/>
      <c r="P415" s="117"/>
      <c r="Q415" s="200"/>
      <c r="R415" s="239"/>
      <c r="S415" s="239"/>
      <c r="T415" s="239"/>
      <c r="U415" s="216"/>
      <c r="V415" s="217"/>
      <c r="W415" s="233"/>
      <c r="X415" s="123"/>
      <c r="Y415" s="117"/>
      <c r="Z415" s="117"/>
    </row>
    <row r="416" spans="1:26">
      <c r="A416" s="117"/>
      <c r="B416" s="117"/>
      <c r="C416" s="117"/>
      <c r="D416" s="117"/>
      <c r="E416" s="117"/>
      <c r="F416" s="117"/>
      <c r="G416" s="116"/>
      <c r="H416" s="117"/>
      <c r="I416" s="117"/>
      <c r="J416" s="117"/>
      <c r="K416" s="117"/>
      <c r="L416" s="117"/>
      <c r="M416" s="213"/>
      <c r="N416" s="117"/>
      <c r="O416" s="117"/>
      <c r="P416" s="117"/>
      <c r="Q416" s="200"/>
      <c r="R416" s="239"/>
      <c r="S416" s="239"/>
      <c r="T416" s="239"/>
      <c r="U416" s="216"/>
      <c r="V416" s="217"/>
      <c r="W416" s="233"/>
      <c r="X416" s="123"/>
      <c r="Y416" s="117"/>
      <c r="Z416" s="117"/>
    </row>
    <row r="417" spans="1:26">
      <c r="A417" s="117"/>
      <c r="B417" s="117"/>
      <c r="C417" s="117"/>
      <c r="D417" s="117"/>
      <c r="E417" s="117"/>
      <c r="F417" s="117"/>
      <c r="G417" s="116"/>
      <c r="H417" s="117"/>
      <c r="I417" s="117"/>
      <c r="J417" s="117"/>
      <c r="K417" s="117"/>
      <c r="L417" s="117"/>
      <c r="M417" s="213"/>
      <c r="N417" s="117"/>
      <c r="O417" s="117"/>
      <c r="P417" s="117"/>
      <c r="Q417" s="200"/>
      <c r="R417" s="239"/>
      <c r="S417" s="239"/>
      <c r="T417" s="239"/>
      <c r="U417" s="216"/>
      <c r="V417" s="217"/>
      <c r="W417" s="233"/>
      <c r="X417" s="123"/>
      <c r="Y417" s="117"/>
      <c r="Z417" s="117"/>
    </row>
    <row r="418" spans="1:26">
      <c r="A418" s="117"/>
      <c r="B418" s="117"/>
      <c r="C418" s="117"/>
      <c r="D418" s="117"/>
      <c r="E418" s="117"/>
      <c r="F418" s="117"/>
      <c r="G418" s="116"/>
      <c r="H418" s="117"/>
      <c r="I418" s="117"/>
      <c r="J418" s="117"/>
      <c r="K418" s="117"/>
      <c r="L418" s="117"/>
      <c r="M418" s="213"/>
      <c r="N418" s="117"/>
      <c r="O418" s="117"/>
      <c r="P418" s="117"/>
      <c r="Q418" s="200"/>
      <c r="R418" s="239"/>
      <c r="S418" s="239"/>
      <c r="T418" s="239"/>
      <c r="U418" s="216"/>
      <c r="V418" s="217"/>
      <c r="W418" s="233"/>
      <c r="X418" s="123"/>
      <c r="Y418" s="117"/>
      <c r="Z418" s="117"/>
    </row>
    <row r="419" spans="1:26">
      <c r="A419" s="117"/>
      <c r="B419" s="117"/>
      <c r="C419" s="117"/>
      <c r="D419" s="117"/>
      <c r="E419" s="117"/>
      <c r="F419" s="117"/>
      <c r="G419" s="116"/>
      <c r="H419" s="117"/>
      <c r="I419" s="117"/>
      <c r="J419" s="117"/>
      <c r="K419" s="117"/>
      <c r="L419" s="117"/>
      <c r="M419" s="213"/>
      <c r="N419" s="117"/>
      <c r="O419" s="117"/>
      <c r="P419" s="117"/>
      <c r="Q419" s="200"/>
      <c r="R419" s="239"/>
      <c r="S419" s="239"/>
      <c r="T419" s="239"/>
      <c r="U419" s="216"/>
      <c r="V419" s="217"/>
      <c r="W419" s="233"/>
      <c r="X419" s="123"/>
      <c r="Y419" s="117"/>
      <c r="Z419" s="117"/>
    </row>
    <row r="420" spans="1:26">
      <c r="A420" s="117"/>
      <c r="B420" s="117"/>
      <c r="C420" s="117"/>
      <c r="D420" s="117"/>
      <c r="E420" s="117"/>
      <c r="F420" s="117"/>
      <c r="G420" s="116"/>
      <c r="H420" s="117"/>
      <c r="I420" s="117"/>
      <c r="J420" s="117"/>
      <c r="K420" s="117"/>
      <c r="L420" s="117"/>
      <c r="M420" s="213"/>
      <c r="N420" s="117"/>
      <c r="O420" s="117"/>
      <c r="P420" s="117"/>
      <c r="Q420" s="200"/>
      <c r="R420" s="239"/>
      <c r="S420" s="239"/>
      <c r="T420" s="239"/>
      <c r="U420" s="216"/>
      <c r="V420" s="217"/>
      <c r="W420" s="233"/>
      <c r="X420" s="123"/>
      <c r="Y420" s="117"/>
      <c r="Z420" s="117"/>
    </row>
    <row r="421" spans="1:26">
      <c r="A421" s="117"/>
      <c r="B421" s="117"/>
      <c r="C421" s="117"/>
      <c r="D421" s="117"/>
      <c r="E421" s="117"/>
      <c r="F421" s="117"/>
      <c r="G421" s="116"/>
      <c r="H421" s="117"/>
      <c r="I421" s="117"/>
      <c r="J421" s="117"/>
      <c r="K421" s="117"/>
      <c r="L421" s="117"/>
      <c r="M421" s="213"/>
      <c r="N421" s="117"/>
      <c r="O421" s="117"/>
      <c r="P421" s="117"/>
      <c r="Q421" s="200"/>
      <c r="R421" s="239"/>
      <c r="S421" s="239"/>
      <c r="T421" s="239"/>
      <c r="U421" s="216"/>
      <c r="V421" s="217"/>
      <c r="W421" s="233"/>
      <c r="X421" s="123"/>
      <c r="Y421" s="117"/>
      <c r="Z421" s="117"/>
    </row>
    <row r="422" spans="1:26">
      <c r="A422" s="117"/>
      <c r="B422" s="117"/>
      <c r="C422" s="117"/>
      <c r="D422" s="117"/>
      <c r="E422" s="117"/>
      <c r="F422" s="117"/>
      <c r="G422" s="116"/>
      <c r="H422" s="117"/>
      <c r="I422" s="117"/>
      <c r="J422" s="117"/>
      <c r="K422" s="117"/>
      <c r="L422" s="117"/>
      <c r="M422" s="213"/>
      <c r="N422" s="117"/>
      <c r="O422" s="117"/>
      <c r="P422" s="117"/>
      <c r="Q422" s="200"/>
      <c r="R422" s="239"/>
      <c r="S422" s="239"/>
      <c r="T422" s="239"/>
      <c r="U422" s="216"/>
      <c r="V422" s="217"/>
      <c r="W422" s="233"/>
      <c r="X422" s="123"/>
      <c r="Y422" s="117"/>
      <c r="Z422" s="117"/>
    </row>
    <row r="423" spans="1:26">
      <c r="A423" s="117"/>
      <c r="B423" s="117"/>
      <c r="C423" s="117"/>
      <c r="D423" s="117"/>
      <c r="E423" s="117"/>
      <c r="F423" s="117"/>
      <c r="G423" s="116"/>
      <c r="H423" s="117"/>
      <c r="I423" s="117"/>
      <c r="J423" s="117"/>
      <c r="K423" s="117"/>
      <c r="L423" s="117"/>
      <c r="M423" s="213"/>
      <c r="N423" s="117"/>
      <c r="O423" s="117"/>
      <c r="P423" s="117"/>
      <c r="Q423" s="200"/>
      <c r="R423" s="239"/>
      <c r="S423" s="239"/>
      <c r="T423" s="239"/>
      <c r="U423" s="216"/>
      <c r="V423" s="217"/>
      <c r="W423" s="233"/>
      <c r="X423" s="123"/>
      <c r="Y423" s="117"/>
      <c r="Z423" s="117"/>
    </row>
    <row r="424" spans="1:26">
      <c r="A424" s="117"/>
      <c r="B424" s="117"/>
      <c r="C424" s="117"/>
      <c r="D424" s="117"/>
      <c r="E424" s="117"/>
      <c r="F424" s="117"/>
      <c r="G424" s="116"/>
      <c r="H424" s="117"/>
      <c r="I424" s="117"/>
      <c r="J424" s="117"/>
      <c r="K424" s="117"/>
      <c r="L424" s="117"/>
      <c r="M424" s="213"/>
      <c r="N424" s="117"/>
      <c r="O424" s="117"/>
      <c r="P424" s="117"/>
      <c r="Q424" s="200"/>
      <c r="R424" s="239"/>
      <c r="S424" s="239"/>
      <c r="T424" s="239"/>
      <c r="U424" s="216"/>
      <c r="V424" s="217"/>
      <c r="W424" s="233"/>
      <c r="X424" s="123"/>
      <c r="Y424" s="117"/>
      <c r="Z424" s="117"/>
    </row>
    <row r="425" spans="1:26">
      <c r="A425" s="117"/>
      <c r="B425" s="117"/>
      <c r="C425" s="117"/>
      <c r="D425" s="117"/>
      <c r="E425" s="117"/>
      <c r="F425" s="117"/>
      <c r="G425" s="116"/>
      <c r="H425" s="117"/>
      <c r="I425" s="117"/>
      <c r="J425" s="117"/>
      <c r="K425" s="117"/>
      <c r="L425" s="117"/>
      <c r="M425" s="213"/>
      <c r="N425" s="117"/>
      <c r="O425" s="117"/>
      <c r="P425" s="117"/>
      <c r="Q425" s="200"/>
      <c r="R425" s="239"/>
      <c r="S425" s="239"/>
      <c r="T425" s="239"/>
      <c r="U425" s="216"/>
      <c r="V425" s="217"/>
      <c r="W425" s="233"/>
      <c r="X425" s="123"/>
      <c r="Y425" s="117"/>
      <c r="Z425" s="117"/>
    </row>
    <row r="426" spans="1:26">
      <c r="A426" s="117"/>
      <c r="B426" s="117"/>
      <c r="C426" s="117"/>
      <c r="D426" s="117"/>
      <c r="E426" s="117"/>
      <c r="F426" s="117"/>
      <c r="G426" s="116"/>
      <c r="H426" s="117"/>
      <c r="I426" s="117"/>
      <c r="J426" s="117"/>
      <c r="K426" s="117"/>
      <c r="L426" s="117"/>
      <c r="M426" s="213"/>
      <c r="N426" s="117"/>
      <c r="O426" s="117"/>
      <c r="P426" s="117"/>
      <c r="Q426" s="200"/>
      <c r="R426" s="239"/>
      <c r="S426" s="239"/>
      <c r="T426" s="239"/>
      <c r="U426" s="216"/>
      <c r="V426" s="217"/>
      <c r="W426" s="233"/>
      <c r="X426" s="123"/>
      <c r="Y426" s="117"/>
      <c r="Z426" s="117"/>
    </row>
    <row r="427" spans="1:26">
      <c r="A427" s="117"/>
      <c r="B427" s="117"/>
      <c r="C427" s="117"/>
      <c r="D427" s="117"/>
      <c r="E427" s="117"/>
      <c r="F427" s="117"/>
      <c r="G427" s="116"/>
      <c r="H427" s="117"/>
      <c r="I427" s="117"/>
      <c r="J427" s="117"/>
      <c r="K427" s="117"/>
      <c r="L427" s="117"/>
      <c r="M427" s="213"/>
      <c r="N427" s="117"/>
      <c r="O427" s="117"/>
      <c r="P427" s="117"/>
      <c r="Q427" s="200"/>
      <c r="R427" s="239"/>
      <c r="S427" s="239"/>
      <c r="T427" s="239"/>
      <c r="U427" s="216"/>
      <c r="V427" s="217"/>
      <c r="W427" s="233"/>
      <c r="X427" s="123"/>
      <c r="Y427" s="117"/>
      <c r="Z427" s="117"/>
    </row>
    <row r="428" spans="1:26">
      <c r="A428" s="117"/>
      <c r="B428" s="117"/>
      <c r="C428" s="117"/>
      <c r="D428" s="117"/>
      <c r="E428" s="117"/>
      <c r="F428" s="117"/>
      <c r="G428" s="116"/>
      <c r="H428" s="117"/>
      <c r="I428" s="117"/>
      <c r="J428" s="117"/>
      <c r="K428" s="117"/>
      <c r="L428" s="117"/>
      <c r="M428" s="213"/>
      <c r="N428" s="117"/>
      <c r="O428" s="117"/>
      <c r="P428" s="117"/>
      <c r="Q428" s="200"/>
      <c r="R428" s="239"/>
      <c r="S428" s="239"/>
      <c r="T428" s="239"/>
      <c r="U428" s="216"/>
      <c r="V428" s="217"/>
      <c r="W428" s="233"/>
      <c r="X428" s="123"/>
      <c r="Y428" s="117"/>
      <c r="Z428" s="117"/>
    </row>
    <row r="429" spans="1:26">
      <c r="A429" s="117"/>
      <c r="B429" s="117"/>
      <c r="C429" s="117"/>
      <c r="D429" s="117"/>
      <c r="E429" s="117"/>
      <c r="F429" s="117"/>
      <c r="G429" s="116"/>
      <c r="H429" s="117"/>
      <c r="I429" s="117"/>
      <c r="J429" s="117"/>
      <c r="K429" s="117"/>
      <c r="L429" s="117"/>
      <c r="M429" s="213"/>
      <c r="N429" s="117"/>
      <c r="O429" s="117"/>
      <c r="P429" s="117"/>
      <c r="Q429" s="200"/>
      <c r="R429" s="239"/>
      <c r="S429" s="239"/>
      <c r="T429" s="239"/>
      <c r="U429" s="216"/>
      <c r="V429" s="217"/>
      <c r="W429" s="233"/>
      <c r="X429" s="123"/>
      <c r="Y429" s="117"/>
      <c r="Z429" s="117"/>
    </row>
    <row r="430" spans="1:26">
      <c r="A430" s="117"/>
      <c r="B430" s="117"/>
      <c r="C430" s="117"/>
      <c r="D430" s="117"/>
      <c r="E430" s="117"/>
      <c r="F430" s="117"/>
      <c r="G430" s="116"/>
      <c r="H430" s="117"/>
      <c r="I430" s="117"/>
      <c r="J430" s="117"/>
      <c r="K430" s="117"/>
      <c r="L430" s="117"/>
      <c r="M430" s="213"/>
      <c r="N430" s="117"/>
      <c r="O430" s="117"/>
      <c r="P430" s="117"/>
      <c r="Q430" s="200"/>
      <c r="R430" s="239"/>
      <c r="S430" s="239"/>
      <c r="T430" s="239"/>
      <c r="U430" s="216"/>
      <c r="V430" s="217"/>
      <c r="W430" s="233"/>
      <c r="X430" s="123"/>
      <c r="Y430" s="117"/>
      <c r="Z430" s="117"/>
    </row>
    <row r="431" spans="1:26">
      <c r="A431" s="117"/>
      <c r="B431" s="117"/>
      <c r="C431" s="117"/>
      <c r="D431" s="117"/>
      <c r="E431" s="117"/>
      <c r="F431" s="117"/>
      <c r="G431" s="116"/>
      <c r="H431" s="117"/>
      <c r="I431" s="117"/>
      <c r="J431" s="117"/>
      <c r="K431" s="117"/>
      <c r="L431" s="117"/>
      <c r="M431" s="213"/>
      <c r="N431" s="117"/>
      <c r="O431" s="117"/>
      <c r="P431" s="117"/>
      <c r="Q431" s="200"/>
      <c r="R431" s="239"/>
      <c r="S431" s="239"/>
      <c r="T431" s="239"/>
      <c r="U431" s="216"/>
      <c r="V431" s="217"/>
      <c r="W431" s="233"/>
      <c r="X431" s="123"/>
      <c r="Y431" s="117"/>
      <c r="Z431" s="117"/>
    </row>
    <row r="432" spans="1:26">
      <c r="A432" s="117"/>
      <c r="B432" s="117"/>
      <c r="C432" s="117"/>
      <c r="D432" s="117"/>
      <c r="E432" s="117"/>
      <c r="F432" s="117"/>
      <c r="G432" s="116"/>
      <c r="H432" s="117"/>
      <c r="I432" s="117"/>
      <c r="J432" s="117"/>
      <c r="K432" s="117"/>
      <c r="L432" s="117"/>
      <c r="M432" s="213"/>
      <c r="N432" s="117"/>
      <c r="O432" s="117"/>
      <c r="P432" s="117"/>
      <c r="Q432" s="200"/>
      <c r="R432" s="239"/>
      <c r="S432" s="239"/>
      <c r="T432" s="239"/>
      <c r="U432" s="216"/>
      <c r="V432" s="217"/>
      <c r="W432" s="233"/>
      <c r="X432" s="123"/>
      <c r="Y432" s="117"/>
      <c r="Z432" s="117"/>
    </row>
    <row r="433" spans="1:26">
      <c r="A433" s="117"/>
      <c r="B433" s="117"/>
      <c r="C433" s="117"/>
      <c r="D433" s="117"/>
      <c r="E433" s="117"/>
      <c r="F433" s="117"/>
      <c r="G433" s="116"/>
      <c r="H433" s="117"/>
      <c r="I433" s="117"/>
      <c r="J433" s="117"/>
      <c r="K433" s="117"/>
      <c r="L433" s="117"/>
      <c r="M433" s="213"/>
      <c r="N433" s="117"/>
      <c r="O433" s="117"/>
      <c r="P433" s="117"/>
      <c r="Q433" s="200"/>
      <c r="R433" s="239"/>
      <c r="S433" s="239"/>
      <c r="T433" s="239"/>
      <c r="U433" s="216"/>
      <c r="V433" s="217"/>
      <c r="W433" s="233"/>
      <c r="X433" s="123"/>
      <c r="Y433" s="117"/>
      <c r="Z433" s="117"/>
    </row>
    <row r="434" spans="1:26">
      <c r="A434" s="117"/>
      <c r="B434" s="117"/>
      <c r="C434" s="117"/>
      <c r="D434" s="117"/>
      <c r="E434" s="117"/>
      <c r="F434" s="117"/>
      <c r="G434" s="116"/>
      <c r="H434" s="117"/>
      <c r="I434" s="117"/>
      <c r="J434" s="117"/>
      <c r="K434" s="117"/>
      <c r="L434" s="117"/>
      <c r="M434" s="213"/>
      <c r="N434" s="117"/>
      <c r="O434" s="117"/>
      <c r="P434" s="117"/>
      <c r="Q434" s="200"/>
      <c r="R434" s="239"/>
      <c r="S434" s="239"/>
      <c r="T434" s="239"/>
      <c r="U434" s="216"/>
      <c r="V434" s="217"/>
      <c r="W434" s="233"/>
      <c r="X434" s="123"/>
      <c r="Y434" s="117"/>
      <c r="Z434" s="117"/>
    </row>
    <row r="435" spans="1:26">
      <c r="A435" s="117"/>
      <c r="B435" s="117"/>
      <c r="C435" s="117"/>
      <c r="D435" s="117"/>
      <c r="E435" s="117"/>
      <c r="F435" s="117"/>
      <c r="G435" s="116"/>
      <c r="H435" s="117"/>
      <c r="I435" s="117"/>
      <c r="J435" s="117"/>
      <c r="K435" s="117"/>
      <c r="L435" s="117"/>
      <c r="M435" s="213"/>
      <c r="N435" s="117"/>
      <c r="O435" s="117"/>
      <c r="P435" s="117"/>
      <c r="Q435" s="200"/>
      <c r="R435" s="239"/>
      <c r="S435" s="239"/>
      <c r="T435" s="239"/>
      <c r="U435" s="216"/>
      <c r="V435" s="217"/>
      <c r="W435" s="233"/>
      <c r="X435" s="123"/>
      <c r="Y435" s="117"/>
      <c r="Z435" s="117"/>
    </row>
    <row r="436" spans="1:26">
      <c r="A436" s="117"/>
      <c r="B436" s="117"/>
      <c r="C436" s="117"/>
      <c r="D436" s="117"/>
      <c r="E436" s="117"/>
      <c r="F436" s="117"/>
      <c r="G436" s="116"/>
      <c r="H436" s="117"/>
      <c r="I436" s="117"/>
      <c r="J436" s="117"/>
      <c r="K436" s="117"/>
      <c r="L436" s="117"/>
      <c r="M436" s="213"/>
      <c r="N436" s="117"/>
      <c r="O436" s="117"/>
      <c r="P436" s="117"/>
      <c r="Q436" s="200"/>
      <c r="R436" s="239"/>
      <c r="S436" s="239"/>
      <c r="T436" s="239"/>
      <c r="U436" s="216"/>
      <c r="V436" s="217"/>
      <c r="W436" s="233"/>
      <c r="X436" s="123"/>
      <c r="Y436" s="117"/>
      <c r="Z436" s="117"/>
    </row>
    <row r="437" spans="1:26">
      <c r="A437" s="117"/>
      <c r="B437" s="117"/>
      <c r="C437" s="117"/>
      <c r="D437" s="117"/>
      <c r="E437" s="117"/>
      <c r="F437" s="117"/>
      <c r="G437" s="116"/>
      <c r="H437" s="117"/>
      <c r="I437" s="117"/>
      <c r="J437" s="117"/>
      <c r="K437" s="117"/>
      <c r="L437" s="117"/>
      <c r="M437" s="213"/>
      <c r="N437" s="117"/>
      <c r="O437" s="117"/>
      <c r="P437" s="117"/>
      <c r="Q437" s="200"/>
      <c r="R437" s="239"/>
      <c r="S437" s="239"/>
      <c r="T437" s="239"/>
      <c r="U437" s="216"/>
      <c r="V437" s="217"/>
      <c r="W437" s="233"/>
      <c r="X437" s="123"/>
      <c r="Y437" s="117"/>
      <c r="Z437" s="117"/>
    </row>
    <row r="438" spans="1:26">
      <c r="A438" s="117"/>
      <c r="B438" s="117"/>
      <c r="C438" s="117"/>
      <c r="D438" s="117"/>
      <c r="E438" s="117"/>
      <c r="F438" s="117"/>
      <c r="G438" s="116"/>
      <c r="H438" s="117"/>
      <c r="I438" s="117"/>
      <c r="J438" s="117"/>
      <c r="K438" s="117"/>
      <c r="L438" s="117"/>
      <c r="M438" s="213"/>
      <c r="N438" s="117"/>
      <c r="O438" s="117"/>
      <c r="P438" s="117"/>
      <c r="Q438" s="200"/>
      <c r="R438" s="239"/>
      <c r="S438" s="239"/>
      <c r="T438" s="239"/>
      <c r="U438" s="216"/>
      <c r="V438" s="217"/>
      <c r="W438" s="233"/>
      <c r="X438" s="123"/>
      <c r="Y438" s="117"/>
      <c r="Z438" s="117"/>
    </row>
    <row r="439" spans="1:26">
      <c r="A439" s="117"/>
      <c r="B439" s="117"/>
      <c r="C439" s="117"/>
      <c r="D439" s="117"/>
      <c r="E439" s="117"/>
      <c r="F439" s="117"/>
      <c r="G439" s="116"/>
      <c r="H439" s="117"/>
      <c r="I439" s="117"/>
      <c r="J439" s="117"/>
      <c r="K439" s="117"/>
      <c r="L439" s="117"/>
      <c r="M439" s="213"/>
      <c r="N439" s="117"/>
      <c r="O439" s="117"/>
      <c r="P439" s="117"/>
      <c r="Q439" s="200"/>
      <c r="R439" s="239"/>
      <c r="S439" s="239"/>
      <c r="T439" s="239"/>
      <c r="U439" s="216"/>
      <c r="V439" s="217"/>
      <c r="W439" s="233"/>
      <c r="X439" s="123"/>
      <c r="Y439" s="117"/>
      <c r="Z439" s="117"/>
    </row>
    <row r="440" spans="1:26">
      <c r="A440" s="117"/>
      <c r="B440" s="117"/>
      <c r="C440" s="117"/>
      <c r="D440" s="117"/>
      <c r="E440" s="117"/>
      <c r="F440" s="117"/>
      <c r="G440" s="116"/>
      <c r="H440" s="117"/>
      <c r="I440" s="117"/>
      <c r="J440" s="117"/>
      <c r="K440" s="117"/>
      <c r="L440" s="117"/>
      <c r="M440" s="213"/>
      <c r="N440" s="117"/>
      <c r="O440" s="117"/>
      <c r="P440" s="117"/>
      <c r="Q440" s="200"/>
      <c r="R440" s="239"/>
      <c r="S440" s="239"/>
      <c r="T440" s="239"/>
      <c r="U440" s="216"/>
      <c r="V440" s="217"/>
      <c r="W440" s="233"/>
      <c r="X440" s="123"/>
      <c r="Y440" s="117"/>
      <c r="Z440" s="117"/>
    </row>
    <row r="441" spans="1:26">
      <c r="A441" s="117"/>
      <c r="B441" s="117"/>
      <c r="C441" s="117"/>
      <c r="D441" s="117"/>
      <c r="E441" s="117"/>
      <c r="F441" s="117"/>
      <c r="G441" s="116"/>
      <c r="H441" s="117"/>
      <c r="I441" s="117"/>
      <c r="J441" s="117"/>
      <c r="K441" s="117"/>
      <c r="L441" s="117"/>
      <c r="M441" s="213"/>
      <c r="N441" s="117"/>
      <c r="O441" s="117"/>
      <c r="P441" s="117"/>
      <c r="Q441" s="200"/>
      <c r="R441" s="239"/>
      <c r="S441" s="239"/>
      <c r="T441" s="239"/>
      <c r="U441" s="216"/>
      <c r="V441" s="217"/>
      <c r="W441" s="233"/>
      <c r="X441" s="123"/>
      <c r="Y441" s="117"/>
      <c r="Z441" s="117"/>
    </row>
    <row r="442" spans="1:26">
      <c r="A442" s="117"/>
      <c r="B442" s="117"/>
      <c r="C442" s="117"/>
      <c r="D442" s="117"/>
      <c r="E442" s="117"/>
      <c r="F442" s="117"/>
      <c r="G442" s="116"/>
      <c r="H442" s="117"/>
      <c r="I442" s="117"/>
      <c r="J442" s="117"/>
      <c r="K442" s="117"/>
      <c r="L442" s="117"/>
      <c r="M442" s="213"/>
      <c r="N442" s="117"/>
      <c r="O442" s="117"/>
      <c r="P442" s="117"/>
      <c r="Q442" s="200"/>
      <c r="R442" s="239"/>
      <c r="S442" s="239"/>
      <c r="T442" s="239"/>
      <c r="U442" s="216"/>
      <c r="V442" s="217"/>
      <c r="W442" s="233"/>
      <c r="X442" s="123"/>
      <c r="Y442" s="117"/>
      <c r="Z442" s="117"/>
    </row>
    <row r="443" spans="1:26">
      <c r="A443" s="117"/>
      <c r="B443" s="117"/>
      <c r="C443" s="117"/>
      <c r="D443" s="117"/>
      <c r="E443" s="117"/>
      <c r="F443" s="117"/>
      <c r="G443" s="116"/>
      <c r="H443" s="117"/>
      <c r="I443" s="117"/>
      <c r="J443" s="117"/>
      <c r="K443" s="117"/>
      <c r="L443" s="117"/>
      <c r="M443" s="213"/>
      <c r="N443" s="117"/>
      <c r="O443" s="117"/>
      <c r="P443" s="117"/>
      <c r="Q443" s="200"/>
      <c r="R443" s="239"/>
      <c r="S443" s="239"/>
      <c r="T443" s="239"/>
      <c r="U443" s="216"/>
      <c r="V443" s="217"/>
      <c r="W443" s="233"/>
      <c r="X443" s="123"/>
      <c r="Y443" s="117"/>
      <c r="Z443" s="117"/>
    </row>
    <row r="444" spans="1:26">
      <c r="A444" s="117"/>
      <c r="B444" s="117"/>
      <c r="C444" s="117"/>
      <c r="D444" s="117"/>
      <c r="E444" s="117"/>
      <c r="F444" s="117"/>
      <c r="G444" s="116"/>
      <c r="H444" s="117"/>
      <c r="I444" s="117"/>
      <c r="J444" s="117"/>
      <c r="K444" s="117"/>
      <c r="L444" s="117"/>
      <c r="M444" s="213"/>
      <c r="N444" s="117"/>
      <c r="O444" s="117"/>
      <c r="P444" s="117"/>
      <c r="Q444" s="200"/>
      <c r="R444" s="239"/>
      <c r="S444" s="239"/>
      <c r="T444" s="239"/>
      <c r="U444" s="216"/>
      <c r="V444" s="217"/>
      <c r="W444" s="233"/>
      <c r="X444" s="123"/>
      <c r="Y444" s="117"/>
      <c r="Z444" s="117"/>
    </row>
    <row r="445" spans="1:26">
      <c r="A445" s="117"/>
      <c r="B445" s="117"/>
      <c r="C445" s="117"/>
      <c r="D445" s="117"/>
      <c r="E445" s="117"/>
      <c r="F445" s="117"/>
      <c r="G445" s="116"/>
      <c r="H445" s="117"/>
      <c r="I445" s="117"/>
      <c r="J445" s="117"/>
      <c r="K445" s="117"/>
      <c r="L445" s="117"/>
      <c r="M445" s="213"/>
      <c r="N445" s="117"/>
      <c r="O445" s="117"/>
      <c r="P445" s="117"/>
      <c r="Q445" s="200"/>
      <c r="R445" s="239"/>
      <c r="S445" s="239"/>
      <c r="T445" s="239"/>
      <c r="U445" s="216"/>
      <c r="V445" s="217"/>
      <c r="W445" s="233"/>
      <c r="X445" s="123"/>
      <c r="Y445" s="117"/>
      <c r="Z445" s="117"/>
    </row>
    <row r="446" spans="1:26">
      <c r="A446" s="117"/>
      <c r="B446" s="117"/>
      <c r="C446" s="117"/>
      <c r="D446" s="117"/>
      <c r="E446" s="117"/>
      <c r="F446" s="117"/>
      <c r="G446" s="116"/>
      <c r="H446" s="117"/>
      <c r="I446" s="117"/>
      <c r="J446" s="117"/>
      <c r="K446" s="117"/>
      <c r="L446" s="117"/>
      <c r="M446" s="213"/>
      <c r="N446" s="117"/>
      <c r="O446" s="117"/>
      <c r="P446" s="117"/>
      <c r="Q446" s="200"/>
      <c r="R446" s="239"/>
      <c r="S446" s="239"/>
      <c r="T446" s="239"/>
      <c r="U446" s="216"/>
      <c r="V446" s="217"/>
      <c r="W446" s="233"/>
      <c r="X446" s="123"/>
      <c r="Y446" s="117"/>
      <c r="Z446" s="117"/>
    </row>
    <row r="447" spans="1:26">
      <c r="A447" s="117"/>
      <c r="B447" s="117"/>
      <c r="C447" s="117"/>
      <c r="D447" s="117"/>
      <c r="E447" s="117"/>
      <c r="F447" s="117"/>
      <c r="G447" s="116"/>
      <c r="H447" s="117"/>
      <c r="I447" s="117"/>
      <c r="J447" s="117"/>
      <c r="K447" s="117"/>
      <c r="L447" s="117"/>
      <c r="M447" s="213"/>
      <c r="N447" s="117"/>
      <c r="O447" s="117"/>
      <c r="P447" s="117"/>
      <c r="Q447" s="200"/>
      <c r="R447" s="239"/>
      <c r="S447" s="239"/>
      <c r="T447" s="239"/>
      <c r="U447" s="216"/>
      <c r="V447" s="217"/>
      <c r="W447" s="233"/>
      <c r="X447" s="123"/>
      <c r="Y447" s="117"/>
      <c r="Z447" s="117"/>
    </row>
    <row r="448" spans="1:26">
      <c r="A448" s="117"/>
      <c r="B448" s="117"/>
      <c r="C448" s="117"/>
      <c r="D448" s="117"/>
      <c r="E448" s="117"/>
      <c r="F448" s="117"/>
      <c r="G448" s="116"/>
      <c r="H448" s="117"/>
      <c r="I448" s="117"/>
      <c r="J448" s="117"/>
      <c r="K448" s="117"/>
      <c r="L448" s="117"/>
      <c r="M448" s="213"/>
      <c r="N448" s="117"/>
      <c r="O448" s="117"/>
      <c r="P448" s="117"/>
      <c r="Q448" s="200"/>
      <c r="R448" s="239"/>
      <c r="S448" s="239"/>
      <c r="T448" s="239"/>
      <c r="U448" s="216"/>
      <c r="V448" s="217"/>
      <c r="W448" s="233"/>
      <c r="X448" s="123"/>
      <c r="Y448" s="117"/>
      <c r="Z448" s="117"/>
    </row>
    <row r="449" spans="1:26">
      <c r="A449" s="117"/>
      <c r="B449" s="117"/>
      <c r="C449" s="117"/>
      <c r="D449" s="117"/>
      <c r="E449" s="117"/>
      <c r="F449" s="117"/>
      <c r="G449" s="116"/>
      <c r="H449" s="117"/>
      <c r="I449" s="117"/>
      <c r="J449" s="117"/>
      <c r="K449" s="117"/>
      <c r="L449" s="117"/>
      <c r="M449" s="213"/>
      <c r="N449" s="117"/>
      <c r="O449" s="117"/>
      <c r="P449" s="117"/>
      <c r="Q449" s="200"/>
      <c r="R449" s="239"/>
      <c r="S449" s="239"/>
      <c r="T449" s="239"/>
      <c r="U449" s="216"/>
      <c r="V449" s="217"/>
      <c r="W449" s="233"/>
      <c r="X449" s="123"/>
      <c r="Y449" s="117"/>
      <c r="Z449" s="117"/>
    </row>
    <row r="450" spans="1:26">
      <c r="A450" s="117"/>
      <c r="B450" s="117"/>
      <c r="C450" s="117"/>
      <c r="D450" s="117"/>
      <c r="E450" s="117"/>
      <c r="F450" s="117"/>
      <c r="G450" s="116"/>
      <c r="H450" s="117"/>
      <c r="I450" s="117"/>
      <c r="J450" s="117"/>
      <c r="K450" s="117"/>
      <c r="L450" s="117"/>
      <c r="M450" s="213"/>
      <c r="N450" s="117"/>
      <c r="O450" s="117"/>
      <c r="P450" s="117"/>
      <c r="Q450" s="200"/>
      <c r="R450" s="239"/>
      <c r="S450" s="239"/>
      <c r="T450" s="239"/>
      <c r="U450" s="216"/>
      <c r="V450" s="217"/>
      <c r="W450" s="233"/>
      <c r="X450" s="123"/>
      <c r="Y450" s="117"/>
      <c r="Z450" s="117"/>
    </row>
    <row r="451" spans="1:26">
      <c r="A451" s="117"/>
      <c r="B451" s="117"/>
      <c r="C451" s="117"/>
      <c r="D451" s="117"/>
      <c r="E451" s="117"/>
      <c r="F451" s="117"/>
      <c r="G451" s="116"/>
      <c r="H451" s="117"/>
      <c r="I451" s="117"/>
      <c r="J451" s="117"/>
      <c r="K451" s="117"/>
      <c r="L451" s="117"/>
      <c r="M451" s="213"/>
      <c r="N451" s="117"/>
      <c r="O451" s="117"/>
      <c r="P451" s="117"/>
      <c r="Q451" s="200"/>
      <c r="R451" s="239"/>
      <c r="S451" s="239"/>
      <c r="T451" s="239"/>
      <c r="U451" s="216"/>
      <c r="V451" s="217"/>
      <c r="W451" s="233"/>
      <c r="X451" s="123"/>
      <c r="Y451" s="117"/>
      <c r="Z451" s="117"/>
    </row>
    <row r="452" spans="1:26">
      <c r="A452" s="117"/>
      <c r="B452" s="117"/>
      <c r="C452" s="117"/>
      <c r="D452" s="117"/>
      <c r="E452" s="117"/>
      <c r="F452" s="117"/>
      <c r="G452" s="116"/>
      <c r="H452" s="117"/>
      <c r="I452" s="117"/>
      <c r="J452" s="117"/>
      <c r="K452" s="117"/>
      <c r="L452" s="117"/>
      <c r="M452" s="213"/>
      <c r="N452" s="117"/>
      <c r="O452" s="117"/>
      <c r="P452" s="117"/>
      <c r="Q452" s="200"/>
      <c r="R452" s="239"/>
      <c r="S452" s="239"/>
      <c r="T452" s="239"/>
      <c r="U452" s="216"/>
      <c r="V452" s="217"/>
      <c r="W452" s="233"/>
      <c r="X452" s="123"/>
      <c r="Y452" s="117"/>
      <c r="Z452" s="117"/>
    </row>
    <row r="453" spans="1:26">
      <c r="A453" s="117"/>
      <c r="B453" s="117"/>
      <c r="C453" s="117"/>
      <c r="D453" s="117"/>
      <c r="E453" s="117"/>
      <c r="F453" s="117"/>
      <c r="G453" s="116"/>
      <c r="H453" s="117"/>
      <c r="I453" s="117"/>
      <c r="J453" s="117"/>
      <c r="K453" s="117"/>
      <c r="L453" s="117"/>
      <c r="M453" s="213"/>
      <c r="N453" s="117"/>
      <c r="O453" s="117"/>
      <c r="P453" s="117"/>
      <c r="Q453" s="200"/>
      <c r="R453" s="239"/>
      <c r="S453" s="239"/>
      <c r="T453" s="239"/>
      <c r="U453" s="216"/>
      <c r="V453" s="217"/>
      <c r="W453" s="233"/>
      <c r="X453" s="123"/>
      <c r="Y453" s="117"/>
      <c r="Z453" s="117"/>
    </row>
    <row r="454" spans="1:26">
      <c r="A454" s="117"/>
      <c r="B454" s="117"/>
      <c r="C454" s="117"/>
      <c r="D454" s="117"/>
      <c r="E454" s="117"/>
      <c r="F454" s="117"/>
      <c r="G454" s="116"/>
      <c r="H454" s="117"/>
      <c r="I454" s="117"/>
      <c r="J454" s="117"/>
      <c r="K454" s="117"/>
      <c r="L454" s="117"/>
      <c r="M454" s="213"/>
      <c r="N454" s="117"/>
      <c r="O454" s="117"/>
      <c r="P454" s="117"/>
      <c r="Q454" s="200"/>
      <c r="R454" s="239"/>
      <c r="S454" s="239"/>
      <c r="T454" s="239"/>
      <c r="U454" s="216"/>
      <c r="V454" s="217"/>
      <c r="W454" s="233"/>
      <c r="X454" s="123"/>
      <c r="Y454" s="117"/>
      <c r="Z454" s="117"/>
    </row>
    <row r="455" spans="1:26">
      <c r="A455" s="117"/>
      <c r="B455" s="117"/>
      <c r="C455" s="117"/>
      <c r="D455" s="117"/>
      <c r="E455" s="117"/>
      <c r="F455" s="117"/>
      <c r="G455" s="116"/>
      <c r="H455" s="117"/>
      <c r="I455" s="117"/>
      <c r="J455" s="117"/>
      <c r="K455" s="117"/>
      <c r="L455" s="117"/>
      <c r="M455" s="213"/>
      <c r="N455" s="117"/>
      <c r="O455" s="117"/>
      <c r="P455" s="117"/>
      <c r="Q455" s="200"/>
      <c r="R455" s="239"/>
      <c r="S455" s="239"/>
      <c r="T455" s="239"/>
      <c r="U455" s="216"/>
      <c r="V455" s="217"/>
      <c r="W455" s="233"/>
      <c r="X455" s="123"/>
      <c r="Y455" s="117"/>
      <c r="Z455" s="117"/>
    </row>
    <row r="456" spans="1:26">
      <c r="A456" s="117"/>
      <c r="B456" s="117"/>
      <c r="C456" s="117"/>
      <c r="D456" s="117"/>
      <c r="E456" s="117"/>
      <c r="F456" s="117"/>
      <c r="G456" s="116"/>
      <c r="H456" s="117"/>
      <c r="I456" s="117"/>
      <c r="J456" s="117"/>
      <c r="K456" s="117"/>
      <c r="L456" s="117"/>
      <c r="M456" s="213"/>
      <c r="N456" s="117"/>
      <c r="O456" s="117"/>
      <c r="P456" s="117"/>
      <c r="Q456" s="200"/>
      <c r="R456" s="239"/>
      <c r="S456" s="239"/>
      <c r="T456" s="239"/>
      <c r="U456" s="216"/>
      <c r="V456" s="217"/>
      <c r="W456" s="233"/>
      <c r="X456" s="123"/>
      <c r="Y456" s="117"/>
      <c r="Z456" s="117"/>
    </row>
    <row r="457" spans="1:26">
      <c r="A457" s="117"/>
      <c r="B457" s="117"/>
      <c r="C457" s="117"/>
      <c r="D457" s="117"/>
      <c r="E457" s="117"/>
      <c r="F457" s="117"/>
      <c r="G457" s="116"/>
      <c r="H457" s="117"/>
      <c r="I457" s="117"/>
      <c r="J457" s="117"/>
      <c r="K457" s="117"/>
      <c r="L457" s="117"/>
      <c r="M457" s="213"/>
      <c r="N457" s="117"/>
      <c r="O457" s="117"/>
      <c r="P457" s="117"/>
      <c r="Q457" s="200"/>
      <c r="R457" s="239"/>
      <c r="S457" s="239"/>
      <c r="T457" s="239"/>
      <c r="U457" s="216"/>
      <c r="V457" s="217"/>
      <c r="W457" s="233"/>
      <c r="X457" s="123"/>
      <c r="Y457" s="117"/>
      <c r="Z457" s="117"/>
    </row>
    <row r="458" spans="1:26">
      <c r="A458" s="117"/>
      <c r="B458" s="117"/>
      <c r="C458" s="117"/>
      <c r="D458" s="117"/>
      <c r="E458" s="117"/>
      <c r="F458" s="117"/>
      <c r="G458" s="116"/>
      <c r="H458" s="117"/>
      <c r="I458" s="117"/>
      <c r="J458" s="117"/>
      <c r="K458" s="117"/>
      <c r="L458" s="117"/>
      <c r="M458" s="213"/>
      <c r="N458" s="117"/>
      <c r="O458" s="117"/>
      <c r="P458" s="117"/>
      <c r="Q458" s="200"/>
      <c r="R458" s="239"/>
      <c r="S458" s="239"/>
      <c r="T458" s="239"/>
      <c r="U458" s="216"/>
      <c r="V458" s="217"/>
      <c r="W458" s="233"/>
      <c r="X458" s="123"/>
      <c r="Y458" s="117"/>
      <c r="Z458" s="117"/>
    </row>
    <row r="459" spans="1:26">
      <c r="A459" s="117"/>
      <c r="B459" s="117"/>
      <c r="C459" s="117"/>
      <c r="D459" s="117"/>
      <c r="E459" s="117"/>
      <c r="F459" s="117"/>
      <c r="G459" s="116"/>
      <c r="H459" s="117"/>
      <c r="I459" s="117"/>
      <c r="J459" s="117"/>
      <c r="K459" s="117"/>
      <c r="L459" s="117"/>
      <c r="M459" s="213"/>
      <c r="N459" s="117"/>
      <c r="O459" s="117"/>
      <c r="P459" s="117"/>
      <c r="Q459" s="200"/>
      <c r="R459" s="239"/>
      <c r="S459" s="239"/>
      <c r="T459" s="239"/>
      <c r="U459" s="216"/>
      <c r="V459" s="217"/>
      <c r="W459" s="233"/>
      <c r="X459" s="123"/>
      <c r="Y459" s="117"/>
      <c r="Z459" s="117"/>
    </row>
    <row r="460" spans="1:26">
      <c r="A460" s="117"/>
      <c r="B460" s="117"/>
      <c r="C460" s="117"/>
      <c r="D460" s="117"/>
      <c r="E460" s="117"/>
      <c r="F460" s="117"/>
      <c r="G460" s="116"/>
      <c r="H460" s="117"/>
      <c r="I460" s="117"/>
      <c r="J460" s="117"/>
      <c r="K460" s="117"/>
      <c r="L460" s="117"/>
      <c r="M460" s="213"/>
      <c r="N460" s="117"/>
      <c r="O460" s="117"/>
      <c r="P460" s="117"/>
      <c r="Q460" s="200"/>
      <c r="R460" s="239"/>
      <c r="S460" s="239"/>
      <c r="T460" s="239"/>
      <c r="U460" s="216"/>
      <c r="V460" s="217"/>
      <c r="W460" s="233"/>
      <c r="X460" s="123"/>
      <c r="Y460" s="117"/>
      <c r="Z460" s="117"/>
    </row>
    <row r="461" spans="1:26">
      <c r="A461" s="117"/>
      <c r="B461" s="117"/>
      <c r="C461" s="117"/>
      <c r="D461" s="117"/>
      <c r="E461" s="117"/>
      <c r="F461" s="117"/>
      <c r="G461" s="116"/>
      <c r="H461" s="117"/>
      <c r="I461" s="117"/>
      <c r="J461" s="117"/>
      <c r="K461" s="117"/>
      <c r="L461" s="117"/>
      <c r="M461" s="213"/>
      <c r="N461" s="117"/>
      <c r="O461" s="117"/>
      <c r="P461" s="117"/>
      <c r="Q461" s="200"/>
      <c r="R461" s="239"/>
      <c r="S461" s="239"/>
      <c r="T461" s="239"/>
      <c r="U461" s="216"/>
      <c r="V461" s="217"/>
      <c r="W461" s="233"/>
      <c r="X461" s="123"/>
      <c r="Y461" s="117"/>
      <c r="Z461" s="117"/>
    </row>
    <row r="462" spans="1:26">
      <c r="A462" s="117"/>
      <c r="B462" s="117"/>
      <c r="C462" s="117"/>
      <c r="D462" s="117"/>
      <c r="E462" s="117"/>
      <c r="F462" s="117"/>
      <c r="G462" s="116"/>
      <c r="H462" s="117"/>
      <c r="I462" s="117"/>
      <c r="J462" s="117"/>
      <c r="K462" s="117"/>
      <c r="L462" s="117"/>
      <c r="M462" s="213"/>
      <c r="N462" s="117"/>
      <c r="O462" s="117"/>
      <c r="P462" s="117"/>
      <c r="Q462" s="200"/>
      <c r="R462" s="239"/>
      <c r="S462" s="239"/>
      <c r="T462" s="239"/>
      <c r="U462" s="216"/>
      <c r="V462" s="217"/>
      <c r="W462" s="233"/>
      <c r="X462" s="123"/>
      <c r="Y462" s="117"/>
      <c r="Z462" s="117"/>
    </row>
    <row r="463" spans="1:26">
      <c r="A463" s="117"/>
      <c r="B463" s="117"/>
      <c r="C463" s="117"/>
      <c r="D463" s="117"/>
      <c r="E463" s="117"/>
      <c r="F463" s="117"/>
      <c r="G463" s="116"/>
      <c r="H463" s="117"/>
      <c r="I463" s="117"/>
      <c r="J463" s="117"/>
      <c r="K463" s="117"/>
      <c r="L463" s="117"/>
      <c r="M463" s="213"/>
      <c r="N463" s="117"/>
      <c r="O463" s="117"/>
      <c r="P463" s="117"/>
      <c r="Q463" s="200"/>
      <c r="R463" s="239"/>
      <c r="S463" s="239"/>
      <c r="T463" s="239"/>
      <c r="U463" s="216"/>
      <c r="V463" s="217"/>
      <c r="W463" s="233"/>
      <c r="X463" s="123"/>
      <c r="Y463" s="117"/>
      <c r="Z463" s="117"/>
    </row>
    <row r="464" spans="1:26">
      <c r="A464" s="117"/>
      <c r="B464" s="117"/>
      <c r="C464" s="117"/>
      <c r="D464" s="117"/>
      <c r="E464" s="117"/>
      <c r="F464" s="117"/>
      <c r="G464" s="116"/>
      <c r="H464" s="117"/>
      <c r="I464" s="117"/>
      <c r="J464" s="117"/>
      <c r="K464" s="117"/>
      <c r="L464" s="117"/>
      <c r="M464" s="213"/>
      <c r="N464" s="117"/>
      <c r="O464" s="117"/>
      <c r="P464" s="117"/>
      <c r="Q464" s="200"/>
      <c r="R464" s="239"/>
      <c r="S464" s="239"/>
      <c r="T464" s="239"/>
      <c r="U464" s="216"/>
      <c r="V464" s="217"/>
      <c r="W464" s="233"/>
      <c r="X464" s="123"/>
      <c r="Y464" s="117"/>
      <c r="Z464" s="117"/>
    </row>
    <row r="465" spans="1:26">
      <c r="A465" s="117"/>
      <c r="B465" s="117"/>
      <c r="C465" s="117"/>
      <c r="D465" s="117"/>
      <c r="E465" s="117"/>
      <c r="F465" s="117"/>
      <c r="G465" s="116"/>
      <c r="H465" s="117"/>
      <c r="I465" s="117"/>
      <c r="J465" s="117"/>
      <c r="K465" s="117"/>
      <c r="L465" s="117"/>
      <c r="M465" s="213"/>
      <c r="N465" s="117"/>
      <c r="O465" s="117"/>
      <c r="P465" s="117"/>
      <c r="Q465" s="200"/>
      <c r="R465" s="239"/>
      <c r="S465" s="239"/>
      <c r="T465" s="239"/>
      <c r="U465" s="216"/>
      <c r="V465" s="217"/>
      <c r="W465" s="233"/>
      <c r="X465" s="123"/>
      <c r="Y465" s="117"/>
      <c r="Z465" s="117"/>
    </row>
    <row r="466" spans="1:26">
      <c r="A466" s="117"/>
      <c r="B466" s="117"/>
      <c r="C466" s="117"/>
      <c r="D466" s="117"/>
      <c r="E466" s="117"/>
      <c r="F466" s="117"/>
      <c r="G466" s="116"/>
      <c r="H466" s="117"/>
      <c r="I466" s="117"/>
      <c r="J466" s="117"/>
      <c r="K466" s="117"/>
      <c r="L466" s="117"/>
      <c r="M466" s="213"/>
      <c r="N466" s="117"/>
      <c r="O466" s="117"/>
      <c r="P466" s="117"/>
      <c r="Q466" s="200"/>
      <c r="R466" s="239"/>
      <c r="S466" s="239"/>
      <c r="T466" s="239"/>
      <c r="U466" s="216"/>
      <c r="V466" s="217"/>
      <c r="W466" s="233"/>
      <c r="X466" s="123"/>
      <c r="Y466" s="117"/>
      <c r="Z466" s="117"/>
    </row>
    <row r="467" spans="1:26">
      <c r="A467" s="117"/>
      <c r="B467" s="117"/>
      <c r="C467" s="117"/>
      <c r="D467" s="117"/>
      <c r="E467" s="117"/>
      <c r="F467" s="117"/>
      <c r="G467" s="116"/>
      <c r="H467" s="117"/>
      <c r="I467" s="117"/>
      <c r="J467" s="117"/>
      <c r="K467" s="117"/>
      <c r="L467" s="117"/>
      <c r="M467" s="213"/>
      <c r="N467" s="117"/>
      <c r="O467" s="117"/>
      <c r="P467" s="117"/>
      <c r="Q467" s="200"/>
      <c r="R467" s="239"/>
      <c r="S467" s="239"/>
      <c r="T467" s="239"/>
      <c r="U467" s="216"/>
      <c r="V467" s="217"/>
      <c r="W467" s="233"/>
      <c r="X467" s="123"/>
      <c r="Y467" s="117"/>
      <c r="Z467" s="117"/>
    </row>
    <row r="468" spans="1:26">
      <c r="A468" s="117"/>
      <c r="B468" s="117"/>
      <c r="C468" s="117"/>
      <c r="D468" s="117"/>
      <c r="E468" s="117"/>
      <c r="F468" s="117"/>
      <c r="G468" s="116"/>
      <c r="H468" s="117"/>
      <c r="I468" s="117"/>
      <c r="J468" s="117"/>
      <c r="K468" s="117"/>
      <c r="L468" s="117"/>
      <c r="M468" s="213"/>
      <c r="N468" s="117"/>
      <c r="O468" s="117"/>
      <c r="P468" s="117"/>
      <c r="Q468" s="200"/>
      <c r="R468" s="239"/>
      <c r="S468" s="239"/>
      <c r="T468" s="239"/>
      <c r="U468" s="216"/>
      <c r="V468" s="217"/>
      <c r="W468" s="233"/>
      <c r="X468" s="123"/>
      <c r="Y468" s="117"/>
      <c r="Z468" s="117"/>
    </row>
    <row r="469" spans="1:26">
      <c r="A469" s="117"/>
      <c r="B469" s="117"/>
      <c r="C469" s="117"/>
      <c r="D469" s="117"/>
      <c r="E469" s="117"/>
      <c r="F469" s="117"/>
      <c r="G469" s="116"/>
      <c r="H469" s="117"/>
      <c r="I469" s="117"/>
      <c r="J469" s="117"/>
      <c r="K469" s="117"/>
      <c r="L469" s="117"/>
      <c r="M469" s="213"/>
      <c r="N469" s="117"/>
      <c r="O469" s="117"/>
      <c r="P469" s="117"/>
      <c r="Q469" s="200"/>
      <c r="R469" s="239"/>
      <c r="S469" s="239"/>
      <c r="T469" s="239"/>
      <c r="U469" s="216"/>
      <c r="V469" s="217"/>
      <c r="W469" s="233"/>
      <c r="X469" s="123"/>
      <c r="Y469" s="117"/>
      <c r="Z469" s="117"/>
    </row>
    <row r="470" spans="1:26">
      <c r="A470" s="117"/>
      <c r="B470" s="117"/>
      <c r="C470" s="117"/>
      <c r="D470" s="117"/>
      <c r="E470" s="117"/>
      <c r="F470" s="117"/>
      <c r="G470" s="116"/>
      <c r="H470" s="117"/>
      <c r="I470" s="117"/>
      <c r="J470" s="117"/>
      <c r="K470" s="117"/>
      <c r="L470" s="117"/>
      <c r="M470" s="213"/>
      <c r="N470" s="117"/>
      <c r="O470" s="117"/>
      <c r="P470" s="117"/>
      <c r="Q470" s="200"/>
      <c r="R470" s="239"/>
      <c r="S470" s="239"/>
      <c r="T470" s="239"/>
      <c r="U470" s="216"/>
      <c r="V470" s="217"/>
      <c r="W470" s="233"/>
      <c r="X470" s="123"/>
      <c r="Y470" s="117"/>
      <c r="Z470" s="117"/>
    </row>
    <row r="471" spans="1:26">
      <c r="A471" s="117"/>
      <c r="B471" s="117"/>
      <c r="C471" s="117"/>
      <c r="D471" s="117"/>
      <c r="E471" s="117"/>
      <c r="F471" s="117"/>
      <c r="G471" s="116"/>
      <c r="H471" s="117"/>
      <c r="I471" s="117"/>
      <c r="J471" s="117"/>
      <c r="K471" s="117"/>
      <c r="L471" s="117"/>
      <c r="M471" s="213"/>
      <c r="N471" s="117"/>
      <c r="O471" s="117"/>
      <c r="P471" s="117"/>
      <c r="Q471" s="200"/>
      <c r="R471" s="239"/>
      <c r="S471" s="239"/>
      <c r="T471" s="239"/>
      <c r="U471" s="216"/>
      <c r="V471" s="217"/>
      <c r="W471" s="233"/>
      <c r="X471" s="123"/>
      <c r="Y471" s="117"/>
      <c r="Z471" s="117"/>
    </row>
    <row r="472" spans="1:26">
      <c r="A472" s="117"/>
      <c r="B472" s="117"/>
      <c r="C472" s="117"/>
      <c r="D472" s="117"/>
      <c r="E472" s="117"/>
      <c r="F472" s="117"/>
      <c r="G472" s="116"/>
      <c r="H472" s="117"/>
      <c r="I472" s="117"/>
      <c r="J472" s="117"/>
      <c r="K472" s="117"/>
      <c r="L472" s="117"/>
      <c r="M472" s="213"/>
      <c r="N472" s="117"/>
      <c r="O472" s="117"/>
      <c r="P472" s="117"/>
      <c r="Q472" s="200"/>
      <c r="R472" s="239"/>
      <c r="S472" s="239"/>
      <c r="T472" s="239"/>
      <c r="U472" s="216"/>
      <c r="V472" s="217"/>
      <c r="W472" s="233"/>
      <c r="X472" s="123"/>
      <c r="Y472" s="117"/>
      <c r="Z472" s="117"/>
    </row>
    <row r="473" spans="1:26">
      <c r="A473" s="117"/>
      <c r="B473" s="117"/>
      <c r="C473" s="117"/>
      <c r="D473" s="117"/>
      <c r="E473" s="117"/>
      <c r="F473" s="117"/>
      <c r="G473" s="116"/>
      <c r="H473" s="117"/>
      <c r="I473" s="117"/>
      <c r="J473" s="117"/>
      <c r="K473" s="117"/>
      <c r="L473" s="117"/>
      <c r="M473" s="213"/>
      <c r="N473" s="117"/>
      <c r="O473" s="117"/>
      <c r="P473" s="117"/>
      <c r="Q473" s="200"/>
      <c r="R473" s="239"/>
      <c r="S473" s="239"/>
      <c r="T473" s="239"/>
      <c r="U473" s="216"/>
      <c r="V473" s="217"/>
      <c r="W473" s="233"/>
      <c r="X473" s="123"/>
      <c r="Y473" s="117"/>
      <c r="Z473" s="117"/>
    </row>
    <row r="474" spans="1:26">
      <c r="A474" s="117"/>
      <c r="B474" s="117"/>
      <c r="C474" s="117"/>
      <c r="D474" s="117"/>
      <c r="E474" s="117"/>
      <c r="F474" s="117"/>
      <c r="G474" s="116"/>
      <c r="H474" s="117"/>
      <c r="I474" s="117"/>
      <c r="J474" s="117"/>
      <c r="K474" s="117"/>
      <c r="L474" s="117"/>
      <c r="M474" s="213"/>
      <c r="N474" s="117"/>
      <c r="O474" s="117"/>
      <c r="P474" s="117"/>
      <c r="Q474" s="200"/>
      <c r="R474" s="239"/>
      <c r="S474" s="239"/>
      <c r="T474" s="239"/>
      <c r="U474" s="216"/>
      <c r="V474" s="217"/>
      <c r="W474" s="233"/>
      <c r="X474" s="123"/>
      <c r="Y474" s="117"/>
      <c r="Z474" s="117"/>
    </row>
    <row r="475" spans="1:26">
      <c r="A475" s="117"/>
      <c r="B475" s="117"/>
      <c r="C475" s="117"/>
      <c r="D475" s="117"/>
      <c r="E475" s="117"/>
      <c r="F475" s="117"/>
      <c r="G475" s="116"/>
      <c r="H475" s="117"/>
      <c r="I475" s="117"/>
      <c r="J475" s="117"/>
      <c r="K475" s="117"/>
      <c r="L475" s="117"/>
      <c r="M475" s="213"/>
      <c r="N475" s="117"/>
      <c r="O475" s="117"/>
      <c r="P475" s="117"/>
      <c r="Q475" s="200"/>
      <c r="R475" s="239"/>
      <c r="S475" s="239"/>
      <c r="T475" s="239"/>
      <c r="U475" s="216"/>
      <c r="V475" s="217"/>
      <c r="W475" s="233"/>
      <c r="X475" s="123"/>
      <c r="Y475" s="117"/>
      <c r="Z475" s="117"/>
    </row>
    <row r="476" spans="1:26">
      <c r="A476" s="117"/>
      <c r="B476" s="117"/>
      <c r="C476" s="117"/>
      <c r="D476" s="117"/>
      <c r="E476" s="117"/>
      <c r="F476" s="117"/>
      <c r="G476" s="116"/>
      <c r="H476" s="117"/>
      <c r="I476" s="117"/>
      <c r="J476" s="117"/>
      <c r="K476" s="117"/>
      <c r="L476" s="117"/>
      <c r="M476" s="213"/>
      <c r="N476" s="117"/>
      <c r="O476" s="117"/>
      <c r="P476" s="117"/>
      <c r="Q476" s="200"/>
      <c r="R476" s="239"/>
      <c r="S476" s="239"/>
      <c r="T476" s="239"/>
      <c r="U476" s="216"/>
      <c r="V476" s="217"/>
      <c r="W476" s="233"/>
      <c r="X476" s="123"/>
      <c r="Y476" s="117"/>
      <c r="Z476" s="117"/>
    </row>
    <row r="477" spans="1:26">
      <c r="A477" s="117"/>
      <c r="B477" s="117"/>
      <c r="C477" s="117"/>
      <c r="D477" s="117"/>
      <c r="E477" s="117"/>
      <c r="F477" s="117"/>
      <c r="G477" s="116"/>
      <c r="H477" s="117"/>
      <c r="I477" s="117"/>
      <c r="J477" s="117"/>
      <c r="K477" s="117"/>
      <c r="L477" s="117"/>
      <c r="M477" s="213"/>
      <c r="N477" s="117"/>
      <c r="O477" s="117"/>
      <c r="P477" s="117"/>
      <c r="Q477" s="200"/>
      <c r="R477" s="239"/>
      <c r="S477" s="239"/>
      <c r="T477" s="239"/>
      <c r="U477" s="216"/>
      <c r="V477" s="217"/>
      <c r="W477" s="233"/>
      <c r="X477" s="123"/>
      <c r="Y477" s="117"/>
      <c r="Z477" s="117"/>
    </row>
    <row r="478" spans="1:26">
      <c r="A478" s="117"/>
      <c r="B478" s="117"/>
      <c r="C478" s="117"/>
      <c r="D478" s="117"/>
      <c r="E478" s="117"/>
      <c r="F478" s="117"/>
      <c r="G478" s="116"/>
      <c r="H478" s="117"/>
      <c r="I478" s="117"/>
      <c r="J478" s="117"/>
      <c r="K478" s="117"/>
      <c r="L478" s="117"/>
      <c r="M478" s="213"/>
      <c r="N478" s="117"/>
      <c r="O478" s="117"/>
      <c r="P478" s="117"/>
      <c r="Q478" s="200"/>
      <c r="R478" s="239"/>
      <c r="S478" s="239"/>
      <c r="T478" s="239"/>
      <c r="U478" s="216"/>
      <c r="V478" s="217"/>
      <c r="W478" s="233"/>
      <c r="X478" s="123"/>
      <c r="Y478" s="117"/>
      <c r="Z478" s="117"/>
    </row>
    <row r="479" spans="1:26">
      <c r="A479" s="117"/>
      <c r="B479" s="117"/>
      <c r="C479" s="117"/>
      <c r="D479" s="117"/>
      <c r="E479" s="117"/>
      <c r="F479" s="117"/>
      <c r="G479" s="116"/>
      <c r="H479" s="117"/>
      <c r="I479" s="117"/>
      <c r="J479" s="117"/>
      <c r="K479" s="117"/>
      <c r="L479" s="117"/>
      <c r="M479" s="213"/>
      <c r="N479" s="117"/>
      <c r="O479" s="117"/>
      <c r="P479" s="117"/>
      <c r="Q479" s="200"/>
      <c r="R479" s="239"/>
      <c r="S479" s="239"/>
      <c r="T479" s="239"/>
      <c r="U479" s="216"/>
      <c r="V479" s="217"/>
      <c r="W479" s="233"/>
      <c r="X479" s="123"/>
      <c r="Y479" s="117"/>
      <c r="Z479" s="117"/>
    </row>
    <row r="480" spans="1:26">
      <c r="A480" s="117"/>
      <c r="B480" s="117"/>
      <c r="C480" s="117"/>
      <c r="D480" s="117"/>
      <c r="E480" s="117"/>
      <c r="F480" s="117"/>
      <c r="G480" s="116"/>
      <c r="H480" s="117"/>
      <c r="I480" s="117"/>
      <c r="J480" s="117"/>
      <c r="K480" s="117"/>
      <c r="L480" s="117"/>
      <c r="M480" s="213"/>
      <c r="N480" s="117"/>
      <c r="O480" s="117"/>
      <c r="P480" s="117"/>
      <c r="Q480" s="200"/>
      <c r="R480" s="239"/>
      <c r="S480" s="239"/>
      <c r="T480" s="239"/>
      <c r="U480" s="216"/>
      <c r="V480" s="217"/>
      <c r="W480" s="233"/>
      <c r="X480" s="123"/>
      <c r="Y480" s="117"/>
      <c r="Z480" s="117"/>
    </row>
    <row r="481" spans="1:26">
      <c r="A481" s="117"/>
      <c r="B481" s="117"/>
      <c r="C481" s="117"/>
      <c r="D481" s="117"/>
      <c r="E481" s="117"/>
      <c r="F481" s="117"/>
      <c r="G481" s="116"/>
      <c r="H481" s="117"/>
      <c r="I481" s="117"/>
      <c r="J481" s="117"/>
      <c r="K481" s="117"/>
      <c r="L481" s="117"/>
      <c r="M481" s="213"/>
      <c r="N481" s="117"/>
      <c r="O481" s="117"/>
      <c r="P481" s="117"/>
      <c r="Q481" s="200"/>
      <c r="R481" s="239"/>
      <c r="S481" s="239"/>
      <c r="T481" s="239"/>
      <c r="U481" s="216"/>
      <c r="V481" s="217"/>
      <c r="W481" s="233"/>
      <c r="X481" s="123"/>
      <c r="Y481" s="117"/>
      <c r="Z481" s="117"/>
    </row>
    <row r="482" spans="1:26">
      <c r="A482" s="117"/>
      <c r="B482" s="117"/>
      <c r="C482" s="117"/>
      <c r="D482" s="117"/>
      <c r="E482" s="117"/>
      <c r="F482" s="117"/>
      <c r="G482" s="116"/>
      <c r="H482" s="117"/>
      <c r="I482" s="117"/>
      <c r="J482" s="117"/>
      <c r="K482" s="117"/>
      <c r="L482" s="117"/>
      <c r="M482" s="213"/>
      <c r="N482" s="117"/>
      <c r="O482" s="117"/>
      <c r="P482" s="117"/>
      <c r="Q482" s="200"/>
      <c r="R482" s="239"/>
      <c r="S482" s="239"/>
      <c r="T482" s="239"/>
      <c r="U482" s="216"/>
      <c r="V482" s="217"/>
      <c r="W482" s="233"/>
      <c r="X482" s="123"/>
      <c r="Y482" s="117"/>
      <c r="Z482" s="117"/>
    </row>
    <row r="483" spans="1:26">
      <c r="A483" s="117"/>
      <c r="B483" s="117"/>
      <c r="C483" s="117"/>
      <c r="D483" s="117"/>
      <c r="E483" s="117"/>
      <c r="F483" s="117"/>
      <c r="G483" s="116"/>
      <c r="H483" s="117"/>
      <c r="I483" s="117"/>
      <c r="J483" s="117"/>
      <c r="K483" s="117"/>
      <c r="L483" s="117"/>
      <c r="M483" s="213"/>
      <c r="N483" s="117"/>
      <c r="O483" s="117"/>
      <c r="P483" s="117"/>
      <c r="Q483" s="200"/>
      <c r="R483" s="239"/>
      <c r="S483" s="239"/>
      <c r="T483" s="239"/>
      <c r="U483" s="216"/>
      <c r="V483" s="217"/>
      <c r="W483" s="233"/>
      <c r="X483" s="123"/>
      <c r="Y483" s="117"/>
      <c r="Z483" s="117"/>
    </row>
    <row r="484" spans="1:26">
      <c r="A484" s="117"/>
      <c r="B484" s="117"/>
      <c r="C484" s="117"/>
      <c r="D484" s="117"/>
      <c r="E484" s="117"/>
      <c r="F484" s="117"/>
      <c r="G484" s="116"/>
      <c r="H484" s="117"/>
      <c r="I484" s="117"/>
      <c r="J484" s="117"/>
      <c r="K484" s="117"/>
      <c r="L484" s="117"/>
      <c r="M484" s="213"/>
      <c r="N484" s="117"/>
      <c r="O484" s="117"/>
      <c r="P484" s="117"/>
      <c r="Q484" s="200"/>
      <c r="R484" s="239"/>
      <c r="S484" s="239"/>
      <c r="T484" s="239"/>
      <c r="U484" s="216"/>
      <c r="V484" s="217"/>
      <c r="W484" s="233"/>
      <c r="X484" s="123"/>
      <c r="Y484" s="117"/>
      <c r="Z484" s="117"/>
    </row>
    <row r="485" spans="1:26">
      <c r="A485" s="117"/>
      <c r="B485" s="117"/>
      <c r="C485" s="117"/>
      <c r="D485" s="117"/>
      <c r="E485" s="117"/>
      <c r="F485" s="117"/>
      <c r="G485" s="116"/>
      <c r="H485" s="117"/>
      <c r="I485" s="117"/>
      <c r="J485" s="117"/>
      <c r="K485" s="117"/>
      <c r="L485" s="117"/>
      <c r="M485" s="213"/>
      <c r="N485" s="117"/>
      <c r="O485" s="117"/>
      <c r="P485" s="117"/>
      <c r="Q485" s="200"/>
      <c r="R485" s="239"/>
      <c r="S485" s="239"/>
      <c r="T485" s="239"/>
      <c r="U485" s="216"/>
      <c r="V485" s="217"/>
      <c r="W485" s="233"/>
      <c r="X485" s="123"/>
      <c r="Y485" s="117"/>
      <c r="Z485" s="117"/>
    </row>
    <row r="486" spans="1:26">
      <c r="A486" s="117"/>
      <c r="B486" s="117"/>
      <c r="C486" s="117"/>
      <c r="D486" s="117"/>
      <c r="E486" s="117"/>
      <c r="F486" s="117"/>
      <c r="G486" s="116"/>
      <c r="H486" s="117"/>
      <c r="I486" s="117"/>
      <c r="J486" s="117"/>
      <c r="K486" s="117"/>
      <c r="L486" s="117"/>
      <c r="M486" s="213"/>
      <c r="N486" s="117"/>
      <c r="O486" s="117"/>
      <c r="P486" s="117"/>
      <c r="Q486" s="200"/>
      <c r="R486" s="239"/>
      <c r="S486" s="239"/>
      <c r="T486" s="239"/>
      <c r="U486" s="216"/>
      <c r="V486" s="217"/>
      <c r="W486" s="233"/>
      <c r="X486" s="123"/>
      <c r="Y486" s="117"/>
      <c r="Z486" s="117"/>
    </row>
    <row r="487" spans="1:26">
      <c r="A487" s="117"/>
      <c r="B487" s="117"/>
      <c r="C487" s="117"/>
      <c r="D487" s="117"/>
      <c r="E487" s="117"/>
      <c r="F487" s="117"/>
      <c r="G487" s="116"/>
      <c r="H487" s="117"/>
      <c r="I487" s="117"/>
      <c r="J487" s="117"/>
      <c r="K487" s="117"/>
      <c r="L487" s="117"/>
      <c r="M487" s="213"/>
      <c r="N487" s="117"/>
      <c r="O487" s="117"/>
      <c r="P487" s="117"/>
      <c r="Q487" s="200"/>
      <c r="R487" s="239"/>
      <c r="S487" s="239"/>
      <c r="T487" s="239"/>
      <c r="U487" s="216"/>
      <c r="V487" s="217"/>
      <c r="W487" s="233"/>
      <c r="X487" s="123"/>
      <c r="Y487" s="117"/>
      <c r="Z487" s="117"/>
    </row>
    <row r="488" spans="1:26">
      <c r="A488" s="117"/>
      <c r="B488" s="117"/>
      <c r="C488" s="117"/>
      <c r="D488" s="117"/>
      <c r="E488" s="117"/>
      <c r="F488" s="117"/>
      <c r="G488" s="116"/>
      <c r="H488" s="117"/>
      <c r="I488" s="117"/>
      <c r="J488" s="117"/>
      <c r="K488" s="117"/>
      <c r="L488" s="117"/>
      <c r="M488" s="213"/>
      <c r="N488" s="117"/>
      <c r="O488" s="117"/>
      <c r="P488" s="117"/>
      <c r="Q488" s="200"/>
      <c r="R488" s="239"/>
      <c r="S488" s="239"/>
      <c r="T488" s="239"/>
      <c r="U488" s="216"/>
      <c r="V488" s="217"/>
      <c r="W488" s="233"/>
      <c r="X488" s="123"/>
      <c r="Y488" s="117"/>
      <c r="Z488" s="117"/>
    </row>
    <row r="489" spans="1:26">
      <c r="A489" s="117"/>
      <c r="B489" s="117"/>
      <c r="C489" s="117"/>
      <c r="D489" s="117"/>
      <c r="E489" s="117"/>
      <c r="F489" s="117"/>
      <c r="G489" s="116"/>
      <c r="H489" s="117"/>
      <c r="I489" s="117"/>
      <c r="J489" s="117"/>
      <c r="K489" s="117"/>
      <c r="L489" s="117"/>
      <c r="M489" s="213"/>
      <c r="N489" s="117"/>
      <c r="O489" s="117"/>
      <c r="P489" s="117"/>
      <c r="Q489" s="200"/>
      <c r="R489" s="239"/>
      <c r="S489" s="239"/>
      <c r="T489" s="239"/>
      <c r="U489" s="216"/>
      <c r="V489" s="217"/>
      <c r="W489" s="233"/>
      <c r="X489" s="123"/>
      <c r="Y489" s="117"/>
      <c r="Z489" s="117"/>
    </row>
    <row r="490" spans="1:26">
      <c r="A490" s="117"/>
      <c r="B490" s="117"/>
      <c r="C490" s="117"/>
      <c r="D490" s="117"/>
      <c r="E490" s="117"/>
      <c r="F490" s="117"/>
      <c r="G490" s="116"/>
      <c r="H490" s="117"/>
      <c r="I490" s="117"/>
      <c r="J490" s="117"/>
      <c r="K490" s="117"/>
      <c r="L490" s="117"/>
      <c r="M490" s="213"/>
      <c r="N490" s="117"/>
      <c r="O490" s="117"/>
      <c r="P490" s="117"/>
      <c r="Q490" s="200"/>
      <c r="R490" s="239"/>
      <c r="S490" s="239"/>
      <c r="T490" s="239"/>
      <c r="U490" s="216"/>
      <c r="V490" s="217"/>
      <c r="W490" s="233"/>
      <c r="X490" s="123"/>
      <c r="Y490" s="117"/>
      <c r="Z490" s="117"/>
    </row>
    <row r="491" spans="1:26">
      <c r="A491" s="117"/>
      <c r="B491" s="117"/>
      <c r="C491" s="117"/>
      <c r="D491" s="117"/>
      <c r="E491" s="117"/>
      <c r="F491" s="117"/>
      <c r="G491" s="116"/>
      <c r="H491" s="117"/>
      <c r="I491" s="117"/>
      <c r="J491" s="117"/>
      <c r="K491" s="117"/>
      <c r="L491" s="117"/>
      <c r="M491" s="213"/>
      <c r="N491" s="117"/>
      <c r="O491" s="117"/>
      <c r="P491" s="117"/>
      <c r="Q491" s="200"/>
      <c r="R491" s="239"/>
      <c r="S491" s="239"/>
      <c r="T491" s="239"/>
      <c r="U491" s="216"/>
      <c r="V491" s="217"/>
      <c r="W491" s="233"/>
      <c r="X491" s="123"/>
      <c r="Y491" s="117"/>
      <c r="Z491" s="117"/>
    </row>
    <row r="492" spans="1:26">
      <c r="A492" s="117"/>
      <c r="B492" s="117"/>
      <c r="C492" s="117"/>
      <c r="D492" s="117"/>
      <c r="E492" s="117"/>
      <c r="F492" s="117"/>
      <c r="G492" s="116"/>
      <c r="H492" s="117"/>
      <c r="I492" s="117"/>
      <c r="J492" s="117"/>
      <c r="K492" s="117"/>
      <c r="L492" s="117"/>
      <c r="M492" s="213"/>
      <c r="N492" s="117"/>
      <c r="O492" s="117"/>
      <c r="P492" s="117"/>
      <c r="Q492" s="200"/>
      <c r="R492" s="239"/>
      <c r="S492" s="239"/>
      <c r="T492" s="239"/>
      <c r="U492" s="216"/>
      <c r="V492" s="217"/>
      <c r="W492" s="233"/>
      <c r="X492" s="123"/>
      <c r="Y492" s="117"/>
      <c r="Z492" s="117"/>
    </row>
    <row r="493" spans="1:26">
      <c r="A493" s="117"/>
      <c r="B493" s="117"/>
      <c r="C493" s="117"/>
      <c r="D493" s="117"/>
      <c r="E493" s="117"/>
      <c r="F493" s="117"/>
      <c r="G493" s="116"/>
      <c r="H493" s="117"/>
      <c r="I493" s="117"/>
      <c r="J493" s="117"/>
      <c r="K493" s="117"/>
      <c r="L493" s="117"/>
      <c r="M493" s="213"/>
      <c r="N493" s="117"/>
      <c r="O493" s="117"/>
      <c r="P493" s="117"/>
      <c r="Q493" s="200"/>
      <c r="R493" s="239"/>
      <c r="S493" s="239"/>
      <c r="T493" s="239"/>
      <c r="U493" s="216"/>
      <c r="V493" s="217"/>
      <c r="W493" s="233"/>
      <c r="X493" s="123"/>
      <c r="Y493" s="117"/>
      <c r="Z493" s="117"/>
    </row>
    <row r="494" spans="1:26">
      <c r="A494" s="117"/>
      <c r="B494" s="117"/>
      <c r="C494" s="117"/>
      <c r="D494" s="117"/>
      <c r="E494" s="117"/>
      <c r="F494" s="117"/>
      <c r="G494" s="116"/>
      <c r="H494" s="117"/>
      <c r="I494" s="117"/>
      <c r="J494" s="117"/>
      <c r="K494" s="117"/>
      <c r="L494" s="117"/>
      <c r="M494" s="213"/>
      <c r="N494" s="117"/>
      <c r="O494" s="117"/>
      <c r="P494" s="117"/>
      <c r="Q494" s="200"/>
      <c r="R494" s="239"/>
      <c r="S494" s="239"/>
      <c r="T494" s="239"/>
      <c r="U494" s="216"/>
      <c r="V494" s="217"/>
      <c r="W494" s="233"/>
      <c r="X494" s="123"/>
      <c r="Y494" s="117"/>
      <c r="Z494" s="117"/>
    </row>
    <row r="495" spans="1:26">
      <c r="A495" s="117"/>
      <c r="B495" s="117"/>
      <c r="C495" s="117"/>
      <c r="D495" s="117"/>
      <c r="E495" s="117"/>
      <c r="F495" s="117"/>
      <c r="G495" s="116"/>
      <c r="H495" s="117"/>
      <c r="I495" s="117"/>
      <c r="J495" s="117"/>
      <c r="K495" s="117"/>
      <c r="L495" s="117"/>
      <c r="M495" s="213"/>
      <c r="N495" s="117"/>
      <c r="O495" s="117"/>
      <c r="P495" s="117"/>
      <c r="Q495" s="200"/>
      <c r="R495" s="239"/>
      <c r="S495" s="239"/>
      <c r="T495" s="239"/>
      <c r="U495" s="216"/>
      <c r="V495" s="217"/>
      <c r="W495" s="233"/>
      <c r="X495" s="123"/>
      <c r="Y495" s="117"/>
      <c r="Z495" s="117"/>
    </row>
    <row r="496" spans="1:26">
      <c r="A496" s="117"/>
      <c r="B496" s="117"/>
      <c r="C496" s="117"/>
      <c r="D496" s="117"/>
      <c r="E496" s="117"/>
      <c r="F496" s="117"/>
      <c r="G496" s="116"/>
      <c r="H496" s="117"/>
      <c r="I496" s="117"/>
      <c r="J496" s="117"/>
      <c r="K496" s="117"/>
      <c r="L496" s="117"/>
      <c r="M496" s="213"/>
      <c r="N496" s="117"/>
      <c r="O496" s="117"/>
      <c r="P496" s="117"/>
      <c r="Q496" s="200"/>
      <c r="R496" s="239"/>
      <c r="S496" s="239"/>
      <c r="T496" s="239"/>
      <c r="U496" s="216"/>
      <c r="V496" s="217"/>
      <c r="W496" s="233"/>
      <c r="X496" s="123"/>
      <c r="Y496" s="117"/>
      <c r="Z496" s="117"/>
    </row>
    <row r="497" spans="1:26">
      <c r="A497" s="117"/>
      <c r="B497" s="117"/>
      <c r="C497" s="117"/>
      <c r="D497" s="117"/>
      <c r="E497" s="117"/>
      <c r="F497" s="117"/>
      <c r="G497" s="116"/>
      <c r="H497" s="117"/>
      <c r="I497" s="117"/>
      <c r="J497" s="117"/>
      <c r="K497" s="117"/>
      <c r="L497" s="117"/>
      <c r="M497" s="213"/>
      <c r="N497" s="117"/>
      <c r="O497" s="117"/>
      <c r="P497" s="117"/>
      <c r="Q497" s="200"/>
      <c r="R497" s="239"/>
      <c r="S497" s="239"/>
      <c r="T497" s="239"/>
      <c r="U497" s="216"/>
      <c r="V497" s="217"/>
      <c r="W497" s="233"/>
      <c r="X497" s="123"/>
      <c r="Y497" s="117"/>
      <c r="Z497" s="117"/>
    </row>
    <row r="498" spans="1:26">
      <c r="A498" s="117"/>
      <c r="B498" s="117"/>
      <c r="C498" s="117"/>
      <c r="D498" s="117"/>
      <c r="E498" s="117"/>
      <c r="F498" s="117"/>
      <c r="G498" s="116"/>
      <c r="H498" s="117"/>
      <c r="I498" s="117"/>
      <c r="J498" s="117"/>
      <c r="K498" s="117"/>
      <c r="L498" s="117"/>
      <c r="M498" s="213"/>
      <c r="N498" s="117"/>
      <c r="O498" s="117"/>
      <c r="P498" s="117"/>
      <c r="Q498" s="200"/>
      <c r="R498" s="239"/>
      <c r="S498" s="239"/>
      <c r="T498" s="239"/>
      <c r="U498" s="216"/>
      <c r="V498" s="217"/>
      <c r="W498" s="233"/>
      <c r="X498" s="123"/>
      <c r="Y498" s="117"/>
      <c r="Z498" s="117"/>
    </row>
    <row r="499" spans="1:26">
      <c r="A499" s="117"/>
      <c r="B499" s="117"/>
      <c r="C499" s="117"/>
      <c r="D499" s="117"/>
      <c r="E499" s="117"/>
      <c r="F499" s="117"/>
      <c r="G499" s="116"/>
      <c r="H499" s="117"/>
      <c r="I499" s="117"/>
      <c r="J499" s="117"/>
      <c r="K499" s="117"/>
      <c r="L499" s="117"/>
      <c r="M499" s="213"/>
      <c r="N499" s="117"/>
      <c r="O499" s="117"/>
      <c r="P499" s="117"/>
      <c r="Q499" s="200"/>
      <c r="R499" s="239"/>
      <c r="S499" s="239"/>
      <c r="T499" s="239"/>
      <c r="U499" s="216"/>
      <c r="V499" s="217"/>
      <c r="W499" s="233"/>
      <c r="X499" s="123"/>
      <c r="Y499" s="117"/>
      <c r="Z499" s="117"/>
    </row>
    <row r="500" spans="1:26">
      <c r="A500" s="117"/>
      <c r="B500" s="117"/>
      <c r="C500" s="117"/>
      <c r="D500" s="117"/>
      <c r="E500" s="117"/>
      <c r="F500" s="117"/>
      <c r="G500" s="116"/>
      <c r="H500" s="117"/>
      <c r="I500" s="117"/>
      <c r="J500" s="117"/>
      <c r="K500" s="117"/>
      <c r="L500" s="117"/>
      <c r="M500" s="213"/>
      <c r="N500" s="117"/>
      <c r="O500" s="117"/>
      <c r="P500" s="117"/>
      <c r="Q500" s="200"/>
      <c r="R500" s="239"/>
      <c r="S500" s="239"/>
      <c r="T500" s="239"/>
      <c r="U500" s="216"/>
      <c r="V500" s="217"/>
      <c r="W500" s="233"/>
      <c r="X500" s="123"/>
      <c r="Y500" s="117"/>
      <c r="Z500" s="117"/>
    </row>
    <row r="501" spans="1:26">
      <c r="A501" s="117"/>
      <c r="B501" s="117"/>
      <c r="C501" s="117"/>
      <c r="D501" s="117"/>
      <c r="E501" s="117"/>
      <c r="F501" s="117"/>
      <c r="G501" s="116"/>
      <c r="H501" s="117"/>
      <c r="I501" s="117"/>
      <c r="J501" s="117"/>
      <c r="K501" s="117"/>
      <c r="L501" s="117"/>
      <c r="M501" s="213"/>
      <c r="N501" s="117"/>
      <c r="O501" s="117"/>
      <c r="P501" s="117"/>
      <c r="Q501" s="200"/>
      <c r="R501" s="239"/>
      <c r="S501" s="239"/>
      <c r="T501" s="239"/>
      <c r="U501" s="216"/>
      <c r="V501" s="217"/>
      <c r="W501" s="233"/>
      <c r="X501" s="123"/>
      <c r="Y501" s="117"/>
      <c r="Z501" s="117"/>
    </row>
    <row r="502" spans="1:26">
      <c r="A502" s="117"/>
      <c r="B502" s="117"/>
      <c r="C502" s="117"/>
      <c r="D502" s="117"/>
      <c r="E502" s="117"/>
      <c r="F502" s="117"/>
      <c r="G502" s="116"/>
      <c r="H502" s="117"/>
      <c r="I502" s="117"/>
      <c r="J502" s="117"/>
      <c r="K502" s="117"/>
      <c r="L502" s="117"/>
      <c r="M502" s="213"/>
      <c r="N502" s="117"/>
      <c r="O502" s="117"/>
      <c r="P502" s="117"/>
      <c r="Q502" s="200"/>
      <c r="R502" s="239"/>
      <c r="S502" s="239"/>
      <c r="T502" s="239"/>
      <c r="U502" s="216"/>
      <c r="V502" s="217"/>
      <c r="W502" s="233"/>
      <c r="X502" s="123"/>
      <c r="Y502" s="117"/>
      <c r="Z502" s="117"/>
    </row>
    <row r="503" spans="1:26">
      <c r="A503" s="117"/>
      <c r="B503" s="117"/>
      <c r="C503" s="117"/>
      <c r="D503" s="117"/>
      <c r="E503" s="117"/>
      <c r="F503" s="117"/>
      <c r="G503" s="116"/>
      <c r="H503" s="117"/>
      <c r="I503" s="117"/>
      <c r="J503" s="117"/>
      <c r="K503" s="117"/>
      <c r="L503" s="117"/>
      <c r="M503" s="213"/>
      <c r="N503" s="117"/>
      <c r="O503" s="117"/>
      <c r="P503" s="117"/>
      <c r="Q503" s="200"/>
      <c r="R503" s="239"/>
      <c r="S503" s="239"/>
      <c r="T503" s="239"/>
      <c r="U503" s="216"/>
      <c r="V503" s="217"/>
      <c r="W503" s="233"/>
      <c r="X503" s="123"/>
      <c r="Y503" s="117"/>
      <c r="Z503" s="117"/>
    </row>
    <row r="504" spans="1:26">
      <c r="A504" s="117"/>
      <c r="B504" s="117"/>
      <c r="C504" s="117"/>
      <c r="D504" s="117"/>
      <c r="E504" s="117"/>
      <c r="F504" s="117"/>
      <c r="G504" s="116"/>
      <c r="H504" s="117"/>
      <c r="I504" s="117"/>
      <c r="J504" s="117"/>
      <c r="K504" s="117"/>
      <c r="L504" s="117"/>
      <c r="M504" s="213"/>
      <c r="N504" s="117"/>
      <c r="O504" s="117"/>
      <c r="P504" s="117"/>
      <c r="Q504" s="200"/>
      <c r="R504" s="239"/>
      <c r="S504" s="239"/>
      <c r="T504" s="239"/>
      <c r="U504" s="216"/>
      <c r="V504" s="217"/>
      <c r="W504" s="233"/>
      <c r="X504" s="123"/>
      <c r="Y504" s="117"/>
      <c r="Z504" s="117"/>
    </row>
    <row r="505" spans="1:26">
      <c r="A505" s="117"/>
      <c r="B505" s="117"/>
      <c r="C505" s="117"/>
      <c r="D505" s="117"/>
      <c r="E505" s="117"/>
      <c r="F505" s="117"/>
      <c r="G505" s="116"/>
      <c r="H505" s="117"/>
      <c r="I505" s="117"/>
      <c r="J505" s="117"/>
      <c r="K505" s="117"/>
      <c r="L505" s="117"/>
      <c r="M505" s="213"/>
      <c r="N505" s="117"/>
      <c r="O505" s="117"/>
      <c r="P505" s="117"/>
      <c r="Q505" s="200"/>
      <c r="R505" s="239"/>
      <c r="S505" s="239"/>
      <c r="T505" s="239"/>
      <c r="U505" s="216"/>
      <c r="V505" s="217"/>
      <c r="W505" s="233"/>
      <c r="X505" s="123"/>
      <c r="Y505" s="117"/>
      <c r="Z505" s="117"/>
    </row>
    <row r="506" spans="1:26">
      <c r="A506" s="117"/>
      <c r="B506" s="117"/>
      <c r="C506" s="117"/>
      <c r="D506" s="117"/>
      <c r="E506" s="117"/>
      <c r="F506" s="117"/>
      <c r="G506" s="116"/>
      <c r="H506" s="117"/>
      <c r="I506" s="117"/>
      <c r="J506" s="117"/>
      <c r="K506" s="117"/>
      <c r="L506" s="117"/>
      <c r="M506" s="213"/>
      <c r="N506" s="117"/>
      <c r="O506" s="117"/>
      <c r="P506" s="117"/>
      <c r="Q506" s="200"/>
      <c r="R506" s="239"/>
      <c r="S506" s="239"/>
      <c r="T506" s="239"/>
      <c r="U506" s="216"/>
      <c r="V506" s="217"/>
      <c r="W506" s="233"/>
      <c r="X506" s="123"/>
      <c r="Y506" s="117"/>
      <c r="Z506" s="117"/>
    </row>
    <row r="507" spans="1:26">
      <c r="A507" s="117"/>
      <c r="B507" s="117"/>
      <c r="C507" s="117"/>
      <c r="D507" s="117"/>
      <c r="E507" s="117"/>
      <c r="F507" s="117"/>
      <c r="G507" s="116"/>
      <c r="H507" s="117"/>
      <c r="I507" s="117"/>
      <c r="J507" s="117"/>
      <c r="K507" s="117"/>
      <c r="L507" s="117"/>
      <c r="M507" s="213"/>
      <c r="N507" s="117"/>
      <c r="O507" s="117"/>
      <c r="P507" s="117"/>
      <c r="Q507" s="200"/>
      <c r="R507" s="239"/>
      <c r="S507" s="239"/>
      <c r="T507" s="239"/>
      <c r="U507" s="216"/>
      <c r="V507" s="217"/>
      <c r="W507" s="233"/>
      <c r="X507" s="123"/>
      <c r="Y507" s="117"/>
      <c r="Z507" s="117"/>
    </row>
    <row r="508" spans="1:26">
      <c r="A508" s="117"/>
      <c r="B508" s="117"/>
      <c r="C508" s="117"/>
      <c r="D508" s="117"/>
      <c r="E508" s="117"/>
      <c r="F508" s="117"/>
      <c r="G508" s="116"/>
      <c r="H508" s="117"/>
      <c r="I508" s="117"/>
      <c r="J508" s="117"/>
      <c r="K508" s="117"/>
      <c r="L508" s="117"/>
      <c r="M508" s="213"/>
      <c r="N508" s="117"/>
      <c r="O508" s="117"/>
      <c r="P508" s="117"/>
      <c r="Q508" s="200"/>
      <c r="R508" s="239"/>
      <c r="S508" s="239"/>
      <c r="T508" s="239"/>
      <c r="U508" s="216"/>
      <c r="V508" s="217"/>
      <c r="W508" s="233"/>
      <c r="X508" s="123"/>
      <c r="Y508" s="117"/>
      <c r="Z508" s="117"/>
    </row>
    <row r="509" spans="1:26">
      <c r="A509" s="117"/>
      <c r="B509" s="117"/>
      <c r="C509" s="117"/>
      <c r="D509" s="117"/>
      <c r="E509" s="117"/>
      <c r="F509" s="117"/>
      <c r="G509" s="116"/>
      <c r="H509" s="117"/>
      <c r="I509" s="117"/>
      <c r="J509" s="117"/>
      <c r="K509" s="117"/>
      <c r="L509" s="117"/>
      <c r="M509" s="213"/>
      <c r="N509" s="117"/>
      <c r="O509" s="117"/>
      <c r="P509" s="117"/>
      <c r="Q509" s="200"/>
      <c r="R509" s="239"/>
      <c r="S509" s="239"/>
      <c r="T509" s="239"/>
      <c r="U509" s="216"/>
      <c r="V509" s="217"/>
      <c r="W509" s="233"/>
      <c r="X509" s="123"/>
      <c r="Y509" s="117"/>
      <c r="Z509" s="117"/>
    </row>
    <row r="510" spans="1:26">
      <c r="A510" s="117"/>
      <c r="B510" s="117"/>
      <c r="C510" s="117"/>
      <c r="D510" s="117"/>
      <c r="E510" s="117"/>
      <c r="F510" s="117"/>
      <c r="G510" s="116"/>
      <c r="H510" s="117"/>
      <c r="I510" s="117"/>
      <c r="J510" s="117"/>
      <c r="K510" s="117"/>
      <c r="L510" s="117"/>
      <c r="M510" s="213"/>
      <c r="N510" s="117"/>
      <c r="O510" s="117"/>
      <c r="P510" s="117"/>
      <c r="Q510" s="200"/>
      <c r="R510" s="239"/>
      <c r="S510" s="239"/>
      <c r="T510" s="239"/>
      <c r="U510" s="216"/>
      <c r="V510" s="217"/>
      <c r="W510" s="233"/>
      <c r="X510" s="123"/>
      <c r="Y510" s="117"/>
      <c r="Z510" s="117"/>
    </row>
    <row r="511" spans="1:26">
      <c r="A511" s="117"/>
      <c r="B511" s="117"/>
      <c r="C511" s="117"/>
      <c r="D511" s="117"/>
      <c r="E511" s="117"/>
      <c r="F511" s="117"/>
      <c r="G511" s="116"/>
      <c r="H511" s="117"/>
      <c r="I511" s="117"/>
      <c r="J511" s="117"/>
      <c r="K511" s="117"/>
      <c r="L511" s="117"/>
      <c r="M511" s="213"/>
      <c r="N511" s="117"/>
      <c r="O511" s="117"/>
      <c r="P511" s="117"/>
      <c r="Q511" s="200"/>
      <c r="R511" s="239"/>
      <c r="S511" s="239"/>
      <c r="T511" s="239"/>
      <c r="U511" s="216"/>
      <c r="V511" s="217"/>
      <c r="W511" s="233"/>
      <c r="X511" s="123"/>
      <c r="Y511" s="117"/>
      <c r="Z511" s="117"/>
    </row>
    <row r="512" spans="1:26">
      <c r="A512" s="117"/>
      <c r="B512" s="117"/>
      <c r="C512" s="117"/>
      <c r="D512" s="117"/>
      <c r="E512" s="117"/>
      <c r="F512" s="117"/>
      <c r="G512" s="116"/>
      <c r="H512" s="117"/>
      <c r="I512" s="117"/>
      <c r="J512" s="117"/>
      <c r="K512" s="117"/>
      <c r="L512" s="117"/>
      <c r="M512" s="213"/>
      <c r="N512" s="117"/>
      <c r="O512" s="117"/>
      <c r="P512" s="117"/>
      <c r="Q512" s="200"/>
      <c r="R512" s="239"/>
      <c r="S512" s="239"/>
      <c r="T512" s="239"/>
      <c r="U512" s="216"/>
      <c r="V512" s="217"/>
      <c r="W512" s="233"/>
      <c r="X512" s="123"/>
      <c r="Y512" s="117"/>
      <c r="Z512" s="117"/>
    </row>
    <row r="513" spans="1:26">
      <c r="A513" s="117"/>
      <c r="B513" s="117"/>
      <c r="C513" s="117"/>
      <c r="D513" s="117"/>
      <c r="E513" s="117"/>
      <c r="F513" s="117"/>
      <c r="G513" s="116"/>
      <c r="H513" s="117"/>
      <c r="I513" s="117"/>
      <c r="J513" s="117"/>
      <c r="K513" s="117"/>
      <c r="L513" s="117"/>
      <c r="M513" s="213"/>
      <c r="N513" s="117"/>
      <c r="O513" s="117"/>
      <c r="P513" s="117"/>
      <c r="Q513" s="200"/>
      <c r="R513" s="239"/>
      <c r="S513" s="239"/>
      <c r="T513" s="239"/>
      <c r="U513" s="216"/>
      <c r="V513" s="217"/>
      <c r="W513" s="233"/>
      <c r="X513" s="123"/>
      <c r="Y513" s="117"/>
      <c r="Z513" s="117"/>
    </row>
    <row r="514" spans="1:26">
      <c r="A514" s="117"/>
      <c r="B514" s="117"/>
      <c r="C514" s="117"/>
      <c r="D514" s="117"/>
      <c r="E514" s="117"/>
      <c r="F514" s="117"/>
      <c r="G514" s="116"/>
      <c r="H514" s="117"/>
      <c r="I514" s="117"/>
      <c r="J514" s="117"/>
      <c r="K514" s="117"/>
      <c r="L514" s="117"/>
      <c r="M514" s="213"/>
      <c r="N514" s="117"/>
      <c r="O514" s="117"/>
      <c r="P514" s="117"/>
      <c r="Q514" s="200"/>
      <c r="R514" s="239"/>
      <c r="S514" s="239"/>
      <c r="T514" s="239"/>
      <c r="U514" s="216"/>
      <c r="V514" s="217"/>
      <c r="W514" s="233"/>
      <c r="X514" s="123"/>
      <c r="Y514" s="117"/>
      <c r="Z514" s="117"/>
    </row>
    <row r="515" spans="1:26">
      <c r="A515" s="117"/>
      <c r="B515" s="117"/>
      <c r="C515" s="117"/>
      <c r="D515" s="117"/>
      <c r="E515" s="117"/>
      <c r="F515" s="117"/>
      <c r="G515" s="116"/>
      <c r="H515" s="117"/>
      <c r="I515" s="117"/>
      <c r="J515" s="117"/>
      <c r="K515" s="117"/>
      <c r="L515" s="117"/>
      <c r="M515" s="213"/>
      <c r="N515" s="117"/>
      <c r="O515" s="117"/>
      <c r="P515" s="117"/>
      <c r="Q515" s="200"/>
      <c r="R515" s="239"/>
      <c r="S515" s="239"/>
      <c r="T515" s="239"/>
      <c r="U515" s="216"/>
      <c r="V515" s="217"/>
      <c r="W515" s="233"/>
      <c r="X515" s="123"/>
      <c r="Y515" s="117"/>
      <c r="Z515" s="117"/>
    </row>
    <row r="516" spans="1:26">
      <c r="A516" s="117"/>
      <c r="B516" s="117"/>
      <c r="C516" s="117"/>
      <c r="D516" s="117"/>
      <c r="E516" s="117"/>
      <c r="F516" s="117"/>
      <c r="G516" s="116"/>
      <c r="H516" s="117"/>
      <c r="I516" s="117"/>
      <c r="J516" s="117"/>
      <c r="K516" s="117"/>
      <c r="L516" s="117"/>
      <c r="M516" s="213"/>
      <c r="N516" s="117"/>
      <c r="O516" s="117"/>
      <c r="P516" s="117"/>
      <c r="Q516" s="200"/>
      <c r="R516" s="239"/>
      <c r="S516" s="239"/>
      <c r="T516" s="239"/>
      <c r="U516" s="216"/>
      <c r="V516" s="217"/>
      <c r="W516" s="233"/>
      <c r="X516" s="123"/>
      <c r="Y516" s="117"/>
      <c r="Z516" s="117"/>
    </row>
    <row r="517" spans="1:26">
      <c r="A517" s="117"/>
      <c r="B517" s="117"/>
      <c r="C517" s="117"/>
      <c r="D517" s="117"/>
      <c r="E517" s="117"/>
      <c r="F517" s="117"/>
      <c r="G517" s="116"/>
      <c r="H517" s="117"/>
      <c r="I517" s="117"/>
      <c r="J517" s="117"/>
      <c r="K517" s="117"/>
      <c r="L517" s="117"/>
      <c r="M517" s="213"/>
      <c r="N517" s="117"/>
      <c r="O517" s="117"/>
      <c r="P517" s="117"/>
      <c r="Q517" s="200"/>
      <c r="R517" s="239"/>
      <c r="S517" s="239"/>
      <c r="T517" s="239"/>
      <c r="U517" s="216"/>
      <c r="V517" s="217"/>
      <c r="W517" s="233"/>
      <c r="X517" s="123"/>
      <c r="Y517" s="117"/>
      <c r="Z517" s="117"/>
    </row>
    <row r="518" spans="1:26">
      <c r="A518" s="117"/>
      <c r="B518" s="117"/>
      <c r="C518" s="117"/>
      <c r="D518" s="117"/>
      <c r="E518" s="117"/>
      <c r="F518" s="117"/>
      <c r="G518" s="116"/>
      <c r="H518" s="117"/>
      <c r="I518" s="117"/>
      <c r="J518" s="117"/>
      <c r="K518" s="117"/>
      <c r="L518" s="117"/>
      <c r="M518" s="213"/>
      <c r="N518" s="117"/>
      <c r="O518" s="117"/>
      <c r="P518" s="117"/>
      <c r="Q518" s="200"/>
      <c r="R518" s="239"/>
      <c r="S518" s="239"/>
      <c r="T518" s="239"/>
      <c r="U518" s="216"/>
      <c r="V518" s="217"/>
      <c r="W518" s="233"/>
      <c r="X518" s="123"/>
      <c r="Y518" s="117"/>
      <c r="Z518" s="117"/>
    </row>
    <row r="519" spans="1:26">
      <c r="A519" s="117"/>
      <c r="B519" s="117"/>
      <c r="C519" s="117"/>
      <c r="D519" s="117"/>
      <c r="E519" s="117"/>
      <c r="F519" s="117"/>
      <c r="G519" s="116"/>
      <c r="H519" s="117"/>
      <c r="I519" s="117"/>
      <c r="J519" s="117"/>
      <c r="K519" s="117"/>
      <c r="L519" s="117"/>
      <c r="M519" s="213"/>
      <c r="N519" s="117"/>
      <c r="O519" s="117"/>
      <c r="P519" s="117"/>
      <c r="Q519" s="200"/>
      <c r="R519" s="239"/>
      <c r="S519" s="239"/>
      <c r="T519" s="239"/>
      <c r="U519" s="216"/>
      <c r="V519" s="217"/>
      <c r="W519" s="233"/>
      <c r="X519" s="123"/>
      <c r="Y519" s="117"/>
      <c r="Z519" s="117"/>
    </row>
    <row r="520" spans="1:26">
      <c r="A520" s="117"/>
      <c r="B520" s="117"/>
      <c r="C520" s="117"/>
      <c r="D520" s="117"/>
      <c r="E520" s="117"/>
      <c r="F520" s="117"/>
      <c r="G520" s="116"/>
      <c r="H520" s="117"/>
      <c r="I520" s="117"/>
      <c r="J520" s="117"/>
      <c r="K520" s="117"/>
      <c r="L520" s="117"/>
      <c r="M520" s="213"/>
      <c r="N520" s="117"/>
      <c r="O520" s="117"/>
      <c r="P520" s="117"/>
      <c r="Q520" s="200"/>
      <c r="R520" s="239"/>
      <c r="S520" s="239"/>
      <c r="T520" s="239"/>
      <c r="U520" s="216"/>
      <c r="V520" s="217"/>
      <c r="W520" s="233"/>
      <c r="X520" s="123"/>
      <c r="Y520" s="117"/>
      <c r="Z520" s="117"/>
    </row>
    <row r="521" spans="1:26">
      <c r="A521" s="117"/>
      <c r="B521" s="117"/>
      <c r="C521" s="117"/>
      <c r="D521" s="117"/>
      <c r="E521" s="117"/>
      <c r="F521" s="117"/>
      <c r="G521" s="116"/>
      <c r="H521" s="117"/>
      <c r="I521" s="117"/>
      <c r="J521" s="117"/>
      <c r="K521" s="117"/>
      <c r="L521" s="117"/>
      <c r="M521" s="213"/>
      <c r="N521" s="117"/>
      <c r="O521" s="117"/>
      <c r="P521" s="117"/>
      <c r="Q521" s="200"/>
      <c r="R521" s="239"/>
      <c r="S521" s="239"/>
      <c r="T521" s="239"/>
      <c r="U521" s="216"/>
      <c r="V521" s="217"/>
      <c r="W521" s="233"/>
      <c r="X521" s="123"/>
      <c r="Y521" s="117"/>
      <c r="Z521" s="117"/>
    </row>
    <row r="522" spans="1:26">
      <c r="A522" s="117"/>
      <c r="B522" s="117"/>
      <c r="C522" s="117"/>
      <c r="D522" s="117"/>
      <c r="E522" s="117"/>
      <c r="F522" s="117"/>
      <c r="G522" s="116"/>
      <c r="H522" s="117"/>
      <c r="I522" s="117"/>
      <c r="J522" s="117"/>
      <c r="K522" s="117"/>
      <c r="L522" s="117"/>
      <c r="M522" s="213"/>
      <c r="N522" s="117"/>
      <c r="O522" s="117"/>
      <c r="P522" s="117"/>
      <c r="Q522" s="200"/>
      <c r="R522" s="239"/>
      <c r="S522" s="239"/>
      <c r="T522" s="239"/>
      <c r="U522" s="216"/>
      <c r="V522" s="217"/>
      <c r="W522" s="233"/>
      <c r="X522" s="123"/>
      <c r="Y522" s="117"/>
      <c r="Z522" s="117"/>
    </row>
    <row r="523" spans="1:26">
      <c r="A523" s="117"/>
      <c r="B523" s="117"/>
      <c r="C523" s="117"/>
      <c r="D523" s="117"/>
      <c r="E523" s="117"/>
      <c r="F523" s="117"/>
      <c r="G523" s="116"/>
      <c r="H523" s="117"/>
      <c r="I523" s="117"/>
      <c r="J523" s="117"/>
      <c r="K523" s="117"/>
      <c r="L523" s="117"/>
      <c r="M523" s="213"/>
      <c r="N523" s="117"/>
      <c r="O523" s="117"/>
      <c r="P523" s="117"/>
      <c r="Q523" s="200"/>
      <c r="R523" s="239"/>
      <c r="S523" s="239"/>
      <c r="T523" s="239"/>
      <c r="U523" s="216"/>
      <c r="V523" s="217"/>
      <c r="W523" s="233"/>
      <c r="X523" s="123"/>
      <c r="Y523" s="117"/>
      <c r="Z523" s="117"/>
    </row>
    <row r="524" spans="1:26">
      <c r="A524" s="117"/>
      <c r="B524" s="117"/>
      <c r="C524" s="117"/>
      <c r="D524" s="117"/>
      <c r="E524" s="117"/>
      <c r="F524" s="117"/>
      <c r="G524" s="116"/>
      <c r="H524" s="117"/>
      <c r="I524" s="117"/>
      <c r="J524" s="117"/>
      <c r="K524" s="117"/>
      <c r="L524" s="117"/>
      <c r="M524" s="213"/>
      <c r="N524" s="117"/>
      <c r="O524" s="117"/>
      <c r="P524" s="117"/>
      <c r="Q524" s="200"/>
      <c r="R524" s="239"/>
      <c r="S524" s="239"/>
      <c r="T524" s="239"/>
      <c r="U524" s="216"/>
      <c r="V524" s="217"/>
      <c r="W524" s="233"/>
      <c r="X524" s="123"/>
      <c r="Y524" s="117"/>
      <c r="Z524" s="117"/>
    </row>
    <row r="525" spans="1:26">
      <c r="A525" s="117"/>
      <c r="B525" s="117"/>
      <c r="C525" s="117"/>
      <c r="D525" s="117"/>
      <c r="E525" s="117"/>
      <c r="F525" s="117"/>
      <c r="G525" s="116"/>
      <c r="H525" s="117"/>
      <c r="I525" s="117"/>
      <c r="J525" s="117"/>
      <c r="K525" s="117"/>
      <c r="L525" s="117"/>
      <c r="M525" s="213"/>
      <c r="N525" s="117"/>
      <c r="O525" s="117"/>
      <c r="P525" s="117"/>
      <c r="Q525" s="200"/>
      <c r="R525" s="239"/>
      <c r="S525" s="239"/>
      <c r="T525" s="239"/>
      <c r="U525" s="216"/>
      <c r="V525" s="217"/>
      <c r="W525" s="233"/>
      <c r="X525" s="123"/>
      <c r="Y525" s="117"/>
      <c r="Z525" s="117"/>
    </row>
    <row r="526" spans="1:26">
      <c r="A526" s="117"/>
      <c r="B526" s="117"/>
      <c r="C526" s="117"/>
      <c r="D526" s="117"/>
      <c r="E526" s="117"/>
      <c r="F526" s="117"/>
      <c r="G526" s="116"/>
      <c r="H526" s="117"/>
      <c r="I526" s="117"/>
      <c r="J526" s="117"/>
      <c r="K526" s="117"/>
      <c r="L526" s="117"/>
      <c r="M526" s="213"/>
      <c r="N526" s="117"/>
      <c r="O526" s="117"/>
      <c r="P526" s="117"/>
      <c r="Q526" s="200"/>
      <c r="R526" s="239"/>
      <c r="S526" s="239"/>
      <c r="T526" s="239"/>
      <c r="U526" s="216"/>
      <c r="V526" s="217"/>
      <c r="W526" s="233"/>
      <c r="X526" s="123"/>
      <c r="Y526" s="117"/>
      <c r="Z526" s="117"/>
    </row>
    <row r="527" spans="1:26">
      <c r="A527" s="117"/>
      <c r="B527" s="117"/>
      <c r="C527" s="117"/>
      <c r="D527" s="117"/>
      <c r="E527" s="117"/>
      <c r="F527" s="117"/>
      <c r="G527" s="116"/>
      <c r="H527" s="117"/>
      <c r="I527" s="117"/>
      <c r="J527" s="117"/>
      <c r="K527" s="117"/>
      <c r="L527" s="117"/>
      <c r="M527" s="213"/>
      <c r="N527" s="117"/>
      <c r="O527" s="117"/>
      <c r="P527" s="117"/>
      <c r="Q527" s="200"/>
      <c r="R527" s="239"/>
      <c r="S527" s="239"/>
      <c r="T527" s="239"/>
      <c r="U527" s="216"/>
      <c r="V527" s="217"/>
      <c r="W527" s="233"/>
      <c r="X527" s="123"/>
      <c r="Y527" s="117"/>
      <c r="Z527" s="117"/>
    </row>
    <row r="528" spans="1:26">
      <c r="A528" s="117"/>
      <c r="B528" s="117"/>
      <c r="C528" s="117"/>
      <c r="D528" s="117"/>
      <c r="E528" s="117"/>
      <c r="F528" s="117"/>
      <c r="G528" s="116"/>
      <c r="H528" s="117"/>
      <c r="I528" s="117"/>
      <c r="J528" s="117"/>
      <c r="K528" s="117"/>
      <c r="L528" s="117"/>
      <c r="M528" s="213"/>
      <c r="N528" s="117"/>
      <c r="O528" s="117"/>
      <c r="P528" s="117"/>
      <c r="Q528" s="200"/>
      <c r="R528" s="239"/>
      <c r="S528" s="239"/>
      <c r="T528" s="239"/>
      <c r="U528" s="216"/>
      <c r="V528" s="217"/>
      <c r="W528" s="233"/>
      <c r="X528" s="123"/>
      <c r="Y528" s="117"/>
      <c r="Z528" s="117"/>
    </row>
    <row r="529" spans="1:26">
      <c r="A529" s="117"/>
      <c r="B529" s="117"/>
      <c r="C529" s="117"/>
      <c r="D529" s="117"/>
      <c r="E529" s="117"/>
      <c r="F529" s="117"/>
      <c r="G529" s="116"/>
      <c r="H529" s="117"/>
      <c r="I529" s="117"/>
      <c r="J529" s="117"/>
      <c r="K529" s="117"/>
      <c r="L529" s="117"/>
      <c r="M529" s="213"/>
      <c r="N529" s="117"/>
      <c r="O529" s="117"/>
      <c r="P529" s="117"/>
      <c r="Q529" s="200"/>
      <c r="R529" s="239"/>
      <c r="S529" s="239"/>
      <c r="T529" s="239"/>
      <c r="U529" s="216"/>
      <c r="V529" s="217"/>
      <c r="W529" s="233"/>
      <c r="X529" s="123"/>
      <c r="Y529" s="117"/>
      <c r="Z529" s="117"/>
    </row>
    <row r="530" spans="1:26">
      <c r="A530" s="117"/>
      <c r="B530" s="117"/>
      <c r="C530" s="117"/>
      <c r="D530" s="117"/>
      <c r="E530" s="117"/>
      <c r="F530" s="117"/>
      <c r="G530" s="116"/>
      <c r="H530" s="117"/>
      <c r="I530" s="117"/>
      <c r="J530" s="117"/>
      <c r="K530" s="117"/>
      <c r="L530" s="117"/>
      <c r="M530" s="213"/>
      <c r="N530" s="117"/>
      <c r="O530" s="117"/>
      <c r="P530" s="117"/>
      <c r="Q530" s="200"/>
      <c r="R530" s="239"/>
      <c r="S530" s="239"/>
      <c r="T530" s="239"/>
      <c r="U530" s="216"/>
      <c r="V530" s="217"/>
      <c r="W530" s="233"/>
      <c r="X530" s="123"/>
      <c r="Y530" s="117"/>
      <c r="Z530" s="117"/>
    </row>
    <row r="531" spans="1:26">
      <c r="A531" s="117"/>
      <c r="B531" s="117"/>
      <c r="C531" s="117"/>
      <c r="D531" s="117"/>
      <c r="E531" s="117"/>
      <c r="F531" s="117"/>
      <c r="G531" s="116"/>
      <c r="H531" s="117"/>
      <c r="I531" s="117"/>
      <c r="J531" s="117"/>
      <c r="K531" s="117"/>
      <c r="L531" s="117"/>
      <c r="M531" s="213"/>
      <c r="N531" s="117"/>
      <c r="O531" s="117"/>
      <c r="P531" s="117"/>
      <c r="Q531" s="200"/>
      <c r="R531" s="239"/>
      <c r="S531" s="239"/>
      <c r="T531" s="239"/>
      <c r="U531" s="216"/>
      <c r="V531" s="217"/>
      <c r="W531" s="233"/>
      <c r="X531" s="123"/>
      <c r="Y531" s="117"/>
      <c r="Z531" s="117"/>
    </row>
    <row r="532" spans="1:26">
      <c r="A532" s="117"/>
      <c r="B532" s="117"/>
      <c r="C532" s="117"/>
      <c r="D532" s="117"/>
      <c r="E532" s="117"/>
      <c r="F532" s="117"/>
      <c r="G532" s="116"/>
      <c r="H532" s="117"/>
      <c r="I532" s="117"/>
      <c r="J532" s="117"/>
      <c r="K532" s="117"/>
      <c r="L532" s="117"/>
      <c r="M532" s="213"/>
      <c r="N532" s="117"/>
      <c r="O532" s="117"/>
      <c r="P532" s="117"/>
      <c r="Q532" s="200"/>
      <c r="R532" s="239"/>
      <c r="S532" s="239"/>
      <c r="T532" s="239"/>
      <c r="U532" s="216"/>
      <c r="V532" s="217"/>
      <c r="W532" s="233"/>
      <c r="X532" s="123"/>
      <c r="Y532" s="117"/>
      <c r="Z532" s="117"/>
    </row>
    <row r="533" spans="1:26">
      <c r="A533" s="117"/>
      <c r="B533" s="117"/>
      <c r="C533" s="117"/>
      <c r="D533" s="117"/>
      <c r="E533" s="117"/>
      <c r="F533" s="117"/>
      <c r="G533" s="116"/>
      <c r="H533" s="117"/>
      <c r="I533" s="117"/>
      <c r="J533" s="117"/>
      <c r="K533" s="117"/>
      <c r="L533" s="117"/>
      <c r="M533" s="213"/>
      <c r="N533" s="117"/>
      <c r="O533" s="117"/>
      <c r="P533" s="117"/>
      <c r="Q533" s="200"/>
      <c r="R533" s="239"/>
      <c r="S533" s="239"/>
      <c r="T533" s="239"/>
      <c r="U533" s="216"/>
      <c r="V533" s="217"/>
      <c r="W533" s="233"/>
      <c r="X533" s="123"/>
      <c r="Y533" s="117"/>
      <c r="Z533" s="117"/>
    </row>
    <row r="534" spans="1:26">
      <c r="A534" s="117"/>
      <c r="B534" s="117"/>
      <c r="C534" s="117"/>
      <c r="D534" s="117"/>
      <c r="E534" s="117"/>
      <c r="F534" s="117"/>
      <c r="G534" s="116"/>
      <c r="H534" s="117"/>
      <c r="I534" s="117"/>
      <c r="J534" s="117"/>
      <c r="K534" s="117"/>
      <c r="L534" s="117"/>
      <c r="M534" s="213"/>
      <c r="N534" s="117"/>
      <c r="O534" s="117"/>
      <c r="P534" s="117"/>
      <c r="Q534" s="200"/>
      <c r="R534" s="239"/>
      <c r="S534" s="239"/>
      <c r="T534" s="239"/>
      <c r="U534" s="216"/>
      <c r="V534" s="217"/>
      <c r="W534" s="233"/>
      <c r="X534" s="123"/>
      <c r="Y534" s="117"/>
      <c r="Z534" s="117"/>
    </row>
    <row r="535" spans="1:26">
      <c r="A535" s="117"/>
      <c r="B535" s="117"/>
      <c r="C535" s="117"/>
      <c r="D535" s="117"/>
      <c r="E535" s="117"/>
      <c r="F535" s="117"/>
      <c r="G535" s="116"/>
      <c r="H535" s="117"/>
      <c r="I535" s="117"/>
      <c r="J535" s="117"/>
      <c r="K535" s="117"/>
      <c r="L535" s="117"/>
      <c r="M535" s="213"/>
      <c r="N535" s="117"/>
      <c r="O535" s="117"/>
      <c r="P535" s="117"/>
      <c r="Q535" s="200"/>
      <c r="R535" s="239"/>
      <c r="S535" s="239"/>
      <c r="T535" s="239"/>
      <c r="U535" s="216"/>
      <c r="V535" s="217"/>
      <c r="W535" s="233"/>
      <c r="X535" s="123"/>
      <c r="Y535" s="117"/>
      <c r="Z535" s="117"/>
    </row>
    <row r="536" spans="1:26">
      <c r="A536" s="117"/>
      <c r="B536" s="117"/>
      <c r="C536" s="117"/>
      <c r="D536" s="117"/>
      <c r="E536" s="117"/>
      <c r="F536" s="117"/>
      <c r="G536" s="116"/>
      <c r="H536" s="117"/>
      <c r="I536" s="117"/>
      <c r="J536" s="117"/>
      <c r="K536" s="117"/>
      <c r="L536" s="117"/>
      <c r="M536" s="213"/>
      <c r="N536" s="117"/>
      <c r="O536" s="117"/>
      <c r="P536" s="117"/>
      <c r="Q536" s="200"/>
      <c r="R536" s="239"/>
      <c r="S536" s="239"/>
      <c r="T536" s="239"/>
      <c r="U536" s="216"/>
      <c r="V536" s="217"/>
      <c r="W536" s="233"/>
      <c r="X536" s="123"/>
      <c r="Y536" s="117"/>
      <c r="Z536" s="117"/>
    </row>
    <row r="537" spans="1:26">
      <c r="A537" s="117"/>
      <c r="B537" s="117"/>
      <c r="C537" s="117"/>
      <c r="D537" s="117"/>
      <c r="E537" s="117"/>
      <c r="F537" s="117"/>
      <c r="G537" s="116"/>
      <c r="H537" s="117"/>
      <c r="I537" s="117"/>
      <c r="J537" s="117"/>
      <c r="K537" s="117"/>
      <c r="L537" s="117"/>
      <c r="M537" s="213"/>
      <c r="N537" s="117"/>
      <c r="O537" s="117"/>
      <c r="P537" s="117"/>
      <c r="Q537" s="200"/>
      <c r="R537" s="239"/>
      <c r="S537" s="239"/>
      <c r="T537" s="239"/>
      <c r="U537" s="216"/>
      <c r="V537" s="217"/>
      <c r="W537" s="233"/>
      <c r="X537" s="123"/>
      <c r="Y537" s="117"/>
      <c r="Z537" s="117"/>
    </row>
    <row r="538" spans="1:26">
      <c r="A538" s="117"/>
      <c r="B538" s="117"/>
      <c r="C538" s="117"/>
      <c r="D538" s="117"/>
      <c r="E538" s="117"/>
      <c r="F538" s="117"/>
      <c r="G538" s="116"/>
      <c r="H538" s="117"/>
      <c r="I538" s="117"/>
      <c r="J538" s="117"/>
      <c r="K538" s="117"/>
      <c r="L538" s="117"/>
      <c r="M538" s="213"/>
      <c r="N538" s="117"/>
      <c r="O538" s="117"/>
      <c r="P538" s="117"/>
      <c r="Q538" s="200"/>
      <c r="R538" s="239"/>
      <c r="S538" s="239"/>
      <c r="T538" s="239"/>
      <c r="U538" s="216"/>
      <c r="V538" s="217"/>
      <c r="W538" s="233"/>
      <c r="X538" s="123"/>
      <c r="Y538" s="117"/>
      <c r="Z538" s="117"/>
    </row>
    <row r="539" spans="1:26">
      <c r="A539" s="117"/>
      <c r="B539" s="117"/>
      <c r="C539" s="117"/>
      <c r="D539" s="117"/>
      <c r="E539" s="117"/>
      <c r="F539" s="117"/>
      <c r="G539" s="116"/>
      <c r="H539" s="117"/>
      <c r="I539" s="117"/>
      <c r="J539" s="117"/>
      <c r="K539" s="117"/>
      <c r="L539" s="117"/>
      <c r="M539" s="213"/>
      <c r="N539" s="117"/>
      <c r="O539" s="117"/>
      <c r="P539" s="117"/>
      <c r="Q539" s="200"/>
      <c r="R539" s="239"/>
      <c r="S539" s="239"/>
      <c r="T539" s="239"/>
      <c r="U539" s="216"/>
      <c r="V539" s="217"/>
      <c r="W539" s="233"/>
      <c r="X539" s="123"/>
      <c r="Y539" s="117"/>
      <c r="Z539" s="117"/>
    </row>
    <row r="540" spans="1:26">
      <c r="A540" s="117"/>
      <c r="B540" s="117"/>
      <c r="C540" s="117"/>
      <c r="D540" s="117"/>
      <c r="E540" s="117"/>
      <c r="F540" s="117"/>
      <c r="G540" s="116"/>
      <c r="H540" s="117"/>
      <c r="I540" s="117"/>
      <c r="J540" s="117"/>
      <c r="K540" s="117"/>
      <c r="L540" s="117"/>
      <c r="M540" s="213"/>
      <c r="N540" s="117"/>
      <c r="O540" s="117"/>
      <c r="P540" s="117"/>
      <c r="Q540" s="200"/>
      <c r="R540" s="239"/>
      <c r="S540" s="239"/>
      <c r="T540" s="239"/>
      <c r="U540" s="216"/>
      <c r="V540" s="217"/>
      <c r="W540" s="233"/>
      <c r="X540" s="123"/>
      <c r="Y540" s="117"/>
      <c r="Z540" s="117"/>
    </row>
    <row r="541" spans="1:26">
      <c r="A541" s="117"/>
      <c r="B541" s="117"/>
      <c r="C541" s="117"/>
      <c r="D541" s="117"/>
      <c r="E541" s="117"/>
      <c r="F541" s="117"/>
      <c r="G541" s="116"/>
      <c r="H541" s="117"/>
      <c r="I541" s="117"/>
      <c r="J541" s="117"/>
      <c r="K541" s="117"/>
      <c r="L541" s="117"/>
      <c r="M541" s="213"/>
      <c r="N541" s="117"/>
      <c r="O541" s="117"/>
      <c r="P541" s="117"/>
      <c r="Q541" s="200"/>
      <c r="R541" s="239"/>
      <c r="S541" s="239"/>
      <c r="T541" s="239"/>
      <c r="U541" s="216"/>
      <c r="V541" s="217"/>
      <c r="W541" s="233"/>
      <c r="X541" s="123"/>
      <c r="Y541" s="117"/>
      <c r="Z541" s="117"/>
    </row>
    <row r="542" spans="1:26">
      <c r="A542" s="117"/>
      <c r="B542" s="117"/>
      <c r="C542" s="117"/>
      <c r="D542" s="117"/>
      <c r="E542" s="117"/>
      <c r="F542" s="117"/>
      <c r="G542" s="116"/>
      <c r="H542" s="117"/>
      <c r="I542" s="117"/>
      <c r="J542" s="117"/>
      <c r="K542" s="117"/>
      <c r="L542" s="117"/>
      <c r="M542" s="213"/>
      <c r="N542" s="117"/>
      <c r="O542" s="117"/>
      <c r="P542" s="117"/>
      <c r="Q542" s="200"/>
      <c r="R542" s="239"/>
      <c r="S542" s="239"/>
      <c r="T542" s="239"/>
      <c r="U542" s="216"/>
      <c r="V542" s="217"/>
      <c r="W542" s="233"/>
      <c r="X542" s="123"/>
      <c r="Y542" s="117"/>
      <c r="Z542" s="117"/>
    </row>
    <row r="543" spans="1:26">
      <c r="A543" s="117"/>
      <c r="B543" s="117"/>
      <c r="C543" s="117"/>
      <c r="D543" s="117"/>
      <c r="E543" s="117"/>
      <c r="F543" s="117"/>
      <c r="G543" s="116"/>
      <c r="H543" s="117"/>
      <c r="I543" s="117"/>
      <c r="J543" s="117"/>
      <c r="K543" s="117"/>
      <c r="L543" s="117"/>
      <c r="M543" s="213"/>
      <c r="N543" s="117"/>
      <c r="O543" s="117"/>
      <c r="P543" s="117"/>
      <c r="Q543" s="200"/>
      <c r="R543" s="239"/>
      <c r="S543" s="239"/>
      <c r="T543" s="239"/>
      <c r="U543" s="216"/>
      <c r="V543" s="217"/>
      <c r="W543" s="233"/>
      <c r="X543" s="123"/>
      <c r="Y543" s="117"/>
      <c r="Z543" s="117"/>
    </row>
    <row r="544" spans="1:26">
      <c r="A544" s="117"/>
      <c r="B544" s="117"/>
      <c r="C544" s="117"/>
      <c r="D544" s="117"/>
      <c r="E544" s="117"/>
      <c r="F544" s="117"/>
      <c r="G544" s="116"/>
      <c r="H544" s="117"/>
      <c r="I544" s="117"/>
      <c r="J544" s="117"/>
      <c r="K544" s="117"/>
      <c r="L544" s="117"/>
      <c r="M544" s="213"/>
      <c r="N544" s="117"/>
      <c r="O544" s="117"/>
      <c r="P544" s="117"/>
      <c r="Q544" s="200"/>
      <c r="R544" s="239"/>
      <c r="S544" s="239"/>
      <c r="T544" s="239"/>
      <c r="U544" s="216"/>
      <c r="V544" s="217"/>
      <c r="W544" s="233"/>
      <c r="X544" s="123"/>
      <c r="Y544" s="117"/>
      <c r="Z544" s="117"/>
    </row>
    <row r="545" spans="1:26">
      <c r="A545" s="117"/>
      <c r="B545" s="117"/>
      <c r="C545" s="117"/>
      <c r="D545" s="117"/>
      <c r="E545" s="117"/>
      <c r="F545" s="117"/>
      <c r="G545" s="116"/>
      <c r="H545" s="117"/>
      <c r="I545" s="117"/>
      <c r="J545" s="117"/>
      <c r="K545" s="117"/>
      <c r="L545" s="117"/>
      <c r="M545" s="213"/>
      <c r="N545" s="117"/>
      <c r="O545" s="117"/>
      <c r="P545" s="117"/>
      <c r="Q545" s="200"/>
      <c r="R545" s="239"/>
      <c r="S545" s="239"/>
      <c r="T545" s="239"/>
      <c r="U545" s="216"/>
      <c r="V545" s="217"/>
      <c r="W545" s="233"/>
      <c r="X545" s="123"/>
      <c r="Y545" s="117"/>
      <c r="Z545" s="117"/>
    </row>
    <row r="546" spans="1:26">
      <c r="A546" s="117"/>
      <c r="B546" s="117"/>
      <c r="C546" s="117"/>
      <c r="D546" s="117"/>
      <c r="E546" s="117"/>
      <c r="F546" s="117"/>
      <c r="G546" s="116"/>
      <c r="H546" s="117"/>
      <c r="I546" s="117"/>
      <c r="J546" s="117"/>
      <c r="K546" s="117"/>
      <c r="L546" s="117"/>
      <c r="M546" s="213"/>
      <c r="N546" s="117"/>
      <c r="O546" s="117"/>
      <c r="P546" s="117"/>
      <c r="Q546" s="200"/>
      <c r="R546" s="239"/>
      <c r="S546" s="239"/>
      <c r="T546" s="239"/>
      <c r="U546" s="216"/>
      <c r="V546" s="217"/>
      <c r="W546" s="233"/>
      <c r="X546" s="123"/>
      <c r="Y546" s="117"/>
      <c r="Z546" s="117"/>
    </row>
    <row r="547" spans="1:26">
      <c r="A547" s="117"/>
      <c r="B547" s="117"/>
      <c r="C547" s="117"/>
      <c r="D547" s="117"/>
      <c r="E547" s="117"/>
      <c r="F547" s="117"/>
      <c r="G547" s="116"/>
      <c r="H547" s="117"/>
      <c r="I547" s="117"/>
      <c r="J547" s="117"/>
      <c r="K547" s="117"/>
      <c r="L547" s="117"/>
      <c r="M547" s="213"/>
      <c r="N547" s="117"/>
      <c r="O547" s="117"/>
      <c r="P547" s="117"/>
      <c r="Q547" s="200"/>
      <c r="R547" s="239"/>
      <c r="S547" s="239"/>
      <c r="T547" s="239"/>
      <c r="U547" s="216"/>
      <c r="V547" s="217"/>
      <c r="W547" s="233"/>
      <c r="X547" s="123"/>
      <c r="Y547" s="117"/>
      <c r="Z547" s="117"/>
    </row>
    <row r="548" spans="1:26">
      <c r="A548" s="117"/>
      <c r="B548" s="117"/>
      <c r="C548" s="117"/>
      <c r="D548" s="117"/>
      <c r="E548" s="117"/>
      <c r="F548" s="117"/>
      <c r="G548" s="116"/>
      <c r="H548" s="117"/>
      <c r="I548" s="117"/>
      <c r="J548" s="117"/>
      <c r="K548" s="117"/>
      <c r="L548" s="117"/>
      <c r="M548" s="213"/>
      <c r="N548" s="117"/>
      <c r="O548" s="117"/>
      <c r="P548" s="117"/>
      <c r="Q548" s="200"/>
      <c r="R548" s="239"/>
      <c r="S548" s="239"/>
      <c r="T548" s="239"/>
      <c r="U548" s="216"/>
      <c r="V548" s="217"/>
      <c r="W548" s="233"/>
      <c r="X548" s="123"/>
      <c r="Y548" s="117"/>
      <c r="Z548" s="117"/>
    </row>
    <row r="549" spans="1:26">
      <c r="A549" s="117"/>
      <c r="B549" s="117"/>
      <c r="C549" s="117"/>
      <c r="D549" s="117"/>
      <c r="E549" s="117"/>
      <c r="F549" s="117"/>
      <c r="G549" s="116"/>
      <c r="H549" s="117"/>
      <c r="I549" s="117"/>
      <c r="J549" s="117"/>
      <c r="K549" s="117"/>
      <c r="L549" s="117"/>
      <c r="M549" s="213"/>
      <c r="N549" s="117"/>
      <c r="O549" s="117"/>
      <c r="P549" s="117"/>
      <c r="Q549" s="200"/>
      <c r="R549" s="239"/>
      <c r="S549" s="239"/>
      <c r="T549" s="239"/>
      <c r="U549" s="216"/>
      <c r="V549" s="217"/>
      <c r="W549" s="233"/>
      <c r="X549" s="123"/>
      <c r="Y549" s="117"/>
      <c r="Z549" s="117"/>
    </row>
    <row r="550" spans="1:26">
      <c r="A550" s="117"/>
      <c r="B550" s="117"/>
      <c r="C550" s="117"/>
      <c r="D550" s="117"/>
      <c r="E550" s="117"/>
      <c r="F550" s="117"/>
      <c r="G550" s="116"/>
      <c r="H550" s="117"/>
      <c r="I550" s="117"/>
      <c r="J550" s="117"/>
      <c r="K550" s="117"/>
      <c r="L550" s="117"/>
      <c r="M550" s="213"/>
      <c r="N550" s="117"/>
      <c r="O550" s="117"/>
      <c r="P550" s="117"/>
      <c r="Q550" s="200"/>
      <c r="R550" s="239"/>
      <c r="S550" s="239"/>
      <c r="T550" s="239"/>
      <c r="U550" s="216"/>
      <c r="V550" s="217"/>
      <c r="W550" s="233"/>
      <c r="X550" s="123"/>
      <c r="Y550" s="117"/>
      <c r="Z550" s="117"/>
    </row>
    <row r="551" spans="1:26">
      <c r="A551" s="117"/>
      <c r="B551" s="117"/>
      <c r="C551" s="117"/>
      <c r="D551" s="117"/>
      <c r="E551" s="117"/>
      <c r="F551" s="117"/>
      <c r="G551" s="116"/>
      <c r="H551" s="117"/>
      <c r="I551" s="117"/>
      <c r="J551" s="117"/>
      <c r="K551" s="117"/>
      <c r="L551" s="117"/>
      <c r="M551" s="213"/>
      <c r="N551" s="117"/>
      <c r="O551" s="117"/>
      <c r="P551" s="117"/>
      <c r="Q551" s="200"/>
      <c r="R551" s="239"/>
      <c r="S551" s="239"/>
      <c r="T551" s="239"/>
      <c r="U551" s="216"/>
      <c r="V551" s="217"/>
      <c r="W551" s="233"/>
      <c r="X551" s="123"/>
      <c r="Y551" s="117"/>
      <c r="Z551" s="117"/>
    </row>
    <row r="552" spans="1:26">
      <c r="A552" s="117"/>
      <c r="B552" s="117"/>
      <c r="C552" s="117"/>
      <c r="D552" s="117"/>
      <c r="E552" s="117"/>
      <c r="F552" s="117"/>
      <c r="G552" s="116"/>
      <c r="H552" s="117"/>
      <c r="I552" s="117"/>
      <c r="J552" s="117"/>
      <c r="K552" s="117"/>
      <c r="L552" s="117"/>
      <c r="M552" s="213"/>
      <c r="N552" s="117"/>
      <c r="O552" s="117"/>
      <c r="P552" s="117"/>
      <c r="Q552" s="200"/>
      <c r="R552" s="239"/>
      <c r="S552" s="239"/>
      <c r="T552" s="239"/>
      <c r="U552" s="216"/>
      <c r="V552" s="217"/>
      <c r="W552" s="233"/>
      <c r="X552" s="123"/>
      <c r="Y552" s="117"/>
      <c r="Z552" s="117"/>
    </row>
    <row r="553" spans="1:26">
      <c r="A553" s="117"/>
      <c r="B553" s="117"/>
      <c r="C553" s="117"/>
      <c r="D553" s="117"/>
      <c r="E553" s="117"/>
      <c r="F553" s="117"/>
      <c r="G553" s="116"/>
      <c r="H553" s="117"/>
      <c r="I553" s="117"/>
      <c r="J553" s="117"/>
      <c r="K553" s="117"/>
      <c r="L553" s="117"/>
      <c r="M553" s="213"/>
      <c r="N553" s="117"/>
      <c r="O553" s="117"/>
      <c r="P553" s="117"/>
      <c r="Q553" s="200"/>
      <c r="R553" s="239"/>
      <c r="S553" s="239"/>
      <c r="T553" s="239"/>
      <c r="U553" s="216"/>
      <c r="V553" s="217"/>
      <c r="W553" s="233"/>
      <c r="X553" s="123"/>
      <c r="Y553" s="117"/>
      <c r="Z553" s="117"/>
    </row>
    <row r="554" spans="1:26">
      <c r="A554" s="117"/>
      <c r="B554" s="117"/>
      <c r="C554" s="117"/>
      <c r="D554" s="117"/>
      <c r="E554" s="117"/>
      <c r="F554" s="117"/>
      <c r="G554" s="116"/>
      <c r="H554" s="117"/>
      <c r="I554" s="117"/>
      <c r="J554" s="117"/>
      <c r="K554" s="117"/>
      <c r="L554" s="117"/>
      <c r="M554" s="213"/>
      <c r="N554" s="117"/>
      <c r="O554" s="117"/>
      <c r="P554" s="117"/>
      <c r="Q554" s="200"/>
      <c r="R554" s="239"/>
      <c r="S554" s="239"/>
      <c r="T554" s="239"/>
      <c r="U554" s="216"/>
      <c r="V554" s="217"/>
      <c r="W554" s="233"/>
      <c r="X554" s="123"/>
      <c r="Y554" s="117"/>
      <c r="Z554" s="117"/>
    </row>
    <row r="555" spans="1:26">
      <c r="A555" s="117"/>
      <c r="B555" s="117"/>
      <c r="C555" s="117"/>
      <c r="D555" s="117"/>
      <c r="E555" s="117"/>
      <c r="F555" s="117"/>
      <c r="G555" s="116"/>
      <c r="H555" s="117"/>
      <c r="I555" s="117"/>
      <c r="J555" s="117"/>
      <c r="K555" s="117"/>
      <c r="L555" s="117"/>
      <c r="M555" s="213"/>
      <c r="N555" s="117"/>
      <c r="O555" s="117"/>
      <c r="P555" s="117"/>
      <c r="Q555" s="200"/>
      <c r="R555" s="239"/>
      <c r="S555" s="239"/>
      <c r="T555" s="239"/>
      <c r="U555" s="216"/>
      <c r="V555" s="217"/>
      <c r="W555" s="233"/>
      <c r="X555" s="123"/>
      <c r="Y555" s="117"/>
      <c r="Z555" s="117"/>
    </row>
    <row r="556" spans="1:26">
      <c r="A556" s="117"/>
      <c r="B556" s="117"/>
      <c r="C556" s="117"/>
      <c r="D556" s="117"/>
      <c r="E556" s="117"/>
      <c r="F556" s="117"/>
      <c r="G556" s="116"/>
      <c r="H556" s="117"/>
      <c r="I556" s="117"/>
      <c r="J556" s="117"/>
      <c r="K556" s="117"/>
      <c r="L556" s="117"/>
      <c r="M556" s="213"/>
      <c r="N556" s="117"/>
      <c r="O556" s="117"/>
      <c r="P556" s="117"/>
      <c r="Q556" s="200"/>
      <c r="R556" s="239"/>
      <c r="S556" s="239"/>
      <c r="T556" s="239"/>
      <c r="U556" s="216"/>
      <c r="V556" s="217"/>
      <c r="W556" s="233"/>
      <c r="X556" s="123"/>
      <c r="Y556" s="117"/>
      <c r="Z556" s="117"/>
    </row>
    <row r="557" spans="1:26">
      <c r="A557" s="117"/>
      <c r="B557" s="117"/>
      <c r="C557" s="117"/>
      <c r="D557" s="117"/>
      <c r="E557" s="117"/>
      <c r="F557" s="117"/>
      <c r="G557" s="116"/>
      <c r="H557" s="117"/>
      <c r="I557" s="117"/>
      <c r="J557" s="117"/>
      <c r="K557" s="117"/>
      <c r="L557" s="117"/>
      <c r="M557" s="213"/>
      <c r="N557" s="117"/>
      <c r="O557" s="117"/>
      <c r="P557" s="117"/>
      <c r="Q557" s="200"/>
      <c r="R557" s="239"/>
      <c r="S557" s="239"/>
      <c r="T557" s="239"/>
      <c r="U557" s="216"/>
      <c r="V557" s="217"/>
      <c r="W557" s="233"/>
      <c r="X557" s="123"/>
      <c r="Y557" s="117"/>
      <c r="Z557" s="117"/>
    </row>
    <row r="558" spans="1:26">
      <c r="A558" s="117"/>
      <c r="B558" s="117"/>
      <c r="C558" s="117"/>
      <c r="D558" s="117"/>
      <c r="E558" s="117"/>
      <c r="F558" s="117"/>
      <c r="G558" s="116"/>
      <c r="H558" s="117"/>
      <c r="I558" s="117"/>
      <c r="J558" s="117"/>
      <c r="K558" s="117"/>
      <c r="L558" s="117"/>
      <c r="M558" s="213"/>
      <c r="N558" s="117"/>
      <c r="O558" s="117"/>
      <c r="P558" s="117"/>
      <c r="Q558" s="200"/>
      <c r="R558" s="239"/>
      <c r="S558" s="239"/>
      <c r="T558" s="239"/>
      <c r="U558" s="216"/>
      <c r="V558" s="217"/>
      <c r="W558" s="233"/>
      <c r="X558" s="123"/>
      <c r="Y558" s="117"/>
      <c r="Z558" s="117"/>
    </row>
    <row r="559" spans="1:26">
      <c r="A559" s="117"/>
      <c r="B559" s="117"/>
      <c r="C559" s="117"/>
      <c r="D559" s="117"/>
      <c r="E559" s="117"/>
      <c r="F559" s="117"/>
      <c r="G559" s="116"/>
      <c r="H559" s="117"/>
      <c r="I559" s="117"/>
      <c r="J559" s="117"/>
      <c r="K559" s="117"/>
      <c r="L559" s="117"/>
      <c r="M559" s="213"/>
      <c r="N559" s="117"/>
      <c r="O559" s="117"/>
      <c r="P559" s="117"/>
      <c r="Q559" s="200"/>
      <c r="R559" s="239"/>
      <c r="S559" s="239"/>
      <c r="T559" s="239"/>
      <c r="U559" s="216"/>
      <c r="V559" s="217"/>
      <c r="W559" s="233"/>
      <c r="X559" s="123"/>
      <c r="Y559" s="117"/>
      <c r="Z559" s="117"/>
    </row>
    <row r="560" spans="1:26">
      <c r="A560" s="117"/>
      <c r="B560" s="117"/>
      <c r="C560" s="117"/>
      <c r="D560" s="117"/>
      <c r="E560" s="117"/>
      <c r="F560" s="117"/>
      <c r="G560" s="116"/>
      <c r="H560" s="117"/>
      <c r="I560" s="117"/>
      <c r="J560" s="117"/>
      <c r="K560" s="117"/>
      <c r="L560" s="117"/>
      <c r="M560" s="213"/>
      <c r="N560" s="117"/>
      <c r="O560" s="117"/>
      <c r="P560" s="117"/>
      <c r="Q560" s="200"/>
      <c r="R560" s="239"/>
      <c r="S560" s="239"/>
      <c r="T560" s="239"/>
      <c r="U560" s="216"/>
      <c r="V560" s="217"/>
      <c r="W560" s="233"/>
      <c r="X560" s="123"/>
      <c r="Y560" s="117"/>
      <c r="Z560" s="117"/>
    </row>
    <row r="561" spans="1:26">
      <c r="A561" s="117"/>
      <c r="B561" s="117"/>
      <c r="C561" s="117"/>
      <c r="D561" s="117"/>
      <c r="E561" s="117"/>
      <c r="F561" s="117"/>
      <c r="G561" s="116"/>
      <c r="H561" s="117"/>
      <c r="I561" s="117"/>
      <c r="J561" s="117"/>
      <c r="K561" s="117"/>
      <c r="L561" s="117"/>
      <c r="M561" s="213"/>
      <c r="N561" s="117"/>
      <c r="O561" s="117"/>
      <c r="P561" s="117"/>
      <c r="Q561" s="200"/>
      <c r="R561" s="239"/>
      <c r="S561" s="239"/>
      <c r="T561" s="239"/>
      <c r="U561" s="216"/>
      <c r="V561" s="217"/>
      <c r="W561" s="233"/>
      <c r="X561" s="123"/>
      <c r="Y561" s="117"/>
      <c r="Z561" s="117"/>
    </row>
    <row r="562" spans="1:26">
      <c r="A562" s="117"/>
      <c r="B562" s="117"/>
      <c r="C562" s="117"/>
      <c r="D562" s="117"/>
      <c r="E562" s="117"/>
      <c r="F562" s="117"/>
      <c r="G562" s="116"/>
      <c r="H562" s="117"/>
      <c r="I562" s="117"/>
      <c r="J562" s="117"/>
      <c r="K562" s="117"/>
      <c r="L562" s="117"/>
      <c r="M562" s="213"/>
      <c r="N562" s="117"/>
      <c r="O562" s="117"/>
      <c r="P562" s="117"/>
      <c r="Q562" s="200"/>
      <c r="R562" s="239"/>
      <c r="S562" s="239"/>
      <c r="T562" s="239"/>
      <c r="U562" s="216"/>
      <c r="V562" s="217"/>
      <c r="W562" s="233"/>
      <c r="X562" s="123"/>
      <c r="Y562" s="117"/>
      <c r="Z562" s="117"/>
    </row>
    <row r="563" spans="1:26">
      <c r="A563" s="117"/>
      <c r="B563" s="117"/>
      <c r="C563" s="117"/>
      <c r="D563" s="117"/>
      <c r="E563" s="117"/>
      <c r="F563" s="117"/>
      <c r="G563" s="116"/>
      <c r="H563" s="117"/>
      <c r="I563" s="117"/>
      <c r="J563" s="117"/>
      <c r="K563" s="117"/>
      <c r="L563" s="117"/>
      <c r="M563" s="213"/>
      <c r="N563" s="117"/>
      <c r="O563" s="117"/>
      <c r="P563" s="117"/>
      <c r="Q563" s="200"/>
      <c r="R563" s="239"/>
      <c r="S563" s="239"/>
      <c r="T563" s="239"/>
      <c r="U563" s="216"/>
      <c r="V563" s="217"/>
      <c r="W563" s="233"/>
      <c r="X563" s="123"/>
      <c r="Y563" s="117"/>
      <c r="Z563" s="117"/>
    </row>
    <row r="564" spans="1:26">
      <c r="A564" s="117"/>
      <c r="B564" s="117"/>
      <c r="C564" s="117"/>
      <c r="D564" s="117"/>
      <c r="E564" s="117"/>
      <c r="F564" s="117"/>
      <c r="G564" s="116"/>
      <c r="H564" s="117"/>
      <c r="I564" s="117"/>
      <c r="J564" s="117"/>
      <c r="K564" s="117"/>
      <c r="L564" s="117"/>
      <c r="M564" s="213"/>
      <c r="N564" s="117"/>
      <c r="O564" s="117"/>
      <c r="P564" s="117"/>
      <c r="Q564" s="200"/>
      <c r="R564" s="239"/>
      <c r="S564" s="239"/>
      <c r="T564" s="239"/>
      <c r="U564" s="216"/>
      <c r="V564" s="217"/>
      <c r="W564" s="233"/>
      <c r="X564" s="123"/>
      <c r="Y564" s="117"/>
      <c r="Z564" s="117"/>
    </row>
    <row r="565" spans="1:26">
      <c r="A565" s="117"/>
      <c r="B565" s="117"/>
      <c r="C565" s="117"/>
      <c r="D565" s="117"/>
      <c r="E565" s="117"/>
      <c r="F565" s="117"/>
      <c r="G565" s="116"/>
      <c r="H565" s="117"/>
      <c r="I565" s="117"/>
      <c r="J565" s="117"/>
      <c r="K565" s="117"/>
      <c r="L565" s="117"/>
      <c r="M565" s="213"/>
      <c r="N565" s="117"/>
      <c r="O565" s="117"/>
      <c r="P565" s="117"/>
      <c r="Q565" s="200"/>
      <c r="R565" s="239"/>
      <c r="S565" s="239"/>
      <c r="T565" s="239"/>
      <c r="U565" s="216"/>
      <c r="V565" s="217"/>
      <c r="W565" s="233"/>
      <c r="X565" s="123"/>
      <c r="Y565" s="117"/>
      <c r="Z565" s="117"/>
    </row>
    <row r="566" spans="1:26">
      <c r="A566" s="117"/>
      <c r="B566" s="117"/>
      <c r="C566" s="117"/>
      <c r="D566" s="117"/>
      <c r="E566" s="117"/>
      <c r="F566" s="117"/>
      <c r="G566" s="116"/>
      <c r="H566" s="117"/>
      <c r="I566" s="117"/>
      <c r="J566" s="117"/>
      <c r="K566" s="117"/>
      <c r="L566" s="117"/>
      <c r="M566" s="213"/>
      <c r="N566" s="117"/>
      <c r="O566" s="117"/>
      <c r="P566" s="117"/>
      <c r="Q566" s="200"/>
      <c r="R566" s="239"/>
      <c r="S566" s="239"/>
      <c r="T566" s="239"/>
      <c r="U566" s="216"/>
      <c r="V566" s="217"/>
      <c r="W566" s="233"/>
      <c r="X566" s="123"/>
      <c r="Y566" s="117"/>
      <c r="Z566" s="117"/>
    </row>
    <row r="567" spans="1:26">
      <c r="A567" s="117"/>
      <c r="B567" s="117"/>
      <c r="C567" s="117"/>
      <c r="D567" s="117"/>
      <c r="E567" s="117"/>
      <c r="F567" s="117"/>
      <c r="G567" s="116"/>
      <c r="H567" s="117"/>
      <c r="I567" s="117"/>
      <c r="J567" s="117"/>
      <c r="K567" s="117"/>
      <c r="L567" s="117"/>
      <c r="M567" s="213"/>
      <c r="N567" s="117"/>
      <c r="O567" s="117"/>
      <c r="P567" s="117"/>
      <c r="Q567" s="200"/>
      <c r="R567" s="239"/>
      <c r="S567" s="239"/>
      <c r="T567" s="239"/>
      <c r="U567" s="216"/>
      <c r="V567" s="217"/>
      <c r="W567" s="233"/>
      <c r="X567" s="123"/>
      <c r="Y567" s="117"/>
      <c r="Z567" s="117"/>
    </row>
    <row r="568" spans="1:26">
      <c r="A568" s="117"/>
      <c r="B568" s="117"/>
      <c r="C568" s="117"/>
      <c r="D568" s="117"/>
      <c r="E568" s="117"/>
      <c r="F568" s="117"/>
      <c r="G568" s="116"/>
      <c r="H568" s="117"/>
      <c r="I568" s="117"/>
      <c r="J568" s="117"/>
      <c r="K568" s="117"/>
      <c r="L568" s="117"/>
      <c r="M568" s="213"/>
      <c r="N568" s="117"/>
      <c r="O568" s="117"/>
      <c r="P568" s="117"/>
      <c r="Q568" s="200"/>
      <c r="R568" s="239"/>
      <c r="S568" s="239"/>
      <c r="T568" s="239"/>
      <c r="U568" s="216"/>
      <c r="V568" s="217"/>
      <c r="W568" s="233"/>
      <c r="X568" s="123"/>
      <c r="Y568" s="117"/>
      <c r="Z568" s="117"/>
    </row>
    <row r="569" spans="1:26">
      <c r="A569" s="117"/>
      <c r="B569" s="117"/>
      <c r="C569" s="117"/>
      <c r="D569" s="117"/>
      <c r="E569" s="117"/>
      <c r="F569" s="117"/>
      <c r="G569" s="116"/>
      <c r="H569" s="117"/>
      <c r="I569" s="117"/>
      <c r="J569" s="117"/>
      <c r="K569" s="117"/>
      <c r="L569" s="117"/>
      <c r="M569" s="213"/>
      <c r="N569" s="117"/>
      <c r="O569" s="117"/>
      <c r="P569" s="117"/>
      <c r="Q569" s="200"/>
      <c r="R569" s="239"/>
      <c r="S569" s="239"/>
      <c r="T569" s="239"/>
      <c r="U569" s="216"/>
      <c r="V569" s="217"/>
      <c r="W569" s="233"/>
      <c r="X569" s="123"/>
      <c r="Y569" s="117"/>
      <c r="Z569" s="117"/>
    </row>
    <row r="570" spans="1:26">
      <c r="A570" s="117"/>
      <c r="B570" s="117"/>
      <c r="C570" s="117"/>
      <c r="D570" s="117"/>
      <c r="E570" s="117"/>
      <c r="F570" s="117"/>
      <c r="G570" s="116"/>
      <c r="H570" s="117"/>
      <c r="I570" s="117"/>
      <c r="J570" s="117"/>
      <c r="K570" s="117"/>
      <c r="L570" s="117"/>
      <c r="M570" s="213"/>
      <c r="N570" s="117"/>
      <c r="O570" s="117"/>
      <c r="P570" s="117"/>
      <c r="Q570" s="200"/>
      <c r="R570" s="239"/>
      <c r="S570" s="239"/>
      <c r="T570" s="239"/>
      <c r="U570" s="216"/>
      <c r="V570" s="217"/>
      <c r="W570" s="233"/>
      <c r="X570" s="123"/>
      <c r="Y570" s="117"/>
      <c r="Z570" s="117"/>
    </row>
    <row r="571" spans="1:26">
      <c r="A571" s="117"/>
      <c r="B571" s="117"/>
      <c r="C571" s="117"/>
      <c r="D571" s="117"/>
      <c r="E571" s="117"/>
      <c r="F571" s="117"/>
      <c r="G571" s="116"/>
      <c r="H571" s="117"/>
      <c r="I571" s="117"/>
      <c r="J571" s="117"/>
      <c r="K571" s="117"/>
      <c r="L571" s="117"/>
      <c r="M571" s="213"/>
      <c r="N571" s="117"/>
      <c r="O571" s="117"/>
      <c r="P571" s="117"/>
      <c r="Q571" s="200"/>
      <c r="R571" s="239"/>
      <c r="S571" s="239"/>
      <c r="T571" s="239"/>
      <c r="U571" s="216"/>
      <c r="V571" s="217"/>
      <c r="W571" s="233"/>
      <c r="X571" s="123"/>
      <c r="Y571" s="117"/>
      <c r="Z571" s="117"/>
    </row>
    <row r="572" spans="1:26">
      <c r="A572" s="117"/>
      <c r="B572" s="117"/>
      <c r="C572" s="117"/>
      <c r="D572" s="117"/>
      <c r="E572" s="117"/>
      <c r="F572" s="117"/>
      <c r="G572" s="116"/>
      <c r="H572" s="117"/>
      <c r="I572" s="117"/>
      <c r="J572" s="117"/>
      <c r="K572" s="117"/>
      <c r="L572" s="117"/>
      <c r="M572" s="213"/>
      <c r="N572" s="117"/>
      <c r="O572" s="117"/>
      <c r="P572" s="117"/>
      <c r="Q572" s="200"/>
      <c r="R572" s="239"/>
      <c r="S572" s="239"/>
      <c r="T572" s="239"/>
      <c r="U572" s="216"/>
      <c r="V572" s="217"/>
      <c r="W572" s="233"/>
      <c r="X572" s="123"/>
      <c r="Y572" s="117"/>
      <c r="Z572" s="117"/>
    </row>
    <row r="573" spans="1:26">
      <c r="A573" s="117"/>
      <c r="B573" s="117"/>
      <c r="C573" s="117"/>
      <c r="D573" s="117"/>
      <c r="E573" s="117"/>
      <c r="F573" s="117"/>
      <c r="G573" s="116"/>
      <c r="H573" s="117"/>
      <c r="I573" s="117"/>
      <c r="J573" s="117"/>
      <c r="K573" s="117"/>
      <c r="L573" s="117"/>
      <c r="M573" s="213"/>
      <c r="N573" s="117"/>
      <c r="O573" s="117"/>
      <c r="P573" s="117"/>
      <c r="Q573" s="200"/>
      <c r="R573" s="239"/>
      <c r="S573" s="239"/>
      <c r="T573" s="239"/>
      <c r="U573" s="216"/>
      <c r="V573" s="217"/>
      <c r="W573" s="233"/>
      <c r="X573" s="123"/>
      <c r="Y573" s="117"/>
      <c r="Z573" s="117"/>
    </row>
    <row r="574" spans="1:26">
      <c r="A574" s="117"/>
      <c r="B574" s="117"/>
      <c r="C574" s="117"/>
      <c r="D574" s="117"/>
      <c r="E574" s="117"/>
      <c r="F574" s="117"/>
      <c r="G574" s="116"/>
      <c r="H574" s="117"/>
      <c r="I574" s="117"/>
      <c r="J574" s="117"/>
      <c r="K574" s="117"/>
      <c r="L574" s="117"/>
      <c r="M574" s="213"/>
      <c r="N574" s="117"/>
      <c r="O574" s="117"/>
      <c r="P574" s="117"/>
      <c r="Q574" s="200"/>
      <c r="R574" s="239"/>
      <c r="S574" s="239"/>
      <c r="T574" s="239"/>
      <c r="U574" s="216"/>
      <c r="V574" s="217"/>
      <c r="W574" s="233"/>
      <c r="X574" s="123"/>
      <c r="Y574" s="117"/>
      <c r="Z574" s="117"/>
    </row>
    <row r="575" spans="1:26">
      <c r="A575" s="117"/>
      <c r="B575" s="117"/>
      <c r="C575" s="117"/>
      <c r="D575" s="117"/>
      <c r="E575" s="117"/>
      <c r="F575" s="117"/>
      <c r="G575" s="116"/>
      <c r="H575" s="117"/>
      <c r="I575" s="117"/>
      <c r="J575" s="117"/>
      <c r="K575" s="117"/>
      <c r="L575" s="117"/>
      <c r="M575" s="213"/>
      <c r="N575" s="117"/>
      <c r="O575" s="117"/>
      <c r="P575" s="117"/>
      <c r="Q575" s="200"/>
      <c r="R575" s="239"/>
      <c r="S575" s="239"/>
      <c r="T575" s="239"/>
      <c r="U575" s="216"/>
      <c r="V575" s="217"/>
      <c r="W575" s="233"/>
      <c r="X575" s="123"/>
      <c r="Y575" s="117"/>
      <c r="Z575" s="117"/>
    </row>
    <row r="576" spans="1:26">
      <c r="A576" s="117"/>
      <c r="B576" s="117"/>
      <c r="C576" s="117"/>
      <c r="D576" s="117"/>
      <c r="E576" s="117"/>
      <c r="F576" s="117"/>
      <c r="G576" s="116"/>
      <c r="H576" s="117"/>
      <c r="I576" s="117"/>
      <c r="J576" s="117"/>
      <c r="K576" s="117"/>
      <c r="L576" s="117"/>
      <c r="M576" s="213"/>
      <c r="N576" s="117"/>
      <c r="O576" s="117"/>
      <c r="P576" s="117"/>
      <c r="Q576" s="200"/>
      <c r="R576" s="239"/>
      <c r="S576" s="239"/>
      <c r="T576" s="239"/>
      <c r="U576" s="216"/>
      <c r="V576" s="217"/>
      <c r="W576" s="233"/>
      <c r="X576" s="123"/>
      <c r="Y576" s="117"/>
      <c r="Z576" s="117"/>
    </row>
    <row r="577" spans="1:26">
      <c r="A577" s="117"/>
      <c r="B577" s="117"/>
      <c r="C577" s="117"/>
      <c r="D577" s="117"/>
      <c r="E577" s="117"/>
      <c r="F577" s="117"/>
      <c r="G577" s="116"/>
      <c r="H577" s="117"/>
      <c r="I577" s="117"/>
      <c r="J577" s="117"/>
      <c r="K577" s="117"/>
      <c r="L577" s="117"/>
      <c r="M577" s="213"/>
      <c r="N577" s="117"/>
      <c r="O577" s="117"/>
      <c r="P577" s="117"/>
      <c r="Q577" s="200"/>
      <c r="R577" s="239"/>
      <c r="S577" s="239"/>
      <c r="T577" s="239"/>
      <c r="U577" s="216"/>
      <c r="V577" s="217"/>
      <c r="W577" s="233"/>
      <c r="X577" s="123"/>
      <c r="Y577" s="117"/>
      <c r="Z577" s="117"/>
    </row>
    <row r="578" spans="1:26">
      <c r="A578" s="117"/>
      <c r="B578" s="117"/>
      <c r="C578" s="117"/>
      <c r="D578" s="117"/>
      <c r="E578" s="117"/>
      <c r="F578" s="117"/>
      <c r="G578" s="116"/>
      <c r="H578" s="117"/>
      <c r="I578" s="117"/>
      <c r="J578" s="117"/>
      <c r="K578" s="117"/>
      <c r="L578" s="117"/>
      <c r="M578" s="213"/>
      <c r="N578" s="117"/>
      <c r="O578" s="117"/>
      <c r="P578" s="117"/>
      <c r="Q578" s="200"/>
      <c r="R578" s="239"/>
      <c r="S578" s="239"/>
      <c r="T578" s="239"/>
      <c r="U578" s="216"/>
      <c r="V578" s="217"/>
      <c r="W578" s="233"/>
      <c r="X578" s="123"/>
      <c r="Y578" s="117"/>
      <c r="Z578" s="117"/>
    </row>
    <row r="579" spans="1:26">
      <c r="A579" s="117"/>
      <c r="B579" s="117"/>
      <c r="C579" s="117"/>
      <c r="D579" s="117"/>
      <c r="E579" s="117"/>
      <c r="F579" s="117"/>
      <c r="G579" s="116"/>
      <c r="H579" s="117"/>
      <c r="I579" s="117"/>
      <c r="J579" s="117"/>
      <c r="K579" s="117"/>
      <c r="L579" s="117"/>
      <c r="M579" s="213"/>
      <c r="N579" s="117"/>
      <c r="O579" s="117"/>
      <c r="P579" s="117"/>
      <c r="Q579" s="200"/>
      <c r="R579" s="239"/>
      <c r="S579" s="239"/>
      <c r="T579" s="239"/>
      <c r="U579" s="216"/>
      <c r="V579" s="217"/>
      <c r="W579" s="233"/>
      <c r="X579" s="123"/>
      <c r="Y579" s="117"/>
      <c r="Z579" s="117"/>
    </row>
    <row r="580" spans="1:26">
      <c r="A580" s="117"/>
      <c r="B580" s="117"/>
      <c r="C580" s="117"/>
      <c r="D580" s="117"/>
      <c r="E580" s="117"/>
      <c r="F580" s="117"/>
      <c r="G580" s="116"/>
      <c r="H580" s="117"/>
      <c r="I580" s="117"/>
      <c r="J580" s="117"/>
      <c r="K580" s="117"/>
      <c r="L580" s="117"/>
      <c r="M580" s="213"/>
      <c r="N580" s="117"/>
      <c r="O580" s="117"/>
      <c r="P580" s="117"/>
      <c r="Q580" s="200"/>
      <c r="R580" s="239"/>
      <c r="S580" s="239"/>
      <c r="T580" s="239"/>
      <c r="U580" s="216"/>
      <c r="V580" s="217"/>
      <c r="W580" s="233"/>
      <c r="X580" s="123"/>
      <c r="Y580" s="117"/>
      <c r="Z580" s="117"/>
    </row>
    <row r="581" spans="1:26">
      <c r="A581" s="117"/>
      <c r="B581" s="117"/>
      <c r="C581" s="117"/>
      <c r="D581" s="117"/>
      <c r="E581" s="117"/>
      <c r="F581" s="117"/>
      <c r="G581" s="116"/>
      <c r="H581" s="117"/>
      <c r="I581" s="117"/>
      <c r="J581" s="117"/>
      <c r="K581" s="117"/>
      <c r="L581" s="117"/>
      <c r="M581" s="213"/>
      <c r="N581" s="117"/>
      <c r="O581" s="117"/>
      <c r="P581" s="117"/>
      <c r="Q581" s="200"/>
      <c r="R581" s="239"/>
      <c r="S581" s="239"/>
      <c r="T581" s="239"/>
      <c r="U581" s="216"/>
      <c r="V581" s="217"/>
      <c r="W581" s="233"/>
      <c r="X581" s="123"/>
      <c r="Y581" s="117"/>
      <c r="Z581" s="117"/>
    </row>
    <row r="582" spans="1:26">
      <c r="A582" s="117"/>
      <c r="B582" s="117"/>
      <c r="C582" s="117"/>
      <c r="D582" s="117"/>
      <c r="E582" s="117"/>
      <c r="F582" s="117"/>
      <c r="G582" s="116"/>
      <c r="H582" s="117"/>
      <c r="I582" s="117"/>
      <c r="J582" s="117"/>
      <c r="K582" s="117"/>
      <c r="L582" s="117"/>
      <c r="M582" s="213"/>
      <c r="N582" s="117"/>
      <c r="O582" s="117"/>
      <c r="P582" s="117"/>
      <c r="Q582" s="200"/>
      <c r="R582" s="239"/>
      <c r="S582" s="239"/>
      <c r="T582" s="239"/>
      <c r="U582" s="216"/>
      <c r="V582" s="217"/>
      <c r="W582" s="233"/>
      <c r="X582" s="123"/>
      <c r="Y582" s="117"/>
      <c r="Z582" s="117"/>
    </row>
    <row r="583" spans="1:26">
      <c r="A583" s="117"/>
      <c r="B583" s="117"/>
      <c r="C583" s="117"/>
      <c r="D583" s="117"/>
      <c r="E583" s="117"/>
      <c r="F583" s="117"/>
      <c r="G583" s="116"/>
      <c r="H583" s="117"/>
      <c r="I583" s="117"/>
      <c r="J583" s="117"/>
      <c r="K583" s="117"/>
      <c r="L583" s="117"/>
      <c r="M583" s="213"/>
      <c r="N583" s="117"/>
      <c r="O583" s="117"/>
      <c r="P583" s="117"/>
      <c r="Q583" s="200"/>
      <c r="R583" s="239"/>
      <c r="S583" s="239"/>
      <c r="T583" s="239"/>
      <c r="U583" s="216"/>
      <c r="V583" s="217"/>
      <c r="W583" s="233"/>
      <c r="X583" s="123"/>
      <c r="Y583" s="117"/>
      <c r="Z583" s="117"/>
    </row>
    <row r="584" spans="1:26">
      <c r="A584" s="117"/>
      <c r="B584" s="117"/>
      <c r="C584" s="117"/>
      <c r="D584" s="117"/>
      <c r="E584" s="117"/>
      <c r="F584" s="117"/>
      <c r="G584" s="116"/>
      <c r="H584" s="117"/>
      <c r="I584" s="117"/>
      <c r="J584" s="117"/>
      <c r="K584" s="117"/>
      <c r="L584" s="117"/>
      <c r="M584" s="213"/>
      <c r="N584" s="117"/>
      <c r="O584" s="117"/>
      <c r="P584" s="117"/>
      <c r="Q584" s="200"/>
      <c r="R584" s="239"/>
      <c r="S584" s="239"/>
      <c r="T584" s="239"/>
      <c r="U584" s="216"/>
      <c r="V584" s="217"/>
      <c r="W584" s="233"/>
      <c r="X584" s="123"/>
      <c r="Y584" s="117"/>
      <c r="Z584" s="117"/>
    </row>
    <row r="585" spans="1:26">
      <c r="A585" s="117"/>
      <c r="B585" s="117"/>
      <c r="C585" s="117"/>
      <c r="D585" s="117"/>
      <c r="E585" s="117"/>
      <c r="F585" s="117"/>
      <c r="G585" s="116"/>
      <c r="H585" s="117"/>
      <c r="I585" s="117"/>
      <c r="J585" s="117"/>
      <c r="K585" s="117"/>
      <c r="L585" s="117"/>
      <c r="M585" s="213"/>
      <c r="N585" s="117"/>
      <c r="O585" s="117"/>
      <c r="P585" s="117"/>
      <c r="Q585" s="200"/>
      <c r="R585" s="239"/>
      <c r="S585" s="239"/>
      <c r="T585" s="239"/>
      <c r="U585" s="216"/>
      <c r="V585" s="217"/>
      <c r="W585" s="233"/>
      <c r="X585" s="123"/>
      <c r="Y585" s="117"/>
      <c r="Z585" s="117"/>
    </row>
    <row r="586" spans="1:26">
      <c r="A586" s="117"/>
      <c r="B586" s="117"/>
      <c r="C586" s="117"/>
      <c r="D586" s="117"/>
      <c r="E586" s="117"/>
      <c r="F586" s="117"/>
      <c r="G586" s="116"/>
      <c r="H586" s="117"/>
      <c r="I586" s="117"/>
      <c r="J586" s="117"/>
      <c r="K586" s="117"/>
      <c r="L586" s="117"/>
      <c r="M586" s="213"/>
      <c r="N586" s="117"/>
      <c r="O586" s="117"/>
      <c r="P586" s="117"/>
      <c r="Q586" s="200"/>
      <c r="R586" s="239"/>
      <c r="S586" s="239"/>
      <c r="T586" s="239"/>
      <c r="U586" s="216"/>
      <c r="V586" s="217"/>
      <c r="W586" s="233"/>
      <c r="X586" s="123"/>
      <c r="Y586" s="117"/>
      <c r="Z586" s="117"/>
    </row>
    <row r="587" spans="1:26">
      <c r="A587" s="117"/>
      <c r="B587" s="117"/>
      <c r="C587" s="117"/>
      <c r="D587" s="117"/>
      <c r="E587" s="117"/>
      <c r="F587" s="117"/>
      <c r="G587" s="116"/>
      <c r="H587" s="117"/>
      <c r="I587" s="117"/>
      <c r="J587" s="117"/>
      <c r="K587" s="117"/>
      <c r="L587" s="117"/>
      <c r="M587" s="213"/>
      <c r="N587" s="117"/>
      <c r="O587" s="117"/>
      <c r="P587" s="117"/>
      <c r="Q587" s="200"/>
      <c r="R587" s="239"/>
      <c r="S587" s="239"/>
      <c r="T587" s="239"/>
      <c r="U587" s="216"/>
      <c r="V587" s="217"/>
      <c r="W587" s="233"/>
      <c r="X587" s="123"/>
      <c r="Y587" s="117"/>
      <c r="Z587" s="117"/>
    </row>
    <row r="588" spans="1:26">
      <c r="A588" s="117"/>
      <c r="B588" s="117"/>
      <c r="C588" s="117"/>
      <c r="D588" s="117"/>
      <c r="E588" s="117"/>
      <c r="F588" s="117"/>
      <c r="G588" s="116"/>
      <c r="H588" s="117"/>
      <c r="I588" s="117"/>
      <c r="J588" s="117"/>
      <c r="K588" s="117"/>
      <c r="L588" s="117"/>
      <c r="M588" s="213"/>
      <c r="N588" s="117"/>
      <c r="O588" s="117"/>
      <c r="P588" s="117"/>
      <c r="Q588" s="200"/>
      <c r="R588" s="239"/>
      <c r="S588" s="239"/>
      <c r="T588" s="239"/>
      <c r="U588" s="216"/>
      <c r="V588" s="217"/>
      <c r="W588" s="233"/>
      <c r="X588" s="123"/>
      <c r="Y588" s="117"/>
      <c r="Z588" s="117"/>
    </row>
    <row r="589" spans="1:26">
      <c r="A589" s="117"/>
      <c r="B589" s="117"/>
      <c r="C589" s="117"/>
      <c r="D589" s="117"/>
      <c r="E589" s="117"/>
      <c r="F589" s="117"/>
      <c r="G589" s="116"/>
      <c r="H589" s="117"/>
      <c r="I589" s="117"/>
      <c r="J589" s="117"/>
      <c r="K589" s="117"/>
      <c r="L589" s="117"/>
      <c r="M589" s="213"/>
      <c r="N589" s="117"/>
      <c r="O589" s="117"/>
      <c r="P589" s="117"/>
      <c r="Q589" s="200"/>
      <c r="R589" s="239"/>
      <c r="S589" s="239"/>
      <c r="T589" s="239"/>
      <c r="U589" s="216"/>
      <c r="V589" s="217"/>
      <c r="W589" s="233"/>
      <c r="X589" s="123"/>
      <c r="Y589" s="117"/>
      <c r="Z589" s="117"/>
    </row>
    <row r="590" spans="1:26">
      <c r="A590" s="117"/>
      <c r="B590" s="117"/>
      <c r="C590" s="117"/>
      <c r="D590" s="117"/>
      <c r="E590" s="117"/>
      <c r="F590" s="117"/>
      <c r="G590" s="116"/>
      <c r="H590" s="117"/>
      <c r="I590" s="117"/>
      <c r="J590" s="117"/>
      <c r="K590" s="117"/>
      <c r="L590" s="117"/>
      <c r="M590" s="213"/>
      <c r="N590" s="117"/>
      <c r="O590" s="117"/>
      <c r="P590" s="117"/>
      <c r="Q590" s="200"/>
      <c r="R590" s="239"/>
      <c r="S590" s="239"/>
      <c r="T590" s="239"/>
      <c r="U590" s="216"/>
      <c r="V590" s="217"/>
      <c r="W590" s="233"/>
      <c r="X590" s="123"/>
      <c r="Y590" s="117"/>
      <c r="Z590" s="117"/>
    </row>
    <row r="591" spans="1:26">
      <c r="A591" s="117"/>
      <c r="B591" s="117"/>
      <c r="C591" s="117"/>
      <c r="D591" s="117"/>
      <c r="E591" s="117"/>
      <c r="F591" s="117"/>
      <c r="G591" s="116"/>
      <c r="H591" s="117"/>
      <c r="I591" s="117"/>
      <c r="J591" s="117"/>
      <c r="K591" s="117"/>
      <c r="L591" s="117"/>
      <c r="M591" s="213"/>
      <c r="N591" s="117"/>
      <c r="O591" s="117"/>
      <c r="P591" s="117"/>
      <c r="Q591" s="200"/>
      <c r="R591" s="239"/>
      <c r="S591" s="239"/>
      <c r="T591" s="239"/>
      <c r="U591" s="216"/>
      <c r="V591" s="217"/>
      <c r="W591" s="233"/>
      <c r="X591" s="123"/>
      <c r="Y591" s="117"/>
      <c r="Z591" s="117"/>
    </row>
    <row r="592" spans="1:26">
      <c r="A592" s="117"/>
      <c r="B592" s="117"/>
      <c r="C592" s="117"/>
      <c r="D592" s="117"/>
      <c r="E592" s="117"/>
      <c r="F592" s="117"/>
      <c r="G592" s="116"/>
      <c r="H592" s="117"/>
      <c r="I592" s="117"/>
      <c r="J592" s="117"/>
      <c r="K592" s="117"/>
      <c r="L592" s="117"/>
      <c r="M592" s="213"/>
      <c r="N592" s="117"/>
      <c r="O592" s="117"/>
      <c r="P592" s="117"/>
      <c r="Q592" s="200"/>
      <c r="R592" s="239"/>
      <c r="S592" s="239"/>
      <c r="T592" s="239"/>
      <c r="U592" s="216"/>
      <c r="V592" s="217"/>
      <c r="W592" s="233"/>
      <c r="X592" s="123"/>
      <c r="Y592" s="117"/>
      <c r="Z592" s="117"/>
    </row>
    <row r="593" spans="1:26">
      <c r="A593" s="117"/>
      <c r="B593" s="117"/>
      <c r="C593" s="117"/>
      <c r="D593" s="117"/>
      <c r="E593" s="117"/>
      <c r="F593" s="117"/>
      <c r="G593" s="116"/>
      <c r="H593" s="117"/>
      <c r="I593" s="117"/>
      <c r="J593" s="117"/>
      <c r="K593" s="117"/>
      <c r="L593" s="117"/>
      <c r="M593" s="213"/>
      <c r="N593" s="117"/>
      <c r="O593" s="117"/>
      <c r="P593" s="117"/>
      <c r="Q593" s="200"/>
      <c r="R593" s="239"/>
      <c r="S593" s="239"/>
      <c r="T593" s="239"/>
      <c r="U593" s="216"/>
      <c r="V593" s="217"/>
      <c r="W593" s="233"/>
      <c r="X593" s="123"/>
      <c r="Y593" s="117"/>
      <c r="Z593" s="117"/>
    </row>
    <row r="594" spans="1:26">
      <c r="A594" s="117"/>
      <c r="B594" s="117"/>
      <c r="C594" s="117"/>
      <c r="D594" s="117"/>
      <c r="E594" s="117"/>
      <c r="F594" s="117"/>
      <c r="G594" s="116"/>
      <c r="H594" s="117"/>
      <c r="I594" s="117"/>
      <c r="J594" s="117"/>
      <c r="K594" s="117"/>
      <c r="L594" s="117"/>
      <c r="M594" s="213"/>
      <c r="N594" s="117"/>
      <c r="O594" s="117"/>
      <c r="P594" s="117"/>
      <c r="Q594" s="200"/>
      <c r="R594" s="239"/>
      <c r="S594" s="239"/>
      <c r="T594" s="239"/>
      <c r="U594" s="216"/>
      <c r="V594" s="217"/>
      <c r="W594" s="233"/>
      <c r="X594" s="123"/>
      <c r="Y594" s="117"/>
      <c r="Z594" s="117"/>
    </row>
    <row r="595" spans="1:26">
      <c r="A595" s="117"/>
      <c r="B595" s="117"/>
      <c r="C595" s="117"/>
      <c r="D595" s="117"/>
      <c r="E595" s="117"/>
      <c r="F595" s="117"/>
      <c r="G595" s="116"/>
      <c r="H595" s="117"/>
      <c r="I595" s="117"/>
      <c r="J595" s="117"/>
      <c r="K595" s="117"/>
      <c r="L595" s="117"/>
      <c r="M595" s="213"/>
      <c r="N595" s="117"/>
      <c r="O595" s="117"/>
      <c r="P595" s="117"/>
      <c r="Q595" s="200"/>
      <c r="R595" s="239"/>
      <c r="S595" s="239"/>
      <c r="T595" s="239"/>
      <c r="U595" s="216"/>
      <c r="V595" s="217"/>
      <c r="W595" s="233"/>
      <c r="X595" s="123"/>
      <c r="Y595" s="117"/>
      <c r="Z595" s="117"/>
    </row>
    <row r="596" spans="1:26">
      <c r="A596" s="117"/>
      <c r="B596" s="117"/>
      <c r="C596" s="117"/>
      <c r="D596" s="117"/>
      <c r="E596" s="117"/>
      <c r="F596" s="117"/>
      <c r="G596" s="116"/>
      <c r="H596" s="117"/>
      <c r="I596" s="117"/>
      <c r="J596" s="117"/>
      <c r="K596" s="117"/>
      <c r="L596" s="117"/>
      <c r="M596" s="213"/>
      <c r="N596" s="117"/>
      <c r="O596" s="117"/>
      <c r="P596" s="117"/>
      <c r="Q596" s="200"/>
      <c r="R596" s="239"/>
      <c r="S596" s="239"/>
      <c r="T596" s="239"/>
      <c r="U596" s="216"/>
      <c r="V596" s="217"/>
      <c r="W596" s="233"/>
      <c r="X596" s="123"/>
      <c r="Y596" s="117"/>
      <c r="Z596" s="117"/>
    </row>
    <row r="597" spans="1:26">
      <c r="A597" s="117"/>
      <c r="B597" s="117"/>
      <c r="C597" s="117"/>
      <c r="D597" s="117"/>
      <c r="E597" s="117"/>
      <c r="F597" s="117"/>
      <c r="G597" s="116"/>
      <c r="H597" s="117"/>
      <c r="I597" s="117"/>
      <c r="J597" s="117"/>
      <c r="K597" s="117"/>
      <c r="L597" s="117"/>
      <c r="M597" s="213"/>
      <c r="N597" s="117"/>
      <c r="O597" s="117"/>
      <c r="P597" s="117"/>
      <c r="Q597" s="200"/>
      <c r="R597" s="239"/>
      <c r="S597" s="239"/>
      <c r="T597" s="239"/>
      <c r="U597" s="216"/>
      <c r="V597" s="217"/>
      <c r="W597" s="233"/>
      <c r="X597" s="123"/>
      <c r="Y597" s="117"/>
      <c r="Z597" s="117"/>
    </row>
    <row r="598" spans="1:26">
      <c r="A598" s="117"/>
      <c r="B598" s="117"/>
      <c r="C598" s="117"/>
      <c r="D598" s="117"/>
      <c r="E598" s="117"/>
      <c r="F598" s="117"/>
      <c r="G598" s="116"/>
      <c r="H598" s="117"/>
      <c r="I598" s="117"/>
      <c r="J598" s="117"/>
      <c r="K598" s="117"/>
      <c r="L598" s="117"/>
      <c r="M598" s="213"/>
      <c r="N598" s="117"/>
      <c r="O598" s="117"/>
      <c r="P598" s="117"/>
      <c r="Q598" s="200"/>
      <c r="R598" s="239"/>
      <c r="S598" s="239"/>
      <c r="T598" s="239"/>
      <c r="U598" s="216"/>
      <c r="V598" s="217"/>
      <c r="W598" s="233"/>
      <c r="X598" s="123"/>
      <c r="Y598" s="117"/>
      <c r="Z598" s="117"/>
    </row>
    <row r="599" spans="1:26">
      <c r="A599" s="117"/>
      <c r="B599" s="117"/>
      <c r="C599" s="117"/>
      <c r="D599" s="117"/>
      <c r="E599" s="117"/>
      <c r="F599" s="117"/>
      <c r="G599" s="116"/>
      <c r="H599" s="117"/>
      <c r="I599" s="117"/>
      <c r="J599" s="117"/>
      <c r="K599" s="117"/>
      <c r="L599" s="117"/>
      <c r="M599" s="213"/>
      <c r="N599" s="117"/>
      <c r="O599" s="117"/>
      <c r="P599" s="117"/>
      <c r="Q599" s="200"/>
      <c r="R599" s="239"/>
      <c r="S599" s="239"/>
      <c r="T599" s="239"/>
      <c r="U599" s="216"/>
      <c r="V599" s="217"/>
      <c r="W599" s="233"/>
      <c r="X599" s="123"/>
      <c r="Y599" s="117"/>
      <c r="Z599" s="117"/>
    </row>
    <row r="600" spans="1:26">
      <c r="A600" s="117"/>
      <c r="B600" s="117"/>
      <c r="C600" s="117"/>
      <c r="D600" s="117"/>
      <c r="E600" s="117"/>
      <c r="F600" s="117"/>
      <c r="G600" s="116"/>
      <c r="H600" s="117"/>
      <c r="I600" s="117"/>
      <c r="J600" s="117"/>
      <c r="K600" s="117"/>
      <c r="L600" s="117"/>
      <c r="M600" s="213"/>
      <c r="N600" s="117"/>
      <c r="O600" s="117"/>
      <c r="P600" s="117"/>
      <c r="Q600" s="200"/>
      <c r="R600" s="239"/>
      <c r="S600" s="239"/>
      <c r="T600" s="239"/>
      <c r="U600" s="216"/>
      <c r="V600" s="217"/>
      <c r="W600" s="233"/>
      <c r="X600" s="123"/>
      <c r="Y600" s="117"/>
      <c r="Z600" s="117"/>
    </row>
    <row r="601" spans="1:26">
      <c r="A601" s="117"/>
      <c r="B601" s="117"/>
      <c r="C601" s="117"/>
      <c r="D601" s="117"/>
      <c r="E601" s="117"/>
      <c r="F601" s="117"/>
      <c r="G601" s="116"/>
      <c r="H601" s="117"/>
      <c r="I601" s="117"/>
      <c r="J601" s="117"/>
      <c r="K601" s="117"/>
      <c r="L601" s="117"/>
      <c r="M601" s="213"/>
      <c r="N601" s="117"/>
      <c r="O601" s="117"/>
      <c r="P601" s="117"/>
      <c r="Q601" s="200"/>
      <c r="R601" s="239"/>
      <c r="S601" s="239"/>
      <c r="T601" s="239"/>
      <c r="U601" s="216"/>
      <c r="V601" s="217"/>
      <c r="W601" s="233"/>
      <c r="X601" s="123"/>
      <c r="Y601" s="117"/>
      <c r="Z601" s="117"/>
    </row>
    <row r="602" spans="1:26">
      <c r="A602" s="117"/>
      <c r="B602" s="117"/>
      <c r="C602" s="117"/>
      <c r="D602" s="117"/>
      <c r="E602" s="117"/>
      <c r="F602" s="117"/>
      <c r="G602" s="116"/>
      <c r="H602" s="117"/>
      <c r="I602" s="117"/>
      <c r="J602" s="117"/>
      <c r="K602" s="117"/>
      <c r="L602" s="117"/>
      <c r="M602" s="213"/>
      <c r="N602" s="117"/>
      <c r="O602" s="117"/>
      <c r="P602" s="117"/>
      <c r="Q602" s="200"/>
      <c r="R602" s="239"/>
      <c r="S602" s="239"/>
      <c r="T602" s="239"/>
      <c r="U602" s="216"/>
      <c r="V602" s="217"/>
      <c r="W602" s="233"/>
      <c r="X602" s="123"/>
      <c r="Y602" s="117"/>
      <c r="Z602" s="117"/>
    </row>
    <row r="603" spans="1:26">
      <c r="A603" s="117"/>
      <c r="B603" s="117"/>
      <c r="C603" s="117"/>
      <c r="D603" s="117"/>
      <c r="E603" s="117"/>
      <c r="F603" s="117"/>
      <c r="G603" s="116"/>
      <c r="H603" s="117"/>
      <c r="I603" s="117"/>
      <c r="J603" s="117"/>
      <c r="K603" s="117"/>
      <c r="L603" s="117"/>
      <c r="M603" s="213"/>
      <c r="N603" s="117"/>
      <c r="O603" s="117"/>
      <c r="P603" s="117"/>
      <c r="Q603" s="200"/>
      <c r="R603" s="239"/>
      <c r="S603" s="239"/>
      <c r="T603" s="239"/>
      <c r="U603" s="216"/>
      <c r="V603" s="217"/>
      <c r="W603" s="233"/>
      <c r="X603" s="123"/>
      <c r="Y603" s="117"/>
      <c r="Z603" s="117"/>
    </row>
    <row r="604" spans="1:26">
      <c r="A604" s="117"/>
      <c r="B604" s="117"/>
      <c r="C604" s="117"/>
      <c r="D604" s="117"/>
      <c r="E604" s="117"/>
      <c r="F604" s="117"/>
      <c r="G604" s="116"/>
      <c r="H604" s="117"/>
      <c r="I604" s="117"/>
      <c r="J604" s="117"/>
      <c r="K604" s="117"/>
      <c r="L604" s="117"/>
      <c r="M604" s="213"/>
      <c r="N604" s="117"/>
      <c r="O604" s="117"/>
      <c r="P604" s="117"/>
      <c r="Q604" s="200"/>
      <c r="R604" s="239"/>
      <c r="S604" s="239"/>
      <c r="T604" s="239"/>
      <c r="U604" s="216"/>
      <c r="V604" s="217"/>
      <c r="W604" s="233"/>
      <c r="X604" s="123"/>
      <c r="Y604" s="117"/>
      <c r="Z604" s="117"/>
    </row>
    <row r="605" spans="1:26">
      <c r="A605" s="117"/>
      <c r="B605" s="117"/>
      <c r="C605" s="117"/>
      <c r="D605" s="117"/>
      <c r="E605" s="117"/>
      <c r="F605" s="117"/>
      <c r="G605" s="116"/>
      <c r="H605" s="117"/>
      <c r="I605" s="117"/>
      <c r="J605" s="117"/>
      <c r="K605" s="117"/>
      <c r="L605" s="117"/>
      <c r="M605" s="213"/>
      <c r="N605" s="117"/>
      <c r="O605" s="117"/>
      <c r="P605" s="117"/>
      <c r="Q605" s="200"/>
      <c r="R605" s="239"/>
      <c r="S605" s="239"/>
      <c r="T605" s="239"/>
      <c r="U605" s="216"/>
      <c r="V605" s="217"/>
      <c r="W605" s="233"/>
      <c r="X605" s="123"/>
      <c r="Y605" s="117"/>
      <c r="Z605" s="117"/>
    </row>
    <row r="606" spans="1:26">
      <c r="A606" s="117"/>
      <c r="B606" s="117"/>
      <c r="C606" s="117"/>
      <c r="D606" s="117"/>
      <c r="E606" s="117"/>
      <c r="F606" s="117"/>
      <c r="G606" s="116"/>
      <c r="H606" s="117"/>
      <c r="I606" s="117"/>
      <c r="J606" s="117"/>
      <c r="K606" s="117"/>
      <c r="L606" s="117"/>
      <c r="M606" s="213"/>
      <c r="N606" s="117"/>
      <c r="O606" s="117"/>
      <c r="P606" s="117"/>
      <c r="Q606" s="200"/>
      <c r="R606" s="239"/>
      <c r="S606" s="239"/>
      <c r="T606" s="239"/>
      <c r="U606" s="216"/>
      <c r="V606" s="217"/>
      <c r="W606" s="233"/>
      <c r="X606" s="123"/>
      <c r="Y606" s="117"/>
      <c r="Z606" s="117"/>
    </row>
    <row r="607" spans="1:26">
      <c r="A607" s="117"/>
      <c r="B607" s="117"/>
      <c r="C607" s="117"/>
      <c r="D607" s="117"/>
      <c r="E607" s="117"/>
      <c r="F607" s="117"/>
      <c r="G607" s="116"/>
      <c r="H607" s="117"/>
      <c r="I607" s="117"/>
      <c r="J607" s="117"/>
      <c r="K607" s="117"/>
      <c r="L607" s="117"/>
      <c r="M607" s="213"/>
      <c r="N607" s="117"/>
      <c r="O607" s="117"/>
      <c r="P607" s="117"/>
      <c r="Q607" s="200"/>
      <c r="R607" s="239"/>
      <c r="S607" s="239"/>
      <c r="T607" s="239"/>
      <c r="U607" s="216"/>
      <c r="V607" s="217"/>
      <c r="W607" s="233"/>
      <c r="X607" s="123"/>
      <c r="Y607" s="117"/>
      <c r="Z607" s="117"/>
    </row>
    <row r="608" spans="1:26">
      <c r="A608" s="117"/>
      <c r="B608" s="117"/>
      <c r="C608" s="117"/>
      <c r="D608" s="117"/>
      <c r="E608" s="117"/>
      <c r="F608" s="117"/>
      <c r="G608" s="116"/>
      <c r="H608" s="117"/>
      <c r="I608" s="117"/>
      <c r="J608" s="117"/>
      <c r="K608" s="117"/>
      <c r="L608" s="117"/>
      <c r="M608" s="213"/>
      <c r="N608" s="117"/>
      <c r="O608" s="117"/>
      <c r="P608" s="117"/>
      <c r="Q608" s="200"/>
      <c r="R608" s="239"/>
      <c r="S608" s="239"/>
      <c r="T608" s="239"/>
      <c r="U608" s="216"/>
      <c r="V608" s="217"/>
      <c r="W608" s="233"/>
      <c r="X608" s="123"/>
      <c r="Y608" s="117"/>
      <c r="Z608" s="117"/>
    </row>
    <row r="609" spans="1:26">
      <c r="A609" s="117"/>
      <c r="B609" s="117"/>
      <c r="C609" s="117"/>
      <c r="D609" s="117"/>
      <c r="E609" s="117"/>
      <c r="F609" s="117"/>
      <c r="G609" s="116"/>
      <c r="H609" s="117"/>
      <c r="I609" s="117"/>
      <c r="J609" s="117"/>
      <c r="K609" s="117"/>
      <c r="L609" s="117"/>
      <c r="M609" s="213"/>
      <c r="N609" s="117"/>
      <c r="O609" s="117"/>
      <c r="P609" s="117"/>
      <c r="Q609" s="200"/>
      <c r="R609" s="239"/>
      <c r="S609" s="239"/>
      <c r="T609" s="239"/>
      <c r="U609" s="216"/>
      <c r="V609" s="217"/>
      <c r="W609" s="233"/>
      <c r="X609" s="123"/>
      <c r="Y609" s="117"/>
      <c r="Z609" s="117"/>
    </row>
    <row r="610" spans="1:26">
      <c r="A610" s="117"/>
      <c r="B610" s="117"/>
      <c r="C610" s="117"/>
      <c r="D610" s="117"/>
      <c r="E610" s="117"/>
      <c r="F610" s="117"/>
      <c r="G610" s="116"/>
      <c r="H610" s="117"/>
      <c r="I610" s="117"/>
      <c r="J610" s="117"/>
      <c r="K610" s="117"/>
      <c r="L610" s="117"/>
      <c r="M610" s="213"/>
      <c r="N610" s="117"/>
      <c r="O610" s="117"/>
      <c r="P610" s="117"/>
      <c r="Q610" s="200"/>
      <c r="R610" s="239"/>
      <c r="S610" s="239"/>
      <c r="T610" s="239"/>
      <c r="U610" s="216"/>
      <c r="V610" s="217"/>
      <c r="W610" s="233"/>
      <c r="X610" s="123"/>
      <c r="Y610" s="117"/>
      <c r="Z610" s="117"/>
    </row>
    <row r="611" spans="1:26">
      <c r="A611" s="117"/>
      <c r="B611" s="117"/>
      <c r="C611" s="117"/>
      <c r="D611" s="117"/>
      <c r="E611" s="117"/>
      <c r="F611" s="117"/>
      <c r="G611" s="116"/>
      <c r="H611" s="117"/>
      <c r="I611" s="117"/>
      <c r="J611" s="117"/>
      <c r="K611" s="117"/>
      <c r="L611" s="117"/>
      <c r="M611" s="213"/>
      <c r="N611" s="117"/>
      <c r="O611" s="117"/>
      <c r="P611" s="117"/>
      <c r="Q611" s="200"/>
      <c r="R611" s="239"/>
      <c r="S611" s="239"/>
      <c r="T611" s="239"/>
      <c r="U611" s="216"/>
      <c r="V611" s="217"/>
      <c r="W611" s="233"/>
      <c r="X611" s="123"/>
      <c r="Y611" s="117"/>
      <c r="Z611" s="117"/>
    </row>
    <row r="612" spans="1:26">
      <c r="A612" s="117"/>
      <c r="B612" s="117"/>
      <c r="C612" s="117"/>
      <c r="D612" s="117"/>
      <c r="E612" s="117"/>
      <c r="F612" s="117"/>
      <c r="G612" s="116"/>
      <c r="H612" s="117"/>
      <c r="I612" s="117"/>
      <c r="J612" s="117"/>
      <c r="K612" s="117"/>
      <c r="L612" s="117"/>
      <c r="M612" s="213"/>
      <c r="N612" s="117"/>
      <c r="O612" s="117"/>
      <c r="P612" s="117"/>
      <c r="Q612" s="200"/>
      <c r="R612" s="239"/>
      <c r="S612" s="239"/>
      <c r="T612" s="239"/>
      <c r="U612" s="216"/>
      <c r="V612" s="217"/>
      <c r="W612" s="233"/>
      <c r="X612" s="123"/>
      <c r="Y612" s="117"/>
      <c r="Z612" s="117"/>
    </row>
    <row r="613" spans="1:26">
      <c r="A613" s="117"/>
      <c r="B613" s="117"/>
      <c r="C613" s="117"/>
      <c r="D613" s="117"/>
      <c r="E613" s="117"/>
      <c r="F613" s="117"/>
      <c r="G613" s="116"/>
      <c r="H613" s="117"/>
      <c r="I613" s="117"/>
      <c r="J613" s="117"/>
      <c r="K613" s="117"/>
      <c r="L613" s="117"/>
      <c r="M613" s="213"/>
      <c r="N613" s="117"/>
      <c r="O613" s="117"/>
      <c r="P613" s="117"/>
      <c r="Q613" s="200"/>
      <c r="R613" s="239"/>
      <c r="S613" s="239"/>
      <c r="T613" s="239"/>
      <c r="U613" s="216"/>
      <c r="V613" s="217"/>
      <c r="W613" s="233"/>
      <c r="X613" s="123"/>
      <c r="Y613" s="117"/>
      <c r="Z613" s="117"/>
    </row>
    <row r="614" spans="1:26">
      <c r="A614" s="117"/>
      <c r="B614" s="117"/>
      <c r="C614" s="117"/>
      <c r="D614" s="117"/>
      <c r="E614" s="117"/>
      <c r="F614" s="117"/>
      <c r="G614" s="116"/>
      <c r="H614" s="117"/>
      <c r="I614" s="117"/>
      <c r="J614" s="117"/>
      <c r="K614" s="117"/>
      <c r="L614" s="117"/>
      <c r="M614" s="213"/>
      <c r="N614" s="117"/>
      <c r="O614" s="117"/>
      <c r="P614" s="117"/>
      <c r="Q614" s="200"/>
      <c r="R614" s="239"/>
      <c r="S614" s="239"/>
      <c r="T614" s="239"/>
      <c r="U614" s="216"/>
      <c r="V614" s="217"/>
      <c r="W614" s="233"/>
      <c r="X614" s="123"/>
      <c r="Y614" s="117"/>
      <c r="Z614" s="117"/>
    </row>
    <row r="615" spans="1:26">
      <c r="A615" s="117"/>
      <c r="B615" s="117"/>
      <c r="C615" s="117"/>
      <c r="D615" s="117"/>
      <c r="E615" s="117"/>
      <c r="F615" s="117"/>
      <c r="G615" s="116"/>
      <c r="H615" s="117"/>
      <c r="I615" s="117"/>
      <c r="J615" s="117"/>
      <c r="K615" s="117"/>
      <c r="L615" s="117"/>
      <c r="M615" s="213"/>
      <c r="N615" s="117"/>
      <c r="O615" s="117"/>
      <c r="P615" s="117"/>
      <c r="Q615" s="200"/>
      <c r="R615" s="239"/>
      <c r="S615" s="239"/>
      <c r="T615" s="239"/>
      <c r="U615" s="216"/>
      <c r="V615" s="217"/>
      <c r="W615" s="233"/>
      <c r="X615" s="123"/>
      <c r="Y615" s="117"/>
      <c r="Z615" s="117"/>
    </row>
    <row r="616" spans="1:26">
      <c r="A616" s="117"/>
      <c r="B616" s="117"/>
      <c r="C616" s="117"/>
      <c r="D616" s="117"/>
      <c r="E616" s="117"/>
      <c r="F616" s="117"/>
      <c r="G616" s="116"/>
      <c r="H616" s="117"/>
      <c r="I616" s="117"/>
      <c r="J616" s="117"/>
      <c r="K616" s="117"/>
      <c r="L616" s="117"/>
      <c r="M616" s="213"/>
      <c r="N616" s="117"/>
      <c r="O616" s="117"/>
      <c r="P616" s="117"/>
      <c r="Q616" s="200"/>
      <c r="R616" s="239"/>
      <c r="S616" s="239"/>
      <c r="T616" s="239"/>
      <c r="U616" s="216"/>
      <c r="V616" s="217"/>
      <c r="W616" s="233"/>
      <c r="X616" s="123"/>
      <c r="Y616" s="117"/>
      <c r="Z616" s="117"/>
    </row>
    <row r="617" spans="1:26">
      <c r="A617" s="117"/>
      <c r="B617" s="117"/>
      <c r="C617" s="117"/>
      <c r="D617" s="117"/>
      <c r="E617" s="117"/>
      <c r="F617" s="117"/>
      <c r="G617" s="116"/>
      <c r="H617" s="117"/>
      <c r="I617" s="117"/>
      <c r="J617" s="117"/>
      <c r="K617" s="117"/>
      <c r="L617" s="117"/>
      <c r="M617" s="213"/>
      <c r="N617" s="117"/>
      <c r="O617" s="117"/>
      <c r="P617" s="117"/>
      <c r="Q617" s="200"/>
      <c r="R617" s="239"/>
      <c r="S617" s="239"/>
      <c r="T617" s="239"/>
      <c r="U617" s="216"/>
      <c r="V617" s="217"/>
      <c r="W617" s="233"/>
      <c r="X617" s="123"/>
      <c r="Y617" s="117"/>
      <c r="Z617" s="117"/>
    </row>
    <row r="618" spans="1:26">
      <c r="A618" s="117"/>
      <c r="B618" s="117"/>
      <c r="C618" s="117"/>
      <c r="D618" s="117"/>
      <c r="E618" s="117"/>
      <c r="F618" s="117"/>
      <c r="G618" s="116"/>
      <c r="H618" s="117"/>
      <c r="I618" s="117"/>
      <c r="J618" s="117"/>
      <c r="K618" s="117"/>
      <c r="L618" s="117"/>
      <c r="M618" s="213"/>
      <c r="N618" s="117"/>
      <c r="O618" s="117"/>
      <c r="P618" s="117"/>
      <c r="Q618" s="200"/>
      <c r="R618" s="239"/>
      <c r="S618" s="239"/>
      <c r="T618" s="239"/>
      <c r="U618" s="216"/>
      <c r="V618" s="217"/>
      <c r="W618" s="233"/>
      <c r="X618" s="123"/>
      <c r="Y618" s="117"/>
      <c r="Z618" s="117"/>
    </row>
    <row r="619" spans="1:26">
      <c r="A619" s="117"/>
      <c r="B619" s="117"/>
      <c r="C619" s="117"/>
      <c r="D619" s="117"/>
      <c r="E619" s="117"/>
      <c r="F619" s="117"/>
      <c r="G619" s="116"/>
      <c r="H619" s="117"/>
      <c r="I619" s="117"/>
      <c r="J619" s="117"/>
      <c r="K619" s="117"/>
      <c r="L619" s="117"/>
      <c r="M619" s="213"/>
      <c r="N619" s="117"/>
      <c r="O619" s="117"/>
      <c r="P619" s="117"/>
      <c r="Q619" s="200"/>
      <c r="R619" s="239"/>
      <c r="S619" s="239"/>
      <c r="T619" s="239"/>
      <c r="U619" s="216"/>
      <c r="V619" s="217"/>
      <c r="W619" s="233"/>
      <c r="X619" s="123"/>
      <c r="Y619" s="117"/>
      <c r="Z619" s="117"/>
    </row>
    <row r="620" spans="1:26">
      <c r="A620" s="117"/>
      <c r="B620" s="117"/>
      <c r="C620" s="117"/>
      <c r="D620" s="117"/>
      <c r="E620" s="117"/>
      <c r="F620" s="117"/>
      <c r="G620" s="116"/>
      <c r="H620" s="117"/>
      <c r="I620" s="117"/>
      <c r="J620" s="117"/>
      <c r="K620" s="117"/>
      <c r="L620" s="117"/>
      <c r="M620" s="213"/>
      <c r="N620" s="117"/>
      <c r="O620" s="117"/>
      <c r="P620" s="117"/>
      <c r="Q620" s="200"/>
      <c r="R620" s="239"/>
      <c r="S620" s="239"/>
      <c r="T620" s="239"/>
      <c r="U620" s="216"/>
      <c r="V620" s="217"/>
      <c r="W620" s="233"/>
      <c r="X620" s="123"/>
      <c r="Y620" s="117"/>
      <c r="Z620" s="117"/>
    </row>
    <row r="621" spans="1:26">
      <c r="A621" s="117"/>
      <c r="B621" s="117"/>
      <c r="C621" s="117"/>
      <c r="D621" s="117"/>
      <c r="E621" s="117"/>
      <c r="F621" s="117"/>
      <c r="G621" s="116"/>
      <c r="H621" s="117"/>
      <c r="I621" s="117"/>
      <c r="J621" s="117"/>
      <c r="K621" s="117"/>
      <c r="L621" s="117"/>
      <c r="M621" s="213"/>
      <c r="N621" s="117"/>
      <c r="O621" s="117"/>
      <c r="P621" s="117"/>
      <c r="Q621" s="200"/>
      <c r="R621" s="239"/>
      <c r="S621" s="239"/>
      <c r="T621" s="239"/>
      <c r="U621" s="216"/>
      <c r="V621" s="217"/>
      <c r="W621" s="233"/>
      <c r="X621" s="123"/>
      <c r="Y621" s="117"/>
      <c r="Z621" s="117"/>
    </row>
    <row r="622" spans="1:26">
      <c r="A622" s="117"/>
      <c r="B622" s="117"/>
      <c r="C622" s="117"/>
      <c r="D622" s="117"/>
      <c r="E622" s="117"/>
      <c r="F622" s="117"/>
      <c r="G622" s="116"/>
      <c r="H622" s="117"/>
      <c r="I622" s="117"/>
      <c r="J622" s="117"/>
      <c r="K622" s="117"/>
      <c r="L622" s="117"/>
      <c r="M622" s="213"/>
      <c r="N622" s="117"/>
      <c r="O622" s="117"/>
      <c r="P622" s="117"/>
      <c r="Q622" s="200"/>
      <c r="R622" s="239"/>
      <c r="S622" s="239"/>
      <c r="T622" s="239"/>
      <c r="U622" s="216"/>
      <c r="V622" s="217"/>
      <c r="W622" s="233"/>
      <c r="X622" s="123"/>
      <c r="Y622" s="117"/>
      <c r="Z622" s="117"/>
    </row>
    <row r="623" spans="1:26">
      <c r="A623" s="117"/>
      <c r="B623" s="117"/>
      <c r="C623" s="117"/>
      <c r="D623" s="117"/>
      <c r="E623" s="117"/>
      <c r="F623" s="117"/>
      <c r="G623" s="116"/>
      <c r="H623" s="117"/>
      <c r="I623" s="117"/>
      <c r="J623" s="117"/>
      <c r="K623" s="117"/>
      <c r="L623" s="117"/>
      <c r="M623" s="213"/>
      <c r="N623" s="117"/>
      <c r="O623" s="117"/>
      <c r="P623" s="117"/>
      <c r="Q623" s="200"/>
      <c r="R623" s="239"/>
      <c r="S623" s="239"/>
      <c r="T623" s="239"/>
      <c r="U623" s="216"/>
      <c r="V623" s="217"/>
      <c r="W623" s="233"/>
      <c r="X623" s="123"/>
      <c r="Y623" s="117"/>
      <c r="Z623" s="117"/>
    </row>
    <row r="624" spans="1:26">
      <c r="A624" s="117"/>
      <c r="B624" s="117"/>
      <c r="C624" s="117"/>
      <c r="D624" s="117"/>
      <c r="E624" s="117"/>
      <c r="F624" s="117"/>
      <c r="G624" s="116"/>
      <c r="H624" s="117"/>
      <c r="I624" s="117"/>
      <c r="J624" s="117"/>
      <c r="K624" s="117"/>
      <c r="L624" s="117"/>
      <c r="M624" s="213"/>
      <c r="N624" s="117"/>
      <c r="O624" s="117"/>
      <c r="P624" s="117"/>
      <c r="Q624" s="200"/>
      <c r="R624" s="239"/>
      <c r="S624" s="239"/>
      <c r="T624" s="239"/>
      <c r="U624" s="216"/>
      <c r="V624" s="217"/>
      <c r="W624" s="233"/>
      <c r="X624" s="123"/>
      <c r="Y624" s="117"/>
      <c r="Z624" s="117"/>
    </row>
    <row r="625" spans="1:26">
      <c r="A625" s="117"/>
      <c r="B625" s="117"/>
      <c r="C625" s="117"/>
      <c r="D625" s="117"/>
      <c r="E625" s="117"/>
      <c r="F625" s="117"/>
      <c r="G625" s="116"/>
      <c r="H625" s="117"/>
      <c r="I625" s="117"/>
      <c r="J625" s="117"/>
      <c r="K625" s="117"/>
      <c r="L625" s="117"/>
      <c r="M625" s="213"/>
      <c r="N625" s="117"/>
      <c r="O625" s="117"/>
      <c r="P625" s="117"/>
      <c r="Q625" s="200"/>
      <c r="R625" s="239"/>
      <c r="S625" s="239"/>
      <c r="T625" s="239"/>
      <c r="U625" s="216"/>
      <c r="V625" s="217"/>
      <c r="W625" s="233"/>
      <c r="X625" s="123"/>
      <c r="Y625" s="117"/>
      <c r="Z625" s="117"/>
    </row>
    <row r="626" spans="1:26">
      <c r="A626" s="117"/>
      <c r="B626" s="117"/>
      <c r="C626" s="117"/>
      <c r="D626" s="117"/>
      <c r="E626" s="117"/>
      <c r="F626" s="117"/>
      <c r="G626" s="116"/>
      <c r="H626" s="117"/>
      <c r="I626" s="117"/>
      <c r="J626" s="117"/>
      <c r="K626" s="117"/>
      <c r="L626" s="117"/>
      <c r="M626" s="213"/>
      <c r="N626" s="117"/>
      <c r="O626" s="117"/>
      <c r="P626" s="117"/>
      <c r="Q626" s="200"/>
      <c r="R626" s="239"/>
      <c r="S626" s="239"/>
      <c r="T626" s="239"/>
      <c r="U626" s="216"/>
      <c r="V626" s="217"/>
      <c r="W626" s="233"/>
      <c r="X626" s="123"/>
      <c r="Y626" s="117"/>
      <c r="Z626" s="117"/>
    </row>
    <row r="627" spans="1:26">
      <c r="A627" s="117"/>
      <c r="B627" s="117"/>
      <c r="C627" s="117"/>
      <c r="D627" s="117"/>
      <c r="E627" s="117"/>
      <c r="F627" s="117"/>
      <c r="G627" s="116"/>
      <c r="H627" s="117"/>
      <c r="I627" s="117"/>
      <c r="J627" s="117"/>
      <c r="K627" s="117"/>
      <c r="L627" s="117"/>
      <c r="M627" s="213"/>
      <c r="N627" s="117"/>
      <c r="O627" s="117"/>
      <c r="P627" s="117"/>
      <c r="Q627" s="200"/>
      <c r="R627" s="239"/>
      <c r="S627" s="239"/>
      <c r="T627" s="239"/>
      <c r="U627" s="216"/>
      <c r="V627" s="217"/>
      <c r="W627" s="233"/>
      <c r="X627" s="123"/>
      <c r="Y627" s="117"/>
      <c r="Z627" s="117"/>
    </row>
    <row r="628" spans="1:26">
      <c r="A628" s="117"/>
      <c r="B628" s="117"/>
      <c r="C628" s="117"/>
      <c r="D628" s="117"/>
      <c r="E628" s="117"/>
      <c r="F628" s="117"/>
      <c r="G628" s="116"/>
      <c r="H628" s="117"/>
      <c r="I628" s="117"/>
      <c r="J628" s="117"/>
      <c r="K628" s="117"/>
      <c r="L628" s="117"/>
      <c r="M628" s="213"/>
      <c r="N628" s="117"/>
      <c r="O628" s="117"/>
      <c r="P628" s="117"/>
      <c r="Q628" s="200"/>
      <c r="R628" s="239"/>
      <c r="S628" s="239"/>
      <c r="T628" s="239"/>
      <c r="U628" s="216"/>
      <c r="V628" s="217"/>
      <c r="W628" s="233"/>
      <c r="X628" s="123"/>
      <c r="Y628" s="117"/>
      <c r="Z628" s="117"/>
    </row>
    <row r="629" spans="1:26">
      <c r="A629" s="117"/>
      <c r="B629" s="117"/>
      <c r="C629" s="117"/>
      <c r="D629" s="117"/>
      <c r="E629" s="117"/>
      <c r="F629" s="117"/>
      <c r="G629" s="116"/>
      <c r="H629" s="117"/>
      <c r="I629" s="117"/>
      <c r="J629" s="117"/>
      <c r="K629" s="117"/>
      <c r="L629" s="117"/>
      <c r="M629" s="213"/>
      <c r="N629" s="117"/>
      <c r="O629" s="117"/>
      <c r="P629" s="117"/>
      <c r="Q629" s="200"/>
      <c r="R629" s="239"/>
      <c r="S629" s="239"/>
      <c r="T629" s="239"/>
      <c r="U629" s="216"/>
      <c r="V629" s="217"/>
      <c r="W629" s="233"/>
      <c r="X629" s="123"/>
      <c r="Y629" s="117"/>
      <c r="Z629" s="117"/>
    </row>
    <row r="630" spans="1:26">
      <c r="A630" s="117"/>
      <c r="B630" s="117"/>
      <c r="C630" s="117"/>
      <c r="D630" s="117"/>
      <c r="E630" s="117"/>
      <c r="F630" s="117"/>
      <c r="G630" s="116"/>
      <c r="H630" s="117"/>
      <c r="I630" s="117"/>
      <c r="J630" s="117"/>
      <c r="K630" s="117"/>
      <c r="L630" s="117"/>
      <c r="M630" s="213"/>
      <c r="N630" s="117"/>
      <c r="O630" s="117"/>
      <c r="P630" s="117"/>
      <c r="Q630" s="200"/>
      <c r="R630" s="239"/>
      <c r="S630" s="239"/>
      <c r="T630" s="239"/>
      <c r="U630" s="216"/>
      <c r="V630" s="217"/>
      <c r="W630" s="233"/>
      <c r="X630" s="123"/>
      <c r="Y630" s="117"/>
      <c r="Z630" s="117"/>
    </row>
    <row r="631" spans="1:26">
      <c r="A631" s="117"/>
      <c r="B631" s="117"/>
      <c r="C631" s="117"/>
      <c r="D631" s="117"/>
      <c r="E631" s="117"/>
      <c r="F631" s="117"/>
      <c r="G631" s="116"/>
      <c r="H631" s="117"/>
      <c r="I631" s="117"/>
      <c r="J631" s="117"/>
      <c r="K631" s="117"/>
      <c r="L631" s="117"/>
      <c r="M631" s="213"/>
      <c r="N631" s="117"/>
      <c r="O631" s="117"/>
      <c r="P631" s="117"/>
      <c r="Q631" s="200"/>
      <c r="R631" s="239"/>
      <c r="S631" s="239"/>
      <c r="T631" s="239"/>
      <c r="U631" s="216"/>
      <c r="V631" s="217"/>
      <c r="W631" s="233"/>
      <c r="X631" s="123"/>
      <c r="Y631" s="117"/>
      <c r="Z631" s="117"/>
    </row>
    <row r="632" spans="1:26">
      <c r="A632" s="117"/>
      <c r="B632" s="117"/>
      <c r="C632" s="117"/>
      <c r="D632" s="117"/>
      <c r="E632" s="117"/>
      <c r="F632" s="117"/>
      <c r="G632" s="116"/>
      <c r="H632" s="117"/>
      <c r="I632" s="117"/>
      <c r="J632" s="117"/>
      <c r="K632" s="117"/>
      <c r="L632" s="117"/>
      <c r="M632" s="213"/>
      <c r="N632" s="117"/>
      <c r="O632" s="117"/>
      <c r="P632" s="117"/>
      <c r="Q632" s="200"/>
      <c r="R632" s="239"/>
      <c r="S632" s="239"/>
      <c r="T632" s="239"/>
      <c r="U632" s="216"/>
      <c r="V632" s="217"/>
      <c r="W632" s="233"/>
      <c r="X632" s="123"/>
      <c r="Y632" s="117"/>
      <c r="Z632" s="117"/>
    </row>
    <row r="633" spans="1:26">
      <c r="A633" s="117"/>
      <c r="B633" s="117"/>
      <c r="C633" s="117"/>
      <c r="D633" s="117"/>
      <c r="E633" s="117"/>
      <c r="F633" s="117"/>
      <c r="G633" s="116"/>
      <c r="H633" s="117"/>
      <c r="I633" s="117"/>
      <c r="J633" s="117"/>
      <c r="K633" s="117"/>
      <c r="L633" s="117"/>
      <c r="M633" s="213"/>
      <c r="N633" s="117"/>
      <c r="O633" s="117"/>
      <c r="P633" s="117"/>
      <c r="Q633" s="200"/>
      <c r="R633" s="239"/>
      <c r="S633" s="239"/>
      <c r="T633" s="239"/>
      <c r="U633" s="216"/>
      <c r="V633" s="217"/>
      <c r="W633" s="233"/>
      <c r="X633" s="123"/>
      <c r="Y633" s="117"/>
      <c r="Z633" s="117"/>
    </row>
    <row r="634" spans="1:26">
      <c r="A634" s="117"/>
      <c r="B634" s="117"/>
      <c r="C634" s="117"/>
      <c r="D634" s="117"/>
      <c r="E634" s="117"/>
      <c r="F634" s="117"/>
      <c r="G634" s="116"/>
      <c r="H634" s="117"/>
      <c r="I634" s="117"/>
      <c r="J634" s="117"/>
      <c r="K634" s="117"/>
      <c r="L634" s="117"/>
      <c r="M634" s="213"/>
      <c r="N634" s="117"/>
      <c r="O634" s="117"/>
      <c r="P634" s="117"/>
      <c r="Q634" s="200"/>
      <c r="R634" s="239"/>
      <c r="S634" s="239"/>
      <c r="T634" s="239"/>
      <c r="U634" s="216"/>
      <c r="V634" s="217"/>
      <c r="W634" s="233"/>
      <c r="X634" s="123"/>
      <c r="Y634" s="117"/>
      <c r="Z634" s="117"/>
    </row>
    <row r="635" spans="1:26">
      <c r="A635" s="117"/>
      <c r="B635" s="117"/>
      <c r="C635" s="117"/>
      <c r="D635" s="117"/>
      <c r="E635" s="117"/>
      <c r="F635" s="117"/>
      <c r="G635" s="116"/>
      <c r="H635" s="117"/>
      <c r="I635" s="117"/>
      <c r="J635" s="117"/>
      <c r="K635" s="117"/>
      <c r="L635" s="117"/>
      <c r="M635" s="213"/>
      <c r="N635" s="117"/>
      <c r="O635" s="117"/>
      <c r="P635" s="117"/>
      <c r="Q635" s="200"/>
      <c r="R635" s="239"/>
      <c r="S635" s="239"/>
      <c r="T635" s="239"/>
      <c r="U635" s="216"/>
      <c r="V635" s="217"/>
      <c r="W635" s="233"/>
      <c r="X635" s="123"/>
      <c r="Y635" s="117"/>
      <c r="Z635" s="117"/>
    </row>
    <row r="636" spans="1:26">
      <c r="A636" s="117"/>
      <c r="B636" s="117"/>
      <c r="C636" s="117"/>
      <c r="D636" s="117"/>
      <c r="E636" s="117"/>
      <c r="F636" s="117"/>
      <c r="G636" s="116"/>
      <c r="H636" s="117"/>
      <c r="I636" s="117"/>
      <c r="J636" s="117"/>
      <c r="K636" s="117"/>
      <c r="L636" s="117"/>
      <c r="M636" s="213"/>
      <c r="N636" s="117"/>
      <c r="O636" s="117"/>
      <c r="P636" s="117"/>
      <c r="Q636" s="200"/>
      <c r="R636" s="239"/>
      <c r="S636" s="239"/>
      <c r="T636" s="239"/>
      <c r="U636" s="216"/>
      <c r="V636" s="217"/>
      <c r="W636" s="233"/>
      <c r="X636" s="123"/>
      <c r="Y636" s="117"/>
      <c r="Z636" s="117"/>
    </row>
    <row r="637" spans="1:26">
      <c r="A637" s="117"/>
      <c r="B637" s="117"/>
      <c r="C637" s="117"/>
      <c r="D637" s="117"/>
      <c r="E637" s="117"/>
      <c r="F637" s="117"/>
      <c r="G637" s="116"/>
      <c r="H637" s="117"/>
      <c r="I637" s="117"/>
      <c r="J637" s="117"/>
      <c r="K637" s="117"/>
      <c r="L637" s="117"/>
      <c r="M637" s="213"/>
      <c r="N637" s="117"/>
      <c r="O637" s="117"/>
      <c r="P637" s="117"/>
      <c r="Q637" s="200"/>
      <c r="R637" s="239"/>
      <c r="S637" s="239"/>
      <c r="T637" s="239"/>
      <c r="U637" s="216"/>
      <c r="V637" s="217"/>
      <c r="W637" s="233"/>
      <c r="X637" s="123"/>
      <c r="Y637" s="117"/>
      <c r="Z637" s="117"/>
    </row>
    <row r="638" spans="1:26">
      <c r="A638" s="117"/>
      <c r="B638" s="117"/>
      <c r="C638" s="117"/>
      <c r="D638" s="117"/>
      <c r="E638" s="117"/>
      <c r="F638" s="117"/>
      <c r="G638" s="116"/>
      <c r="H638" s="117"/>
      <c r="I638" s="117"/>
      <c r="J638" s="117"/>
      <c r="K638" s="117"/>
      <c r="L638" s="117"/>
      <c r="M638" s="213"/>
      <c r="N638" s="117"/>
      <c r="O638" s="117"/>
      <c r="P638" s="117"/>
      <c r="Q638" s="200"/>
      <c r="R638" s="239"/>
      <c r="S638" s="239"/>
      <c r="T638" s="239"/>
      <c r="U638" s="216"/>
      <c r="V638" s="217"/>
      <c r="W638" s="233"/>
      <c r="X638" s="123"/>
      <c r="Y638" s="117"/>
      <c r="Z638" s="117"/>
    </row>
    <row r="639" spans="1:26">
      <c r="A639" s="117"/>
      <c r="B639" s="117"/>
      <c r="C639" s="117"/>
      <c r="D639" s="117"/>
      <c r="E639" s="117"/>
      <c r="F639" s="117"/>
      <c r="G639" s="116"/>
      <c r="H639" s="117"/>
      <c r="I639" s="117"/>
      <c r="J639" s="117"/>
      <c r="K639" s="117"/>
      <c r="L639" s="117"/>
      <c r="M639" s="213"/>
      <c r="N639" s="117"/>
      <c r="O639" s="117"/>
      <c r="P639" s="117"/>
      <c r="Q639" s="200"/>
      <c r="R639" s="239"/>
      <c r="S639" s="239"/>
      <c r="T639" s="239"/>
      <c r="U639" s="216"/>
      <c r="V639" s="217"/>
      <c r="W639" s="233"/>
      <c r="X639" s="123"/>
      <c r="Y639" s="117"/>
      <c r="Z639" s="117"/>
    </row>
    <row r="640" spans="1:26">
      <c r="A640" s="117"/>
      <c r="B640" s="117"/>
      <c r="C640" s="117"/>
      <c r="D640" s="117"/>
      <c r="E640" s="117"/>
      <c r="F640" s="117"/>
      <c r="G640" s="116"/>
      <c r="H640" s="117"/>
      <c r="I640" s="117"/>
      <c r="J640" s="117"/>
      <c r="K640" s="117"/>
      <c r="L640" s="117"/>
      <c r="M640" s="213"/>
      <c r="N640" s="117"/>
      <c r="O640" s="117"/>
      <c r="P640" s="117"/>
      <c r="Q640" s="200"/>
      <c r="R640" s="239"/>
      <c r="S640" s="239"/>
      <c r="T640" s="239"/>
      <c r="U640" s="216"/>
      <c r="V640" s="217"/>
      <c r="W640" s="233"/>
      <c r="X640" s="123"/>
      <c r="Y640" s="117"/>
      <c r="Z640" s="117"/>
    </row>
    <row r="641" spans="1:26">
      <c r="A641" s="117"/>
      <c r="B641" s="117"/>
      <c r="C641" s="117"/>
      <c r="D641" s="117"/>
      <c r="E641" s="117"/>
      <c r="F641" s="117"/>
      <c r="G641" s="116"/>
      <c r="H641" s="117"/>
      <c r="I641" s="117"/>
      <c r="J641" s="117"/>
      <c r="K641" s="117"/>
      <c r="L641" s="117"/>
      <c r="M641" s="213"/>
      <c r="N641" s="117"/>
      <c r="O641" s="117"/>
      <c r="P641" s="117"/>
      <c r="Q641" s="200"/>
      <c r="R641" s="239"/>
      <c r="S641" s="239"/>
      <c r="T641" s="239"/>
      <c r="U641" s="216"/>
      <c r="V641" s="217"/>
      <c r="W641" s="233"/>
      <c r="X641" s="123"/>
      <c r="Y641" s="117"/>
      <c r="Z641" s="117"/>
    </row>
    <row r="642" spans="1:26">
      <c r="A642" s="117"/>
      <c r="B642" s="117"/>
      <c r="C642" s="117"/>
      <c r="D642" s="117"/>
      <c r="E642" s="117"/>
      <c r="F642" s="117"/>
      <c r="G642" s="116"/>
      <c r="H642" s="117"/>
      <c r="I642" s="117"/>
      <c r="J642" s="117"/>
      <c r="K642" s="117"/>
      <c r="L642" s="117"/>
      <c r="M642" s="213"/>
      <c r="N642" s="117"/>
      <c r="O642" s="117"/>
      <c r="P642" s="117"/>
      <c r="Q642" s="200"/>
      <c r="R642" s="239"/>
      <c r="S642" s="239"/>
      <c r="T642" s="239"/>
      <c r="U642" s="216"/>
      <c r="V642" s="217"/>
      <c r="W642" s="233"/>
      <c r="X642" s="123"/>
      <c r="Y642" s="117"/>
      <c r="Z642" s="117"/>
    </row>
    <row r="643" spans="1:26">
      <c r="A643" s="117"/>
      <c r="B643" s="117"/>
      <c r="C643" s="117"/>
      <c r="D643" s="117"/>
      <c r="E643" s="117"/>
      <c r="F643" s="117"/>
      <c r="G643" s="116"/>
      <c r="H643" s="117"/>
      <c r="I643" s="117"/>
      <c r="J643" s="117"/>
      <c r="K643" s="117"/>
      <c r="L643" s="117"/>
      <c r="M643" s="213"/>
      <c r="N643" s="117"/>
      <c r="O643" s="117"/>
      <c r="P643" s="117"/>
      <c r="Q643" s="200"/>
      <c r="R643" s="239"/>
      <c r="S643" s="239"/>
      <c r="T643" s="239"/>
      <c r="U643" s="216"/>
      <c r="V643" s="217"/>
      <c r="W643" s="233"/>
      <c r="X643" s="123"/>
      <c r="Y643" s="117"/>
      <c r="Z643" s="117"/>
    </row>
    <row r="644" spans="1:26">
      <c r="A644" s="117"/>
      <c r="B644" s="117"/>
      <c r="C644" s="117"/>
      <c r="D644" s="117"/>
      <c r="E644" s="117"/>
      <c r="F644" s="117"/>
      <c r="G644" s="116"/>
      <c r="H644" s="117"/>
      <c r="I644" s="117"/>
      <c r="J644" s="117"/>
      <c r="K644" s="117"/>
      <c r="L644" s="117"/>
      <c r="M644" s="213"/>
      <c r="N644" s="117"/>
      <c r="O644" s="117"/>
      <c r="P644" s="117"/>
      <c r="Q644" s="200"/>
      <c r="R644" s="239"/>
      <c r="S644" s="239"/>
      <c r="T644" s="239"/>
      <c r="U644" s="216"/>
      <c r="V644" s="217"/>
      <c r="W644" s="233"/>
      <c r="X644" s="123"/>
      <c r="Y644" s="117"/>
      <c r="Z644" s="117"/>
    </row>
    <row r="645" spans="1:26">
      <c r="A645" s="117"/>
      <c r="B645" s="117"/>
      <c r="C645" s="117"/>
      <c r="D645" s="117"/>
      <c r="E645" s="117"/>
      <c r="F645" s="117"/>
      <c r="G645" s="116"/>
      <c r="H645" s="117"/>
      <c r="I645" s="117"/>
      <c r="J645" s="117"/>
      <c r="K645" s="117"/>
      <c r="L645" s="117"/>
      <c r="M645" s="213"/>
      <c r="N645" s="117"/>
      <c r="O645" s="117"/>
      <c r="P645" s="117"/>
      <c r="Q645" s="200"/>
      <c r="R645" s="239"/>
      <c r="S645" s="239"/>
      <c r="T645" s="239"/>
      <c r="U645" s="216"/>
      <c r="V645" s="217"/>
      <c r="W645" s="233"/>
      <c r="X645" s="123"/>
      <c r="Y645" s="117"/>
      <c r="Z645" s="117"/>
    </row>
    <row r="646" spans="1:26">
      <c r="A646" s="117"/>
      <c r="B646" s="117"/>
      <c r="C646" s="117"/>
      <c r="D646" s="117"/>
      <c r="E646" s="117"/>
      <c r="F646" s="117"/>
      <c r="G646" s="116"/>
      <c r="H646" s="117"/>
      <c r="I646" s="117"/>
      <c r="J646" s="117"/>
      <c r="K646" s="117"/>
      <c r="L646" s="117"/>
      <c r="M646" s="213"/>
      <c r="N646" s="117"/>
      <c r="O646" s="117"/>
      <c r="P646" s="117"/>
      <c r="Q646" s="200"/>
      <c r="R646" s="239"/>
      <c r="S646" s="239"/>
      <c r="T646" s="239"/>
      <c r="U646" s="216"/>
      <c r="V646" s="217"/>
      <c r="W646" s="233"/>
      <c r="X646" s="123"/>
      <c r="Y646" s="117"/>
      <c r="Z646" s="117"/>
    </row>
    <row r="647" spans="1:26">
      <c r="A647" s="117"/>
      <c r="B647" s="117"/>
      <c r="C647" s="117"/>
      <c r="D647" s="117"/>
      <c r="E647" s="117"/>
      <c r="F647" s="117"/>
      <c r="G647" s="116"/>
      <c r="H647" s="117"/>
      <c r="I647" s="117"/>
      <c r="J647" s="117"/>
      <c r="K647" s="117"/>
      <c r="L647" s="117"/>
      <c r="M647" s="213"/>
      <c r="N647" s="117"/>
      <c r="O647" s="117"/>
      <c r="P647" s="117"/>
      <c r="Q647" s="200"/>
      <c r="R647" s="239"/>
      <c r="S647" s="239"/>
      <c r="T647" s="239"/>
      <c r="U647" s="216"/>
      <c r="V647" s="217"/>
      <c r="W647" s="233"/>
      <c r="X647" s="123"/>
      <c r="Y647" s="117"/>
      <c r="Z647" s="117"/>
    </row>
    <row r="648" spans="1:26">
      <c r="A648" s="117"/>
      <c r="B648" s="117"/>
      <c r="C648" s="117"/>
      <c r="D648" s="117"/>
      <c r="E648" s="117"/>
      <c r="F648" s="117"/>
      <c r="G648" s="116"/>
      <c r="H648" s="117"/>
      <c r="I648" s="117"/>
      <c r="J648" s="117"/>
      <c r="K648" s="117"/>
      <c r="L648" s="117"/>
      <c r="M648" s="213"/>
      <c r="N648" s="117"/>
      <c r="O648" s="117"/>
      <c r="P648" s="117"/>
      <c r="Q648" s="200"/>
      <c r="R648" s="239"/>
      <c r="S648" s="239"/>
      <c r="T648" s="239"/>
      <c r="U648" s="216"/>
      <c r="V648" s="217"/>
      <c r="W648" s="233"/>
      <c r="X648" s="123"/>
      <c r="Y648" s="117"/>
      <c r="Z648" s="117"/>
    </row>
    <row r="649" spans="1:26">
      <c r="A649" s="117"/>
      <c r="B649" s="117"/>
      <c r="C649" s="117"/>
      <c r="D649" s="117"/>
      <c r="E649" s="117"/>
      <c r="F649" s="117"/>
      <c r="G649" s="116"/>
      <c r="H649" s="117"/>
      <c r="I649" s="117"/>
      <c r="J649" s="117"/>
      <c r="K649" s="117"/>
      <c r="L649" s="117"/>
      <c r="M649" s="213"/>
      <c r="N649" s="117"/>
      <c r="O649" s="117"/>
      <c r="P649" s="117"/>
      <c r="Q649" s="200"/>
      <c r="R649" s="239"/>
      <c r="S649" s="239"/>
      <c r="T649" s="239"/>
      <c r="U649" s="216"/>
      <c r="V649" s="217"/>
      <c r="W649" s="233"/>
      <c r="X649" s="123"/>
      <c r="Y649" s="117"/>
      <c r="Z649" s="117"/>
    </row>
    <row r="650" spans="1:26">
      <c r="A650" s="117"/>
      <c r="B650" s="117"/>
      <c r="C650" s="117"/>
      <c r="D650" s="117"/>
      <c r="E650" s="117"/>
      <c r="F650" s="117"/>
      <c r="G650" s="116"/>
      <c r="H650" s="117"/>
      <c r="I650" s="117"/>
      <c r="J650" s="117"/>
      <c r="K650" s="117"/>
      <c r="L650" s="117"/>
      <c r="M650" s="213"/>
      <c r="N650" s="117"/>
      <c r="O650" s="117"/>
      <c r="P650" s="117"/>
      <c r="Q650" s="200"/>
      <c r="R650" s="239"/>
      <c r="S650" s="239"/>
      <c r="T650" s="239"/>
      <c r="U650" s="216"/>
      <c r="V650" s="217"/>
      <c r="W650" s="233"/>
      <c r="X650" s="123"/>
      <c r="Y650" s="117"/>
      <c r="Z650" s="117"/>
    </row>
    <row r="651" spans="1:26">
      <c r="A651" s="117"/>
      <c r="B651" s="117"/>
      <c r="C651" s="117"/>
      <c r="D651" s="117"/>
      <c r="E651" s="117"/>
      <c r="F651" s="117"/>
      <c r="G651" s="116"/>
      <c r="H651" s="117"/>
      <c r="I651" s="117"/>
      <c r="J651" s="117"/>
      <c r="K651" s="117"/>
      <c r="L651" s="117"/>
      <c r="M651" s="213"/>
      <c r="N651" s="117"/>
      <c r="O651" s="117"/>
      <c r="P651" s="117"/>
      <c r="Q651" s="200"/>
      <c r="R651" s="239"/>
      <c r="S651" s="239"/>
      <c r="T651" s="239"/>
      <c r="U651" s="216"/>
      <c r="V651" s="217"/>
      <c r="W651" s="233"/>
      <c r="X651" s="123"/>
      <c r="Y651" s="117"/>
      <c r="Z651" s="117"/>
    </row>
    <row r="652" spans="1:26">
      <c r="A652" s="117"/>
      <c r="B652" s="117"/>
      <c r="C652" s="117"/>
      <c r="D652" s="117"/>
      <c r="E652" s="117"/>
      <c r="F652" s="117"/>
      <c r="G652" s="116"/>
      <c r="H652" s="117"/>
      <c r="I652" s="117"/>
      <c r="J652" s="117"/>
      <c r="K652" s="117"/>
      <c r="L652" s="117"/>
      <c r="M652" s="213"/>
      <c r="N652" s="117"/>
      <c r="O652" s="117"/>
      <c r="P652" s="117"/>
      <c r="Q652" s="200"/>
      <c r="R652" s="239"/>
      <c r="S652" s="239"/>
      <c r="T652" s="239"/>
      <c r="U652" s="216"/>
      <c r="V652" s="217"/>
      <c r="W652" s="233"/>
      <c r="X652" s="123"/>
      <c r="Y652" s="117"/>
      <c r="Z652" s="117"/>
    </row>
    <row r="653" spans="1:26">
      <c r="A653" s="117"/>
      <c r="B653" s="117"/>
      <c r="C653" s="117"/>
      <c r="D653" s="117"/>
      <c r="E653" s="117"/>
      <c r="F653" s="117"/>
      <c r="G653" s="116"/>
      <c r="H653" s="117"/>
      <c r="I653" s="117"/>
      <c r="J653" s="117"/>
      <c r="K653" s="117"/>
      <c r="L653" s="117"/>
      <c r="M653" s="213"/>
      <c r="N653" s="117"/>
      <c r="O653" s="117"/>
      <c r="P653" s="117"/>
      <c r="Q653" s="200"/>
      <c r="R653" s="239"/>
      <c r="S653" s="239"/>
      <c r="T653" s="239"/>
      <c r="U653" s="216"/>
      <c r="V653" s="217"/>
      <c r="W653" s="233"/>
      <c r="X653" s="123"/>
      <c r="Y653" s="117"/>
      <c r="Z653" s="117"/>
    </row>
    <row r="654" spans="1:26">
      <c r="A654" s="117"/>
      <c r="B654" s="117"/>
      <c r="C654" s="117"/>
      <c r="D654" s="117"/>
      <c r="E654" s="117"/>
      <c r="F654" s="117"/>
      <c r="G654" s="116"/>
      <c r="H654" s="117"/>
      <c r="I654" s="117"/>
      <c r="J654" s="117"/>
      <c r="K654" s="117"/>
      <c r="L654" s="117"/>
      <c r="M654" s="213"/>
      <c r="N654" s="117"/>
      <c r="O654" s="117"/>
      <c r="P654" s="117"/>
      <c r="Q654" s="200"/>
      <c r="R654" s="239"/>
      <c r="S654" s="239"/>
      <c r="T654" s="239"/>
      <c r="U654" s="216"/>
      <c r="V654" s="217"/>
      <c r="W654" s="233"/>
      <c r="X654" s="123"/>
      <c r="Y654" s="117"/>
      <c r="Z654" s="117"/>
    </row>
    <row r="655" spans="1:26">
      <c r="A655" s="117"/>
      <c r="B655" s="117"/>
      <c r="C655" s="117"/>
      <c r="D655" s="117"/>
      <c r="E655" s="117"/>
      <c r="F655" s="117"/>
      <c r="G655" s="116"/>
      <c r="H655" s="117"/>
      <c r="I655" s="117"/>
      <c r="J655" s="117"/>
      <c r="K655" s="117"/>
      <c r="L655" s="117"/>
      <c r="M655" s="213"/>
      <c r="N655" s="117"/>
      <c r="O655" s="117"/>
      <c r="P655" s="117"/>
      <c r="Q655" s="200"/>
      <c r="R655" s="239"/>
      <c r="S655" s="239"/>
      <c r="T655" s="239"/>
      <c r="U655" s="216"/>
      <c r="V655" s="217"/>
      <c r="W655" s="233"/>
      <c r="X655" s="123"/>
      <c r="Y655" s="117"/>
      <c r="Z655" s="117"/>
    </row>
    <row r="656" spans="1:26">
      <c r="A656" s="117"/>
      <c r="B656" s="117"/>
      <c r="C656" s="117"/>
      <c r="D656" s="117"/>
      <c r="E656" s="117"/>
      <c r="F656" s="117"/>
      <c r="G656" s="116"/>
      <c r="H656" s="117"/>
      <c r="I656" s="117"/>
      <c r="J656" s="117"/>
      <c r="K656" s="117"/>
      <c r="L656" s="117"/>
      <c r="M656" s="213"/>
      <c r="N656" s="117"/>
      <c r="O656" s="117"/>
      <c r="P656" s="117"/>
      <c r="Q656" s="200"/>
      <c r="R656" s="239"/>
      <c r="S656" s="239"/>
      <c r="T656" s="239"/>
      <c r="U656" s="216"/>
      <c r="V656" s="217"/>
      <c r="W656" s="233"/>
      <c r="X656" s="123"/>
      <c r="Y656" s="117"/>
      <c r="Z656" s="117"/>
    </row>
    <row r="657" spans="1:26">
      <c r="A657" s="117"/>
      <c r="B657" s="117"/>
      <c r="C657" s="117"/>
      <c r="D657" s="117"/>
      <c r="E657" s="117"/>
      <c r="F657" s="117"/>
      <c r="G657" s="116"/>
      <c r="H657" s="117"/>
      <c r="I657" s="117"/>
      <c r="J657" s="117"/>
      <c r="K657" s="117"/>
      <c r="L657" s="117"/>
      <c r="M657" s="213"/>
      <c r="N657" s="117"/>
      <c r="O657" s="117"/>
      <c r="P657" s="117"/>
      <c r="Q657" s="200"/>
      <c r="R657" s="239"/>
      <c r="S657" s="239"/>
      <c r="T657" s="239"/>
      <c r="U657" s="216"/>
      <c r="V657" s="217"/>
      <c r="W657" s="233"/>
      <c r="X657" s="123"/>
      <c r="Y657" s="117"/>
      <c r="Z657" s="117"/>
    </row>
    <row r="658" spans="1:26">
      <c r="A658" s="117"/>
      <c r="B658" s="117"/>
      <c r="C658" s="117"/>
      <c r="D658" s="117"/>
      <c r="E658" s="117"/>
      <c r="F658" s="117"/>
      <c r="G658" s="116"/>
      <c r="H658" s="117"/>
      <c r="I658" s="117"/>
      <c r="J658" s="117"/>
      <c r="K658" s="117"/>
      <c r="L658" s="117"/>
      <c r="M658" s="213"/>
      <c r="N658" s="117"/>
      <c r="O658" s="117"/>
      <c r="P658" s="117"/>
      <c r="Q658" s="200"/>
      <c r="R658" s="239"/>
      <c r="S658" s="239"/>
      <c r="T658" s="239"/>
      <c r="U658" s="216"/>
      <c r="V658" s="217"/>
      <c r="W658" s="233"/>
      <c r="X658" s="123"/>
      <c r="Y658" s="117"/>
      <c r="Z658" s="117"/>
    </row>
    <row r="659" spans="1:26">
      <c r="A659" s="117"/>
      <c r="B659" s="117"/>
      <c r="C659" s="117"/>
      <c r="D659" s="117"/>
      <c r="E659" s="117"/>
      <c r="F659" s="117"/>
      <c r="G659" s="116"/>
      <c r="H659" s="117"/>
      <c r="I659" s="117"/>
      <c r="J659" s="117"/>
      <c r="K659" s="117"/>
      <c r="L659" s="117"/>
      <c r="M659" s="213"/>
      <c r="N659" s="117"/>
      <c r="O659" s="117"/>
      <c r="P659" s="117"/>
      <c r="Q659" s="200"/>
      <c r="R659" s="239"/>
      <c r="S659" s="239"/>
      <c r="T659" s="239"/>
      <c r="U659" s="216"/>
      <c r="V659" s="217"/>
      <c r="W659" s="233"/>
      <c r="X659" s="123"/>
      <c r="Y659" s="117"/>
      <c r="Z659" s="117"/>
    </row>
    <row r="660" spans="1:26">
      <c r="A660" s="117"/>
      <c r="B660" s="117"/>
      <c r="C660" s="117"/>
      <c r="D660" s="117"/>
      <c r="E660" s="117"/>
      <c r="F660" s="117"/>
      <c r="G660" s="116"/>
      <c r="H660" s="117"/>
      <c r="I660" s="117"/>
      <c r="J660" s="117"/>
      <c r="K660" s="117"/>
      <c r="L660" s="117"/>
      <c r="M660" s="213"/>
      <c r="N660" s="117"/>
      <c r="O660" s="117"/>
      <c r="P660" s="117"/>
      <c r="Q660" s="200"/>
      <c r="R660" s="239"/>
      <c r="S660" s="239"/>
      <c r="T660" s="239"/>
      <c r="U660" s="216"/>
      <c r="V660" s="217"/>
      <c r="W660" s="233"/>
      <c r="X660" s="123"/>
      <c r="Y660" s="117"/>
      <c r="Z660" s="117"/>
    </row>
    <row r="661" spans="1:26">
      <c r="A661" s="117"/>
      <c r="B661" s="117"/>
      <c r="C661" s="117"/>
      <c r="D661" s="117"/>
      <c r="E661" s="117"/>
      <c r="F661" s="117"/>
      <c r="G661" s="116"/>
      <c r="H661" s="117"/>
      <c r="I661" s="117"/>
      <c r="J661" s="117"/>
      <c r="K661" s="117"/>
      <c r="L661" s="117"/>
      <c r="M661" s="213"/>
      <c r="N661" s="117"/>
      <c r="O661" s="117"/>
      <c r="P661" s="117"/>
      <c r="Q661" s="200"/>
      <c r="R661" s="239"/>
      <c r="S661" s="239"/>
      <c r="T661" s="239"/>
      <c r="U661" s="216"/>
      <c r="V661" s="217"/>
      <c r="W661" s="233"/>
      <c r="X661" s="123"/>
      <c r="Y661" s="117"/>
      <c r="Z661" s="117"/>
    </row>
    <row r="662" spans="1:26">
      <c r="A662" s="117"/>
      <c r="B662" s="117"/>
      <c r="C662" s="117"/>
      <c r="D662" s="117"/>
      <c r="E662" s="117"/>
      <c r="F662" s="117"/>
      <c r="G662" s="116"/>
      <c r="H662" s="117"/>
      <c r="I662" s="117"/>
      <c r="J662" s="117"/>
      <c r="K662" s="117"/>
      <c r="L662" s="117"/>
      <c r="M662" s="213"/>
      <c r="N662" s="117"/>
      <c r="O662" s="117"/>
      <c r="P662" s="117"/>
      <c r="Q662" s="200"/>
      <c r="R662" s="239"/>
      <c r="S662" s="239"/>
      <c r="T662" s="239"/>
      <c r="U662" s="216"/>
      <c r="V662" s="217"/>
      <c r="W662" s="233"/>
      <c r="X662" s="123"/>
      <c r="Y662" s="117"/>
      <c r="Z662" s="117"/>
    </row>
    <row r="663" spans="1:26">
      <c r="A663" s="117"/>
      <c r="B663" s="117"/>
      <c r="C663" s="117"/>
      <c r="D663" s="117"/>
      <c r="E663" s="117"/>
      <c r="F663" s="117"/>
      <c r="G663" s="116"/>
      <c r="H663" s="117"/>
      <c r="I663" s="117"/>
      <c r="J663" s="117"/>
      <c r="K663" s="117"/>
      <c r="L663" s="117"/>
      <c r="M663" s="213"/>
      <c r="N663" s="117"/>
      <c r="O663" s="117"/>
      <c r="P663" s="117"/>
      <c r="Q663" s="200"/>
      <c r="R663" s="239"/>
      <c r="S663" s="239"/>
      <c r="T663" s="239"/>
      <c r="U663" s="216"/>
      <c r="V663" s="217"/>
      <c r="W663" s="233"/>
      <c r="X663" s="123"/>
      <c r="Y663" s="117"/>
      <c r="Z663" s="117"/>
    </row>
    <row r="664" spans="1:26">
      <c r="A664" s="117"/>
      <c r="B664" s="117"/>
      <c r="C664" s="117"/>
      <c r="D664" s="117"/>
      <c r="E664" s="117"/>
      <c r="F664" s="117"/>
      <c r="G664" s="116"/>
      <c r="H664" s="117"/>
      <c r="I664" s="117"/>
      <c r="J664" s="117"/>
      <c r="K664" s="117"/>
      <c r="L664" s="117"/>
      <c r="M664" s="213"/>
      <c r="N664" s="117"/>
      <c r="O664" s="117"/>
      <c r="P664" s="117"/>
      <c r="Q664" s="200"/>
      <c r="R664" s="239"/>
      <c r="S664" s="239"/>
      <c r="T664" s="239"/>
      <c r="U664" s="216"/>
      <c r="V664" s="217"/>
      <c r="W664" s="233"/>
      <c r="X664" s="123"/>
      <c r="Y664" s="117"/>
      <c r="Z664" s="117"/>
    </row>
    <row r="665" spans="1:26">
      <c r="A665" s="117"/>
      <c r="B665" s="117"/>
      <c r="C665" s="117"/>
      <c r="D665" s="117"/>
      <c r="E665" s="117"/>
      <c r="F665" s="117"/>
      <c r="G665" s="116"/>
      <c r="H665" s="117"/>
      <c r="I665" s="117"/>
      <c r="J665" s="117"/>
      <c r="K665" s="117"/>
      <c r="L665" s="117"/>
      <c r="M665" s="213"/>
      <c r="N665" s="117"/>
      <c r="O665" s="117"/>
      <c r="P665" s="117"/>
      <c r="Q665" s="200"/>
      <c r="R665" s="239"/>
      <c r="S665" s="239"/>
      <c r="T665" s="239"/>
      <c r="U665" s="216"/>
      <c r="V665" s="217"/>
      <c r="W665" s="233"/>
      <c r="X665" s="123"/>
      <c r="Y665" s="117"/>
      <c r="Z665" s="117"/>
    </row>
    <row r="666" spans="1:26">
      <c r="A666" s="117"/>
      <c r="B666" s="117"/>
      <c r="C666" s="117"/>
      <c r="D666" s="117"/>
      <c r="E666" s="117"/>
      <c r="F666" s="117"/>
      <c r="G666" s="116"/>
      <c r="H666" s="117"/>
      <c r="I666" s="117"/>
      <c r="J666" s="117"/>
      <c r="K666" s="117"/>
      <c r="L666" s="117"/>
      <c r="M666" s="213"/>
      <c r="N666" s="117"/>
      <c r="O666" s="117"/>
      <c r="P666" s="117"/>
      <c r="Q666" s="200"/>
      <c r="R666" s="239"/>
      <c r="S666" s="239"/>
      <c r="T666" s="239"/>
      <c r="U666" s="216"/>
      <c r="V666" s="217"/>
      <c r="W666" s="233"/>
      <c r="X666" s="123"/>
      <c r="Y666" s="117"/>
      <c r="Z666" s="117"/>
    </row>
    <row r="667" spans="1:26">
      <c r="A667" s="117"/>
      <c r="B667" s="117"/>
      <c r="C667" s="117"/>
      <c r="D667" s="117"/>
      <c r="E667" s="117"/>
      <c r="F667" s="117"/>
      <c r="G667" s="116"/>
      <c r="H667" s="117"/>
      <c r="I667" s="117"/>
      <c r="J667" s="117"/>
      <c r="K667" s="117"/>
      <c r="L667" s="117"/>
      <c r="M667" s="213"/>
      <c r="N667" s="117"/>
      <c r="O667" s="117"/>
      <c r="P667" s="117"/>
      <c r="Q667" s="200"/>
      <c r="R667" s="239"/>
      <c r="S667" s="239"/>
      <c r="T667" s="239"/>
      <c r="U667" s="216"/>
      <c r="V667" s="217"/>
      <c r="W667" s="233"/>
      <c r="X667" s="123"/>
      <c r="Y667" s="117"/>
      <c r="Z667" s="117"/>
    </row>
    <row r="668" spans="1:26">
      <c r="A668" s="117"/>
      <c r="B668" s="117"/>
      <c r="C668" s="117"/>
      <c r="D668" s="117"/>
      <c r="E668" s="117"/>
      <c r="F668" s="117"/>
      <c r="G668" s="116"/>
      <c r="H668" s="117"/>
      <c r="I668" s="117"/>
      <c r="J668" s="117"/>
      <c r="K668" s="117"/>
      <c r="L668" s="117"/>
      <c r="M668" s="213"/>
      <c r="N668" s="117"/>
      <c r="O668" s="117"/>
      <c r="P668" s="117"/>
      <c r="Q668" s="200"/>
      <c r="R668" s="239"/>
      <c r="S668" s="239"/>
      <c r="T668" s="239"/>
      <c r="U668" s="216"/>
      <c r="V668" s="217"/>
      <c r="W668" s="233"/>
      <c r="X668" s="123"/>
      <c r="Y668" s="117"/>
      <c r="Z668" s="117"/>
    </row>
    <row r="669" spans="1:26">
      <c r="A669" s="117"/>
      <c r="B669" s="117"/>
      <c r="C669" s="117"/>
      <c r="D669" s="117"/>
      <c r="E669" s="117"/>
      <c r="F669" s="117"/>
      <c r="G669" s="116"/>
      <c r="H669" s="117"/>
      <c r="I669" s="117"/>
      <c r="J669" s="117"/>
      <c r="K669" s="117"/>
      <c r="L669" s="117"/>
      <c r="M669" s="213"/>
      <c r="N669" s="117"/>
      <c r="O669" s="117"/>
      <c r="P669" s="117"/>
      <c r="Q669" s="200"/>
      <c r="R669" s="239"/>
      <c r="S669" s="239"/>
      <c r="T669" s="239"/>
      <c r="U669" s="216"/>
      <c r="V669" s="217"/>
      <c r="W669" s="233"/>
      <c r="X669" s="123"/>
      <c r="Y669" s="117"/>
      <c r="Z669" s="117"/>
    </row>
    <row r="670" spans="1:26">
      <c r="A670" s="117"/>
      <c r="B670" s="117"/>
      <c r="C670" s="117"/>
      <c r="D670" s="117"/>
      <c r="E670" s="117"/>
      <c r="F670" s="117"/>
      <c r="G670" s="116"/>
      <c r="H670" s="117"/>
      <c r="I670" s="117"/>
      <c r="J670" s="117"/>
      <c r="K670" s="117"/>
      <c r="L670" s="117"/>
      <c r="M670" s="213"/>
      <c r="N670" s="117"/>
      <c r="O670" s="117"/>
      <c r="P670" s="117"/>
      <c r="Q670" s="200"/>
      <c r="R670" s="239"/>
      <c r="S670" s="239"/>
      <c r="T670" s="239"/>
      <c r="U670" s="216"/>
      <c r="V670" s="217"/>
      <c r="W670" s="233"/>
      <c r="X670" s="123"/>
      <c r="Y670" s="117"/>
      <c r="Z670" s="117"/>
    </row>
    <row r="671" spans="1:26">
      <c r="A671" s="117"/>
      <c r="B671" s="117"/>
      <c r="C671" s="117"/>
      <c r="D671" s="117"/>
      <c r="E671" s="117"/>
      <c r="F671" s="117"/>
      <c r="G671" s="116"/>
      <c r="H671" s="117"/>
      <c r="I671" s="117"/>
      <c r="J671" s="117"/>
      <c r="K671" s="117"/>
      <c r="L671" s="117"/>
      <c r="M671" s="213"/>
      <c r="N671" s="117"/>
      <c r="O671" s="117"/>
      <c r="P671" s="117"/>
      <c r="Q671" s="200"/>
      <c r="R671" s="239"/>
      <c r="S671" s="239"/>
      <c r="T671" s="239"/>
      <c r="U671" s="216"/>
      <c r="V671" s="217"/>
      <c r="W671" s="233"/>
      <c r="X671" s="123"/>
      <c r="Y671" s="117"/>
      <c r="Z671" s="117"/>
    </row>
    <row r="672" spans="1:26">
      <c r="A672" s="117"/>
      <c r="B672" s="117"/>
      <c r="C672" s="117"/>
      <c r="D672" s="117"/>
      <c r="E672" s="117"/>
      <c r="F672" s="117"/>
      <c r="G672" s="116"/>
      <c r="H672" s="117"/>
      <c r="I672" s="117"/>
      <c r="J672" s="117"/>
      <c r="K672" s="117"/>
      <c r="L672" s="117"/>
      <c r="M672" s="213"/>
      <c r="N672" s="117"/>
      <c r="O672" s="117"/>
      <c r="P672" s="117"/>
      <c r="Q672" s="200"/>
      <c r="R672" s="239"/>
      <c r="S672" s="239"/>
      <c r="T672" s="239"/>
      <c r="U672" s="216"/>
      <c r="V672" s="217"/>
      <c r="W672" s="233"/>
      <c r="X672" s="123"/>
      <c r="Y672" s="117"/>
      <c r="Z672" s="117"/>
    </row>
    <row r="673" spans="1:26">
      <c r="A673" s="117"/>
      <c r="B673" s="117"/>
      <c r="C673" s="117"/>
      <c r="D673" s="117"/>
      <c r="E673" s="117"/>
      <c r="F673" s="117"/>
      <c r="G673" s="116"/>
      <c r="H673" s="117"/>
      <c r="I673" s="117"/>
      <c r="J673" s="117"/>
      <c r="K673" s="117"/>
      <c r="L673" s="117"/>
      <c r="M673" s="213"/>
      <c r="N673" s="117"/>
      <c r="O673" s="117"/>
      <c r="P673" s="117"/>
      <c r="Q673" s="200"/>
      <c r="R673" s="239"/>
      <c r="S673" s="239"/>
      <c r="T673" s="239"/>
      <c r="U673" s="216"/>
      <c r="V673" s="217"/>
      <c r="W673" s="233"/>
      <c r="X673" s="123"/>
      <c r="Y673" s="117"/>
      <c r="Z673" s="117"/>
    </row>
    <row r="674" spans="1:26">
      <c r="A674" s="117"/>
      <c r="B674" s="117"/>
      <c r="C674" s="117"/>
      <c r="D674" s="117"/>
      <c r="E674" s="117"/>
      <c r="F674" s="117"/>
      <c r="G674" s="116"/>
      <c r="H674" s="117"/>
      <c r="I674" s="117"/>
      <c r="J674" s="117"/>
      <c r="K674" s="117"/>
      <c r="L674" s="117"/>
      <c r="M674" s="213"/>
      <c r="N674" s="117"/>
      <c r="O674" s="117"/>
      <c r="P674" s="117"/>
      <c r="Q674" s="200"/>
      <c r="R674" s="239"/>
      <c r="S674" s="239"/>
      <c r="T674" s="239"/>
      <c r="U674" s="216"/>
      <c r="V674" s="217"/>
      <c r="W674" s="233"/>
      <c r="X674" s="123"/>
      <c r="Y674" s="117"/>
      <c r="Z674" s="117"/>
    </row>
    <row r="675" spans="1:26">
      <c r="A675" s="117"/>
      <c r="B675" s="117"/>
      <c r="C675" s="117"/>
      <c r="D675" s="117"/>
      <c r="E675" s="117"/>
      <c r="F675" s="117"/>
      <c r="G675" s="116"/>
      <c r="H675" s="117"/>
      <c r="I675" s="117"/>
      <c r="J675" s="117"/>
      <c r="K675" s="117"/>
      <c r="L675" s="117"/>
      <c r="M675" s="213"/>
      <c r="N675" s="117"/>
      <c r="O675" s="117"/>
      <c r="P675" s="117"/>
      <c r="Q675" s="200"/>
      <c r="R675" s="239"/>
      <c r="S675" s="239"/>
      <c r="T675" s="239"/>
      <c r="U675" s="216"/>
      <c r="V675" s="217"/>
      <c r="W675" s="233"/>
      <c r="X675" s="123"/>
      <c r="Y675" s="117"/>
      <c r="Z675" s="117"/>
    </row>
    <row r="676" spans="1:26">
      <c r="A676" s="117"/>
      <c r="B676" s="117"/>
      <c r="C676" s="117"/>
      <c r="D676" s="117"/>
      <c r="E676" s="117"/>
      <c r="F676" s="117"/>
      <c r="G676" s="116"/>
      <c r="H676" s="117"/>
      <c r="I676" s="117"/>
      <c r="J676" s="117"/>
      <c r="K676" s="117"/>
      <c r="L676" s="117"/>
      <c r="M676" s="213"/>
      <c r="N676" s="117"/>
      <c r="O676" s="117"/>
      <c r="P676" s="117"/>
      <c r="Q676" s="200"/>
      <c r="R676" s="239"/>
      <c r="S676" s="239"/>
      <c r="T676" s="239"/>
      <c r="U676" s="216"/>
      <c r="V676" s="217"/>
      <c r="W676" s="233"/>
      <c r="X676" s="123"/>
      <c r="Y676" s="117"/>
      <c r="Z676" s="117"/>
    </row>
    <row r="677" spans="1:26">
      <c r="A677" s="117"/>
      <c r="B677" s="117"/>
      <c r="C677" s="117"/>
      <c r="D677" s="117"/>
      <c r="E677" s="117"/>
      <c r="F677" s="117"/>
      <c r="G677" s="116"/>
      <c r="H677" s="117"/>
      <c r="I677" s="117"/>
      <c r="J677" s="117"/>
      <c r="K677" s="117"/>
      <c r="L677" s="117"/>
      <c r="M677" s="213"/>
      <c r="N677" s="117"/>
      <c r="O677" s="117"/>
      <c r="P677" s="117"/>
      <c r="Q677" s="200"/>
      <c r="R677" s="239"/>
      <c r="S677" s="239"/>
      <c r="T677" s="239"/>
      <c r="U677" s="216"/>
      <c r="V677" s="217"/>
      <c r="W677" s="233"/>
      <c r="X677" s="123"/>
      <c r="Y677" s="117"/>
      <c r="Z677" s="117"/>
    </row>
    <row r="678" spans="1:26">
      <c r="A678" s="117"/>
      <c r="B678" s="117"/>
      <c r="C678" s="117"/>
      <c r="D678" s="117"/>
      <c r="E678" s="117"/>
      <c r="F678" s="117"/>
      <c r="G678" s="116"/>
      <c r="H678" s="117"/>
      <c r="I678" s="117"/>
      <c r="J678" s="117"/>
      <c r="K678" s="117"/>
      <c r="L678" s="117"/>
      <c r="M678" s="213"/>
      <c r="N678" s="117"/>
      <c r="O678" s="117"/>
      <c r="P678" s="117"/>
      <c r="Q678" s="200"/>
      <c r="R678" s="239"/>
      <c r="S678" s="239"/>
      <c r="T678" s="239"/>
      <c r="U678" s="216"/>
      <c r="V678" s="217"/>
      <c r="W678" s="233"/>
      <c r="X678" s="123"/>
      <c r="Y678" s="117"/>
      <c r="Z678" s="117"/>
    </row>
    <row r="679" spans="1:26">
      <c r="A679" s="117"/>
      <c r="B679" s="117"/>
      <c r="C679" s="117"/>
      <c r="D679" s="117"/>
      <c r="E679" s="117"/>
      <c r="F679" s="117"/>
      <c r="G679" s="116"/>
      <c r="H679" s="117"/>
      <c r="I679" s="117"/>
      <c r="J679" s="117"/>
      <c r="K679" s="117"/>
      <c r="L679" s="117"/>
      <c r="M679" s="213"/>
      <c r="N679" s="117"/>
      <c r="O679" s="117"/>
      <c r="P679" s="117"/>
      <c r="Q679" s="200"/>
      <c r="R679" s="239"/>
      <c r="S679" s="239"/>
      <c r="T679" s="239"/>
      <c r="U679" s="216"/>
      <c r="V679" s="217"/>
      <c r="W679" s="233"/>
      <c r="X679" s="123"/>
      <c r="Y679" s="117"/>
      <c r="Z679" s="117"/>
    </row>
    <row r="680" spans="1:26">
      <c r="A680" s="117"/>
      <c r="B680" s="117"/>
      <c r="C680" s="117"/>
      <c r="D680" s="117"/>
      <c r="E680" s="117"/>
      <c r="F680" s="117"/>
      <c r="G680" s="116"/>
      <c r="H680" s="117"/>
      <c r="I680" s="117"/>
      <c r="J680" s="117"/>
      <c r="K680" s="117"/>
      <c r="L680" s="117"/>
      <c r="M680" s="213"/>
      <c r="N680" s="117"/>
      <c r="O680" s="117"/>
      <c r="P680" s="117"/>
      <c r="Q680" s="200"/>
      <c r="R680" s="239"/>
      <c r="S680" s="239"/>
      <c r="T680" s="239"/>
      <c r="U680" s="216"/>
      <c r="V680" s="217"/>
      <c r="W680" s="233"/>
      <c r="X680" s="123"/>
      <c r="Y680" s="117"/>
      <c r="Z680" s="117"/>
    </row>
    <row r="681" spans="1:26">
      <c r="A681" s="117"/>
      <c r="B681" s="117"/>
      <c r="C681" s="117"/>
      <c r="D681" s="117"/>
      <c r="E681" s="117"/>
      <c r="F681" s="117"/>
      <c r="G681" s="116"/>
      <c r="H681" s="117"/>
      <c r="I681" s="117"/>
      <c r="J681" s="117"/>
      <c r="K681" s="117"/>
      <c r="L681" s="117"/>
      <c r="M681" s="213"/>
      <c r="N681" s="117"/>
      <c r="O681" s="117"/>
      <c r="P681" s="117"/>
      <c r="Q681" s="200"/>
      <c r="R681" s="239"/>
      <c r="S681" s="239"/>
      <c r="T681" s="239"/>
      <c r="U681" s="216"/>
      <c r="V681" s="217"/>
      <c r="W681" s="233"/>
      <c r="X681" s="123"/>
      <c r="Y681" s="117"/>
      <c r="Z681" s="117"/>
    </row>
    <row r="682" spans="1:26">
      <c r="A682" s="117"/>
      <c r="B682" s="117"/>
      <c r="C682" s="117"/>
      <c r="D682" s="117"/>
      <c r="E682" s="117"/>
      <c r="F682" s="117"/>
      <c r="G682" s="116"/>
      <c r="H682" s="117"/>
      <c r="I682" s="117"/>
      <c r="J682" s="117"/>
      <c r="K682" s="117"/>
      <c r="L682" s="117"/>
      <c r="M682" s="213"/>
      <c r="N682" s="117"/>
      <c r="O682" s="117"/>
      <c r="P682" s="117"/>
      <c r="Q682" s="200"/>
      <c r="R682" s="239"/>
      <c r="S682" s="239"/>
      <c r="T682" s="239"/>
      <c r="U682" s="216"/>
      <c r="V682" s="217"/>
      <c r="W682" s="233"/>
      <c r="X682" s="123"/>
      <c r="Y682" s="117"/>
      <c r="Z682" s="117"/>
    </row>
    <row r="683" spans="1:26">
      <c r="A683" s="117"/>
      <c r="B683" s="117"/>
      <c r="C683" s="117"/>
      <c r="D683" s="117"/>
      <c r="E683" s="117"/>
      <c r="F683" s="117"/>
      <c r="G683" s="116"/>
      <c r="H683" s="117"/>
      <c r="I683" s="117"/>
      <c r="J683" s="117"/>
      <c r="K683" s="117"/>
      <c r="L683" s="117"/>
      <c r="M683" s="213"/>
      <c r="N683" s="117"/>
      <c r="O683" s="117"/>
      <c r="P683" s="117"/>
      <c r="Q683" s="200"/>
      <c r="R683" s="239"/>
      <c r="S683" s="239"/>
      <c r="T683" s="239"/>
      <c r="U683" s="216"/>
      <c r="V683" s="217"/>
      <c r="W683" s="233"/>
      <c r="X683" s="123"/>
      <c r="Y683" s="117"/>
      <c r="Z683" s="117"/>
    </row>
    <row r="684" spans="1:26">
      <c r="A684" s="117"/>
      <c r="B684" s="117"/>
      <c r="C684" s="117"/>
      <c r="D684" s="117"/>
      <c r="E684" s="117"/>
      <c r="F684" s="117"/>
      <c r="G684" s="116"/>
      <c r="H684" s="117"/>
      <c r="I684" s="117"/>
      <c r="J684" s="117"/>
      <c r="K684" s="117"/>
      <c r="L684" s="117"/>
      <c r="M684" s="213"/>
      <c r="N684" s="117"/>
      <c r="O684" s="117"/>
      <c r="P684" s="117"/>
      <c r="Q684" s="200"/>
      <c r="R684" s="239"/>
      <c r="S684" s="239"/>
      <c r="T684" s="239"/>
      <c r="U684" s="216"/>
      <c r="V684" s="217"/>
      <c r="W684" s="233"/>
      <c r="X684" s="123"/>
      <c r="Y684" s="117"/>
      <c r="Z684" s="117"/>
    </row>
    <row r="685" spans="1:26">
      <c r="A685" s="117"/>
      <c r="B685" s="117"/>
      <c r="C685" s="117"/>
      <c r="D685" s="117"/>
      <c r="E685" s="117"/>
      <c r="F685" s="117"/>
      <c r="G685" s="116"/>
      <c r="H685" s="117"/>
      <c r="I685" s="117"/>
      <c r="J685" s="117"/>
      <c r="K685" s="117"/>
      <c r="L685" s="117"/>
      <c r="M685" s="213"/>
      <c r="N685" s="117"/>
      <c r="O685" s="117"/>
      <c r="P685" s="117"/>
      <c r="Q685" s="200"/>
      <c r="R685" s="239"/>
      <c r="S685" s="239"/>
      <c r="T685" s="239"/>
      <c r="U685" s="216"/>
      <c r="V685" s="217"/>
      <c r="W685" s="233"/>
      <c r="X685" s="123"/>
      <c r="Y685" s="117"/>
      <c r="Z685" s="117"/>
    </row>
    <row r="686" spans="1:26">
      <c r="A686" s="117"/>
      <c r="B686" s="117"/>
      <c r="C686" s="117"/>
      <c r="D686" s="117"/>
      <c r="E686" s="117"/>
      <c r="F686" s="117"/>
      <c r="G686" s="116"/>
      <c r="H686" s="117"/>
      <c r="I686" s="117"/>
      <c r="J686" s="117"/>
      <c r="K686" s="117"/>
      <c r="L686" s="117"/>
      <c r="M686" s="213"/>
      <c r="N686" s="117"/>
      <c r="O686" s="117"/>
      <c r="P686" s="117"/>
      <c r="Q686" s="200"/>
      <c r="R686" s="239"/>
      <c r="S686" s="239"/>
      <c r="T686" s="239"/>
      <c r="U686" s="216"/>
      <c r="V686" s="217"/>
      <c r="W686" s="233"/>
      <c r="X686" s="123"/>
      <c r="Y686" s="117"/>
      <c r="Z686" s="117"/>
    </row>
    <row r="687" spans="1:26">
      <c r="A687" s="117"/>
      <c r="B687" s="117"/>
      <c r="C687" s="117"/>
      <c r="D687" s="117"/>
      <c r="E687" s="117"/>
      <c r="F687" s="117"/>
      <c r="G687" s="116"/>
      <c r="H687" s="117"/>
      <c r="I687" s="117"/>
      <c r="J687" s="117"/>
      <c r="K687" s="117"/>
      <c r="L687" s="117"/>
      <c r="M687" s="213"/>
      <c r="N687" s="117"/>
      <c r="O687" s="117"/>
      <c r="P687" s="117"/>
      <c r="Q687" s="200"/>
      <c r="R687" s="239"/>
      <c r="S687" s="239"/>
      <c r="T687" s="239"/>
      <c r="U687" s="216"/>
      <c r="V687" s="217"/>
      <c r="W687" s="233"/>
      <c r="X687" s="123"/>
      <c r="Y687" s="117"/>
      <c r="Z687" s="117"/>
    </row>
    <row r="688" spans="1:26">
      <c r="A688" s="117"/>
      <c r="B688" s="117"/>
      <c r="C688" s="117"/>
      <c r="D688" s="117"/>
      <c r="E688" s="117"/>
      <c r="F688" s="117"/>
      <c r="G688" s="116"/>
      <c r="H688" s="117"/>
      <c r="I688" s="117"/>
      <c r="J688" s="117"/>
      <c r="K688" s="117"/>
      <c r="L688" s="117"/>
      <c r="M688" s="213"/>
      <c r="N688" s="117"/>
      <c r="O688" s="117"/>
      <c r="P688" s="117"/>
      <c r="Q688" s="200"/>
      <c r="R688" s="239"/>
      <c r="S688" s="239"/>
      <c r="T688" s="239"/>
      <c r="U688" s="216"/>
      <c r="V688" s="217"/>
      <c r="W688" s="233"/>
      <c r="X688" s="123"/>
      <c r="Y688" s="117"/>
      <c r="Z688" s="117"/>
    </row>
    <row r="689" spans="1:26">
      <c r="A689" s="117"/>
      <c r="B689" s="117"/>
      <c r="C689" s="117"/>
      <c r="D689" s="117"/>
      <c r="E689" s="117"/>
      <c r="F689" s="117"/>
      <c r="G689" s="116"/>
      <c r="H689" s="117"/>
      <c r="I689" s="117"/>
      <c r="J689" s="117"/>
      <c r="K689" s="117"/>
      <c r="L689" s="117"/>
      <c r="M689" s="213"/>
      <c r="N689" s="117"/>
      <c r="O689" s="117"/>
      <c r="P689" s="117"/>
      <c r="Q689" s="200"/>
      <c r="R689" s="239"/>
      <c r="S689" s="239"/>
      <c r="T689" s="239"/>
      <c r="U689" s="216"/>
      <c r="V689" s="217"/>
      <c r="W689" s="233"/>
      <c r="X689" s="123"/>
      <c r="Y689" s="117"/>
      <c r="Z689" s="117"/>
    </row>
    <row r="690" spans="1:26">
      <c r="A690" s="117"/>
      <c r="B690" s="117"/>
      <c r="C690" s="117"/>
      <c r="D690" s="117"/>
      <c r="E690" s="117"/>
      <c r="F690" s="117"/>
      <c r="G690" s="116"/>
      <c r="H690" s="117"/>
      <c r="I690" s="117"/>
      <c r="J690" s="117"/>
      <c r="K690" s="117"/>
      <c r="L690" s="117"/>
      <c r="M690" s="213"/>
      <c r="N690" s="117"/>
      <c r="O690" s="117"/>
      <c r="P690" s="117"/>
      <c r="Q690" s="200"/>
      <c r="R690" s="239"/>
      <c r="S690" s="239"/>
      <c r="T690" s="239"/>
      <c r="U690" s="216"/>
      <c r="V690" s="217"/>
      <c r="W690" s="233"/>
      <c r="X690" s="123"/>
      <c r="Y690" s="117"/>
      <c r="Z690" s="117"/>
    </row>
    <row r="691" spans="1:26">
      <c r="A691" s="117"/>
      <c r="B691" s="117"/>
      <c r="C691" s="117"/>
      <c r="D691" s="117"/>
      <c r="E691" s="117"/>
      <c r="F691" s="117"/>
      <c r="G691" s="116"/>
      <c r="H691" s="117"/>
      <c r="I691" s="117"/>
      <c r="J691" s="117"/>
      <c r="K691" s="117"/>
      <c r="L691" s="117"/>
      <c r="M691" s="213"/>
      <c r="N691" s="117"/>
      <c r="O691" s="117"/>
      <c r="P691" s="117"/>
      <c r="Q691" s="200"/>
      <c r="R691" s="239"/>
      <c r="S691" s="239"/>
      <c r="T691" s="239"/>
      <c r="U691" s="216"/>
      <c r="V691" s="217"/>
      <c r="W691" s="233"/>
      <c r="X691" s="123"/>
      <c r="Y691" s="117"/>
      <c r="Z691" s="117"/>
    </row>
    <row r="692" spans="1:26">
      <c r="A692" s="117"/>
      <c r="B692" s="117"/>
      <c r="C692" s="117"/>
      <c r="D692" s="117"/>
      <c r="E692" s="117"/>
      <c r="F692" s="117"/>
      <c r="G692" s="116"/>
      <c r="H692" s="117"/>
      <c r="I692" s="117"/>
      <c r="J692" s="117"/>
      <c r="K692" s="117"/>
      <c r="L692" s="117"/>
      <c r="M692" s="213"/>
      <c r="N692" s="117"/>
      <c r="O692" s="117"/>
      <c r="P692" s="117"/>
      <c r="Q692" s="200"/>
      <c r="R692" s="239"/>
      <c r="S692" s="239"/>
      <c r="T692" s="239"/>
      <c r="U692" s="216"/>
      <c r="V692" s="217"/>
      <c r="W692" s="233"/>
      <c r="X692" s="123"/>
      <c r="Y692" s="117"/>
      <c r="Z692" s="117"/>
    </row>
    <row r="693" spans="1:26">
      <c r="A693" s="117"/>
      <c r="B693" s="117"/>
      <c r="C693" s="117"/>
      <c r="D693" s="117"/>
      <c r="E693" s="117"/>
      <c r="F693" s="117"/>
      <c r="G693" s="116"/>
      <c r="H693" s="117"/>
      <c r="I693" s="117"/>
      <c r="J693" s="117"/>
      <c r="K693" s="117"/>
      <c r="L693" s="117"/>
      <c r="M693" s="213"/>
      <c r="N693" s="117"/>
      <c r="O693" s="117"/>
      <c r="P693" s="117"/>
      <c r="Q693" s="200"/>
      <c r="R693" s="239"/>
      <c r="S693" s="239"/>
      <c r="T693" s="239"/>
      <c r="U693" s="216"/>
      <c r="V693" s="217"/>
      <c r="W693" s="233"/>
      <c r="X693" s="123"/>
      <c r="Y693" s="117"/>
      <c r="Z693" s="117"/>
    </row>
    <row r="694" spans="1:26">
      <c r="A694" s="117"/>
      <c r="B694" s="117"/>
      <c r="C694" s="117"/>
      <c r="D694" s="117"/>
      <c r="E694" s="117"/>
      <c r="F694" s="117"/>
      <c r="G694" s="116"/>
      <c r="H694" s="117"/>
      <c r="I694" s="117"/>
      <c r="J694" s="117"/>
      <c r="K694" s="117"/>
      <c r="L694" s="117"/>
      <c r="M694" s="213"/>
      <c r="N694" s="117"/>
      <c r="O694" s="117"/>
      <c r="P694" s="117"/>
      <c r="Q694" s="200"/>
      <c r="R694" s="239"/>
      <c r="S694" s="239"/>
      <c r="T694" s="239"/>
      <c r="U694" s="216"/>
      <c r="V694" s="217"/>
      <c r="W694" s="233"/>
      <c r="X694" s="123"/>
      <c r="Y694" s="117"/>
      <c r="Z694" s="117"/>
    </row>
    <row r="695" spans="1:26">
      <c r="A695" s="117"/>
      <c r="B695" s="117"/>
      <c r="C695" s="117"/>
      <c r="D695" s="117"/>
      <c r="E695" s="117"/>
      <c r="F695" s="117"/>
      <c r="G695" s="116"/>
      <c r="H695" s="117"/>
      <c r="I695" s="117"/>
      <c r="J695" s="117"/>
      <c r="K695" s="117"/>
      <c r="L695" s="117"/>
      <c r="M695" s="213"/>
      <c r="N695" s="117"/>
      <c r="O695" s="117"/>
      <c r="P695" s="117"/>
      <c r="Q695" s="200"/>
      <c r="R695" s="239"/>
      <c r="S695" s="239"/>
      <c r="T695" s="239"/>
      <c r="U695" s="216"/>
      <c r="V695" s="217"/>
      <c r="W695" s="233"/>
      <c r="X695" s="123"/>
      <c r="Y695" s="117"/>
      <c r="Z695" s="117"/>
    </row>
    <row r="696" spans="1:26">
      <c r="A696" s="117"/>
      <c r="B696" s="117"/>
      <c r="C696" s="117"/>
      <c r="D696" s="117"/>
      <c r="E696" s="117"/>
      <c r="F696" s="117"/>
      <c r="G696" s="116"/>
      <c r="H696" s="117"/>
      <c r="I696" s="117"/>
      <c r="J696" s="117"/>
      <c r="K696" s="117"/>
      <c r="L696" s="117"/>
      <c r="M696" s="213"/>
      <c r="N696" s="117"/>
      <c r="O696" s="117"/>
      <c r="P696" s="117"/>
      <c r="Q696" s="200"/>
      <c r="R696" s="239"/>
      <c r="S696" s="239"/>
      <c r="T696" s="239"/>
      <c r="U696" s="216"/>
      <c r="V696" s="217"/>
      <c r="W696" s="233"/>
      <c r="X696" s="123"/>
      <c r="Y696" s="117"/>
      <c r="Z696" s="117"/>
    </row>
    <row r="697" spans="1:26">
      <c r="A697" s="117"/>
      <c r="B697" s="117"/>
      <c r="C697" s="117"/>
      <c r="D697" s="117"/>
      <c r="E697" s="117"/>
      <c r="F697" s="117"/>
      <c r="G697" s="116"/>
      <c r="H697" s="117"/>
      <c r="I697" s="117"/>
      <c r="J697" s="117"/>
      <c r="K697" s="117"/>
      <c r="L697" s="117"/>
      <c r="M697" s="213"/>
      <c r="N697" s="117"/>
      <c r="O697" s="117"/>
      <c r="P697" s="117"/>
      <c r="Q697" s="200"/>
      <c r="R697" s="239"/>
      <c r="S697" s="239"/>
      <c r="T697" s="239"/>
      <c r="U697" s="216"/>
      <c r="V697" s="217"/>
      <c r="W697" s="233"/>
      <c r="X697" s="123"/>
      <c r="Y697" s="117"/>
      <c r="Z697" s="117"/>
    </row>
    <row r="698" spans="1:26">
      <c r="A698" s="117"/>
      <c r="B698" s="117"/>
      <c r="C698" s="117"/>
      <c r="D698" s="117"/>
      <c r="E698" s="117"/>
      <c r="F698" s="117"/>
      <c r="G698" s="116"/>
      <c r="H698" s="117"/>
      <c r="I698" s="117"/>
      <c r="J698" s="117"/>
      <c r="K698" s="117"/>
      <c r="L698" s="117"/>
      <c r="M698" s="213"/>
      <c r="N698" s="117"/>
      <c r="O698" s="117"/>
      <c r="P698" s="117"/>
      <c r="Q698" s="200"/>
      <c r="R698" s="239"/>
      <c r="S698" s="239"/>
      <c r="T698" s="239"/>
      <c r="U698" s="216"/>
      <c r="V698" s="217"/>
      <c r="W698" s="233"/>
      <c r="X698" s="123"/>
      <c r="Y698" s="117"/>
      <c r="Z698" s="117"/>
    </row>
    <row r="699" spans="1:26">
      <c r="A699" s="117"/>
      <c r="B699" s="117"/>
      <c r="C699" s="117"/>
      <c r="D699" s="117"/>
      <c r="E699" s="117"/>
      <c r="F699" s="117"/>
      <c r="G699" s="116"/>
      <c r="H699" s="117"/>
      <c r="I699" s="117"/>
      <c r="J699" s="117"/>
      <c r="K699" s="117"/>
      <c r="L699" s="117"/>
      <c r="M699" s="213"/>
      <c r="N699" s="117"/>
      <c r="O699" s="117"/>
      <c r="P699" s="117"/>
      <c r="Q699" s="200"/>
      <c r="R699" s="239"/>
      <c r="S699" s="239"/>
      <c r="T699" s="239"/>
      <c r="U699" s="216"/>
      <c r="V699" s="217"/>
      <c r="W699" s="233"/>
      <c r="X699" s="123"/>
      <c r="Y699" s="117"/>
      <c r="Z699" s="117"/>
    </row>
    <row r="700" spans="1:26">
      <c r="A700" s="117"/>
      <c r="B700" s="117"/>
      <c r="C700" s="117"/>
      <c r="D700" s="117"/>
      <c r="E700" s="117"/>
      <c r="F700" s="117"/>
      <c r="G700" s="116"/>
      <c r="H700" s="117"/>
      <c r="I700" s="117"/>
      <c r="J700" s="117"/>
      <c r="K700" s="117"/>
      <c r="L700" s="117"/>
      <c r="M700" s="213"/>
      <c r="N700" s="117"/>
      <c r="O700" s="117"/>
      <c r="P700" s="117"/>
      <c r="Q700" s="200"/>
      <c r="R700" s="239"/>
      <c r="S700" s="239"/>
      <c r="T700" s="239"/>
      <c r="U700" s="216"/>
      <c r="V700" s="217"/>
      <c r="W700" s="233"/>
      <c r="X700" s="123"/>
      <c r="Y700" s="117"/>
      <c r="Z700" s="117"/>
    </row>
    <row r="701" spans="1:26">
      <c r="A701" s="117"/>
      <c r="B701" s="117"/>
      <c r="C701" s="117"/>
      <c r="D701" s="117"/>
      <c r="E701" s="117"/>
      <c r="F701" s="117"/>
      <c r="G701" s="116"/>
      <c r="H701" s="117"/>
      <c r="I701" s="117"/>
      <c r="J701" s="117"/>
      <c r="K701" s="117"/>
      <c r="L701" s="117"/>
      <c r="M701" s="213"/>
      <c r="N701" s="117"/>
      <c r="O701" s="117"/>
      <c r="P701" s="117"/>
      <c r="Q701" s="200"/>
      <c r="R701" s="239"/>
      <c r="S701" s="239"/>
      <c r="T701" s="239"/>
      <c r="U701" s="216"/>
      <c r="V701" s="217"/>
      <c r="W701" s="233"/>
      <c r="X701" s="123"/>
      <c r="Y701" s="117"/>
      <c r="Z701" s="117"/>
    </row>
    <row r="702" spans="1:26">
      <c r="A702" s="117"/>
      <c r="B702" s="117"/>
      <c r="C702" s="117"/>
      <c r="D702" s="117"/>
      <c r="E702" s="117"/>
      <c r="F702" s="117"/>
      <c r="G702" s="116"/>
      <c r="H702" s="117"/>
      <c r="I702" s="117"/>
      <c r="J702" s="117"/>
      <c r="K702" s="117"/>
      <c r="L702" s="117"/>
      <c r="M702" s="213"/>
      <c r="N702" s="117"/>
      <c r="O702" s="117"/>
      <c r="P702" s="117"/>
      <c r="Q702" s="200"/>
      <c r="R702" s="239"/>
      <c r="S702" s="239"/>
      <c r="T702" s="239"/>
      <c r="U702" s="216"/>
      <c r="V702" s="217"/>
      <c r="W702" s="233"/>
      <c r="X702" s="123"/>
      <c r="Y702" s="117"/>
      <c r="Z702" s="117"/>
    </row>
    <row r="703" spans="1:26">
      <c r="A703" s="117"/>
      <c r="B703" s="117"/>
      <c r="C703" s="117"/>
      <c r="D703" s="117"/>
      <c r="E703" s="117"/>
      <c r="F703" s="117"/>
      <c r="G703" s="116"/>
      <c r="H703" s="117"/>
      <c r="I703" s="117"/>
      <c r="J703" s="117"/>
      <c r="K703" s="117"/>
      <c r="L703" s="117"/>
      <c r="M703" s="213"/>
      <c r="N703" s="117"/>
      <c r="O703" s="117"/>
      <c r="P703" s="117"/>
      <c r="Q703" s="200"/>
      <c r="R703" s="239"/>
      <c r="S703" s="239"/>
      <c r="T703" s="239"/>
      <c r="U703" s="216"/>
      <c r="V703" s="217"/>
      <c r="W703" s="233"/>
      <c r="X703" s="123"/>
      <c r="Y703" s="117"/>
      <c r="Z703" s="117"/>
    </row>
    <row r="704" spans="1:26">
      <c r="A704" s="117"/>
      <c r="B704" s="117"/>
      <c r="C704" s="117"/>
      <c r="D704" s="117"/>
      <c r="E704" s="117"/>
      <c r="F704" s="117"/>
      <c r="G704" s="116"/>
      <c r="H704" s="117"/>
      <c r="I704" s="117"/>
      <c r="J704" s="117"/>
      <c r="K704" s="117"/>
      <c r="L704" s="117"/>
      <c r="M704" s="213"/>
      <c r="N704" s="117"/>
      <c r="O704" s="117"/>
      <c r="P704" s="117"/>
      <c r="Q704" s="200"/>
      <c r="R704" s="239"/>
      <c r="S704" s="239"/>
      <c r="T704" s="239"/>
      <c r="U704" s="216"/>
      <c r="V704" s="217"/>
      <c r="W704" s="233"/>
      <c r="X704" s="123"/>
      <c r="Y704" s="117"/>
      <c r="Z704" s="117"/>
    </row>
    <row r="705" spans="1:26">
      <c r="A705" s="117"/>
      <c r="B705" s="117"/>
      <c r="C705" s="117"/>
      <c r="D705" s="117"/>
      <c r="E705" s="117"/>
      <c r="F705" s="117"/>
      <c r="G705" s="116"/>
      <c r="H705" s="117"/>
      <c r="I705" s="117"/>
      <c r="J705" s="117"/>
      <c r="K705" s="117"/>
      <c r="L705" s="117"/>
      <c r="M705" s="213"/>
      <c r="N705" s="117"/>
      <c r="O705" s="117"/>
      <c r="P705" s="117"/>
      <c r="Q705" s="200"/>
      <c r="R705" s="239"/>
      <c r="S705" s="239"/>
      <c r="T705" s="239"/>
      <c r="U705" s="216"/>
      <c r="V705" s="217"/>
      <c r="W705" s="233"/>
      <c r="X705" s="123"/>
      <c r="Y705" s="117"/>
      <c r="Z705" s="117"/>
    </row>
    <row r="706" spans="1:26">
      <c r="A706" s="117"/>
      <c r="B706" s="117"/>
      <c r="C706" s="117"/>
      <c r="D706" s="117"/>
      <c r="E706" s="117"/>
      <c r="F706" s="117"/>
      <c r="G706" s="116"/>
      <c r="H706" s="117"/>
      <c r="I706" s="117"/>
      <c r="J706" s="117"/>
      <c r="K706" s="117"/>
      <c r="L706" s="117"/>
      <c r="M706" s="213"/>
      <c r="N706" s="117"/>
      <c r="O706" s="117"/>
      <c r="P706" s="117"/>
      <c r="Q706" s="200"/>
      <c r="R706" s="239"/>
      <c r="S706" s="239"/>
      <c r="T706" s="239"/>
      <c r="U706" s="216"/>
      <c r="V706" s="217"/>
      <c r="W706" s="233"/>
      <c r="X706" s="123"/>
      <c r="Y706" s="117"/>
      <c r="Z706" s="117"/>
    </row>
    <row r="707" spans="1:26">
      <c r="A707" s="117"/>
      <c r="B707" s="117"/>
      <c r="C707" s="117"/>
      <c r="D707" s="117"/>
      <c r="E707" s="117"/>
      <c r="F707" s="117"/>
      <c r="G707" s="116"/>
      <c r="H707" s="117"/>
      <c r="I707" s="117"/>
      <c r="J707" s="117"/>
      <c r="K707" s="117"/>
      <c r="L707" s="117"/>
      <c r="M707" s="213"/>
      <c r="N707" s="117"/>
      <c r="O707" s="117"/>
      <c r="P707" s="117"/>
      <c r="Q707" s="200"/>
      <c r="R707" s="239"/>
      <c r="S707" s="239"/>
      <c r="T707" s="239"/>
      <c r="U707" s="216"/>
      <c r="V707" s="217"/>
      <c r="W707" s="233"/>
      <c r="X707" s="123"/>
      <c r="Y707" s="117"/>
      <c r="Z707" s="117"/>
    </row>
    <row r="708" spans="1:26">
      <c r="A708" s="117"/>
      <c r="B708" s="117"/>
      <c r="C708" s="117"/>
      <c r="D708" s="117"/>
      <c r="E708" s="117"/>
      <c r="F708" s="117"/>
      <c r="G708" s="116"/>
      <c r="H708" s="117"/>
      <c r="I708" s="117"/>
      <c r="J708" s="117"/>
      <c r="K708" s="117"/>
      <c r="L708" s="117"/>
      <c r="M708" s="213"/>
      <c r="N708" s="117"/>
      <c r="O708" s="117"/>
      <c r="P708" s="117"/>
      <c r="Q708" s="200"/>
      <c r="R708" s="239"/>
      <c r="S708" s="239"/>
      <c r="T708" s="239"/>
      <c r="U708" s="216"/>
      <c r="V708" s="217"/>
      <c r="W708" s="233"/>
      <c r="X708" s="123"/>
      <c r="Y708" s="117"/>
      <c r="Z708" s="117"/>
    </row>
    <row r="709" spans="1:26">
      <c r="A709" s="117"/>
      <c r="B709" s="117"/>
      <c r="C709" s="117"/>
      <c r="D709" s="117"/>
      <c r="E709" s="117"/>
      <c r="F709" s="117"/>
      <c r="G709" s="116"/>
      <c r="H709" s="117"/>
      <c r="I709" s="117"/>
      <c r="J709" s="117"/>
      <c r="K709" s="117"/>
      <c r="L709" s="117"/>
      <c r="M709" s="213"/>
      <c r="N709" s="117"/>
      <c r="O709" s="117"/>
      <c r="P709" s="117"/>
      <c r="Q709" s="200"/>
      <c r="R709" s="239"/>
      <c r="S709" s="239"/>
      <c r="T709" s="239"/>
      <c r="U709" s="216"/>
      <c r="V709" s="217"/>
      <c r="W709" s="233"/>
      <c r="X709" s="123"/>
      <c r="Y709" s="117"/>
      <c r="Z709" s="117"/>
    </row>
    <row r="710" spans="1:26">
      <c r="A710" s="117"/>
      <c r="B710" s="117"/>
      <c r="C710" s="117"/>
      <c r="D710" s="117"/>
      <c r="E710" s="117"/>
      <c r="F710" s="117"/>
      <c r="G710" s="116"/>
      <c r="H710" s="117"/>
      <c r="I710" s="117"/>
      <c r="J710" s="117"/>
      <c r="K710" s="117"/>
      <c r="L710" s="117"/>
      <c r="M710" s="213"/>
      <c r="N710" s="117"/>
      <c r="O710" s="117"/>
      <c r="P710" s="117"/>
      <c r="Q710" s="200"/>
      <c r="R710" s="239"/>
      <c r="S710" s="239"/>
      <c r="T710" s="239"/>
      <c r="U710" s="216"/>
      <c r="V710" s="217"/>
      <c r="W710" s="233"/>
      <c r="X710" s="123"/>
      <c r="Y710" s="117"/>
      <c r="Z710" s="117"/>
    </row>
    <row r="711" spans="1:26">
      <c r="A711" s="117"/>
      <c r="B711" s="117"/>
      <c r="C711" s="117"/>
      <c r="D711" s="117"/>
      <c r="E711" s="117"/>
      <c r="F711" s="117"/>
      <c r="G711" s="116"/>
      <c r="H711" s="117"/>
      <c r="I711" s="117"/>
      <c r="J711" s="117"/>
      <c r="K711" s="117"/>
      <c r="L711" s="117"/>
      <c r="M711" s="213"/>
      <c r="N711" s="117"/>
      <c r="O711" s="117"/>
      <c r="P711" s="117"/>
      <c r="Q711" s="200"/>
      <c r="R711" s="239"/>
      <c r="S711" s="239"/>
      <c r="T711" s="239"/>
      <c r="U711" s="216"/>
      <c r="V711" s="217"/>
      <c r="W711" s="233"/>
      <c r="X711" s="123"/>
      <c r="Y711" s="117"/>
      <c r="Z711" s="117"/>
    </row>
    <row r="712" spans="1:26">
      <c r="A712" s="117"/>
      <c r="B712" s="117"/>
      <c r="C712" s="117"/>
      <c r="D712" s="117"/>
      <c r="E712" s="117"/>
      <c r="F712" s="117"/>
      <c r="G712" s="116"/>
      <c r="H712" s="117"/>
      <c r="I712" s="117"/>
      <c r="J712" s="117"/>
      <c r="K712" s="117"/>
      <c r="L712" s="117"/>
      <c r="M712" s="213"/>
      <c r="N712" s="117"/>
      <c r="O712" s="117"/>
      <c r="P712" s="117"/>
      <c r="Q712" s="200"/>
      <c r="R712" s="239"/>
      <c r="S712" s="239"/>
      <c r="T712" s="239"/>
      <c r="U712" s="216"/>
      <c r="V712" s="217"/>
      <c r="W712" s="233"/>
      <c r="X712" s="123"/>
      <c r="Y712" s="117"/>
      <c r="Z712" s="117"/>
    </row>
    <row r="713" spans="1:26">
      <c r="A713" s="117"/>
      <c r="B713" s="117"/>
      <c r="C713" s="117"/>
      <c r="D713" s="117"/>
      <c r="E713" s="117"/>
      <c r="F713" s="117"/>
      <c r="G713" s="116"/>
      <c r="H713" s="117"/>
      <c r="I713" s="117"/>
      <c r="J713" s="117"/>
      <c r="K713" s="117"/>
      <c r="L713" s="117"/>
      <c r="M713" s="213"/>
      <c r="N713" s="117"/>
      <c r="O713" s="117"/>
      <c r="P713" s="117"/>
      <c r="Q713" s="200"/>
      <c r="R713" s="239"/>
      <c r="S713" s="239"/>
      <c r="T713" s="239"/>
      <c r="U713" s="216"/>
      <c r="V713" s="217"/>
      <c r="W713" s="233"/>
      <c r="X713" s="123"/>
      <c r="Y713" s="117"/>
      <c r="Z713" s="117"/>
    </row>
    <row r="714" spans="1:26">
      <c r="A714" s="117"/>
      <c r="B714" s="117"/>
      <c r="C714" s="117"/>
      <c r="D714" s="117"/>
      <c r="E714" s="117"/>
      <c r="F714" s="117"/>
      <c r="G714" s="116"/>
      <c r="H714" s="117"/>
      <c r="I714" s="117"/>
      <c r="J714" s="117"/>
      <c r="K714" s="117"/>
      <c r="L714" s="117"/>
      <c r="M714" s="213"/>
      <c r="N714" s="117"/>
      <c r="O714" s="117"/>
      <c r="P714" s="117"/>
      <c r="Q714" s="200"/>
      <c r="R714" s="239"/>
      <c r="S714" s="239"/>
      <c r="T714" s="239"/>
      <c r="U714" s="216"/>
      <c r="V714" s="217"/>
      <c r="W714" s="233"/>
      <c r="X714" s="123"/>
      <c r="Y714" s="117"/>
      <c r="Z714" s="117"/>
    </row>
    <row r="715" spans="1:26">
      <c r="A715" s="117"/>
      <c r="B715" s="117"/>
      <c r="C715" s="117"/>
      <c r="D715" s="117"/>
      <c r="E715" s="117"/>
      <c r="F715" s="117"/>
      <c r="G715" s="116"/>
      <c r="H715" s="117"/>
      <c r="I715" s="117"/>
      <c r="J715" s="117"/>
      <c r="K715" s="117"/>
      <c r="L715" s="117"/>
      <c r="M715" s="213"/>
      <c r="N715" s="117"/>
      <c r="O715" s="117"/>
      <c r="P715" s="117"/>
      <c r="Q715" s="200"/>
      <c r="R715" s="239"/>
      <c r="S715" s="239"/>
      <c r="T715" s="239"/>
      <c r="U715" s="216"/>
      <c r="V715" s="217"/>
      <c r="W715" s="233"/>
      <c r="X715" s="123"/>
      <c r="Y715" s="117"/>
      <c r="Z715" s="117"/>
    </row>
    <row r="716" spans="1:26">
      <c r="A716" s="117"/>
      <c r="B716" s="117"/>
      <c r="C716" s="117"/>
      <c r="D716" s="117"/>
      <c r="E716" s="117"/>
      <c r="F716" s="117"/>
      <c r="G716" s="116"/>
      <c r="H716" s="117"/>
      <c r="I716" s="117"/>
      <c r="J716" s="117"/>
      <c r="K716" s="117"/>
      <c r="L716" s="117"/>
      <c r="M716" s="213"/>
      <c r="N716" s="117"/>
      <c r="O716" s="117"/>
      <c r="P716" s="117"/>
      <c r="Q716" s="200"/>
      <c r="R716" s="239"/>
      <c r="S716" s="239"/>
      <c r="T716" s="239"/>
      <c r="U716" s="216"/>
      <c r="V716" s="217"/>
      <c r="W716" s="233"/>
      <c r="X716" s="123"/>
      <c r="Y716" s="117"/>
      <c r="Z716" s="117"/>
    </row>
    <row r="717" spans="1:26">
      <c r="A717" s="117"/>
      <c r="B717" s="117"/>
      <c r="C717" s="117"/>
      <c r="D717" s="117"/>
      <c r="E717" s="117"/>
      <c r="F717" s="117"/>
      <c r="G717" s="116"/>
      <c r="H717" s="117"/>
      <c r="I717" s="117"/>
      <c r="J717" s="117"/>
      <c r="K717" s="117"/>
      <c r="L717" s="117"/>
      <c r="M717" s="213"/>
      <c r="N717" s="117"/>
      <c r="O717" s="117"/>
      <c r="P717" s="117"/>
      <c r="Q717" s="200"/>
      <c r="R717" s="239"/>
      <c r="S717" s="239"/>
      <c r="T717" s="239"/>
      <c r="U717" s="216"/>
      <c r="V717" s="217"/>
      <c r="W717" s="233"/>
      <c r="X717" s="123"/>
      <c r="Y717" s="117"/>
      <c r="Z717" s="117"/>
    </row>
    <row r="718" spans="1:26">
      <c r="A718" s="117"/>
      <c r="B718" s="117"/>
      <c r="C718" s="117"/>
      <c r="D718" s="117"/>
      <c r="E718" s="117"/>
      <c r="F718" s="117"/>
      <c r="G718" s="116"/>
      <c r="H718" s="117"/>
      <c r="I718" s="117"/>
      <c r="J718" s="117"/>
      <c r="K718" s="117"/>
      <c r="L718" s="117"/>
      <c r="M718" s="213"/>
      <c r="N718" s="117"/>
      <c r="O718" s="117"/>
      <c r="P718" s="117"/>
      <c r="Q718" s="200"/>
      <c r="R718" s="239"/>
      <c r="S718" s="239"/>
      <c r="T718" s="239"/>
      <c r="U718" s="216"/>
      <c r="V718" s="217"/>
      <c r="W718" s="233"/>
      <c r="X718" s="123"/>
      <c r="Y718" s="117"/>
      <c r="Z718" s="117"/>
    </row>
    <row r="719" spans="1:26">
      <c r="A719" s="117"/>
      <c r="B719" s="117"/>
      <c r="C719" s="117"/>
      <c r="D719" s="117"/>
      <c r="E719" s="117"/>
      <c r="F719" s="117"/>
      <c r="G719" s="116"/>
      <c r="H719" s="117"/>
      <c r="I719" s="117"/>
      <c r="J719" s="117"/>
      <c r="K719" s="117"/>
      <c r="L719" s="117"/>
      <c r="M719" s="213"/>
      <c r="N719" s="117"/>
      <c r="O719" s="117"/>
      <c r="P719" s="117"/>
      <c r="Q719" s="200"/>
      <c r="R719" s="239"/>
      <c r="S719" s="239"/>
      <c r="T719" s="239"/>
      <c r="U719" s="216"/>
      <c r="V719" s="217"/>
      <c r="W719" s="233"/>
      <c r="X719" s="123"/>
      <c r="Y719" s="117"/>
      <c r="Z719" s="117"/>
    </row>
    <row r="720" spans="1:26">
      <c r="A720" s="117"/>
      <c r="B720" s="117"/>
      <c r="C720" s="117"/>
      <c r="D720" s="117"/>
      <c r="E720" s="117"/>
      <c r="F720" s="117"/>
      <c r="G720" s="116"/>
      <c r="H720" s="117"/>
      <c r="I720" s="117"/>
      <c r="J720" s="117"/>
      <c r="K720" s="117"/>
      <c r="L720" s="117"/>
      <c r="M720" s="213"/>
      <c r="N720" s="117"/>
      <c r="O720" s="117"/>
      <c r="P720" s="117"/>
      <c r="Q720" s="200"/>
      <c r="R720" s="239"/>
      <c r="S720" s="239"/>
      <c r="T720" s="239"/>
      <c r="U720" s="216"/>
      <c r="V720" s="217"/>
      <c r="W720" s="233"/>
      <c r="X720" s="123"/>
      <c r="Y720" s="117"/>
      <c r="Z720" s="117"/>
    </row>
    <row r="721" spans="1:26">
      <c r="A721" s="117"/>
      <c r="B721" s="117"/>
      <c r="C721" s="117"/>
      <c r="D721" s="117"/>
      <c r="E721" s="117"/>
      <c r="F721" s="117"/>
      <c r="G721" s="116"/>
      <c r="H721" s="117"/>
      <c r="I721" s="117"/>
      <c r="J721" s="117"/>
      <c r="K721" s="117"/>
      <c r="L721" s="117"/>
      <c r="M721" s="213"/>
      <c r="N721" s="117"/>
      <c r="O721" s="117"/>
      <c r="P721" s="117"/>
      <c r="Q721" s="200"/>
      <c r="R721" s="239"/>
      <c r="S721" s="239"/>
      <c r="T721" s="239"/>
      <c r="U721" s="216"/>
      <c r="V721" s="217"/>
      <c r="W721" s="233"/>
      <c r="X721" s="123"/>
      <c r="Y721" s="117"/>
      <c r="Z721" s="117"/>
    </row>
    <row r="722" spans="1:26">
      <c r="A722" s="117"/>
      <c r="B722" s="117"/>
      <c r="C722" s="117"/>
      <c r="D722" s="117"/>
      <c r="E722" s="117"/>
      <c r="F722" s="117"/>
      <c r="G722" s="116"/>
      <c r="H722" s="117"/>
      <c r="I722" s="117"/>
      <c r="J722" s="117"/>
      <c r="K722" s="117"/>
      <c r="L722" s="117"/>
      <c r="M722" s="213"/>
      <c r="N722" s="117"/>
      <c r="O722" s="117"/>
      <c r="P722" s="117"/>
      <c r="Q722" s="200"/>
      <c r="R722" s="239"/>
      <c r="S722" s="239"/>
      <c r="T722" s="239"/>
      <c r="U722" s="216"/>
      <c r="V722" s="217"/>
      <c r="W722" s="233"/>
      <c r="X722" s="123"/>
      <c r="Y722" s="117"/>
      <c r="Z722" s="117"/>
    </row>
    <row r="723" spans="1:26">
      <c r="A723" s="117"/>
      <c r="B723" s="117"/>
      <c r="C723" s="117"/>
      <c r="D723" s="117"/>
      <c r="E723" s="117"/>
      <c r="F723" s="117"/>
      <c r="G723" s="116"/>
      <c r="H723" s="117"/>
      <c r="I723" s="117"/>
      <c r="J723" s="117"/>
      <c r="K723" s="117"/>
      <c r="L723" s="117"/>
      <c r="M723" s="213"/>
      <c r="N723" s="117"/>
      <c r="O723" s="117"/>
      <c r="P723" s="117"/>
      <c r="Q723" s="200"/>
      <c r="R723" s="239"/>
      <c r="S723" s="239"/>
      <c r="T723" s="239"/>
      <c r="U723" s="216"/>
      <c r="V723" s="217"/>
      <c r="W723" s="233"/>
      <c r="X723" s="123"/>
      <c r="Y723" s="117"/>
      <c r="Z723" s="117"/>
    </row>
    <row r="724" spans="1:26">
      <c r="A724" s="117"/>
      <c r="B724" s="117"/>
      <c r="C724" s="117"/>
      <c r="D724" s="117"/>
      <c r="E724" s="117"/>
      <c r="F724" s="117"/>
      <c r="G724" s="116"/>
      <c r="H724" s="117"/>
      <c r="I724" s="117"/>
      <c r="J724" s="117"/>
      <c r="K724" s="117"/>
      <c r="L724" s="117"/>
      <c r="M724" s="213"/>
      <c r="N724" s="117"/>
      <c r="O724" s="117"/>
      <c r="P724" s="117"/>
      <c r="Q724" s="200"/>
      <c r="R724" s="239"/>
      <c r="S724" s="239"/>
      <c r="T724" s="239"/>
      <c r="U724" s="216"/>
      <c r="V724" s="217"/>
      <c r="W724" s="233"/>
      <c r="X724" s="123"/>
      <c r="Y724" s="117"/>
      <c r="Z724" s="117"/>
    </row>
    <row r="725" spans="1:26">
      <c r="A725" s="117"/>
      <c r="B725" s="117"/>
      <c r="C725" s="117"/>
      <c r="D725" s="117"/>
      <c r="E725" s="117"/>
      <c r="F725" s="117"/>
      <c r="G725" s="116"/>
      <c r="H725" s="117"/>
      <c r="I725" s="117"/>
      <c r="J725" s="117"/>
      <c r="K725" s="117"/>
      <c r="L725" s="117"/>
      <c r="M725" s="213"/>
      <c r="N725" s="117"/>
      <c r="O725" s="117"/>
      <c r="P725" s="117"/>
      <c r="Q725" s="200"/>
      <c r="R725" s="239"/>
      <c r="S725" s="239"/>
      <c r="T725" s="239"/>
      <c r="U725" s="216"/>
      <c r="V725" s="217"/>
      <c r="W725" s="233"/>
      <c r="X725" s="123"/>
      <c r="Y725" s="117"/>
      <c r="Z725" s="117"/>
    </row>
    <row r="726" spans="1:26">
      <c r="A726" s="117"/>
      <c r="B726" s="117"/>
      <c r="C726" s="117"/>
      <c r="D726" s="117"/>
      <c r="E726" s="117"/>
      <c r="F726" s="117"/>
      <c r="G726" s="116"/>
      <c r="H726" s="117"/>
      <c r="I726" s="117"/>
      <c r="J726" s="117"/>
      <c r="K726" s="117"/>
      <c r="L726" s="117"/>
      <c r="M726" s="213"/>
      <c r="N726" s="117"/>
      <c r="O726" s="117"/>
      <c r="P726" s="117"/>
      <c r="Q726" s="200"/>
      <c r="R726" s="239"/>
      <c r="S726" s="239"/>
      <c r="T726" s="239"/>
      <c r="U726" s="216"/>
      <c r="V726" s="217"/>
      <c r="W726" s="233"/>
      <c r="X726" s="123"/>
      <c r="Y726" s="117"/>
      <c r="Z726" s="117"/>
    </row>
    <row r="727" spans="1:26">
      <c r="A727" s="117"/>
      <c r="B727" s="117"/>
      <c r="C727" s="117"/>
      <c r="D727" s="117"/>
      <c r="E727" s="117"/>
      <c r="F727" s="117"/>
      <c r="G727" s="116"/>
      <c r="H727" s="117"/>
      <c r="I727" s="117"/>
      <c r="J727" s="117"/>
      <c r="K727" s="117"/>
      <c r="L727" s="117"/>
      <c r="M727" s="213"/>
      <c r="N727" s="117"/>
      <c r="O727" s="117"/>
      <c r="P727" s="117"/>
      <c r="Q727" s="200"/>
      <c r="R727" s="239"/>
      <c r="S727" s="239"/>
      <c r="T727" s="239"/>
      <c r="U727" s="216"/>
      <c r="V727" s="217"/>
      <c r="W727" s="233"/>
      <c r="X727" s="123"/>
      <c r="Y727" s="117"/>
      <c r="Z727" s="117"/>
    </row>
    <row r="728" spans="1:26">
      <c r="A728" s="117"/>
      <c r="B728" s="117"/>
      <c r="C728" s="117"/>
      <c r="D728" s="117"/>
      <c r="E728" s="117"/>
      <c r="F728" s="117"/>
      <c r="G728" s="116"/>
      <c r="H728" s="117"/>
      <c r="I728" s="117"/>
      <c r="J728" s="117"/>
      <c r="K728" s="117"/>
      <c r="L728" s="117"/>
      <c r="M728" s="213"/>
      <c r="N728" s="117"/>
      <c r="O728" s="117"/>
      <c r="P728" s="117"/>
      <c r="Q728" s="200"/>
      <c r="R728" s="239"/>
      <c r="S728" s="239"/>
      <c r="T728" s="239"/>
      <c r="U728" s="216"/>
      <c r="V728" s="217"/>
      <c r="W728" s="233"/>
      <c r="X728" s="123"/>
      <c r="Y728" s="117"/>
      <c r="Z728" s="117"/>
    </row>
    <row r="729" spans="1:26">
      <c r="A729" s="117"/>
      <c r="B729" s="117"/>
      <c r="C729" s="117"/>
      <c r="D729" s="117"/>
      <c r="E729" s="117"/>
      <c r="F729" s="117"/>
      <c r="G729" s="116"/>
      <c r="H729" s="117"/>
      <c r="I729" s="117"/>
      <c r="J729" s="117"/>
      <c r="K729" s="117"/>
      <c r="L729" s="117"/>
      <c r="M729" s="213"/>
      <c r="N729" s="117"/>
      <c r="O729" s="117"/>
      <c r="P729" s="117"/>
      <c r="Q729" s="200"/>
      <c r="R729" s="239"/>
      <c r="S729" s="239"/>
      <c r="T729" s="239"/>
      <c r="U729" s="216"/>
      <c r="V729" s="217"/>
      <c r="W729" s="233"/>
      <c r="X729" s="123"/>
      <c r="Y729" s="117"/>
      <c r="Z729" s="117"/>
    </row>
    <row r="730" spans="1:26">
      <c r="A730" s="117"/>
      <c r="B730" s="117"/>
      <c r="C730" s="117"/>
      <c r="D730" s="117"/>
      <c r="E730" s="117"/>
      <c r="F730" s="117"/>
      <c r="G730" s="116"/>
      <c r="H730" s="117"/>
      <c r="I730" s="117"/>
      <c r="J730" s="117"/>
      <c r="K730" s="117"/>
      <c r="L730" s="117"/>
      <c r="M730" s="213"/>
      <c r="N730" s="117"/>
      <c r="O730" s="117"/>
      <c r="P730" s="117"/>
      <c r="Q730" s="200"/>
      <c r="R730" s="239"/>
      <c r="S730" s="239"/>
      <c r="T730" s="239"/>
      <c r="U730" s="216"/>
      <c r="V730" s="217"/>
      <c r="W730" s="233"/>
      <c r="X730" s="123"/>
      <c r="Y730" s="117"/>
      <c r="Z730" s="117"/>
    </row>
    <row r="731" spans="1:26">
      <c r="A731" s="117"/>
      <c r="B731" s="117"/>
      <c r="C731" s="117"/>
      <c r="D731" s="117"/>
      <c r="E731" s="117"/>
      <c r="F731" s="117"/>
      <c r="G731" s="116"/>
      <c r="H731" s="117"/>
      <c r="I731" s="117"/>
      <c r="J731" s="117"/>
      <c r="K731" s="117"/>
      <c r="L731" s="117"/>
      <c r="M731" s="213"/>
      <c r="N731" s="117"/>
      <c r="O731" s="117"/>
      <c r="P731" s="117"/>
      <c r="Q731" s="200"/>
      <c r="R731" s="239"/>
      <c r="S731" s="239"/>
      <c r="T731" s="239"/>
      <c r="U731" s="216"/>
      <c r="V731" s="217"/>
      <c r="W731" s="233"/>
      <c r="X731" s="123"/>
      <c r="Y731" s="117"/>
      <c r="Z731" s="117"/>
    </row>
    <row r="732" spans="1:26">
      <c r="A732" s="117"/>
      <c r="B732" s="117"/>
      <c r="C732" s="117"/>
      <c r="D732" s="117"/>
      <c r="E732" s="117"/>
      <c r="F732" s="117"/>
      <c r="G732" s="116"/>
      <c r="H732" s="117"/>
      <c r="I732" s="117"/>
      <c r="J732" s="117"/>
      <c r="K732" s="117"/>
      <c r="L732" s="117"/>
      <c r="M732" s="213"/>
      <c r="N732" s="117"/>
      <c r="O732" s="117"/>
      <c r="P732" s="117"/>
      <c r="Q732" s="200"/>
      <c r="R732" s="239"/>
      <c r="S732" s="239"/>
      <c r="T732" s="239"/>
      <c r="U732" s="216"/>
      <c r="V732" s="217"/>
      <c r="W732" s="233"/>
      <c r="X732" s="123"/>
      <c r="Y732" s="117"/>
      <c r="Z732" s="117"/>
    </row>
    <row r="733" spans="1:26">
      <c r="A733" s="117"/>
      <c r="B733" s="117"/>
      <c r="C733" s="117"/>
      <c r="D733" s="117"/>
      <c r="E733" s="117"/>
      <c r="F733" s="117"/>
      <c r="G733" s="116"/>
      <c r="H733" s="117"/>
      <c r="I733" s="117"/>
      <c r="J733" s="117"/>
      <c r="K733" s="117"/>
      <c r="L733" s="117"/>
      <c r="M733" s="213"/>
      <c r="N733" s="117"/>
      <c r="O733" s="117"/>
      <c r="P733" s="117"/>
      <c r="Q733" s="200"/>
      <c r="R733" s="239"/>
      <c r="S733" s="239"/>
      <c r="T733" s="239"/>
      <c r="U733" s="216"/>
      <c r="V733" s="217"/>
      <c r="W733" s="233"/>
      <c r="X733" s="123"/>
      <c r="Y733" s="117"/>
      <c r="Z733" s="117"/>
    </row>
    <row r="734" spans="1:26">
      <c r="A734" s="117"/>
      <c r="B734" s="117"/>
      <c r="C734" s="117"/>
      <c r="D734" s="117"/>
      <c r="E734" s="117"/>
      <c r="F734" s="117"/>
      <c r="G734" s="116"/>
      <c r="H734" s="117"/>
      <c r="I734" s="117"/>
      <c r="J734" s="117"/>
      <c r="K734" s="117"/>
      <c r="L734" s="117"/>
      <c r="M734" s="213"/>
      <c r="N734" s="117"/>
      <c r="O734" s="117"/>
      <c r="P734" s="117"/>
      <c r="Q734" s="200"/>
      <c r="R734" s="239"/>
      <c r="S734" s="239"/>
      <c r="T734" s="239"/>
      <c r="U734" s="216"/>
      <c r="V734" s="217"/>
      <c r="W734" s="233"/>
      <c r="X734" s="123"/>
      <c r="Y734" s="117"/>
      <c r="Z734" s="117"/>
    </row>
    <row r="735" spans="1:26">
      <c r="A735" s="117"/>
      <c r="B735" s="117"/>
      <c r="C735" s="117"/>
      <c r="D735" s="117"/>
      <c r="E735" s="117"/>
      <c r="F735" s="117"/>
      <c r="G735" s="116"/>
      <c r="H735" s="117"/>
      <c r="I735" s="117"/>
      <c r="J735" s="117"/>
      <c r="K735" s="117"/>
      <c r="L735" s="117"/>
      <c r="M735" s="213"/>
      <c r="N735" s="117"/>
      <c r="O735" s="117"/>
      <c r="P735" s="117"/>
      <c r="Q735" s="200"/>
      <c r="R735" s="239"/>
      <c r="S735" s="239"/>
      <c r="T735" s="239"/>
      <c r="U735" s="216"/>
      <c r="V735" s="217"/>
      <c r="W735" s="233"/>
      <c r="X735" s="123"/>
      <c r="Y735" s="117"/>
      <c r="Z735" s="117"/>
    </row>
    <row r="736" spans="1:26">
      <c r="A736" s="117"/>
      <c r="B736" s="117"/>
      <c r="C736" s="117"/>
      <c r="D736" s="117"/>
      <c r="E736" s="117"/>
      <c r="F736" s="117"/>
      <c r="G736" s="116"/>
      <c r="H736" s="117"/>
      <c r="I736" s="117"/>
      <c r="J736" s="117"/>
      <c r="K736" s="117"/>
      <c r="L736" s="117"/>
      <c r="M736" s="213"/>
      <c r="N736" s="117"/>
      <c r="O736" s="117"/>
      <c r="P736" s="117"/>
      <c r="Q736" s="200"/>
      <c r="R736" s="239"/>
      <c r="S736" s="239"/>
      <c r="T736" s="239"/>
      <c r="U736" s="216"/>
      <c r="V736" s="217"/>
      <c r="W736" s="233"/>
      <c r="X736" s="123"/>
      <c r="Y736" s="117"/>
      <c r="Z736" s="117"/>
    </row>
    <row r="737" spans="1:26">
      <c r="A737" s="117"/>
      <c r="B737" s="117"/>
      <c r="C737" s="117"/>
      <c r="D737" s="117"/>
      <c r="E737" s="117"/>
      <c r="F737" s="117"/>
      <c r="G737" s="116"/>
      <c r="H737" s="117"/>
      <c r="I737" s="117"/>
      <c r="J737" s="117"/>
      <c r="K737" s="117"/>
      <c r="L737" s="117"/>
      <c r="M737" s="213"/>
      <c r="N737" s="117"/>
      <c r="O737" s="117"/>
      <c r="P737" s="117"/>
      <c r="Q737" s="200"/>
      <c r="R737" s="239"/>
      <c r="S737" s="239"/>
      <c r="T737" s="239"/>
      <c r="U737" s="216"/>
      <c r="V737" s="217"/>
      <c r="W737" s="233"/>
      <c r="X737" s="123"/>
      <c r="Y737" s="117"/>
      <c r="Z737" s="117"/>
    </row>
    <row r="738" spans="1:26">
      <c r="A738" s="117"/>
      <c r="B738" s="117"/>
      <c r="C738" s="117"/>
      <c r="D738" s="117"/>
      <c r="E738" s="117"/>
      <c r="F738" s="117"/>
      <c r="G738" s="116"/>
      <c r="H738" s="117"/>
      <c r="I738" s="117"/>
      <c r="J738" s="117"/>
      <c r="K738" s="117"/>
      <c r="L738" s="117"/>
      <c r="M738" s="213"/>
      <c r="N738" s="117"/>
      <c r="O738" s="117"/>
      <c r="P738" s="117"/>
      <c r="Q738" s="200"/>
      <c r="R738" s="239"/>
      <c r="S738" s="239"/>
      <c r="T738" s="239"/>
      <c r="U738" s="216"/>
      <c r="V738" s="217"/>
      <c r="W738" s="233"/>
      <c r="X738" s="123"/>
      <c r="Y738" s="117"/>
      <c r="Z738" s="117"/>
    </row>
    <row r="739" spans="1:26">
      <c r="A739" s="117"/>
      <c r="B739" s="117"/>
      <c r="C739" s="117"/>
      <c r="D739" s="117"/>
      <c r="E739" s="117"/>
      <c r="F739" s="117"/>
      <c r="G739" s="116"/>
      <c r="H739" s="117"/>
      <c r="I739" s="117"/>
      <c r="J739" s="117"/>
      <c r="K739" s="117"/>
      <c r="L739" s="117"/>
      <c r="M739" s="213"/>
      <c r="N739" s="117"/>
      <c r="O739" s="117"/>
      <c r="P739" s="117"/>
      <c r="Q739" s="200"/>
      <c r="R739" s="239"/>
      <c r="S739" s="239"/>
      <c r="T739" s="239"/>
      <c r="U739" s="216"/>
      <c r="V739" s="217"/>
      <c r="W739" s="233"/>
      <c r="X739" s="123"/>
      <c r="Y739" s="117"/>
      <c r="Z739" s="117"/>
    </row>
    <row r="740" spans="1:26">
      <c r="A740" s="117"/>
      <c r="B740" s="117"/>
      <c r="C740" s="117"/>
      <c r="D740" s="117"/>
      <c r="E740" s="117"/>
      <c r="F740" s="117"/>
      <c r="G740" s="116"/>
      <c r="H740" s="117"/>
      <c r="I740" s="117"/>
      <c r="J740" s="117"/>
      <c r="K740" s="117"/>
      <c r="L740" s="117"/>
      <c r="M740" s="213"/>
      <c r="N740" s="117"/>
      <c r="O740" s="117"/>
      <c r="P740" s="117"/>
      <c r="Q740" s="200"/>
      <c r="R740" s="239"/>
      <c r="S740" s="239"/>
      <c r="T740" s="239"/>
      <c r="U740" s="216"/>
      <c r="V740" s="217"/>
      <c r="W740" s="233"/>
      <c r="X740" s="123"/>
      <c r="Y740" s="117"/>
      <c r="Z740" s="117"/>
    </row>
    <row r="741" spans="1:26">
      <c r="A741" s="117"/>
      <c r="B741" s="117"/>
      <c r="C741" s="117"/>
      <c r="D741" s="117"/>
      <c r="E741" s="117"/>
      <c r="F741" s="117"/>
      <c r="G741" s="116"/>
      <c r="H741" s="117"/>
      <c r="I741" s="117"/>
      <c r="J741" s="117"/>
      <c r="K741" s="117"/>
      <c r="L741" s="117"/>
      <c r="M741" s="213"/>
      <c r="N741" s="117"/>
      <c r="O741" s="117"/>
      <c r="P741" s="117"/>
      <c r="Q741" s="200"/>
      <c r="R741" s="239"/>
      <c r="S741" s="239"/>
      <c r="T741" s="239"/>
      <c r="U741" s="216"/>
      <c r="V741" s="217"/>
      <c r="W741" s="233"/>
      <c r="X741" s="123"/>
      <c r="Y741" s="117"/>
      <c r="Z741" s="117"/>
    </row>
    <row r="742" spans="1:26">
      <c r="A742" s="117"/>
      <c r="B742" s="117"/>
      <c r="C742" s="117"/>
      <c r="D742" s="117"/>
      <c r="E742" s="117"/>
      <c r="F742" s="117"/>
      <c r="G742" s="116"/>
      <c r="H742" s="117"/>
      <c r="I742" s="117"/>
      <c r="J742" s="117"/>
      <c r="K742" s="117"/>
      <c r="L742" s="117"/>
      <c r="M742" s="213"/>
      <c r="N742" s="117"/>
      <c r="O742" s="117"/>
      <c r="P742" s="117"/>
      <c r="Q742" s="200"/>
      <c r="R742" s="239"/>
      <c r="S742" s="239"/>
      <c r="T742" s="239"/>
      <c r="U742" s="216"/>
      <c r="V742" s="217"/>
      <c r="W742" s="233"/>
      <c r="X742" s="123"/>
      <c r="Y742" s="117"/>
      <c r="Z742" s="117"/>
    </row>
    <row r="743" spans="1:26">
      <c r="A743" s="117"/>
      <c r="B743" s="117"/>
      <c r="C743" s="117"/>
      <c r="D743" s="117"/>
      <c r="E743" s="117"/>
      <c r="F743" s="117"/>
      <c r="G743" s="116"/>
      <c r="H743" s="117"/>
      <c r="I743" s="117"/>
      <c r="J743" s="117"/>
      <c r="K743" s="117"/>
      <c r="L743" s="117"/>
      <c r="M743" s="213"/>
      <c r="N743" s="117"/>
      <c r="O743" s="117"/>
      <c r="P743" s="117"/>
      <c r="Q743" s="200"/>
      <c r="R743" s="239"/>
      <c r="S743" s="239"/>
      <c r="T743" s="239"/>
      <c r="U743" s="216"/>
      <c r="V743" s="217"/>
      <c r="W743" s="233"/>
      <c r="X743" s="123"/>
      <c r="Y743" s="117"/>
      <c r="Z743" s="117"/>
    </row>
    <row r="744" spans="1:26">
      <c r="A744" s="117"/>
      <c r="B744" s="117"/>
      <c r="C744" s="117"/>
      <c r="D744" s="117"/>
      <c r="E744" s="117"/>
      <c r="F744" s="117"/>
      <c r="G744" s="116"/>
      <c r="H744" s="117"/>
      <c r="I744" s="117"/>
      <c r="J744" s="117"/>
      <c r="K744" s="117"/>
      <c r="L744" s="117"/>
      <c r="M744" s="213"/>
      <c r="N744" s="117"/>
      <c r="O744" s="117"/>
      <c r="P744" s="117"/>
      <c r="Q744" s="200"/>
      <c r="R744" s="239"/>
      <c r="S744" s="239"/>
      <c r="T744" s="239"/>
      <c r="U744" s="216"/>
      <c r="V744" s="217"/>
      <c r="W744" s="233"/>
      <c r="X744" s="123"/>
      <c r="Y744" s="117"/>
      <c r="Z744" s="117"/>
    </row>
    <row r="745" spans="1:26">
      <c r="A745" s="117"/>
      <c r="B745" s="117"/>
      <c r="C745" s="117"/>
      <c r="D745" s="117"/>
      <c r="E745" s="117"/>
      <c r="F745" s="117"/>
      <c r="G745" s="116"/>
      <c r="H745" s="117"/>
      <c r="I745" s="117"/>
      <c r="J745" s="117"/>
      <c r="K745" s="117"/>
      <c r="L745" s="117"/>
      <c r="M745" s="213"/>
      <c r="N745" s="117"/>
      <c r="O745" s="117"/>
      <c r="P745" s="117"/>
      <c r="Q745" s="200"/>
      <c r="R745" s="239"/>
      <c r="S745" s="239"/>
      <c r="T745" s="239"/>
      <c r="U745" s="216"/>
      <c r="V745" s="217"/>
      <c r="W745" s="233"/>
      <c r="X745" s="123"/>
      <c r="Y745" s="117"/>
      <c r="Z745" s="117"/>
    </row>
    <row r="746" spans="1:26">
      <c r="A746" s="117"/>
      <c r="B746" s="117"/>
      <c r="C746" s="117"/>
      <c r="D746" s="117"/>
      <c r="E746" s="117"/>
      <c r="F746" s="117"/>
      <c r="G746" s="116"/>
      <c r="H746" s="117"/>
      <c r="I746" s="117"/>
      <c r="J746" s="117"/>
      <c r="K746" s="117"/>
      <c r="L746" s="117"/>
      <c r="M746" s="213"/>
      <c r="N746" s="117"/>
      <c r="O746" s="117"/>
      <c r="P746" s="117"/>
      <c r="Q746" s="200"/>
      <c r="R746" s="239"/>
      <c r="S746" s="239"/>
      <c r="T746" s="239"/>
      <c r="U746" s="216"/>
      <c r="V746" s="217"/>
      <c r="W746" s="233"/>
      <c r="X746" s="123"/>
      <c r="Y746" s="117"/>
      <c r="Z746" s="117"/>
    </row>
    <row r="747" spans="1:26">
      <c r="A747" s="117"/>
      <c r="B747" s="117"/>
      <c r="C747" s="117"/>
      <c r="D747" s="117"/>
      <c r="E747" s="117"/>
      <c r="F747" s="117"/>
      <c r="G747" s="116"/>
      <c r="H747" s="117"/>
      <c r="I747" s="117"/>
      <c r="J747" s="117"/>
      <c r="K747" s="117"/>
      <c r="L747" s="117"/>
      <c r="M747" s="213"/>
      <c r="N747" s="117"/>
      <c r="O747" s="117"/>
      <c r="P747" s="117"/>
      <c r="Q747" s="200"/>
      <c r="R747" s="239"/>
      <c r="S747" s="239"/>
      <c r="T747" s="239"/>
      <c r="U747" s="216"/>
      <c r="V747" s="217"/>
      <c r="W747" s="233"/>
      <c r="X747" s="123"/>
      <c r="Y747" s="117"/>
      <c r="Z747" s="117"/>
    </row>
    <row r="748" spans="1:26">
      <c r="A748" s="117"/>
      <c r="B748" s="117"/>
      <c r="C748" s="117"/>
      <c r="D748" s="117"/>
      <c r="E748" s="117"/>
      <c r="F748" s="117"/>
      <c r="G748" s="116"/>
      <c r="H748" s="117"/>
      <c r="I748" s="117"/>
      <c r="J748" s="117"/>
      <c r="K748" s="117"/>
      <c r="L748" s="117"/>
      <c r="M748" s="213"/>
      <c r="N748" s="117"/>
      <c r="O748" s="117"/>
      <c r="P748" s="117"/>
      <c r="Q748" s="200"/>
      <c r="R748" s="239"/>
      <c r="S748" s="239"/>
      <c r="T748" s="239"/>
      <c r="U748" s="216"/>
      <c r="V748" s="217"/>
      <c r="W748" s="233"/>
      <c r="X748" s="123"/>
      <c r="Y748" s="117"/>
      <c r="Z748" s="117"/>
    </row>
    <row r="749" spans="1:26">
      <c r="A749" s="117"/>
      <c r="B749" s="117"/>
      <c r="C749" s="117"/>
      <c r="D749" s="117"/>
      <c r="E749" s="117"/>
      <c r="F749" s="117"/>
      <c r="G749" s="116"/>
      <c r="H749" s="117"/>
      <c r="I749" s="117"/>
      <c r="J749" s="117"/>
      <c r="K749" s="117"/>
      <c r="L749" s="117"/>
      <c r="M749" s="213"/>
      <c r="N749" s="117"/>
      <c r="O749" s="117"/>
      <c r="P749" s="117"/>
      <c r="Q749" s="200"/>
      <c r="R749" s="239"/>
      <c r="S749" s="239"/>
      <c r="T749" s="239"/>
      <c r="U749" s="216"/>
      <c r="V749" s="217"/>
      <c r="W749" s="233"/>
      <c r="X749" s="123"/>
      <c r="Y749" s="117"/>
      <c r="Z749" s="117"/>
    </row>
    <row r="750" spans="1:26">
      <c r="A750" s="117"/>
      <c r="B750" s="117"/>
      <c r="C750" s="117"/>
      <c r="D750" s="117"/>
      <c r="E750" s="117"/>
      <c r="F750" s="117"/>
      <c r="G750" s="116"/>
      <c r="H750" s="117"/>
      <c r="I750" s="117"/>
      <c r="J750" s="117"/>
      <c r="K750" s="117"/>
      <c r="L750" s="117"/>
      <c r="M750" s="213"/>
      <c r="N750" s="117"/>
      <c r="O750" s="117"/>
      <c r="P750" s="117"/>
      <c r="Q750" s="200"/>
      <c r="R750" s="239"/>
      <c r="S750" s="239"/>
      <c r="T750" s="239"/>
      <c r="U750" s="216"/>
      <c r="V750" s="217"/>
      <c r="W750" s="233"/>
      <c r="X750" s="123"/>
      <c r="Y750" s="117"/>
      <c r="Z750" s="117"/>
    </row>
    <row r="751" spans="1:26">
      <c r="A751" s="117"/>
      <c r="B751" s="117"/>
      <c r="C751" s="117"/>
      <c r="D751" s="117"/>
      <c r="E751" s="117"/>
      <c r="F751" s="117"/>
      <c r="G751" s="116"/>
      <c r="H751" s="117"/>
      <c r="I751" s="117"/>
      <c r="J751" s="117"/>
      <c r="K751" s="117"/>
      <c r="L751" s="117"/>
      <c r="M751" s="213"/>
      <c r="N751" s="117"/>
      <c r="O751" s="117"/>
      <c r="P751" s="117"/>
      <c r="Q751" s="200"/>
      <c r="R751" s="239"/>
      <c r="S751" s="239"/>
      <c r="T751" s="239"/>
      <c r="U751" s="216"/>
      <c r="V751" s="217"/>
      <c r="W751" s="233"/>
      <c r="X751" s="123"/>
      <c r="Y751" s="117"/>
      <c r="Z751" s="117"/>
    </row>
    <row r="752" spans="1:26">
      <c r="A752" s="117"/>
      <c r="B752" s="117"/>
      <c r="C752" s="117"/>
      <c r="D752" s="117"/>
      <c r="E752" s="117"/>
      <c r="F752" s="117"/>
      <c r="G752" s="116"/>
      <c r="H752" s="117"/>
      <c r="I752" s="117"/>
      <c r="J752" s="117"/>
      <c r="K752" s="117"/>
      <c r="L752" s="117"/>
      <c r="M752" s="213"/>
      <c r="N752" s="117"/>
      <c r="O752" s="117"/>
      <c r="P752" s="117"/>
      <c r="Q752" s="200"/>
      <c r="R752" s="239"/>
      <c r="S752" s="239"/>
      <c r="T752" s="239"/>
      <c r="U752" s="216"/>
      <c r="V752" s="217"/>
      <c r="W752" s="233"/>
      <c r="X752" s="123"/>
      <c r="Y752" s="117"/>
      <c r="Z752" s="117"/>
    </row>
    <row r="753" spans="1:26">
      <c r="A753" s="117"/>
      <c r="B753" s="117"/>
      <c r="C753" s="117"/>
      <c r="D753" s="117"/>
      <c r="E753" s="117"/>
      <c r="F753" s="117"/>
      <c r="G753" s="116"/>
      <c r="H753" s="117"/>
      <c r="I753" s="117"/>
      <c r="J753" s="117"/>
      <c r="K753" s="117"/>
      <c r="L753" s="117"/>
      <c r="M753" s="213"/>
      <c r="N753" s="117"/>
      <c r="O753" s="117"/>
      <c r="P753" s="117"/>
      <c r="Q753" s="200"/>
      <c r="R753" s="239"/>
      <c r="S753" s="239"/>
      <c r="T753" s="239"/>
      <c r="U753" s="216"/>
      <c r="V753" s="217"/>
      <c r="W753" s="233"/>
      <c r="X753" s="123"/>
      <c r="Y753" s="117"/>
      <c r="Z753" s="117"/>
    </row>
    <row r="754" spans="1:26">
      <c r="A754" s="117"/>
      <c r="B754" s="117"/>
      <c r="C754" s="117"/>
      <c r="D754" s="117"/>
      <c r="E754" s="117"/>
      <c r="F754" s="117"/>
      <c r="G754" s="116"/>
      <c r="H754" s="117"/>
      <c r="I754" s="117"/>
      <c r="J754" s="117"/>
      <c r="K754" s="117"/>
      <c r="L754" s="117"/>
      <c r="M754" s="213"/>
      <c r="N754" s="117"/>
      <c r="O754" s="117"/>
      <c r="P754" s="117"/>
      <c r="Q754" s="200"/>
      <c r="R754" s="239"/>
      <c r="S754" s="239"/>
      <c r="T754" s="239"/>
      <c r="U754" s="216"/>
      <c r="V754" s="217"/>
      <c r="W754" s="233"/>
      <c r="X754" s="123"/>
      <c r="Y754" s="117"/>
      <c r="Z754" s="117"/>
    </row>
    <row r="755" spans="1:26">
      <c r="A755" s="117"/>
      <c r="B755" s="117"/>
      <c r="C755" s="117"/>
      <c r="D755" s="117"/>
      <c r="E755" s="117"/>
      <c r="F755" s="117"/>
      <c r="G755" s="116"/>
      <c r="H755" s="117"/>
      <c r="I755" s="117"/>
      <c r="J755" s="117"/>
      <c r="K755" s="117"/>
      <c r="L755" s="117"/>
      <c r="M755" s="213"/>
      <c r="N755" s="117"/>
      <c r="O755" s="117"/>
      <c r="P755" s="117"/>
      <c r="Q755" s="200"/>
      <c r="R755" s="239"/>
      <c r="S755" s="239"/>
      <c r="T755" s="239"/>
      <c r="U755" s="216"/>
      <c r="V755" s="217"/>
      <c r="W755" s="233"/>
      <c r="X755" s="123"/>
      <c r="Y755" s="117"/>
      <c r="Z755" s="117"/>
    </row>
    <row r="756" spans="1:26">
      <c r="A756" s="117"/>
      <c r="B756" s="117"/>
      <c r="C756" s="117"/>
      <c r="D756" s="117"/>
      <c r="E756" s="117"/>
      <c r="F756" s="117"/>
      <c r="G756" s="116"/>
      <c r="H756" s="117"/>
      <c r="I756" s="117"/>
      <c r="J756" s="117"/>
      <c r="K756" s="117"/>
      <c r="L756" s="117"/>
      <c r="M756" s="213"/>
      <c r="N756" s="117"/>
      <c r="O756" s="117"/>
      <c r="P756" s="117"/>
      <c r="Q756" s="200"/>
      <c r="R756" s="239"/>
      <c r="S756" s="239"/>
      <c r="T756" s="239"/>
      <c r="U756" s="216"/>
      <c r="V756" s="217"/>
      <c r="W756" s="233"/>
      <c r="X756" s="123"/>
      <c r="Y756" s="117"/>
      <c r="Z756" s="117"/>
    </row>
    <row r="757" spans="1:26">
      <c r="A757" s="117"/>
      <c r="B757" s="117"/>
      <c r="C757" s="117"/>
      <c r="D757" s="117"/>
      <c r="E757" s="117"/>
      <c r="F757" s="117"/>
      <c r="G757" s="116"/>
      <c r="H757" s="117"/>
      <c r="I757" s="117"/>
      <c r="J757" s="117"/>
      <c r="K757" s="117"/>
      <c r="L757" s="117"/>
      <c r="M757" s="213"/>
      <c r="N757" s="117"/>
      <c r="O757" s="117"/>
      <c r="P757" s="117"/>
      <c r="Q757" s="200"/>
      <c r="R757" s="239"/>
      <c r="S757" s="239"/>
      <c r="T757" s="239"/>
      <c r="U757" s="216"/>
      <c r="V757" s="217"/>
      <c r="W757" s="233"/>
      <c r="X757" s="123"/>
      <c r="Y757" s="117"/>
      <c r="Z757" s="117"/>
    </row>
    <row r="758" spans="1:26">
      <c r="A758" s="117"/>
      <c r="B758" s="117"/>
      <c r="C758" s="117"/>
      <c r="D758" s="117"/>
      <c r="E758" s="117"/>
      <c r="F758" s="117"/>
      <c r="G758" s="116"/>
      <c r="H758" s="117"/>
      <c r="I758" s="117"/>
      <c r="J758" s="117"/>
      <c r="K758" s="117"/>
      <c r="L758" s="117"/>
      <c r="M758" s="213"/>
      <c r="N758" s="117"/>
      <c r="O758" s="117"/>
      <c r="P758" s="117"/>
      <c r="Q758" s="200"/>
      <c r="R758" s="239"/>
      <c r="S758" s="239"/>
      <c r="T758" s="239"/>
      <c r="U758" s="216"/>
      <c r="V758" s="217"/>
      <c r="W758" s="233"/>
      <c r="X758" s="123"/>
      <c r="Y758" s="117"/>
      <c r="Z758" s="117"/>
    </row>
    <row r="759" spans="1:26">
      <c r="A759" s="117"/>
      <c r="B759" s="117"/>
      <c r="C759" s="117"/>
      <c r="D759" s="117"/>
      <c r="E759" s="117"/>
      <c r="F759" s="117"/>
      <c r="G759" s="116"/>
      <c r="H759" s="117"/>
      <c r="I759" s="117"/>
      <c r="J759" s="117"/>
      <c r="K759" s="117"/>
      <c r="L759" s="117"/>
      <c r="M759" s="213"/>
      <c r="N759" s="117"/>
      <c r="O759" s="117"/>
      <c r="P759" s="117"/>
      <c r="Q759" s="200"/>
      <c r="R759" s="239"/>
      <c r="S759" s="239"/>
      <c r="T759" s="239"/>
      <c r="U759" s="216"/>
      <c r="V759" s="217"/>
      <c r="W759" s="233"/>
      <c r="X759" s="123"/>
      <c r="Y759" s="117"/>
      <c r="Z759" s="117"/>
    </row>
    <row r="760" spans="1:26">
      <c r="A760" s="117"/>
      <c r="B760" s="117"/>
      <c r="C760" s="117"/>
      <c r="D760" s="117"/>
      <c r="E760" s="117"/>
      <c r="F760" s="117"/>
      <c r="G760" s="116"/>
      <c r="H760" s="117"/>
      <c r="I760" s="117"/>
      <c r="J760" s="117"/>
      <c r="K760" s="117"/>
      <c r="L760" s="117"/>
      <c r="M760" s="213"/>
      <c r="N760" s="117"/>
      <c r="O760" s="117"/>
      <c r="P760" s="117"/>
      <c r="Q760" s="200"/>
      <c r="R760" s="239"/>
      <c r="S760" s="239"/>
      <c r="T760" s="239"/>
      <c r="U760" s="216"/>
      <c r="V760" s="217"/>
      <c r="W760" s="233"/>
      <c r="X760" s="123"/>
      <c r="Y760" s="117"/>
      <c r="Z760" s="117"/>
    </row>
    <row r="761" spans="1:26">
      <c r="A761" s="117"/>
      <c r="B761" s="117"/>
      <c r="C761" s="117"/>
      <c r="D761" s="117"/>
      <c r="E761" s="117"/>
      <c r="F761" s="117"/>
      <c r="G761" s="116"/>
      <c r="H761" s="117"/>
      <c r="I761" s="117"/>
      <c r="J761" s="117"/>
      <c r="K761" s="117"/>
      <c r="L761" s="117"/>
      <c r="M761" s="213"/>
      <c r="N761" s="117"/>
      <c r="O761" s="117"/>
      <c r="P761" s="117"/>
      <c r="Q761" s="200"/>
      <c r="R761" s="239"/>
      <c r="S761" s="239"/>
      <c r="T761" s="239"/>
      <c r="U761" s="216"/>
      <c r="V761" s="217"/>
      <c r="W761" s="233"/>
      <c r="X761" s="123"/>
      <c r="Y761" s="117"/>
      <c r="Z761" s="117"/>
    </row>
    <row r="762" spans="1:26">
      <c r="A762" s="117"/>
      <c r="B762" s="117"/>
      <c r="C762" s="117"/>
      <c r="D762" s="117"/>
      <c r="E762" s="117"/>
      <c r="F762" s="117"/>
      <c r="G762" s="116"/>
      <c r="H762" s="117"/>
      <c r="I762" s="117"/>
      <c r="J762" s="117"/>
      <c r="K762" s="117"/>
      <c r="L762" s="117"/>
      <c r="M762" s="213"/>
      <c r="N762" s="117"/>
      <c r="O762" s="117"/>
      <c r="P762" s="117"/>
      <c r="Q762" s="200"/>
      <c r="R762" s="239"/>
      <c r="S762" s="239"/>
      <c r="T762" s="239"/>
      <c r="U762" s="216"/>
      <c r="V762" s="217"/>
      <c r="W762" s="233"/>
      <c r="X762" s="123"/>
      <c r="Y762" s="117"/>
      <c r="Z762" s="117"/>
    </row>
    <row r="763" spans="1:26">
      <c r="A763" s="117"/>
      <c r="B763" s="117"/>
      <c r="C763" s="117"/>
      <c r="D763" s="117"/>
      <c r="E763" s="117"/>
      <c r="F763" s="117"/>
      <c r="G763" s="116"/>
      <c r="H763" s="117"/>
      <c r="I763" s="117"/>
      <c r="J763" s="117"/>
      <c r="K763" s="117"/>
      <c r="L763" s="117"/>
      <c r="M763" s="213"/>
      <c r="N763" s="117"/>
      <c r="O763" s="117"/>
      <c r="P763" s="117"/>
      <c r="Q763" s="200"/>
      <c r="R763" s="239"/>
      <c r="S763" s="239"/>
      <c r="T763" s="239"/>
      <c r="U763" s="216"/>
      <c r="V763" s="217"/>
      <c r="W763" s="233"/>
      <c r="X763" s="123"/>
      <c r="Y763" s="117"/>
      <c r="Z763" s="117"/>
    </row>
    <row r="764" spans="1:26">
      <c r="A764" s="117"/>
      <c r="B764" s="117"/>
      <c r="C764" s="117"/>
      <c r="D764" s="117"/>
      <c r="E764" s="117"/>
      <c r="F764" s="117"/>
      <c r="G764" s="116"/>
      <c r="H764" s="117"/>
      <c r="I764" s="117"/>
      <c r="J764" s="117"/>
      <c r="K764" s="117"/>
      <c r="L764" s="117"/>
      <c r="M764" s="213"/>
      <c r="N764" s="117"/>
      <c r="O764" s="117"/>
      <c r="P764" s="117"/>
      <c r="Q764" s="200"/>
      <c r="R764" s="239"/>
      <c r="S764" s="239"/>
      <c r="T764" s="239"/>
      <c r="U764" s="216"/>
      <c r="V764" s="217"/>
      <c r="W764" s="233"/>
      <c r="X764" s="123"/>
      <c r="Y764" s="117"/>
      <c r="Z764" s="117"/>
    </row>
    <row r="765" spans="1:26">
      <c r="A765" s="117"/>
      <c r="B765" s="117"/>
      <c r="C765" s="117"/>
      <c r="D765" s="117"/>
      <c r="E765" s="117"/>
      <c r="F765" s="117"/>
      <c r="G765" s="116"/>
      <c r="H765" s="117"/>
      <c r="I765" s="117"/>
      <c r="J765" s="117"/>
      <c r="K765" s="117"/>
      <c r="L765" s="117"/>
      <c r="M765" s="213"/>
      <c r="N765" s="117"/>
      <c r="O765" s="117"/>
      <c r="P765" s="117"/>
      <c r="Q765" s="200"/>
      <c r="R765" s="239"/>
      <c r="S765" s="239"/>
      <c r="T765" s="239"/>
      <c r="U765" s="216"/>
      <c r="V765" s="217"/>
      <c r="W765" s="233"/>
      <c r="X765" s="123"/>
      <c r="Y765" s="117"/>
      <c r="Z765" s="117"/>
    </row>
    <row r="766" spans="1:26">
      <c r="A766" s="117"/>
      <c r="B766" s="117"/>
      <c r="C766" s="117"/>
      <c r="D766" s="117"/>
      <c r="E766" s="117"/>
      <c r="F766" s="117"/>
      <c r="G766" s="116"/>
      <c r="H766" s="117"/>
      <c r="I766" s="117"/>
      <c r="J766" s="117"/>
      <c r="K766" s="117"/>
      <c r="L766" s="117"/>
      <c r="M766" s="213"/>
      <c r="N766" s="117"/>
      <c r="O766" s="117"/>
      <c r="P766" s="117"/>
      <c r="Q766" s="200"/>
      <c r="R766" s="239"/>
      <c r="S766" s="239"/>
      <c r="T766" s="239"/>
      <c r="U766" s="216"/>
      <c r="V766" s="217"/>
      <c r="W766" s="233"/>
      <c r="X766" s="123"/>
      <c r="Y766" s="117"/>
      <c r="Z766" s="117"/>
    </row>
    <row r="767" spans="1:26">
      <c r="A767" s="117"/>
      <c r="B767" s="117"/>
      <c r="C767" s="117"/>
      <c r="D767" s="117"/>
      <c r="E767" s="117"/>
      <c r="F767" s="117"/>
      <c r="G767" s="116"/>
      <c r="H767" s="117"/>
      <c r="I767" s="117"/>
      <c r="J767" s="117"/>
      <c r="K767" s="117"/>
      <c r="L767" s="117"/>
      <c r="M767" s="213"/>
      <c r="N767" s="117"/>
      <c r="O767" s="117"/>
      <c r="P767" s="117"/>
      <c r="Q767" s="200"/>
      <c r="R767" s="239"/>
      <c r="S767" s="239"/>
      <c r="T767" s="239"/>
      <c r="U767" s="216"/>
      <c r="V767" s="217"/>
      <c r="W767" s="233"/>
      <c r="X767" s="123"/>
      <c r="Y767" s="117"/>
      <c r="Z767" s="117"/>
    </row>
    <row r="768" spans="1:26">
      <c r="A768" s="117"/>
      <c r="B768" s="117"/>
      <c r="C768" s="117"/>
      <c r="D768" s="117"/>
      <c r="E768" s="117"/>
      <c r="F768" s="117"/>
      <c r="G768" s="116"/>
      <c r="H768" s="117"/>
      <c r="I768" s="117"/>
      <c r="J768" s="117"/>
      <c r="K768" s="117"/>
      <c r="L768" s="117"/>
      <c r="M768" s="213"/>
      <c r="N768" s="117"/>
      <c r="O768" s="117"/>
      <c r="P768" s="117"/>
      <c r="Q768" s="200"/>
      <c r="R768" s="239"/>
      <c r="S768" s="239"/>
      <c r="T768" s="239"/>
      <c r="U768" s="216"/>
      <c r="V768" s="217"/>
      <c r="W768" s="233"/>
      <c r="X768" s="123"/>
      <c r="Y768" s="117"/>
      <c r="Z768" s="117"/>
    </row>
    <row r="769" spans="1:26">
      <c r="A769" s="117"/>
      <c r="B769" s="117"/>
      <c r="C769" s="117"/>
      <c r="D769" s="117"/>
      <c r="E769" s="117"/>
      <c r="F769" s="117"/>
      <c r="G769" s="116"/>
      <c r="H769" s="117"/>
      <c r="I769" s="117"/>
      <c r="J769" s="117"/>
      <c r="K769" s="117"/>
      <c r="L769" s="117"/>
      <c r="M769" s="213"/>
      <c r="N769" s="117"/>
      <c r="O769" s="117"/>
      <c r="P769" s="117"/>
      <c r="Q769" s="200"/>
      <c r="R769" s="239"/>
      <c r="S769" s="239"/>
      <c r="T769" s="239"/>
      <c r="U769" s="216"/>
      <c r="V769" s="217"/>
      <c r="W769" s="233"/>
      <c r="X769" s="123"/>
      <c r="Y769" s="117"/>
      <c r="Z769" s="117"/>
    </row>
    <row r="770" spans="1:26">
      <c r="A770" s="117"/>
      <c r="B770" s="117"/>
      <c r="C770" s="117"/>
      <c r="D770" s="117"/>
      <c r="E770" s="117"/>
      <c r="F770" s="117"/>
      <c r="G770" s="116"/>
      <c r="H770" s="117"/>
      <c r="I770" s="117"/>
      <c r="J770" s="117"/>
      <c r="K770" s="117"/>
      <c r="L770" s="117"/>
      <c r="M770" s="213"/>
      <c r="N770" s="117"/>
      <c r="O770" s="117"/>
      <c r="P770" s="117"/>
      <c r="Q770" s="200"/>
      <c r="R770" s="239"/>
      <c r="S770" s="239"/>
      <c r="T770" s="239"/>
      <c r="U770" s="216"/>
      <c r="V770" s="217"/>
      <c r="W770" s="233"/>
      <c r="X770" s="123"/>
      <c r="Y770" s="117"/>
      <c r="Z770" s="117"/>
    </row>
    <row r="771" spans="1:26">
      <c r="A771" s="117"/>
      <c r="B771" s="117"/>
      <c r="C771" s="117"/>
      <c r="D771" s="117"/>
      <c r="E771" s="117"/>
      <c r="F771" s="117"/>
      <c r="G771" s="116"/>
      <c r="H771" s="117"/>
      <c r="I771" s="117"/>
      <c r="J771" s="117"/>
      <c r="K771" s="117"/>
      <c r="L771" s="117"/>
      <c r="M771" s="213"/>
      <c r="N771" s="117"/>
      <c r="O771" s="117"/>
      <c r="P771" s="117"/>
      <c r="Q771" s="200"/>
      <c r="R771" s="239"/>
      <c r="S771" s="239"/>
      <c r="T771" s="239"/>
      <c r="U771" s="216"/>
      <c r="V771" s="217"/>
      <c r="W771" s="233"/>
      <c r="X771" s="123"/>
      <c r="Y771" s="117"/>
      <c r="Z771" s="117"/>
    </row>
    <row r="772" spans="1:26">
      <c r="A772" s="117"/>
      <c r="B772" s="117"/>
      <c r="C772" s="117"/>
      <c r="D772" s="117"/>
      <c r="E772" s="117"/>
      <c r="F772" s="117"/>
      <c r="G772" s="116"/>
      <c r="H772" s="117"/>
      <c r="I772" s="117"/>
      <c r="J772" s="117"/>
      <c r="K772" s="117"/>
      <c r="L772" s="117"/>
      <c r="M772" s="213"/>
      <c r="N772" s="117"/>
      <c r="O772" s="117"/>
      <c r="P772" s="117"/>
      <c r="Q772" s="200"/>
      <c r="R772" s="239"/>
      <c r="S772" s="239"/>
      <c r="T772" s="239"/>
      <c r="U772" s="216"/>
      <c r="V772" s="217"/>
      <c r="W772" s="233"/>
      <c r="X772" s="123"/>
      <c r="Y772" s="117"/>
      <c r="Z772" s="117"/>
    </row>
    <row r="773" spans="1:26">
      <c r="A773" s="117"/>
      <c r="B773" s="117"/>
      <c r="C773" s="117"/>
      <c r="D773" s="117"/>
      <c r="E773" s="117"/>
      <c r="F773" s="117"/>
      <c r="G773" s="116"/>
      <c r="H773" s="117"/>
      <c r="I773" s="117"/>
      <c r="J773" s="117"/>
      <c r="K773" s="117"/>
      <c r="L773" s="117"/>
      <c r="M773" s="213"/>
      <c r="N773" s="117"/>
      <c r="O773" s="117"/>
      <c r="P773" s="117"/>
      <c r="Q773" s="200"/>
      <c r="R773" s="239"/>
      <c r="S773" s="239"/>
      <c r="T773" s="239"/>
      <c r="U773" s="216"/>
      <c r="V773" s="217"/>
      <c r="W773" s="233"/>
      <c r="X773" s="123"/>
      <c r="Y773" s="117"/>
      <c r="Z773" s="117"/>
    </row>
    <row r="774" spans="1:26">
      <c r="A774" s="117"/>
      <c r="B774" s="117"/>
      <c r="C774" s="117"/>
      <c r="D774" s="117"/>
      <c r="E774" s="117"/>
      <c r="F774" s="117"/>
      <c r="G774" s="116"/>
      <c r="H774" s="117"/>
      <c r="I774" s="117"/>
      <c r="J774" s="117"/>
      <c r="K774" s="117"/>
      <c r="L774" s="117"/>
      <c r="M774" s="213"/>
      <c r="N774" s="117"/>
      <c r="O774" s="117"/>
      <c r="P774" s="117"/>
      <c r="Q774" s="200"/>
      <c r="R774" s="239"/>
      <c r="S774" s="239"/>
      <c r="T774" s="239"/>
      <c r="U774" s="216"/>
      <c r="V774" s="217"/>
      <c r="W774" s="233"/>
      <c r="X774" s="123"/>
      <c r="Y774" s="117"/>
      <c r="Z774" s="117"/>
    </row>
    <row r="775" spans="1:26">
      <c r="A775" s="117"/>
      <c r="B775" s="117"/>
      <c r="C775" s="117"/>
      <c r="D775" s="117"/>
      <c r="E775" s="117"/>
      <c r="F775" s="117"/>
      <c r="G775" s="116"/>
      <c r="H775" s="117"/>
      <c r="I775" s="117"/>
      <c r="J775" s="117"/>
      <c r="K775" s="117"/>
      <c r="L775" s="117"/>
      <c r="M775" s="213"/>
      <c r="N775" s="117"/>
      <c r="O775" s="117"/>
      <c r="P775" s="117"/>
      <c r="Q775" s="200"/>
      <c r="R775" s="239"/>
      <c r="S775" s="239"/>
      <c r="T775" s="239"/>
      <c r="U775" s="216"/>
      <c r="V775" s="217"/>
      <c r="W775" s="233"/>
      <c r="X775" s="123"/>
      <c r="Y775" s="117"/>
      <c r="Z775" s="117"/>
    </row>
    <row r="776" spans="1:26">
      <c r="A776" s="117"/>
      <c r="B776" s="117"/>
      <c r="C776" s="117"/>
      <c r="D776" s="117"/>
      <c r="E776" s="117"/>
      <c r="F776" s="117"/>
      <c r="G776" s="116"/>
      <c r="H776" s="117"/>
      <c r="I776" s="117"/>
      <c r="J776" s="117"/>
      <c r="K776" s="117"/>
      <c r="L776" s="117"/>
      <c r="M776" s="213"/>
      <c r="N776" s="117"/>
      <c r="O776" s="117"/>
      <c r="P776" s="117"/>
      <c r="Q776" s="200"/>
      <c r="R776" s="239"/>
      <c r="S776" s="239"/>
      <c r="T776" s="239"/>
      <c r="U776" s="216"/>
      <c r="V776" s="217"/>
      <c r="W776" s="233"/>
      <c r="X776" s="123"/>
      <c r="Y776" s="117"/>
      <c r="Z776" s="117"/>
    </row>
    <row r="777" spans="1:26">
      <c r="A777" s="117"/>
      <c r="B777" s="117"/>
      <c r="C777" s="117"/>
      <c r="D777" s="117"/>
      <c r="E777" s="117"/>
      <c r="F777" s="117"/>
      <c r="G777" s="116"/>
      <c r="H777" s="117"/>
      <c r="I777" s="117"/>
      <c r="J777" s="117"/>
      <c r="K777" s="117"/>
      <c r="L777" s="117"/>
      <c r="M777" s="213"/>
      <c r="N777" s="117"/>
      <c r="O777" s="117"/>
      <c r="P777" s="117"/>
      <c r="Q777" s="200"/>
      <c r="R777" s="239"/>
      <c r="S777" s="239"/>
      <c r="T777" s="239"/>
      <c r="U777" s="216"/>
      <c r="V777" s="217"/>
      <c r="W777" s="233"/>
      <c r="X777" s="123"/>
      <c r="Y777" s="117"/>
      <c r="Z777" s="117"/>
    </row>
    <row r="778" spans="1:26">
      <c r="A778" s="117"/>
      <c r="B778" s="117"/>
      <c r="C778" s="117"/>
      <c r="D778" s="117"/>
      <c r="E778" s="117"/>
      <c r="F778" s="117"/>
      <c r="G778" s="116"/>
      <c r="H778" s="117"/>
      <c r="I778" s="117"/>
      <c r="J778" s="117"/>
      <c r="K778" s="117"/>
      <c r="L778" s="117"/>
      <c r="M778" s="213"/>
      <c r="N778" s="117"/>
      <c r="O778" s="117"/>
      <c r="P778" s="117"/>
      <c r="Q778" s="200"/>
      <c r="R778" s="239"/>
      <c r="S778" s="239"/>
      <c r="T778" s="239"/>
      <c r="U778" s="216"/>
      <c r="V778" s="217"/>
      <c r="W778" s="233"/>
      <c r="X778" s="123"/>
      <c r="Y778" s="117"/>
      <c r="Z778" s="117"/>
    </row>
    <row r="779" spans="1:26">
      <c r="A779" s="117"/>
      <c r="B779" s="117"/>
      <c r="C779" s="117"/>
      <c r="D779" s="117"/>
      <c r="E779" s="117"/>
      <c r="F779" s="117"/>
      <c r="G779" s="116"/>
      <c r="H779" s="117"/>
      <c r="I779" s="117"/>
      <c r="J779" s="117"/>
      <c r="K779" s="117"/>
      <c r="L779" s="117"/>
      <c r="M779" s="213"/>
      <c r="N779" s="117"/>
      <c r="O779" s="117"/>
      <c r="P779" s="117"/>
      <c r="Q779" s="200"/>
      <c r="R779" s="239"/>
      <c r="S779" s="239"/>
      <c r="T779" s="239"/>
      <c r="U779" s="216"/>
      <c r="V779" s="217"/>
      <c r="W779" s="233"/>
      <c r="X779" s="123"/>
      <c r="Y779" s="117"/>
      <c r="Z779" s="117"/>
    </row>
    <row r="780" spans="1:26">
      <c r="A780" s="117"/>
      <c r="B780" s="117"/>
      <c r="C780" s="117"/>
      <c r="D780" s="117"/>
      <c r="E780" s="117"/>
      <c r="F780" s="117"/>
      <c r="G780" s="116"/>
      <c r="H780" s="117"/>
      <c r="I780" s="117"/>
      <c r="J780" s="117"/>
      <c r="K780" s="117"/>
      <c r="L780" s="117"/>
      <c r="M780" s="213"/>
      <c r="N780" s="117"/>
      <c r="O780" s="117"/>
      <c r="P780" s="117"/>
      <c r="Q780" s="200"/>
      <c r="R780" s="239"/>
      <c r="S780" s="239"/>
      <c r="T780" s="239"/>
      <c r="U780" s="216"/>
      <c r="V780" s="217"/>
      <c r="W780" s="233"/>
      <c r="X780" s="123"/>
      <c r="Y780" s="117"/>
      <c r="Z780" s="117"/>
    </row>
    <row r="781" spans="1:26">
      <c r="A781" s="117"/>
      <c r="B781" s="117"/>
      <c r="C781" s="117"/>
      <c r="D781" s="117"/>
      <c r="E781" s="117"/>
      <c r="F781" s="117"/>
      <c r="G781" s="116"/>
      <c r="H781" s="117"/>
      <c r="I781" s="117"/>
      <c r="J781" s="117"/>
      <c r="K781" s="117"/>
      <c r="L781" s="117"/>
      <c r="M781" s="213"/>
      <c r="N781" s="117"/>
      <c r="O781" s="117"/>
      <c r="P781" s="117"/>
      <c r="Q781" s="200"/>
      <c r="R781" s="239"/>
      <c r="S781" s="239"/>
      <c r="T781" s="239"/>
      <c r="U781" s="216"/>
      <c r="V781" s="217"/>
      <c r="W781" s="233"/>
      <c r="X781" s="123"/>
      <c r="Y781" s="117"/>
      <c r="Z781" s="117"/>
    </row>
    <row r="782" spans="1:26">
      <c r="A782" s="117"/>
      <c r="B782" s="117"/>
      <c r="C782" s="117"/>
      <c r="D782" s="117"/>
      <c r="E782" s="117"/>
      <c r="F782" s="117"/>
      <c r="G782" s="116"/>
      <c r="H782" s="117"/>
      <c r="I782" s="117"/>
      <c r="J782" s="117"/>
      <c r="K782" s="117"/>
      <c r="L782" s="117"/>
      <c r="M782" s="213"/>
      <c r="N782" s="117"/>
      <c r="O782" s="117"/>
      <c r="P782" s="117"/>
      <c r="Q782" s="200"/>
      <c r="R782" s="239"/>
      <c r="S782" s="239"/>
      <c r="T782" s="239"/>
      <c r="U782" s="216"/>
      <c r="V782" s="217"/>
      <c r="W782" s="233"/>
      <c r="X782" s="123"/>
      <c r="Y782" s="117"/>
      <c r="Z782" s="117"/>
    </row>
    <row r="783" spans="1:26">
      <c r="A783" s="117"/>
      <c r="B783" s="117"/>
      <c r="C783" s="117"/>
      <c r="D783" s="117"/>
      <c r="E783" s="117"/>
      <c r="F783" s="117"/>
      <c r="G783" s="116"/>
      <c r="H783" s="117"/>
      <c r="I783" s="117"/>
      <c r="J783" s="117"/>
      <c r="K783" s="117"/>
      <c r="L783" s="117"/>
      <c r="M783" s="213"/>
      <c r="N783" s="117"/>
      <c r="O783" s="117"/>
      <c r="P783" s="117"/>
      <c r="Q783" s="200"/>
      <c r="R783" s="239"/>
      <c r="S783" s="239"/>
      <c r="T783" s="239"/>
      <c r="U783" s="216"/>
      <c r="V783" s="217"/>
      <c r="W783" s="233"/>
      <c r="X783" s="123"/>
      <c r="Y783" s="117"/>
      <c r="Z783" s="117"/>
    </row>
    <row r="784" spans="1:26">
      <c r="A784" s="117"/>
      <c r="B784" s="117"/>
      <c r="C784" s="117"/>
      <c r="D784" s="117"/>
      <c r="E784" s="117"/>
      <c r="F784" s="117"/>
      <c r="G784" s="116"/>
      <c r="H784" s="117"/>
      <c r="I784" s="117"/>
      <c r="J784" s="117"/>
      <c r="K784" s="117"/>
      <c r="L784" s="117"/>
      <c r="M784" s="213"/>
      <c r="N784" s="117"/>
      <c r="O784" s="117"/>
      <c r="P784" s="117"/>
      <c r="Q784" s="200"/>
      <c r="R784" s="239"/>
      <c r="S784" s="239"/>
      <c r="T784" s="239"/>
      <c r="U784" s="216"/>
      <c r="V784" s="217"/>
      <c r="W784" s="233"/>
      <c r="X784" s="123"/>
      <c r="Y784" s="117"/>
      <c r="Z784" s="117"/>
    </row>
    <row r="785" spans="1:26">
      <c r="A785" s="117"/>
      <c r="B785" s="117"/>
      <c r="C785" s="117"/>
      <c r="D785" s="117"/>
      <c r="E785" s="117"/>
      <c r="F785" s="117"/>
      <c r="G785" s="116"/>
      <c r="H785" s="117"/>
      <c r="I785" s="117"/>
      <c r="J785" s="117"/>
      <c r="K785" s="117"/>
      <c r="L785" s="117"/>
      <c r="M785" s="213"/>
      <c r="N785" s="117"/>
      <c r="O785" s="117"/>
      <c r="P785" s="117"/>
      <c r="Q785" s="200"/>
      <c r="R785" s="239"/>
      <c r="S785" s="239"/>
      <c r="T785" s="239"/>
      <c r="U785" s="216"/>
      <c r="V785" s="217"/>
      <c r="W785" s="233"/>
      <c r="X785" s="123"/>
      <c r="Y785" s="117"/>
      <c r="Z785" s="117"/>
    </row>
    <row r="786" spans="1:26">
      <c r="A786" s="117"/>
      <c r="B786" s="117"/>
      <c r="C786" s="117"/>
      <c r="D786" s="117"/>
      <c r="E786" s="117"/>
      <c r="F786" s="117"/>
      <c r="G786" s="116"/>
      <c r="H786" s="117"/>
      <c r="I786" s="117"/>
      <c r="J786" s="117"/>
      <c r="K786" s="117"/>
      <c r="L786" s="117"/>
      <c r="M786" s="213"/>
      <c r="N786" s="117"/>
      <c r="O786" s="117"/>
      <c r="P786" s="117"/>
      <c r="Q786" s="200"/>
      <c r="R786" s="239"/>
      <c r="S786" s="239"/>
      <c r="T786" s="239"/>
      <c r="U786" s="216"/>
      <c r="V786" s="217"/>
      <c r="W786" s="233"/>
      <c r="X786" s="123"/>
      <c r="Y786" s="117"/>
      <c r="Z786" s="117"/>
    </row>
    <row r="787" spans="1:26">
      <c r="A787" s="117"/>
      <c r="B787" s="117"/>
      <c r="C787" s="117"/>
      <c r="D787" s="117"/>
      <c r="E787" s="117"/>
      <c r="F787" s="117"/>
      <c r="G787" s="116"/>
      <c r="H787" s="117"/>
      <c r="I787" s="117"/>
      <c r="J787" s="117"/>
      <c r="K787" s="117"/>
      <c r="L787" s="117"/>
      <c r="M787" s="213"/>
      <c r="N787" s="117"/>
      <c r="O787" s="117"/>
      <c r="P787" s="117"/>
      <c r="Q787" s="200"/>
      <c r="R787" s="239"/>
      <c r="S787" s="239"/>
      <c r="T787" s="239"/>
      <c r="U787" s="216"/>
      <c r="V787" s="217"/>
      <c r="W787" s="233"/>
      <c r="X787" s="123"/>
      <c r="Y787" s="117"/>
      <c r="Z787" s="117"/>
    </row>
    <row r="788" spans="1:26">
      <c r="A788" s="117"/>
      <c r="B788" s="117"/>
      <c r="C788" s="117"/>
      <c r="D788" s="117"/>
      <c r="E788" s="117"/>
      <c r="F788" s="117"/>
      <c r="G788" s="116"/>
      <c r="H788" s="117"/>
      <c r="I788" s="117"/>
      <c r="J788" s="117"/>
      <c r="K788" s="117"/>
      <c r="L788" s="117"/>
      <c r="M788" s="213"/>
      <c r="N788" s="117"/>
      <c r="O788" s="117"/>
      <c r="P788" s="117"/>
      <c r="Q788" s="200"/>
      <c r="R788" s="239"/>
      <c r="S788" s="239"/>
      <c r="T788" s="239"/>
      <c r="U788" s="216"/>
      <c r="V788" s="217"/>
      <c r="W788" s="233"/>
      <c r="X788" s="123"/>
      <c r="Y788" s="117"/>
      <c r="Z788" s="117"/>
    </row>
    <row r="789" spans="1:26">
      <c r="A789" s="117"/>
      <c r="B789" s="117"/>
      <c r="C789" s="117"/>
      <c r="D789" s="117"/>
      <c r="E789" s="117"/>
      <c r="F789" s="117"/>
      <c r="G789" s="116"/>
      <c r="H789" s="117"/>
      <c r="I789" s="117"/>
      <c r="J789" s="117"/>
      <c r="K789" s="117"/>
      <c r="L789" s="117"/>
      <c r="M789" s="213"/>
      <c r="N789" s="117"/>
      <c r="O789" s="117"/>
      <c r="P789" s="117"/>
      <c r="Q789" s="200"/>
      <c r="R789" s="239"/>
      <c r="S789" s="239"/>
      <c r="T789" s="239"/>
      <c r="U789" s="216"/>
      <c r="V789" s="217"/>
      <c r="W789" s="233"/>
      <c r="X789" s="123"/>
      <c r="Y789" s="117"/>
      <c r="Z789" s="117"/>
    </row>
    <row r="790" spans="1:26">
      <c r="A790" s="117"/>
      <c r="B790" s="117"/>
      <c r="C790" s="117"/>
      <c r="D790" s="117"/>
      <c r="E790" s="117"/>
      <c r="F790" s="117"/>
      <c r="G790" s="116"/>
      <c r="H790" s="117"/>
      <c r="I790" s="117"/>
      <c r="J790" s="117"/>
      <c r="K790" s="117"/>
      <c r="L790" s="117"/>
      <c r="M790" s="213"/>
      <c r="N790" s="117"/>
      <c r="O790" s="117"/>
      <c r="P790" s="117"/>
      <c r="Q790" s="200"/>
      <c r="R790" s="239"/>
      <c r="S790" s="239"/>
      <c r="T790" s="239"/>
      <c r="U790" s="216"/>
      <c r="V790" s="217"/>
      <c r="W790" s="233"/>
      <c r="X790" s="123"/>
      <c r="Y790" s="117"/>
      <c r="Z790" s="117"/>
    </row>
    <row r="791" spans="1:26">
      <c r="A791" s="117"/>
      <c r="B791" s="117"/>
      <c r="C791" s="117"/>
      <c r="D791" s="117"/>
      <c r="E791" s="117"/>
      <c r="F791" s="117"/>
      <c r="G791" s="116"/>
      <c r="H791" s="117"/>
      <c r="I791" s="117"/>
      <c r="J791" s="117"/>
      <c r="K791" s="117"/>
      <c r="L791" s="117"/>
      <c r="M791" s="213"/>
      <c r="N791" s="117"/>
      <c r="O791" s="117"/>
      <c r="P791" s="117"/>
      <c r="Q791" s="200"/>
      <c r="R791" s="239"/>
      <c r="S791" s="239"/>
      <c r="T791" s="239"/>
      <c r="U791" s="216"/>
      <c r="V791" s="217"/>
      <c r="W791" s="233"/>
      <c r="X791" s="123"/>
      <c r="Y791" s="117"/>
      <c r="Z791" s="117"/>
    </row>
    <row r="792" spans="1:26">
      <c r="A792" s="117"/>
      <c r="B792" s="117"/>
      <c r="C792" s="117"/>
      <c r="D792" s="117"/>
      <c r="E792" s="117"/>
      <c r="F792" s="117"/>
      <c r="G792" s="116"/>
      <c r="H792" s="117"/>
      <c r="I792" s="117"/>
      <c r="J792" s="117"/>
      <c r="K792" s="117"/>
      <c r="L792" s="117"/>
      <c r="M792" s="213"/>
      <c r="N792" s="117"/>
      <c r="O792" s="117"/>
      <c r="P792" s="117"/>
      <c r="Q792" s="200"/>
      <c r="R792" s="239"/>
      <c r="S792" s="239"/>
      <c r="T792" s="239"/>
      <c r="U792" s="216"/>
      <c r="V792" s="217"/>
      <c r="W792" s="233"/>
      <c r="X792" s="123"/>
      <c r="Y792" s="117"/>
      <c r="Z792" s="117"/>
    </row>
    <row r="793" spans="1:26">
      <c r="A793" s="117"/>
      <c r="B793" s="117"/>
      <c r="C793" s="117"/>
      <c r="D793" s="117"/>
      <c r="E793" s="117"/>
      <c r="F793" s="117"/>
      <c r="G793" s="116"/>
      <c r="H793" s="117"/>
      <c r="I793" s="117"/>
      <c r="J793" s="117"/>
      <c r="K793" s="117"/>
      <c r="L793" s="117"/>
      <c r="M793" s="213"/>
      <c r="N793" s="117"/>
      <c r="O793" s="117"/>
      <c r="P793" s="117"/>
      <c r="Q793" s="200"/>
      <c r="R793" s="239"/>
      <c r="S793" s="239"/>
      <c r="T793" s="239"/>
      <c r="U793" s="216"/>
      <c r="V793" s="217"/>
      <c r="W793" s="233"/>
      <c r="X793" s="123"/>
      <c r="Y793" s="117"/>
      <c r="Z793" s="117"/>
    </row>
    <row r="794" spans="1:26">
      <c r="A794" s="117"/>
      <c r="B794" s="117"/>
      <c r="C794" s="117"/>
      <c r="D794" s="117"/>
      <c r="E794" s="117"/>
      <c r="F794" s="117"/>
      <c r="G794" s="116"/>
      <c r="H794" s="117"/>
      <c r="I794" s="117"/>
      <c r="J794" s="117"/>
      <c r="K794" s="117"/>
      <c r="L794" s="117"/>
      <c r="M794" s="213"/>
      <c r="N794" s="117"/>
      <c r="O794" s="117"/>
      <c r="P794" s="117"/>
      <c r="Q794" s="200"/>
      <c r="R794" s="239"/>
      <c r="S794" s="239"/>
      <c r="T794" s="239"/>
      <c r="U794" s="216"/>
      <c r="V794" s="217"/>
      <c r="W794" s="233"/>
      <c r="X794" s="123"/>
      <c r="Y794" s="117"/>
      <c r="Z794" s="117"/>
    </row>
    <row r="795" spans="1:26">
      <c r="A795" s="117"/>
      <c r="B795" s="117"/>
      <c r="C795" s="117"/>
      <c r="D795" s="117"/>
      <c r="E795" s="117"/>
      <c r="F795" s="117"/>
      <c r="G795" s="116"/>
      <c r="H795" s="117"/>
      <c r="I795" s="117"/>
      <c r="J795" s="117"/>
      <c r="K795" s="117"/>
      <c r="L795" s="117"/>
      <c r="M795" s="213"/>
      <c r="N795" s="117"/>
      <c r="O795" s="117"/>
      <c r="P795" s="117"/>
      <c r="Q795" s="200"/>
      <c r="R795" s="239"/>
      <c r="S795" s="239"/>
      <c r="T795" s="239"/>
      <c r="U795" s="216"/>
      <c r="V795" s="217"/>
      <c r="W795" s="233"/>
      <c r="X795" s="123"/>
      <c r="Y795" s="117"/>
      <c r="Z795" s="117"/>
    </row>
    <row r="796" spans="1:26">
      <c r="A796" s="117"/>
      <c r="B796" s="117"/>
      <c r="C796" s="117"/>
      <c r="D796" s="117"/>
      <c r="E796" s="117"/>
      <c r="F796" s="117"/>
      <c r="G796" s="116"/>
      <c r="H796" s="117"/>
      <c r="I796" s="117"/>
      <c r="J796" s="117"/>
      <c r="K796" s="117"/>
      <c r="L796" s="117"/>
      <c r="M796" s="213"/>
      <c r="N796" s="117"/>
      <c r="O796" s="117"/>
      <c r="P796" s="117"/>
      <c r="Q796" s="200"/>
      <c r="R796" s="239"/>
      <c r="S796" s="239"/>
      <c r="T796" s="239"/>
      <c r="U796" s="216"/>
      <c r="V796" s="217"/>
      <c r="W796" s="233"/>
      <c r="X796" s="123"/>
      <c r="Y796" s="117"/>
      <c r="Z796" s="117"/>
    </row>
    <row r="797" spans="1:26">
      <c r="A797" s="117"/>
      <c r="B797" s="117"/>
      <c r="C797" s="117"/>
      <c r="D797" s="117"/>
      <c r="E797" s="117"/>
      <c r="F797" s="117"/>
      <c r="G797" s="116"/>
      <c r="H797" s="117"/>
      <c r="I797" s="117"/>
      <c r="J797" s="117"/>
      <c r="K797" s="117"/>
      <c r="L797" s="117"/>
      <c r="M797" s="213"/>
      <c r="N797" s="117"/>
      <c r="O797" s="117"/>
      <c r="P797" s="117"/>
      <c r="Q797" s="200"/>
      <c r="R797" s="239"/>
      <c r="S797" s="239"/>
      <c r="T797" s="239"/>
      <c r="U797" s="216"/>
      <c r="V797" s="217"/>
      <c r="W797" s="233"/>
      <c r="X797" s="123"/>
      <c r="Y797" s="117"/>
      <c r="Z797" s="117"/>
    </row>
    <row r="798" spans="1:26">
      <c r="A798" s="117"/>
      <c r="B798" s="117"/>
      <c r="C798" s="117"/>
      <c r="D798" s="117"/>
      <c r="E798" s="117"/>
      <c r="F798" s="117"/>
      <c r="G798" s="116"/>
      <c r="H798" s="117"/>
      <c r="I798" s="117"/>
      <c r="J798" s="117"/>
      <c r="K798" s="117"/>
      <c r="L798" s="117"/>
      <c r="M798" s="213"/>
      <c r="N798" s="117"/>
      <c r="O798" s="117"/>
      <c r="P798" s="117"/>
      <c r="Q798" s="200"/>
      <c r="R798" s="239"/>
      <c r="S798" s="239"/>
      <c r="T798" s="239"/>
      <c r="U798" s="216"/>
      <c r="V798" s="217"/>
      <c r="W798" s="233"/>
      <c r="X798" s="123"/>
      <c r="Y798" s="117"/>
      <c r="Z798" s="117"/>
    </row>
    <row r="799" spans="1:26">
      <c r="A799" s="117"/>
      <c r="B799" s="117"/>
      <c r="C799" s="117"/>
      <c r="D799" s="117"/>
      <c r="E799" s="117"/>
      <c r="F799" s="117"/>
      <c r="G799" s="116"/>
      <c r="H799" s="117"/>
      <c r="I799" s="117"/>
      <c r="J799" s="117"/>
      <c r="K799" s="117"/>
      <c r="L799" s="117"/>
      <c r="M799" s="213"/>
      <c r="N799" s="117"/>
      <c r="O799" s="117"/>
      <c r="P799" s="117"/>
      <c r="Q799" s="200"/>
      <c r="R799" s="239"/>
      <c r="S799" s="239"/>
      <c r="T799" s="239"/>
      <c r="U799" s="216"/>
      <c r="V799" s="217"/>
      <c r="W799" s="233"/>
      <c r="X799" s="123"/>
      <c r="Y799" s="117"/>
      <c r="Z799" s="117"/>
    </row>
    <row r="800" spans="1:26">
      <c r="A800" s="117"/>
      <c r="B800" s="117"/>
      <c r="C800" s="117"/>
      <c r="D800" s="117"/>
      <c r="E800" s="117"/>
      <c r="F800" s="117"/>
      <c r="G800" s="116"/>
      <c r="H800" s="117"/>
      <c r="I800" s="117"/>
      <c r="J800" s="117"/>
      <c r="K800" s="117"/>
      <c r="L800" s="117"/>
      <c r="M800" s="213"/>
      <c r="N800" s="117"/>
      <c r="O800" s="117"/>
      <c r="P800" s="117"/>
      <c r="Q800" s="200"/>
      <c r="R800" s="239"/>
      <c r="S800" s="239"/>
      <c r="T800" s="239"/>
      <c r="U800" s="216"/>
      <c r="V800" s="217"/>
      <c r="W800" s="233"/>
      <c r="X800" s="123"/>
      <c r="Y800" s="117"/>
      <c r="Z800" s="117"/>
    </row>
    <row r="801" spans="1:26">
      <c r="A801" s="117"/>
      <c r="B801" s="117"/>
      <c r="C801" s="117"/>
      <c r="D801" s="117"/>
      <c r="E801" s="117"/>
      <c r="F801" s="117"/>
      <c r="G801" s="116"/>
      <c r="H801" s="117"/>
      <c r="I801" s="117"/>
      <c r="J801" s="117"/>
      <c r="K801" s="117"/>
      <c r="L801" s="117"/>
      <c r="M801" s="213"/>
      <c r="N801" s="117"/>
      <c r="O801" s="117"/>
      <c r="P801" s="117"/>
      <c r="Q801" s="200"/>
      <c r="R801" s="239"/>
      <c r="S801" s="239"/>
      <c r="T801" s="239"/>
      <c r="U801" s="216"/>
      <c r="V801" s="217"/>
      <c r="W801" s="233"/>
      <c r="X801" s="123"/>
      <c r="Y801" s="117"/>
      <c r="Z801" s="117"/>
    </row>
    <row r="802" spans="1:26">
      <c r="A802" s="117"/>
      <c r="B802" s="117"/>
      <c r="C802" s="117"/>
      <c r="D802" s="117"/>
      <c r="E802" s="117"/>
      <c r="F802" s="117"/>
      <c r="G802" s="116"/>
      <c r="H802" s="117"/>
      <c r="I802" s="117"/>
      <c r="J802" s="117"/>
      <c r="K802" s="117"/>
      <c r="L802" s="117"/>
      <c r="M802" s="213"/>
      <c r="N802" s="117"/>
      <c r="O802" s="117"/>
      <c r="P802" s="117"/>
      <c r="Q802" s="200"/>
      <c r="R802" s="239"/>
      <c r="S802" s="239"/>
      <c r="T802" s="239"/>
      <c r="U802" s="216"/>
      <c r="V802" s="217"/>
      <c r="W802" s="233"/>
      <c r="X802" s="123"/>
      <c r="Y802" s="117"/>
      <c r="Z802" s="117"/>
    </row>
    <row r="803" spans="1:26">
      <c r="A803" s="117"/>
      <c r="B803" s="117"/>
      <c r="C803" s="117"/>
      <c r="D803" s="117"/>
      <c r="E803" s="117"/>
      <c r="F803" s="117"/>
      <c r="G803" s="116"/>
      <c r="H803" s="117"/>
      <c r="I803" s="117"/>
      <c r="J803" s="117"/>
      <c r="K803" s="117"/>
      <c r="L803" s="117"/>
      <c r="M803" s="213"/>
      <c r="N803" s="117"/>
      <c r="O803" s="117"/>
      <c r="P803" s="117"/>
      <c r="Q803" s="200"/>
      <c r="R803" s="239"/>
      <c r="S803" s="239"/>
      <c r="T803" s="239"/>
      <c r="U803" s="216"/>
      <c r="V803" s="217"/>
      <c r="W803" s="233"/>
      <c r="X803" s="123"/>
      <c r="Y803" s="117"/>
      <c r="Z803" s="117"/>
    </row>
    <row r="804" spans="1:26">
      <c r="A804" s="117"/>
      <c r="B804" s="117"/>
      <c r="C804" s="117"/>
      <c r="D804" s="117"/>
      <c r="E804" s="117"/>
      <c r="F804" s="117"/>
      <c r="G804" s="116"/>
      <c r="H804" s="117"/>
      <c r="I804" s="117"/>
      <c r="J804" s="117"/>
      <c r="K804" s="117"/>
      <c r="L804" s="117"/>
      <c r="M804" s="213"/>
      <c r="N804" s="117"/>
      <c r="O804" s="117"/>
      <c r="P804" s="117"/>
      <c r="Q804" s="200"/>
      <c r="R804" s="239"/>
      <c r="S804" s="239"/>
      <c r="T804" s="239"/>
      <c r="U804" s="216"/>
      <c r="V804" s="217"/>
      <c r="W804" s="233"/>
      <c r="X804" s="123"/>
      <c r="Y804" s="117"/>
      <c r="Z804" s="117"/>
    </row>
    <row r="805" spans="1:26">
      <c r="A805" s="117"/>
      <c r="B805" s="117"/>
      <c r="C805" s="117"/>
      <c r="D805" s="117"/>
      <c r="E805" s="117"/>
      <c r="F805" s="117"/>
      <c r="G805" s="116"/>
      <c r="H805" s="117"/>
      <c r="I805" s="117"/>
      <c r="J805" s="117"/>
      <c r="K805" s="117"/>
      <c r="L805" s="117"/>
      <c r="M805" s="213"/>
      <c r="N805" s="117"/>
      <c r="O805" s="117"/>
      <c r="P805" s="117"/>
      <c r="Q805" s="200"/>
      <c r="R805" s="239"/>
      <c r="S805" s="239"/>
      <c r="T805" s="239"/>
      <c r="U805" s="216"/>
      <c r="V805" s="217"/>
      <c r="W805" s="233"/>
      <c r="X805" s="123"/>
      <c r="Y805" s="117"/>
      <c r="Z805" s="117"/>
    </row>
    <row r="806" spans="1:26">
      <c r="A806" s="117"/>
      <c r="B806" s="117"/>
      <c r="C806" s="117"/>
      <c r="D806" s="117"/>
      <c r="E806" s="117"/>
      <c r="F806" s="117"/>
      <c r="G806" s="116"/>
      <c r="H806" s="117"/>
      <c r="I806" s="117"/>
      <c r="J806" s="117"/>
      <c r="K806" s="117"/>
      <c r="L806" s="117"/>
      <c r="M806" s="213"/>
      <c r="N806" s="117"/>
      <c r="O806" s="117"/>
      <c r="P806" s="117"/>
      <c r="Q806" s="200"/>
      <c r="R806" s="239"/>
      <c r="S806" s="239"/>
      <c r="T806" s="239"/>
      <c r="U806" s="216"/>
      <c r="V806" s="217"/>
      <c r="W806" s="233"/>
      <c r="X806" s="123"/>
      <c r="Y806" s="117"/>
      <c r="Z806" s="117"/>
    </row>
    <row r="807" spans="1:26">
      <c r="A807" s="117"/>
      <c r="B807" s="117"/>
      <c r="C807" s="117"/>
      <c r="D807" s="117"/>
      <c r="E807" s="117"/>
      <c r="F807" s="117"/>
      <c r="G807" s="116"/>
      <c r="H807" s="117"/>
      <c r="I807" s="117"/>
      <c r="J807" s="117"/>
      <c r="K807" s="117"/>
      <c r="L807" s="117"/>
      <c r="M807" s="213"/>
      <c r="N807" s="117"/>
      <c r="O807" s="117"/>
      <c r="P807" s="117"/>
      <c r="Q807" s="200"/>
      <c r="R807" s="239"/>
      <c r="S807" s="239"/>
      <c r="T807" s="239"/>
      <c r="U807" s="216"/>
      <c r="V807" s="217"/>
      <c r="W807" s="233"/>
      <c r="X807" s="123"/>
      <c r="Y807" s="117"/>
      <c r="Z807" s="117"/>
    </row>
    <row r="808" spans="1:26">
      <c r="A808" s="117"/>
      <c r="B808" s="117"/>
      <c r="C808" s="117"/>
      <c r="D808" s="117"/>
      <c r="E808" s="117"/>
      <c r="F808" s="117"/>
      <c r="G808" s="116"/>
      <c r="H808" s="117"/>
      <c r="I808" s="117"/>
      <c r="J808" s="117"/>
      <c r="K808" s="117"/>
      <c r="L808" s="117"/>
      <c r="M808" s="213"/>
      <c r="N808" s="117"/>
      <c r="O808" s="117"/>
      <c r="P808" s="117"/>
      <c r="Q808" s="200"/>
      <c r="R808" s="239"/>
      <c r="S808" s="239"/>
      <c r="T808" s="239"/>
      <c r="U808" s="216"/>
      <c r="V808" s="217"/>
      <c r="W808" s="233"/>
      <c r="X808" s="123"/>
      <c r="Y808" s="117"/>
      <c r="Z808" s="117"/>
    </row>
    <row r="809" spans="1:26">
      <c r="A809" s="117"/>
      <c r="B809" s="117"/>
      <c r="C809" s="117"/>
      <c r="D809" s="117"/>
      <c r="E809" s="117"/>
      <c r="F809" s="117"/>
      <c r="G809" s="116"/>
      <c r="H809" s="117"/>
      <c r="I809" s="117"/>
      <c r="J809" s="117"/>
      <c r="K809" s="117"/>
      <c r="L809" s="117"/>
      <c r="M809" s="213"/>
      <c r="N809" s="117"/>
      <c r="O809" s="117"/>
      <c r="P809" s="117"/>
      <c r="Q809" s="200"/>
      <c r="R809" s="239"/>
      <c r="S809" s="239"/>
      <c r="T809" s="239"/>
      <c r="U809" s="216"/>
      <c r="V809" s="217"/>
      <c r="W809" s="233"/>
      <c r="X809" s="123"/>
      <c r="Y809" s="117"/>
      <c r="Z809" s="117"/>
    </row>
    <row r="810" spans="1:26">
      <c r="A810" s="117"/>
      <c r="B810" s="117"/>
      <c r="C810" s="117"/>
      <c r="D810" s="117"/>
      <c r="E810" s="117"/>
      <c r="F810" s="117"/>
      <c r="G810" s="116"/>
      <c r="H810" s="117"/>
      <c r="I810" s="117"/>
      <c r="J810" s="117"/>
      <c r="K810" s="117"/>
      <c r="L810" s="117"/>
      <c r="M810" s="213"/>
      <c r="N810" s="117"/>
      <c r="O810" s="117"/>
      <c r="P810" s="117"/>
      <c r="Q810" s="200"/>
      <c r="R810" s="239"/>
      <c r="S810" s="239"/>
      <c r="T810" s="239"/>
      <c r="U810" s="216"/>
      <c r="V810" s="217"/>
      <c r="W810" s="233"/>
      <c r="X810" s="123"/>
      <c r="Y810" s="117"/>
      <c r="Z810" s="117"/>
    </row>
    <row r="811" spans="1:26">
      <c r="A811" s="117"/>
      <c r="B811" s="117"/>
      <c r="C811" s="117"/>
      <c r="D811" s="117"/>
      <c r="E811" s="117"/>
      <c r="F811" s="117"/>
      <c r="G811" s="116"/>
      <c r="H811" s="117"/>
      <c r="I811" s="117"/>
      <c r="J811" s="117"/>
      <c r="K811" s="117"/>
      <c r="L811" s="117"/>
      <c r="M811" s="213"/>
      <c r="N811" s="117"/>
      <c r="O811" s="117"/>
      <c r="P811" s="117"/>
      <c r="Q811" s="200"/>
      <c r="R811" s="239"/>
      <c r="S811" s="239"/>
      <c r="T811" s="239"/>
      <c r="U811" s="216"/>
      <c r="V811" s="217"/>
      <c r="W811" s="233"/>
      <c r="X811" s="123"/>
      <c r="Y811" s="117"/>
      <c r="Z811" s="117"/>
    </row>
    <row r="812" spans="1:26">
      <c r="A812" s="117"/>
      <c r="B812" s="117"/>
      <c r="C812" s="117"/>
      <c r="D812" s="117"/>
      <c r="E812" s="117"/>
      <c r="F812" s="117"/>
      <c r="G812" s="116"/>
      <c r="H812" s="117"/>
      <c r="I812" s="117"/>
      <c r="J812" s="117"/>
      <c r="K812" s="117"/>
      <c r="L812" s="117"/>
      <c r="M812" s="213"/>
      <c r="N812" s="117"/>
      <c r="O812" s="117"/>
      <c r="P812" s="117"/>
      <c r="Q812" s="200"/>
      <c r="R812" s="239"/>
      <c r="S812" s="239"/>
      <c r="T812" s="239"/>
      <c r="U812" s="216"/>
      <c r="V812" s="217"/>
      <c r="W812" s="233"/>
      <c r="X812" s="123"/>
      <c r="Y812" s="117"/>
      <c r="Z812" s="117"/>
    </row>
    <row r="813" spans="1:26">
      <c r="A813" s="117"/>
      <c r="B813" s="117"/>
      <c r="C813" s="117"/>
      <c r="D813" s="117"/>
      <c r="E813" s="117"/>
      <c r="F813" s="117"/>
      <c r="G813" s="116"/>
      <c r="H813" s="117"/>
      <c r="I813" s="117"/>
      <c r="J813" s="117"/>
      <c r="K813" s="117"/>
      <c r="L813" s="117"/>
      <c r="M813" s="213"/>
      <c r="N813" s="117"/>
      <c r="O813" s="117"/>
      <c r="P813" s="117"/>
      <c r="Q813" s="200"/>
      <c r="R813" s="239"/>
      <c r="S813" s="239"/>
      <c r="T813" s="239"/>
      <c r="U813" s="216"/>
      <c r="V813" s="217"/>
      <c r="W813" s="233"/>
      <c r="X813" s="123"/>
      <c r="Y813" s="117"/>
      <c r="Z813" s="117"/>
    </row>
    <row r="814" spans="1:26">
      <c r="A814" s="117"/>
      <c r="B814" s="117"/>
      <c r="C814" s="117"/>
      <c r="D814" s="117"/>
      <c r="E814" s="117"/>
      <c r="F814" s="117"/>
      <c r="G814" s="116"/>
      <c r="H814" s="117"/>
      <c r="I814" s="117"/>
      <c r="J814" s="117"/>
      <c r="K814" s="117"/>
      <c r="L814" s="117"/>
      <c r="M814" s="213"/>
      <c r="N814" s="117"/>
      <c r="O814" s="117"/>
      <c r="P814" s="117"/>
      <c r="Q814" s="200"/>
      <c r="R814" s="239"/>
      <c r="S814" s="239"/>
      <c r="T814" s="239"/>
      <c r="U814" s="216"/>
      <c r="V814" s="217"/>
      <c r="W814" s="233"/>
      <c r="X814" s="123"/>
      <c r="Y814" s="117"/>
      <c r="Z814" s="117"/>
    </row>
    <row r="815" spans="1:26">
      <c r="A815" s="117"/>
      <c r="B815" s="117"/>
      <c r="C815" s="117"/>
      <c r="D815" s="117"/>
      <c r="E815" s="117"/>
      <c r="F815" s="117"/>
      <c r="G815" s="116"/>
      <c r="H815" s="117"/>
      <c r="I815" s="117"/>
      <c r="J815" s="117"/>
      <c r="K815" s="117"/>
      <c r="L815" s="117"/>
      <c r="M815" s="213"/>
      <c r="N815" s="117"/>
      <c r="O815" s="117"/>
      <c r="P815" s="117"/>
      <c r="Q815" s="200"/>
      <c r="R815" s="239"/>
      <c r="S815" s="239"/>
      <c r="T815" s="239"/>
      <c r="U815" s="216"/>
      <c r="V815" s="217"/>
      <c r="W815" s="233"/>
      <c r="X815" s="123"/>
      <c r="Y815" s="117"/>
      <c r="Z815" s="117"/>
    </row>
    <row r="816" spans="1:26">
      <c r="A816" s="117"/>
      <c r="B816" s="117"/>
      <c r="C816" s="117"/>
      <c r="D816" s="117"/>
      <c r="E816" s="117"/>
      <c r="F816" s="117"/>
      <c r="G816" s="116"/>
      <c r="H816" s="117"/>
      <c r="I816" s="117"/>
      <c r="J816" s="117"/>
      <c r="K816" s="117"/>
      <c r="L816" s="117"/>
      <c r="M816" s="213"/>
      <c r="N816" s="117"/>
      <c r="O816" s="117"/>
      <c r="P816" s="117"/>
      <c r="Q816" s="200"/>
      <c r="R816" s="239"/>
      <c r="S816" s="239"/>
      <c r="T816" s="239"/>
      <c r="U816" s="216"/>
      <c r="V816" s="217"/>
      <c r="W816" s="233"/>
      <c r="X816" s="123"/>
      <c r="Y816" s="117"/>
      <c r="Z816" s="117"/>
    </row>
    <row r="817" spans="1:26">
      <c r="A817" s="117"/>
      <c r="B817" s="117"/>
      <c r="C817" s="117"/>
      <c r="D817" s="117"/>
      <c r="E817" s="117"/>
      <c r="F817" s="117"/>
      <c r="G817" s="116"/>
      <c r="H817" s="117"/>
      <c r="I817" s="117"/>
      <c r="J817" s="117"/>
      <c r="K817" s="117"/>
      <c r="L817" s="117"/>
      <c r="M817" s="213"/>
      <c r="N817" s="117"/>
      <c r="O817" s="117"/>
      <c r="P817" s="117"/>
      <c r="Q817" s="200"/>
      <c r="R817" s="239"/>
      <c r="S817" s="239"/>
      <c r="T817" s="239"/>
      <c r="U817" s="216"/>
      <c r="V817" s="217"/>
      <c r="W817" s="233"/>
      <c r="X817" s="123"/>
      <c r="Y817" s="117"/>
      <c r="Z817" s="117"/>
    </row>
    <row r="818" spans="1:26">
      <c r="A818" s="117"/>
      <c r="B818" s="117"/>
      <c r="C818" s="117"/>
      <c r="D818" s="117"/>
      <c r="E818" s="117"/>
      <c r="F818" s="117"/>
      <c r="G818" s="116"/>
      <c r="H818" s="117"/>
      <c r="I818" s="117"/>
      <c r="J818" s="117"/>
      <c r="K818" s="117"/>
      <c r="L818" s="117"/>
      <c r="M818" s="213"/>
      <c r="N818" s="117"/>
      <c r="O818" s="117"/>
      <c r="P818" s="117"/>
      <c r="Q818" s="200"/>
      <c r="R818" s="239"/>
      <c r="S818" s="239"/>
      <c r="T818" s="239"/>
      <c r="U818" s="216"/>
      <c r="V818" s="217"/>
      <c r="W818" s="233"/>
      <c r="X818" s="123"/>
      <c r="Y818" s="117"/>
      <c r="Z818" s="117"/>
    </row>
    <row r="819" spans="1:26">
      <c r="A819" s="117"/>
      <c r="B819" s="117"/>
      <c r="C819" s="117"/>
      <c r="D819" s="117"/>
      <c r="E819" s="117"/>
      <c r="F819" s="117"/>
      <c r="G819" s="116"/>
      <c r="H819" s="117"/>
      <c r="I819" s="117"/>
      <c r="J819" s="117"/>
      <c r="K819" s="117"/>
      <c r="L819" s="117"/>
      <c r="M819" s="213"/>
      <c r="N819" s="117"/>
      <c r="O819" s="117"/>
      <c r="P819" s="117"/>
      <c r="Q819" s="200"/>
      <c r="R819" s="239"/>
      <c r="S819" s="239"/>
      <c r="T819" s="239"/>
      <c r="U819" s="216"/>
      <c r="V819" s="217"/>
      <c r="W819" s="233"/>
      <c r="X819" s="123"/>
      <c r="Y819" s="117"/>
      <c r="Z819" s="117"/>
    </row>
    <row r="820" spans="1:26">
      <c r="A820" s="117"/>
      <c r="B820" s="117"/>
      <c r="C820" s="117"/>
      <c r="D820" s="117"/>
      <c r="E820" s="117"/>
      <c r="F820" s="117"/>
      <c r="G820" s="116"/>
      <c r="H820" s="117"/>
      <c r="I820" s="117"/>
      <c r="J820" s="117"/>
      <c r="K820" s="117"/>
      <c r="L820" s="117"/>
      <c r="M820" s="213"/>
      <c r="N820" s="117"/>
      <c r="O820" s="117"/>
      <c r="P820" s="117"/>
      <c r="Q820" s="200"/>
      <c r="R820" s="239"/>
      <c r="S820" s="239"/>
      <c r="T820" s="239"/>
      <c r="U820" s="216"/>
      <c r="V820" s="217"/>
      <c r="W820" s="233"/>
      <c r="X820" s="123"/>
      <c r="Y820" s="117"/>
      <c r="Z820" s="117"/>
    </row>
    <row r="821" spans="1:26">
      <c r="A821" s="117"/>
      <c r="B821" s="117"/>
      <c r="C821" s="117"/>
      <c r="D821" s="117"/>
      <c r="E821" s="117"/>
      <c r="F821" s="117"/>
      <c r="G821" s="116"/>
      <c r="H821" s="117"/>
      <c r="I821" s="117"/>
      <c r="J821" s="117"/>
      <c r="K821" s="117"/>
      <c r="L821" s="117"/>
      <c r="M821" s="213"/>
      <c r="N821" s="117"/>
      <c r="O821" s="117"/>
      <c r="P821" s="117"/>
      <c r="Q821" s="200"/>
      <c r="R821" s="239"/>
      <c r="S821" s="239"/>
      <c r="T821" s="239"/>
      <c r="U821" s="216"/>
      <c r="V821" s="217"/>
      <c r="W821" s="233"/>
      <c r="X821" s="123"/>
      <c r="Y821" s="117"/>
      <c r="Z821" s="117"/>
    </row>
    <row r="822" spans="1:26">
      <c r="A822" s="117"/>
      <c r="B822" s="117"/>
      <c r="C822" s="117"/>
      <c r="D822" s="117"/>
      <c r="E822" s="117"/>
      <c r="F822" s="117"/>
      <c r="G822" s="116"/>
      <c r="H822" s="117"/>
      <c r="I822" s="117"/>
      <c r="J822" s="117"/>
      <c r="K822" s="117"/>
      <c r="L822" s="117"/>
      <c r="M822" s="213"/>
      <c r="N822" s="117"/>
      <c r="O822" s="117"/>
      <c r="P822" s="117"/>
      <c r="Q822" s="200"/>
      <c r="R822" s="239"/>
      <c r="S822" s="239"/>
      <c r="T822" s="239"/>
      <c r="U822" s="216"/>
      <c r="V822" s="217"/>
      <c r="W822" s="233"/>
      <c r="X822" s="123"/>
      <c r="Y822" s="117"/>
      <c r="Z822" s="117"/>
    </row>
    <row r="823" spans="1:26">
      <c r="A823" s="117"/>
      <c r="B823" s="117"/>
      <c r="C823" s="117"/>
      <c r="D823" s="117"/>
      <c r="E823" s="117"/>
      <c r="F823" s="117"/>
      <c r="G823" s="116"/>
      <c r="H823" s="117"/>
      <c r="I823" s="117"/>
      <c r="J823" s="117"/>
      <c r="K823" s="117"/>
      <c r="L823" s="117"/>
      <c r="M823" s="213"/>
      <c r="N823" s="117"/>
      <c r="O823" s="117"/>
      <c r="P823" s="117"/>
      <c r="Q823" s="200"/>
      <c r="R823" s="239"/>
      <c r="S823" s="239"/>
      <c r="T823" s="239"/>
      <c r="U823" s="216"/>
      <c r="V823" s="217"/>
      <c r="W823" s="233"/>
      <c r="X823" s="123"/>
      <c r="Y823" s="117"/>
      <c r="Z823" s="117"/>
    </row>
    <row r="824" spans="1:26">
      <c r="A824" s="117"/>
      <c r="B824" s="117"/>
      <c r="C824" s="117"/>
      <c r="D824" s="117"/>
      <c r="E824" s="117"/>
      <c r="F824" s="117"/>
      <c r="G824" s="116"/>
      <c r="H824" s="117"/>
      <c r="I824" s="117"/>
      <c r="J824" s="117"/>
      <c r="K824" s="117"/>
      <c r="L824" s="117"/>
      <c r="M824" s="213"/>
      <c r="N824" s="117"/>
      <c r="O824" s="117"/>
      <c r="P824" s="117"/>
      <c r="Q824" s="200"/>
      <c r="R824" s="239"/>
      <c r="S824" s="239"/>
      <c r="T824" s="239"/>
      <c r="U824" s="216"/>
      <c r="V824" s="217"/>
      <c r="W824" s="233"/>
      <c r="X824" s="123"/>
      <c r="Y824" s="117"/>
      <c r="Z824" s="117"/>
    </row>
    <row r="825" spans="1:26">
      <c r="A825" s="117"/>
      <c r="B825" s="117"/>
      <c r="C825" s="117"/>
      <c r="D825" s="117"/>
      <c r="E825" s="117"/>
      <c r="F825" s="117"/>
      <c r="G825" s="116"/>
      <c r="H825" s="117"/>
      <c r="I825" s="117"/>
      <c r="J825" s="117"/>
      <c r="K825" s="117"/>
      <c r="L825" s="117"/>
      <c r="M825" s="213"/>
      <c r="N825" s="117"/>
      <c r="O825" s="117"/>
      <c r="P825" s="117"/>
      <c r="Q825" s="200"/>
      <c r="R825" s="239"/>
      <c r="S825" s="239"/>
      <c r="T825" s="239"/>
      <c r="U825" s="216"/>
      <c r="V825" s="217"/>
      <c r="W825" s="233"/>
      <c r="X825" s="123"/>
      <c r="Y825" s="117"/>
      <c r="Z825" s="117"/>
    </row>
    <row r="826" spans="1:26">
      <c r="A826" s="117"/>
      <c r="B826" s="117"/>
      <c r="C826" s="117"/>
      <c r="D826" s="117"/>
      <c r="E826" s="117"/>
      <c r="F826" s="117"/>
      <c r="G826" s="116"/>
      <c r="H826" s="117"/>
      <c r="I826" s="117"/>
      <c r="J826" s="117"/>
      <c r="K826" s="117"/>
      <c r="L826" s="117"/>
      <c r="M826" s="213"/>
      <c r="N826" s="117"/>
      <c r="O826" s="117"/>
      <c r="P826" s="117"/>
      <c r="Q826" s="200"/>
      <c r="R826" s="239"/>
      <c r="S826" s="239"/>
      <c r="T826" s="239"/>
      <c r="U826" s="216"/>
      <c r="V826" s="217"/>
      <c r="W826" s="233"/>
      <c r="X826" s="123"/>
      <c r="Y826" s="117"/>
      <c r="Z826" s="117"/>
    </row>
    <row r="827" spans="1:26">
      <c r="A827" s="117"/>
      <c r="B827" s="117"/>
      <c r="C827" s="117"/>
      <c r="D827" s="117"/>
      <c r="E827" s="117"/>
      <c r="F827" s="117"/>
      <c r="G827" s="116"/>
      <c r="H827" s="117"/>
      <c r="I827" s="117"/>
      <c r="J827" s="117"/>
      <c r="K827" s="117"/>
      <c r="L827" s="117"/>
      <c r="M827" s="213"/>
      <c r="N827" s="117"/>
      <c r="O827" s="117"/>
      <c r="P827" s="117"/>
      <c r="Q827" s="200"/>
      <c r="R827" s="239"/>
      <c r="S827" s="239"/>
      <c r="T827" s="239"/>
      <c r="U827" s="216"/>
      <c r="V827" s="217"/>
      <c r="W827" s="233"/>
      <c r="X827" s="123"/>
      <c r="Y827" s="117"/>
      <c r="Z827" s="117"/>
    </row>
    <row r="828" spans="1:26">
      <c r="A828" s="117"/>
      <c r="B828" s="117"/>
      <c r="C828" s="117"/>
      <c r="D828" s="117"/>
      <c r="E828" s="117"/>
      <c r="F828" s="117"/>
      <c r="G828" s="116"/>
      <c r="H828" s="117"/>
      <c r="I828" s="117"/>
      <c r="J828" s="117"/>
      <c r="K828" s="117"/>
      <c r="L828" s="117"/>
      <c r="M828" s="213"/>
      <c r="N828" s="117"/>
      <c r="O828" s="117"/>
      <c r="P828" s="117"/>
      <c r="Q828" s="200"/>
      <c r="R828" s="239"/>
      <c r="S828" s="239"/>
      <c r="T828" s="239"/>
      <c r="U828" s="216"/>
      <c r="V828" s="217"/>
      <c r="W828" s="233"/>
      <c r="X828" s="123"/>
      <c r="Y828" s="117"/>
      <c r="Z828" s="117"/>
    </row>
    <row r="829" spans="1:26">
      <c r="A829" s="117"/>
      <c r="B829" s="117"/>
      <c r="C829" s="117"/>
      <c r="D829" s="117"/>
      <c r="E829" s="117"/>
      <c r="F829" s="117"/>
      <c r="G829" s="116"/>
      <c r="H829" s="117"/>
      <c r="I829" s="117"/>
      <c r="J829" s="117"/>
      <c r="K829" s="117"/>
      <c r="L829" s="117"/>
      <c r="M829" s="213"/>
      <c r="N829" s="117"/>
      <c r="O829" s="117"/>
      <c r="P829" s="117"/>
      <c r="Q829" s="200"/>
      <c r="R829" s="239"/>
      <c r="S829" s="239"/>
      <c r="T829" s="239"/>
      <c r="U829" s="216"/>
      <c r="V829" s="217"/>
      <c r="W829" s="233"/>
      <c r="X829" s="123"/>
      <c r="Y829" s="117"/>
      <c r="Z829" s="117"/>
    </row>
    <row r="830" spans="1:26">
      <c r="A830" s="117"/>
      <c r="B830" s="117"/>
      <c r="C830" s="117"/>
      <c r="D830" s="117"/>
      <c r="E830" s="117"/>
      <c r="F830" s="117"/>
      <c r="G830" s="116"/>
      <c r="H830" s="117"/>
      <c r="I830" s="117"/>
      <c r="J830" s="117"/>
      <c r="K830" s="117"/>
      <c r="L830" s="117"/>
      <c r="M830" s="213"/>
      <c r="N830" s="117"/>
      <c r="O830" s="117"/>
      <c r="P830" s="117"/>
      <c r="Q830" s="200"/>
      <c r="R830" s="239"/>
      <c r="S830" s="239"/>
      <c r="T830" s="239"/>
      <c r="U830" s="216"/>
      <c r="V830" s="217"/>
      <c r="W830" s="233"/>
      <c r="X830" s="123"/>
      <c r="Y830" s="117"/>
      <c r="Z830" s="117"/>
    </row>
    <row r="831" spans="1:26">
      <c r="A831" s="117"/>
      <c r="B831" s="117"/>
      <c r="C831" s="117"/>
      <c r="D831" s="117"/>
      <c r="E831" s="117"/>
      <c r="F831" s="117"/>
      <c r="G831" s="116"/>
      <c r="H831" s="117"/>
      <c r="I831" s="117"/>
      <c r="J831" s="117"/>
      <c r="K831" s="117"/>
      <c r="L831" s="117"/>
      <c r="M831" s="213"/>
      <c r="N831" s="117"/>
      <c r="O831" s="117"/>
      <c r="P831" s="117"/>
      <c r="Q831" s="200"/>
      <c r="R831" s="239"/>
      <c r="S831" s="239"/>
      <c r="T831" s="239"/>
      <c r="U831" s="216"/>
      <c r="V831" s="217"/>
      <c r="W831" s="233"/>
      <c r="X831" s="123"/>
      <c r="Y831" s="117"/>
      <c r="Z831" s="117"/>
    </row>
    <row r="832" spans="1:26">
      <c r="A832" s="117"/>
      <c r="B832" s="117"/>
      <c r="C832" s="117"/>
      <c r="D832" s="117"/>
      <c r="E832" s="117"/>
      <c r="F832" s="117"/>
      <c r="G832" s="116"/>
      <c r="H832" s="117"/>
      <c r="I832" s="117"/>
      <c r="J832" s="117"/>
      <c r="K832" s="117"/>
      <c r="L832" s="117"/>
      <c r="M832" s="213"/>
      <c r="N832" s="117"/>
      <c r="O832" s="117"/>
      <c r="P832" s="117"/>
      <c r="Q832" s="200"/>
      <c r="R832" s="239"/>
      <c r="S832" s="239"/>
      <c r="T832" s="239"/>
      <c r="U832" s="216"/>
      <c r="V832" s="217"/>
      <c r="W832" s="233"/>
      <c r="X832" s="123"/>
      <c r="Y832" s="117"/>
      <c r="Z832" s="117"/>
    </row>
    <row r="833" spans="1:26">
      <c r="A833" s="117"/>
      <c r="B833" s="117"/>
      <c r="C833" s="117"/>
      <c r="D833" s="117"/>
      <c r="E833" s="117"/>
      <c r="F833" s="117"/>
      <c r="G833" s="116"/>
      <c r="H833" s="117"/>
      <c r="I833" s="117"/>
      <c r="J833" s="117"/>
      <c r="K833" s="117"/>
      <c r="L833" s="117"/>
      <c r="M833" s="213"/>
      <c r="N833" s="117"/>
      <c r="O833" s="117"/>
      <c r="P833" s="117"/>
      <c r="Q833" s="200"/>
      <c r="R833" s="239"/>
      <c r="S833" s="239"/>
      <c r="T833" s="239"/>
      <c r="U833" s="216"/>
      <c r="V833" s="217"/>
      <c r="W833" s="233"/>
      <c r="X833" s="123"/>
      <c r="Y833" s="117"/>
      <c r="Z833" s="117"/>
    </row>
    <row r="834" spans="1:26">
      <c r="A834" s="117"/>
      <c r="B834" s="117"/>
      <c r="C834" s="117"/>
      <c r="D834" s="117"/>
      <c r="E834" s="117"/>
      <c r="F834" s="117"/>
      <c r="G834" s="116"/>
      <c r="H834" s="117"/>
      <c r="I834" s="117"/>
      <c r="J834" s="117"/>
      <c r="K834" s="117"/>
      <c r="L834" s="117"/>
      <c r="M834" s="213"/>
      <c r="N834" s="117"/>
      <c r="O834" s="117"/>
      <c r="P834" s="117"/>
      <c r="Q834" s="200"/>
      <c r="R834" s="239"/>
      <c r="S834" s="239"/>
      <c r="T834" s="239"/>
      <c r="U834" s="216"/>
      <c r="V834" s="217"/>
      <c r="W834" s="233"/>
      <c r="X834" s="123"/>
      <c r="Y834" s="117"/>
      <c r="Z834" s="117"/>
    </row>
    <row r="835" spans="1:26">
      <c r="A835" s="117"/>
      <c r="B835" s="117"/>
      <c r="C835" s="117"/>
      <c r="D835" s="117"/>
      <c r="E835" s="117"/>
      <c r="F835" s="117"/>
      <c r="G835" s="116"/>
      <c r="H835" s="117"/>
      <c r="I835" s="117"/>
      <c r="J835" s="117"/>
      <c r="K835" s="117"/>
      <c r="L835" s="117"/>
      <c r="M835" s="213"/>
      <c r="N835" s="117"/>
      <c r="O835" s="117"/>
      <c r="P835" s="117"/>
      <c r="Q835" s="200"/>
      <c r="R835" s="239"/>
      <c r="S835" s="239"/>
      <c r="T835" s="239"/>
      <c r="U835" s="216"/>
      <c r="V835" s="217"/>
      <c r="W835" s="233"/>
      <c r="X835" s="123"/>
      <c r="Y835" s="117"/>
      <c r="Z835" s="117"/>
    </row>
    <row r="836" spans="1:26">
      <c r="A836" s="117"/>
      <c r="B836" s="117"/>
      <c r="C836" s="117"/>
      <c r="D836" s="117"/>
      <c r="E836" s="117"/>
      <c r="F836" s="117"/>
      <c r="G836" s="116"/>
      <c r="H836" s="117"/>
      <c r="I836" s="117"/>
      <c r="J836" s="117"/>
      <c r="K836" s="117"/>
      <c r="L836" s="117"/>
      <c r="M836" s="213"/>
      <c r="N836" s="117"/>
      <c r="O836" s="117"/>
      <c r="P836" s="117"/>
      <c r="Q836" s="200"/>
      <c r="R836" s="239"/>
      <c r="S836" s="239"/>
      <c r="T836" s="239"/>
      <c r="U836" s="216"/>
      <c r="V836" s="217"/>
      <c r="W836" s="233"/>
      <c r="X836" s="123"/>
      <c r="Y836" s="117"/>
      <c r="Z836" s="117"/>
    </row>
    <row r="837" spans="1:26">
      <c r="A837" s="117"/>
      <c r="B837" s="117"/>
      <c r="C837" s="117"/>
      <c r="D837" s="117"/>
      <c r="E837" s="117"/>
      <c r="F837" s="117"/>
      <c r="G837" s="116"/>
      <c r="H837" s="117"/>
      <c r="I837" s="117"/>
      <c r="J837" s="117"/>
      <c r="K837" s="117"/>
      <c r="L837" s="117"/>
      <c r="M837" s="213"/>
      <c r="N837" s="117"/>
      <c r="O837" s="117"/>
      <c r="P837" s="117"/>
      <c r="Q837" s="200"/>
      <c r="R837" s="239"/>
      <c r="S837" s="239"/>
      <c r="T837" s="239"/>
      <c r="U837" s="216"/>
      <c r="V837" s="217"/>
      <c r="W837" s="233"/>
      <c r="X837" s="123"/>
      <c r="Y837" s="117"/>
      <c r="Z837" s="117"/>
    </row>
    <row r="838" spans="1:26">
      <c r="A838" s="117"/>
      <c r="B838" s="117"/>
      <c r="C838" s="117"/>
      <c r="D838" s="117"/>
      <c r="E838" s="117"/>
      <c r="F838" s="117"/>
      <c r="G838" s="116"/>
      <c r="H838" s="117"/>
      <c r="I838" s="117"/>
      <c r="J838" s="117"/>
      <c r="K838" s="117"/>
      <c r="L838" s="117"/>
      <c r="M838" s="213"/>
      <c r="N838" s="117"/>
      <c r="O838" s="117"/>
      <c r="P838" s="117"/>
      <c r="Q838" s="200"/>
      <c r="R838" s="239"/>
      <c r="S838" s="239"/>
      <c r="T838" s="239"/>
      <c r="U838" s="216"/>
      <c r="V838" s="217"/>
      <c r="W838" s="233"/>
      <c r="X838" s="123"/>
      <c r="Y838" s="117"/>
      <c r="Z838" s="117"/>
    </row>
    <row r="839" spans="1:26">
      <c r="A839" s="117"/>
      <c r="B839" s="117"/>
      <c r="C839" s="117"/>
      <c r="D839" s="117"/>
      <c r="E839" s="117"/>
      <c r="F839" s="117"/>
      <c r="G839" s="116"/>
      <c r="H839" s="117"/>
      <c r="I839" s="117"/>
      <c r="J839" s="117"/>
      <c r="K839" s="117"/>
      <c r="L839" s="117"/>
      <c r="M839" s="213"/>
      <c r="N839" s="117"/>
      <c r="O839" s="117"/>
      <c r="P839" s="117"/>
      <c r="Q839" s="200"/>
      <c r="R839" s="239"/>
      <c r="S839" s="239"/>
      <c r="T839" s="239"/>
      <c r="U839" s="216"/>
      <c r="V839" s="217"/>
      <c r="W839" s="233"/>
      <c r="X839" s="123"/>
      <c r="Y839" s="117"/>
      <c r="Z839" s="117"/>
    </row>
    <row r="840" spans="1:26">
      <c r="A840" s="117"/>
      <c r="B840" s="117"/>
      <c r="C840" s="117"/>
      <c r="D840" s="117"/>
      <c r="E840" s="117"/>
      <c r="F840" s="117"/>
      <c r="G840" s="116"/>
      <c r="H840" s="117"/>
      <c r="I840" s="117"/>
      <c r="J840" s="117"/>
      <c r="K840" s="117"/>
      <c r="L840" s="117"/>
      <c r="M840" s="213"/>
      <c r="N840" s="117"/>
      <c r="O840" s="117"/>
      <c r="P840" s="117"/>
      <c r="Q840" s="200"/>
      <c r="R840" s="239"/>
      <c r="S840" s="239"/>
      <c r="T840" s="239"/>
      <c r="U840" s="216"/>
      <c r="V840" s="217"/>
      <c r="W840" s="233"/>
      <c r="X840" s="123"/>
      <c r="Y840" s="117"/>
      <c r="Z840" s="117"/>
    </row>
    <row r="841" spans="1:26">
      <c r="A841" s="117"/>
      <c r="B841" s="117"/>
      <c r="C841" s="117"/>
      <c r="D841" s="117"/>
      <c r="E841" s="117"/>
      <c r="F841" s="117"/>
      <c r="G841" s="116"/>
      <c r="H841" s="117"/>
      <c r="I841" s="117"/>
      <c r="J841" s="117"/>
      <c r="K841" s="117"/>
      <c r="L841" s="117"/>
      <c r="M841" s="213"/>
      <c r="N841" s="117"/>
      <c r="O841" s="117"/>
      <c r="P841" s="117"/>
      <c r="Q841" s="200"/>
      <c r="R841" s="239"/>
      <c r="S841" s="239"/>
      <c r="T841" s="239"/>
      <c r="U841" s="216"/>
      <c r="V841" s="217"/>
      <c r="W841" s="233"/>
      <c r="X841" s="123"/>
      <c r="Y841" s="117"/>
      <c r="Z841" s="117"/>
    </row>
    <row r="842" spans="1:26">
      <c r="A842" s="117"/>
      <c r="B842" s="117"/>
      <c r="C842" s="117"/>
      <c r="D842" s="117"/>
      <c r="E842" s="117"/>
      <c r="F842" s="117"/>
      <c r="G842" s="116"/>
      <c r="H842" s="117"/>
      <c r="I842" s="117"/>
      <c r="J842" s="117"/>
      <c r="K842" s="117"/>
      <c r="L842" s="117"/>
      <c r="M842" s="213"/>
      <c r="N842" s="117"/>
      <c r="O842" s="117"/>
      <c r="P842" s="117"/>
      <c r="Q842" s="200"/>
      <c r="R842" s="239"/>
      <c r="S842" s="239"/>
      <c r="T842" s="239"/>
      <c r="U842" s="216"/>
      <c r="V842" s="217"/>
      <c r="W842" s="233"/>
      <c r="X842" s="123"/>
      <c r="Y842" s="117"/>
      <c r="Z842" s="117"/>
    </row>
    <row r="843" spans="1:26">
      <c r="A843" s="117"/>
      <c r="B843" s="117"/>
      <c r="C843" s="117"/>
      <c r="D843" s="117"/>
      <c r="E843" s="117"/>
      <c r="F843" s="117"/>
      <c r="G843" s="116"/>
      <c r="H843" s="117"/>
      <c r="I843" s="117"/>
      <c r="J843" s="117"/>
      <c r="K843" s="117"/>
      <c r="L843" s="117"/>
      <c r="M843" s="213"/>
      <c r="N843" s="117"/>
      <c r="O843" s="117"/>
      <c r="P843" s="117"/>
      <c r="Q843" s="200"/>
      <c r="R843" s="239"/>
      <c r="S843" s="239"/>
      <c r="T843" s="239"/>
      <c r="U843" s="216"/>
      <c r="V843" s="217"/>
      <c r="W843" s="233"/>
      <c r="X843" s="123"/>
      <c r="Y843" s="117"/>
      <c r="Z843" s="117"/>
    </row>
    <row r="844" spans="1:26">
      <c r="A844" s="117"/>
      <c r="B844" s="117"/>
      <c r="C844" s="117"/>
      <c r="D844" s="117"/>
      <c r="E844" s="117"/>
      <c r="F844" s="117"/>
      <c r="G844" s="116"/>
      <c r="H844" s="117"/>
      <c r="I844" s="117"/>
      <c r="J844" s="117"/>
      <c r="K844" s="117"/>
      <c r="L844" s="117"/>
      <c r="M844" s="213"/>
      <c r="N844" s="117"/>
      <c r="O844" s="117"/>
      <c r="P844" s="117"/>
      <c r="Q844" s="200"/>
      <c r="R844" s="239"/>
      <c r="S844" s="239"/>
      <c r="T844" s="239"/>
      <c r="U844" s="216"/>
      <c r="V844" s="217"/>
      <c r="W844" s="233"/>
      <c r="X844" s="123"/>
      <c r="Y844" s="117"/>
      <c r="Z844" s="117"/>
    </row>
    <row r="845" spans="1:26">
      <c r="A845" s="117"/>
      <c r="B845" s="117"/>
      <c r="C845" s="117"/>
      <c r="D845" s="117"/>
      <c r="E845" s="117"/>
      <c r="F845" s="117"/>
      <c r="G845" s="116"/>
      <c r="H845" s="117"/>
      <c r="I845" s="117"/>
      <c r="J845" s="117"/>
      <c r="K845" s="117"/>
      <c r="L845" s="117"/>
      <c r="M845" s="213"/>
      <c r="N845" s="117"/>
      <c r="O845" s="117"/>
      <c r="P845" s="117"/>
      <c r="Q845" s="200"/>
      <c r="R845" s="239"/>
      <c r="S845" s="239"/>
      <c r="T845" s="239"/>
      <c r="U845" s="216"/>
      <c r="V845" s="217"/>
      <c r="W845" s="233"/>
      <c r="X845" s="123"/>
      <c r="Y845" s="117"/>
      <c r="Z845" s="117"/>
    </row>
    <row r="846" spans="1:26">
      <c r="A846" s="117"/>
      <c r="B846" s="117"/>
      <c r="C846" s="117"/>
      <c r="D846" s="117"/>
      <c r="E846" s="117"/>
      <c r="F846" s="117"/>
      <c r="G846" s="116"/>
      <c r="H846" s="117"/>
      <c r="I846" s="117"/>
      <c r="J846" s="117"/>
      <c r="K846" s="117"/>
      <c r="L846" s="117"/>
      <c r="M846" s="213"/>
      <c r="N846" s="117"/>
      <c r="O846" s="117"/>
      <c r="P846" s="117"/>
      <c r="Q846" s="200"/>
      <c r="R846" s="239"/>
      <c r="S846" s="239"/>
      <c r="T846" s="239"/>
      <c r="U846" s="216"/>
      <c r="V846" s="217"/>
      <c r="W846" s="233"/>
      <c r="X846" s="123"/>
      <c r="Y846" s="117"/>
      <c r="Z846" s="117"/>
    </row>
    <row r="847" spans="1:26">
      <c r="A847" s="117"/>
      <c r="B847" s="117"/>
      <c r="C847" s="117"/>
      <c r="D847" s="117"/>
      <c r="E847" s="117"/>
      <c r="F847" s="117"/>
      <c r="G847" s="116"/>
      <c r="H847" s="117"/>
      <c r="I847" s="117"/>
      <c r="J847" s="117"/>
      <c r="K847" s="117"/>
      <c r="L847" s="117"/>
      <c r="M847" s="213"/>
      <c r="N847" s="117"/>
      <c r="O847" s="117"/>
      <c r="P847" s="117"/>
      <c r="Q847" s="200"/>
      <c r="R847" s="239"/>
      <c r="S847" s="239"/>
      <c r="T847" s="239"/>
      <c r="U847" s="216"/>
      <c r="V847" s="217"/>
      <c r="W847" s="233"/>
      <c r="X847" s="123"/>
      <c r="Y847" s="117"/>
      <c r="Z847" s="117"/>
    </row>
    <row r="848" spans="1:26">
      <c r="A848" s="117"/>
      <c r="B848" s="117"/>
      <c r="C848" s="117"/>
      <c r="D848" s="117"/>
      <c r="E848" s="117"/>
      <c r="F848" s="117"/>
      <c r="G848" s="116"/>
      <c r="H848" s="117"/>
      <c r="I848" s="117"/>
      <c r="J848" s="117"/>
      <c r="K848" s="117"/>
      <c r="L848" s="117"/>
      <c r="M848" s="213"/>
      <c r="N848" s="117"/>
      <c r="O848" s="117"/>
      <c r="P848" s="117"/>
      <c r="Q848" s="200"/>
      <c r="R848" s="239"/>
      <c r="S848" s="239"/>
      <c r="T848" s="239"/>
      <c r="U848" s="216"/>
      <c r="V848" s="217"/>
      <c r="W848" s="233"/>
      <c r="X848" s="123"/>
      <c r="Y848" s="117"/>
      <c r="Z848" s="117"/>
    </row>
    <row r="849" spans="1:26">
      <c r="A849" s="117"/>
      <c r="B849" s="117"/>
      <c r="C849" s="117"/>
      <c r="D849" s="117"/>
      <c r="E849" s="117"/>
      <c r="F849" s="117"/>
      <c r="G849" s="116"/>
      <c r="H849" s="117"/>
      <c r="I849" s="117"/>
      <c r="J849" s="117"/>
      <c r="K849" s="117"/>
      <c r="L849" s="117"/>
      <c r="M849" s="213"/>
      <c r="N849" s="117"/>
      <c r="O849" s="117"/>
      <c r="P849" s="117"/>
      <c r="Q849" s="200"/>
      <c r="R849" s="239"/>
      <c r="S849" s="239"/>
      <c r="T849" s="239"/>
      <c r="U849" s="216"/>
      <c r="V849" s="217"/>
      <c r="W849" s="233"/>
      <c r="X849" s="123"/>
      <c r="Y849" s="117"/>
      <c r="Z849" s="117"/>
    </row>
    <row r="850" spans="1:26">
      <c r="A850" s="117"/>
      <c r="B850" s="117"/>
      <c r="C850" s="117"/>
      <c r="D850" s="117"/>
      <c r="E850" s="117"/>
      <c r="F850" s="117"/>
      <c r="G850" s="116"/>
      <c r="H850" s="117"/>
      <c r="I850" s="117"/>
      <c r="J850" s="117"/>
      <c r="K850" s="117"/>
      <c r="L850" s="117"/>
      <c r="M850" s="213"/>
      <c r="N850" s="117"/>
      <c r="O850" s="117"/>
      <c r="P850" s="117"/>
      <c r="Q850" s="200"/>
      <c r="R850" s="239"/>
      <c r="S850" s="239"/>
      <c r="T850" s="239"/>
      <c r="U850" s="216"/>
      <c r="V850" s="217"/>
      <c r="W850" s="233"/>
      <c r="X850" s="123"/>
      <c r="Y850" s="117"/>
      <c r="Z850" s="117"/>
    </row>
    <row r="851" spans="1:26">
      <c r="A851" s="117"/>
      <c r="B851" s="117"/>
      <c r="C851" s="117"/>
      <c r="D851" s="117"/>
      <c r="E851" s="117"/>
      <c r="F851" s="117"/>
      <c r="G851" s="116"/>
      <c r="H851" s="117"/>
      <c r="I851" s="117"/>
      <c r="J851" s="117"/>
      <c r="K851" s="117"/>
      <c r="L851" s="117"/>
      <c r="M851" s="213"/>
      <c r="N851" s="117"/>
      <c r="O851" s="117"/>
      <c r="P851" s="117"/>
      <c r="Q851" s="200"/>
      <c r="R851" s="239"/>
      <c r="S851" s="239"/>
      <c r="T851" s="239"/>
      <c r="U851" s="216"/>
      <c r="V851" s="217"/>
      <c r="W851" s="233"/>
      <c r="X851" s="123"/>
      <c r="Y851" s="117"/>
      <c r="Z851" s="117"/>
    </row>
    <row r="852" spans="1:26">
      <c r="A852" s="117"/>
      <c r="B852" s="117"/>
      <c r="C852" s="117"/>
      <c r="D852" s="117"/>
      <c r="E852" s="117"/>
      <c r="F852" s="117"/>
      <c r="G852" s="116"/>
      <c r="H852" s="117"/>
      <c r="I852" s="117"/>
      <c r="J852" s="117"/>
      <c r="K852" s="117"/>
      <c r="L852" s="117"/>
      <c r="M852" s="213"/>
      <c r="N852" s="117"/>
      <c r="O852" s="117"/>
      <c r="P852" s="117"/>
      <c r="Q852" s="200"/>
      <c r="R852" s="239"/>
      <c r="S852" s="239"/>
      <c r="T852" s="239"/>
      <c r="U852" s="216"/>
      <c r="V852" s="217"/>
      <c r="W852" s="233"/>
      <c r="X852" s="123"/>
      <c r="Y852" s="117"/>
      <c r="Z852" s="117"/>
    </row>
    <row r="853" spans="1:26">
      <c r="A853" s="117"/>
      <c r="B853" s="117"/>
      <c r="C853" s="117"/>
      <c r="D853" s="117"/>
      <c r="E853" s="117"/>
      <c r="F853" s="117"/>
      <c r="G853" s="116"/>
      <c r="H853" s="117"/>
      <c r="I853" s="117"/>
      <c r="J853" s="117"/>
      <c r="K853" s="117"/>
      <c r="L853" s="117"/>
      <c r="M853" s="213"/>
      <c r="N853" s="117"/>
      <c r="O853" s="117"/>
      <c r="P853" s="117"/>
      <c r="Q853" s="200"/>
      <c r="R853" s="239"/>
      <c r="S853" s="239"/>
      <c r="T853" s="239"/>
      <c r="U853" s="216"/>
      <c r="V853" s="217"/>
      <c r="W853" s="233"/>
      <c r="X853" s="123"/>
      <c r="Y853" s="117"/>
      <c r="Z853" s="117"/>
    </row>
    <row r="854" spans="1:26">
      <c r="A854" s="117"/>
      <c r="B854" s="117"/>
      <c r="C854" s="117"/>
      <c r="D854" s="117"/>
      <c r="E854" s="117"/>
      <c r="F854" s="117"/>
      <c r="G854" s="116"/>
      <c r="H854" s="117"/>
      <c r="I854" s="117"/>
      <c r="J854" s="117"/>
      <c r="K854" s="117"/>
      <c r="L854" s="117"/>
      <c r="M854" s="213"/>
      <c r="N854" s="117"/>
      <c r="O854" s="117"/>
      <c r="P854" s="117"/>
      <c r="Q854" s="200"/>
      <c r="R854" s="239"/>
      <c r="S854" s="239"/>
      <c r="T854" s="239"/>
      <c r="U854" s="216"/>
      <c r="V854" s="217"/>
      <c r="W854" s="233"/>
      <c r="X854" s="123"/>
      <c r="Y854" s="117"/>
      <c r="Z854" s="117"/>
    </row>
    <row r="855" spans="1:26">
      <c r="A855" s="117"/>
      <c r="B855" s="117"/>
      <c r="C855" s="117"/>
      <c r="D855" s="117"/>
      <c r="E855" s="117"/>
      <c r="F855" s="117"/>
      <c r="G855" s="116"/>
      <c r="H855" s="117"/>
      <c r="I855" s="117"/>
      <c r="J855" s="117"/>
      <c r="K855" s="117"/>
      <c r="L855" s="117"/>
      <c r="M855" s="213"/>
      <c r="N855" s="117"/>
      <c r="O855" s="117"/>
      <c r="P855" s="117"/>
      <c r="Q855" s="200"/>
      <c r="R855" s="239"/>
      <c r="S855" s="239"/>
      <c r="T855" s="239"/>
      <c r="U855" s="216"/>
      <c r="V855" s="217"/>
      <c r="W855" s="233"/>
      <c r="X855" s="123"/>
      <c r="Y855" s="117"/>
      <c r="Z855" s="117"/>
    </row>
    <row r="856" spans="1:26">
      <c r="A856" s="117"/>
      <c r="B856" s="117"/>
      <c r="C856" s="117"/>
      <c r="D856" s="117"/>
      <c r="E856" s="117"/>
      <c r="F856" s="117"/>
      <c r="G856" s="116"/>
      <c r="H856" s="117"/>
      <c r="I856" s="117"/>
      <c r="J856" s="117"/>
      <c r="K856" s="117"/>
      <c r="L856" s="117"/>
      <c r="M856" s="213"/>
      <c r="N856" s="117"/>
      <c r="O856" s="117"/>
      <c r="P856" s="117"/>
      <c r="Q856" s="200"/>
      <c r="R856" s="239"/>
      <c r="S856" s="239"/>
      <c r="T856" s="239"/>
      <c r="U856" s="216"/>
      <c r="V856" s="217"/>
      <c r="W856" s="233"/>
      <c r="X856" s="123"/>
      <c r="Y856" s="117"/>
      <c r="Z856" s="117"/>
    </row>
    <row r="857" spans="1:26">
      <c r="A857" s="117"/>
      <c r="B857" s="117"/>
      <c r="C857" s="117"/>
      <c r="D857" s="117"/>
      <c r="E857" s="117"/>
      <c r="F857" s="117"/>
      <c r="G857" s="116"/>
      <c r="H857" s="117"/>
      <c r="I857" s="117"/>
      <c r="J857" s="117"/>
      <c r="K857" s="117"/>
      <c r="L857" s="117"/>
      <c r="M857" s="213"/>
      <c r="N857" s="117"/>
      <c r="O857" s="117"/>
      <c r="P857" s="117"/>
      <c r="Q857" s="200"/>
      <c r="R857" s="239"/>
      <c r="S857" s="239"/>
      <c r="T857" s="239"/>
      <c r="U857" s="216"/>
      <c r="V857" s="217"/>
      <c r="W857" s="233"/>
      <c r="X857" s="123"/>
      <c r="Y857" s="117"/>
      <c r="Z857" s="117"/>
    </row>
    <row r="858" spans="1:26">
      <c r="A858" s="117"/>
      <c r="B858" s="117"/>
      <c r="C858" s="117"/>
      <c r="D858" s="117"/>
      <c r="E858" s="117"/>
      <c r="F858" s="117"/>
      <c r="G858" s="116"/>
      <c r="H858" s="117"/>
      <c r="I858" s="117"/>
      <c r="J858" s="117"/>
      <c r="K858" s="117"/>
      <c r="L858" s="117"/>
      <c r="M858" s="213"/>
      <c r="N858" s="117"/>
      <c r="O858" s="117"/>
      <c r="P858" s="117"/>
      <c r="Q858" s="200"/>
      <c r="R858" s="239"/>
      <c r="S858" s="239"/>
      <c r="T858" s="239"/>
      <c r="U858" s="216"/>
      <c r="V858" s="217"/>
      <c r="W858" s="233"/>
      <c r="X858" s="123"/>
      <c r="Y858" s="117"/>
      <c r="Z858" s="117"/>
    </row>
    <row r="859" spans="1:26">
      <c r="A859" s="117"/>
      <c r="B859" s="117"/>
      <c r="C859" s="117"/>
      <c r="D859" s="117"/>
      <c r="E859" s="117"/>
      <c r="F859" s="117"/>
      <c r="G859" s="116"/>
      <c r="H859" s="117"/>
      <c r="I859" s="117"/>
      <c r="J859" s="117"/>
      <c r="K859" s="117"/>
      <c r="L859" s="117"/>
      <c r="M859" s="213"/>
      <c r="N859" s="117"/>
      <c r="O859" s="117"/>
      <c r="P859" s="117"/>
      <c r="Q859" s="200"/>
      <c r="R859" s="239"/>
      <c r="S859" s="239"/>
      <c r="T859" s="239"/>
      <c r="U859" s="216"/>
      <c r="V859" s="217"/>
      <c r="W859" s="233"/>
      <c r="X859" s="123"/>
      <c r="Y859" s="117"/>
      <c r="Z859" s="117"/>
    </row>
    <row r="860" spans="1:26">
      <c r="A860" s="117"/>
      <c r="B860" s="117"/>
      <c r="C860" s="117"/>
      <c r="D860" s="117"/>
      <c r="E860" s="117"/>
      <c r="F860" s="117"/>
      <c r="G860" s="116"/>
      <c r="H860" s="117"/>
      <c r="I860" s="117"/>
      <c r="J860" s="117"/>
      <c r="K860" s="117"/>
      <c r="L860" s="117"/>
      <c r="M860" s="213"/>
      <c r="N860" s="117"/>
      <c r="O860" s="117"/>
      <c r="P860" s="117"/>
      <c r="Q860" s="200"/>
      <c r="R860" s="239"/>
      <c r="S860" s="239"/>
      <c r="T860" s="239"/>
      <c r="U860" s="216"/>
      <c r="V860" s="217"/>
      <c r="W860" s="233"/>
      <c r="X860" s="123"/>
      <c r="Y860" s="117"/>
      <c r="Z860" s="117"/>
    </row>
    <row r="861" spans="1:26">
      <c r="A861" s="117"/>
      <c r="B861" s="117"/>
      <c r="C861" s="117"/>
      <c r="D861" s="117"/>
      <c r="E861" s="117"/>
      <c r="F861" s="117"/>
      <c r="G861" s="116"/>
      <c r="H861" s="117"/>
      <c r="I861" s="117"/>
      <c r="J861" s="117"/>
      <c r="K861" s="117"/>
      <c r="L861" s="117"/>
      <c r="M861" s="213"/>
      <c r="N861" s="117"/>
      <c r="O861" s="117"/>
      <c r="P861" s="117"/>
      <c r="Q861" s="200"/>
      <c r="R861" s="239"/>
      <c r="S861" s="239"/>
      <c r="T861" s="239"/>
      <c r="U861" s="216"/>
      <c r="V861" s="217"/>
      <c r="W861" s="233"/>
      <c r="X861" s="123"/>
      <c r="Y861" s="117"/>
      <c r="Z861" s="117"/>
    </row>
    <row r="862" spans="1:26">
      <c r="A862" s="117"/>
      <c r="B862" s="117"/>
      <c r="C862" s="117"/>
      <c r="D862" s="117"/>
      <c r="E862" s="117"/>
      <c r="F862" s="117"/>
      <c r="G862" s="116"/>
      <c r="H862" s="117"/>
      <c r="I862" s="117"/>
      <c r="J862" s="117"/>
      <c r="K862" s="117"/>
      <c r="L862" s="117"/>
      <c r="M862" s="213"/>
      <c r="N862" s="117"/>
      <c r="O862" s="117"/>
      <c r="P862" s="117"/>
      <c r="Q862" s="200"/>
      <c r="R862" s="239"/>
      <c r="S862" s="239"/>
      <c r="T862" s="239"/>
      <c r="U862" s="216"/>
      <c r="V862" s="217"/>
      <c r="W862" s="233"/>
      <c r="X862" s="123"/>
      <c r="Y862" s="117"/>
      <c r="Z862" s="117"/>
    </row>
    <row r="863" spans="1:26">
      <c r="A863" s="117"/>
      <c r="B863" s="117"/>
      <c r="C863" s="117"/>
      <c r="D863" s="117"/>
      <c r="E863" s="117"/>
      <c r="F863" s="117"/>
      <c r="G863" s="116"/>
      <c r="H863" s="117"/>
      <c r="I863" s="117"/>
      <c r="J863" s="117"/>
      <c r="K863" s="117"/>
      <c r="L863" s="117"/>
      <c r="M863" s="213"/>
      <c r="N863" s="117"/>
      <c r="O863" s="117"/>
      <c r="P863" s="117"/>
      <c r="Q863" s="200"/>
      <c r="R863" s="239"/>
      <c r="S863" s="239"/>
      <c r="T863" s="239"/>
      <c r="U863" s="216"/>
      <c r="V863" s="217"/>
      <c r="W863" s="233"/>
      <c r="X863" s="123"/>
      <c r="Y863" s="117"/>
      <c r="Z863" s="117"/>
    </row>
    <row r="864" spans="1:26">
      <c r="A864" s="117"/>
      <c r="B864" s="117"/>
      <c r="C864" s="117"/>
      <c r="D864" s="117"/>
      <c r="E864" s="117"/>
      <c r="F864" s="117"/>
      <c r="G864" s="116"/>
      <c r="H864" s="117"/>
      <c r="I864" s="117"/>
      <c r="J864" s="117"/>
      <c r="K864" s="117"/>
      <c r="L864" s="117"/>
      <c r="M864" s="213"/>
      <c r="N864" s="117"/>
      <c r="O864" s="117"/>
      <c r="P864" s="117"/>
      <c r="Q864" s="200"/>
      <c r="R864" s="239"/>
      <c r="S864" s="239"/>
      <c r="T864" s="239"/>
      <c r="U864" s="216"/>
      <c r="V864" s="217"/>
      <c r="W864" s="233"/>
      <c r="X864" s="123"/>
      <c r="Y864" s="117"/>
      <c r="Z864" s="117"/>
    </row>
    <row r="865" spans="1:26">
      <c r="A865" s="117"/>
      <c r="B865" s="117"/>
      <c r="C865" s="117"/>
      <c r="D865" s="117"/>
      <c r="E865" s="117"/>
      <c r="F865" s="117"/>
      <c r="G865" s="116"/>
      <c r="H865" s="117"/>
      <c r="I865" s="117"/>
      <c r="J865" s="117"/>
      <c r="K865" s="117"/>
      <c r="L865" s="117"/>
      <c r="M865" s="213"/>
      <c r="N865" s="117"/>
      <c r="O865" s="117"/>
      <c r="P865" s="117"/>
      <c r="Q865" s="200"/>
      <c r="R865" s="239"/>
      <c r="S865" s="239"/>
      <c r="T865" s="239"/>
      <c r="U865" s="216"/>
      <c r="V865" s="217"/>
      <c r="W865" s="233"/>
      <c r="X865" s="123"/>
      <c r="Y865" s="117"/>
      <c r="Z865" s="117"/>
    </row>
    <row r="866" spans="1:26">
      <c r="A866" s="117"/>
      <c r="B866" s="117"/>
      <c r="C866" s="117"/>
      <c r="D866" s="117"/>
      <c r="E866" s="117"/>
      <c r="F866" s="117"/>
      <c r="G866" s="116"/>
      <c r="H866" s="117"/>
      <c r="I866" s="117"/>
      <c r="J866" s="117"/>
      <c r="K866" s="117"/>
      <c r="L866" s="117"/>
      <c r="M866" s="213"/>
      <c r="N866" s="117"/>
      <c r="O866" s="117"/>
      <c r="P866" s="117"/>
      <c r="Q866" s="200"/>
      <c r="R866" s="239"/>
      <c r="S866" s="239"/>
      <c r="T866" s="239"/>
      <c r="U866" s="216"/>
      <c r="V866" s="217"/>
      <c r="W866" s="233"/>
      <c r="X866" s="123"/>
      <c r="Y866" s="117"/>
      <c r="Z866" s="117"/>
    </row>
    <row r="867" spans="1:26">
      <c r="A867" s="117"/>
      <c r="B867" s="117"/>
      <c r="C867" s="117"/>
      <c r="D867" s="117"/>
      <c r="E867" s="117"/>
      <c r="F867" s="117"/>
      <c r="G867" s="116"/>
      <c r="H867" s="117"/>
      <c r="I867" s="117"/>
      <c r="J867" s="117"/>
      <c r="K867" s="117"/>
      <c r="L867" s="117"/>
      <c r="M867" s="213"/>
      <c r="N867" s="117"/>
      <c r="O867" s="117"/>
      <c r="P867" s="117"/>
      <c r="Q867" s="200"/>
      <c r="R867" s="239"/>
      <c r="S867" s="239"/>
      <c r="T867" s="239"/>
      <c r="U867" s="216"/>
      <c r="V867" s="217"/>
      <c r="W867" s="233"/>
      <c r="X867" s="123"/>
      <c r="Y867" s="117"/>
      <c r="Z867" s="117"/>
    </row>
    <row r="868" spans="1:26">
      <c r="A868" s="117"/>
      <c r="B868" s="117"/>
      <c r="C868" s="117"/>
      <c r="D868" s="117"/>
      <c r="E868" s="117"/>
      <c r="F868" s="117"/>
      <c r="G868" s="116"/>
      <c r="H868" s="117"/>
      <c r="I868" s="117"/>
      <c r="J868" s="117"/>
      <c r="K868" s="117"/>
      <c r="L868" s="117"/>
      <c r="M868" s="213"/>
      <c r="N868" s="117"/>
      <c r="O868" s="117"/>
      <c r="P868" s="117"/>
      <c r="Q868" s="200"/>
      <c r="R868" s="239"/>
      <c r="S868" s="239"/>
      <c r="T868" s="239"/>
      <c r="U868" s="216"/>
      <c r="V868" s="217"/>
      <c r="W868" s="233"/>
      <c r="X868" s="123"/>
      <c r="Y868" s="117"/>
      <c r="Z868" s="117"/>
    </row>
    <row r="869" spans="1:26">
      <c r="A869" s="117"/>
      <c r="B869" s="117"/>
      <c r="C869" s="117"/>
      <c r="D869" s="117"/>
      <c r="E869" s="117"/>
      <c r="F869" s="117"/>
      <c r="G869" s="116"/>
      <c r="H869" s="117"/>
      <c r="I869" s="117"/>
      <c r="J869" s="117"/>
      <c r="K869" s="117"/>
      <c r="L869" s="117"/>
      <c r="M869" s="213"/>
      <c r="N869" s="117"/>
      <c r="O869" s="117"/>
      <c r="P869" s="117"/>
      <c r="Q869" s="200"/>
      <c r="R869" s="239"/>
      <c r="S869" s="239"/>
      <c r="T869" s="239"/>
      <c r="U869" s="216"/>
      <c r="V869" s="217"/>
      <c r="W869" s="233"/>
      <c r="X869" s="123"/>
      <c r="Y869" s="117"/>
      <c r="Z869" s="117"/>
    </row>
    <row r="870" spans="1:26">
      <c r="A870" s="117"/>
      <c r="B870" s="117"/>
      <c r="C870" s="117"/>
      <c r="D870" s="117"/>
      <c r="E870" s="117"/>
      <c r="F870" s="117"/>
      <c r="G870" s="116"/>
      <c r="H870" s="117"/>
      <c r="I870" s="117"/>
      <c r="J870" s="117"/>
      <c r="K870" s="117"/>
      <c r="L870" s="117"/>
      <c r="M870" s="213"/>
      <c r="N870" s="117"/>
      <c r="O870" s="117"/>
      <c r="P870" s="117"/>
      <c r="Q870" s="200"/>
      <c r="R870" s="239"/>
      <c r="S870" s="239"/>
      <c r="T870" s="239"/>
      <c r="U870" s="216"/>
      <c r="V870" s="217"/>
      <c r="W870" s="233"/>
      <c r="X870" s="123"/>
      <c r="Y870" s="117"/>
      <c r="Z870" s="117"/>
    </row>
    <row r="871" spans="1:26">
      <c r="A871" s="117"/>
      <c r="B871" s="117"/>
      <c r="C871" s="117"/>
      <c r="D871" s="117"/>
      <c r="E871" s="117"/>
      <c r="F871" s="117"/>
      <c r="G871" s="116"/>
      <c r="H871" s="117"/>
      <c r="I871" s="117"/>
      <c r="J871" s="117"/>
      <c r="K871" s="117"/>
      <c r="L871" s="117"/>
      <c r="M871" s="213"/>
      <c r="N871" s="117"/>
      <c r="O871" s="117"/>
      <c r="P871" s="117"/>
      <c r="Q871" s="200"/>
      <c r="R871" s="239"/>
      <c r="S871" s="239"/>
      <c r="T871" s="239"/>
      <c r="U871" s="216"/>
      <c r="V871" s="217"/>
      <c r="W871" s="233"/>
      <c r="X871" s="123"/>
      <c r="Y871" s="117"/>
      <c r="Z871" s="117"/>
    </row>
    <row r="872" spans="1:26">
      <c r="A872" s="117"/>
      <c r="B872" s="117"/>
      <c r="C872" s="117"/>
      <c r="D872" s="117"/>
      <c r="E872" s="117"/>
      <c r="F872" s="117"/>
      <c r="G872" s="116"/>
      <c r="H872" s="117"/>
      <c r="I872" s="117"/>
      <c r="J872" s="117"/>
      <c r="K872" s="117"/>
      <c r="L872" s="117"/>
      <c r="M872" s="213"/>
      <c r="N872" s="117"/>
      <c r="O872" s="117"/>
      <c r="P872" s="117"/>
      <c r="Q872" s="200"/>
      <c r="R872" s="239"/>
      <c r="S872" s="239"/>
      <c r="T872" s="239"/>
      <c r="U872" s="216"/>
      <c r="V872" s="217"/>
      <c r="W872" s="233"/>
      <c r="X872" s="123"/>
      <c r="Y872" s="117"/>
      <c r="Z872" s="117"/>
    </row>
    <row r="873" spans="1:26">
      <c r="A873" s="117"/>
      <c r="B873" s="117"/>
      <c r="C873" s="117"/>
      <c r="D873" s="117"/>
      <c r="E873" s="117"/>
      <c r="F873" s="117"/>
      <c r="G873" s="116"/>
      <c r="H873" s="117"/>
      <c r="I873" s="117"/>
      <c r="J873" s="117"/>
      <c r="K873" s="117"/>
      <c r="L873" s="117"/>
      <c r="M873" s="213"/>
      <c r="N873" s="117"/>
      <c r="O873" s="117"/>
      <c r="P873" s="117"/>
      <c r="Q873" s="200"/>
      <c r="R873" s="239"/>
      <c r="S873" s="239"/>
      <c r="T873" s="239"/>
      <c r="U873" s="216"/>
      <c r="V873" s="217"/>
      <c r="W873" s="233"/>
      <c r="X873" s="123"/>
      <c r="Y873" s="117"/>
      <c r="Z873" s="117"/>
    </row>
    <row r="874" spans="1:26">
      <c r="A874" s="117"/>
      <c r="B874" s="117"/>
      <c r="C874" s="117"/>
      <c r="D874" s="117"/>
      <c r="E874" s="117"/>
      <c r="F874" s="117"/>
      <c r="G874" s="116"/>
      <c r="H874" s="117"/>
      <c r="I874" s="117"/>
      <c r="J874" s="117"/>
      <c r="K874" s="117"/>
      <c r="L874" s="117"/>
      <c r="M874" s="213"/>
      <c r="N874" s="117"/>
      <c r="O874" s="117"/>
      <c r="P874" s="117"/>
      <c r="Q874" s="200"/>
      <c r="R874" s="239"/>
      <c r="S874" s="239"/>
      <c r="T874" s="239"/>
      <c r="U874" s="216"/>
      <c r="V874" s="217"/>
      <c r="W874" s="233"/>
      <c r="X874" s="123"/>
      <c r="Y874" s="117"/>
      <c r="Z874" s="117"/>
    </row>
    <row r="875" spans="1:26">
      <c r="A875" s="117"/>
      <c r="B875" s="117"/>
      <c r="C875" s="117"/>
      <c r="D875" s="117"/>
      <c r="E875" s="117"/>
      <c r="F875" s="117"/>
      <c r="G875" s="116"/>
      <c r="H875" s="117"/>
      <c r="I875" s="117"/>
      <c r="J875" s="117"/>
      <c r="K875" s="117"/>
      <c r="L875" s="117"/>
      <c r="M875" s="213"/>
      <c r="N875" s="117"/>
      <c r="O875" s="117"/>
      <c r="P875" s="117"/>
      <c r="Q875" s="200"/>
      <c r="R875" s="239"/>
      <c r="S875" s="239"/>
      <c r="T875" s="239"/>
      <c r="U875" s="216"/>
      <c r="V875" s="217"/>
      <c r="W875" s="233"/>
      <c r="X875" s="123"/>
      <c r="Y875" s="117"/>
      <c r="Z875" s="117"/>
    </row>
    <row r="876" spans="1:26">
      <c r="A876" s="117"/>
      <c r="B876" s="117"/>
      <c r="C876" s="117"/>
      <c r="D876" s="117"/>
      <c r="E876" s="117"/>
      <c r="F876" s="117"/>
      <c r="G876" s="116"/>
      <c r="H876" s="117"/>
      <c r="I876" s="117"/>
      <c r="J876" s="117"/>
      <c r="K876" s="117"/>
      <c r="L876" s="117"/>
      <c r="M876" s="213"/>
      <c r="N876" s="117"/>
      <c r="O876" s="117"/>
      <c r="P876" s="117"/>
      <c r="Q876" s="200"/>
      <c r="R876" s="239"/>
      <c r="S876" s="239"/>
      <c r="T876" s="239"/>
      <c r="U876" s="216"/>
      <c r="V876" s="217"/>
      <c r="W876" s="233"/>
      <c r="X876" s="123"/>
      <c r="Y876" s="117"/>
      <c r="Z876" s="117"/>
    </row>
    <row r="877" spans="1:26">
      <c r="A877" s="117"/>
      <c r="B877" s="117"/>
      <c r="C877" s="117"/>
      <c r="D877" s="117"/>
      <c r="E877" s="117"/>
      <c r="F877" s="117"/>
      <c r="G877" s="116"/>
      <c r="H877" s="117"/>
      <c r="I877" s="117"/>
      <c r="J877" s="117"/>
      <c r="K877" s="117"/>
      <c r="L877" s="117"/>
      <c r="M877" s="213"/>
      <c r="N877" s="117"/>
      <c r="O877" s="117"/>
      <c r="P877" s="117"/>
      <c r="Q877" s="200"/>
      <c r="R877" s="239"/>
      <c r="S877" s="239"/>
      <c r="T877" s="239"/>
      <c r="U877" s="216"/>
      <c r="V877" s="217"/>
      <c r="W877" s="233"/>
      <c r="X877" s="123"/>
      <c r="Y877" s="117"/>
      <c r="Z877" s="117"/>
    </row>
    <row r="878" spans="1:26">
      <c r="A878" s="117"/>
      <c r="B878" s="117"/>
      <c r="C878" s="117"/>
      <c r="D878" s="117"/>
      <c r="E878" s="117"/>
      <c r="F878" s="117"/>
      <c r="G878" s="116"/>
      <c r="H878" s="117"/>
      <c r="I878" s="117"/>
      <c r="J878" s="117"/>
      <c r="K878" s="117"/>
      <c r="L878" s="117"/>
      <c r="M878" s="213"/>
      <c r="N878" s="117"/>
      <c r="O878" s="117"/>
      <c r="P878" s="117"/>
      <c r="Q878" s="200"/>
      <c r="R878" s="239"/>
      <c r="S878" s="239"/>
      <c r="T878" s="239"/>
      <c r="U878" s="216"/>
      <c r="V878" s="217"/>
      <c r="W878" s="233"/>
      <c r="X878" s="123"/>
      <c r="Y878" s="117"/>
      <c r="Z878" s="117"/>
    </row>
    <row r="879" spans="1:26">
      <c r="A879" s="117"/>
      <c r="B879" s="117"/>
      <c r="C879" s="117"/>
      <c r="D879" s="117"/>
      <c r="E879" s="117"/>
      <c r="F879" s="117"/>
      <c r="G879" s="116"/>
      <c r="H879" s="117"/>
      <c r="I879" s="117"/>
      <c r="J879" s="117"/>
      <c r="K879" s="117"/>
      <c r="L879" s="117"/>
      <c r="M879" s="213"/>
      <c r="N879" s="117"/>
      <c r="O879" s="117"/>
      <c r="P879" s="117"/>
      <c r="Q879" s="200"/>
      <c r="R879" s="239"/>
      <c r="S879" s="239"/>
      <c r="T879" s="239"/>
      <c r="U879" s="216"/>
      <c r="V879" s="217"/>
      <c r="W879" s="233"/>
      <c r="X879" s="123"/>
      <c r="Y879" s="117"/>
      <c r="Z879" s="117"/>
    </row>
    <row r="880" spans="1:26">
      <c r="A880" s="117"/>
      <c r="B880" s="117"/>
      <c r="C880" s="117"/>
      <c r="D880" s="117"/>
      <c r="E880" s="117"/>
      <c r="F880" s="117"/>
      <c r="G880" s="116"/>
      <c r="H880" s="117"/>
      <c r="I880" s="117"/>
      <c r="J880" s="117"/>
      <c r="K880" s="117"/>
      <c r="L880" s="117"/>
      <c r="M880" s="213"/>
      <c r="N880" s="117"/>
      <c r="O880" s="117"/>
      <c r="P880" s="117"/>
      <c r="Q880" s="200"/>
      <c r="R880" s="239"/>
      <c r="S880" s="239"/>
      <c r="T880" s="239"/>
      <c r="U880" s="216"/>
      <c r="V880" s="217"/>
      <c r="W880" s="233"/>
      <c r="X880" s="123"/>
      <c r="Y880" s="117"/>
      <c r="Z880" s="117"/>
    </row>
    <row r="881" spans="1:26">
      <c r="A881" s="117"/>
      <c r="B881" s="117"/>
      <c r="C881" s="117"/>
      <c r="D881" s="117"/>
      <c r="E881" s="117"/>
      <c r="F881" s="117"/>
      <c r="G881" s="116"/>
      <c r="H881" s="117"/>
      <c r="I881" s="117"/>
      <c r="J881" s="117"/>
      <c r="K881" s="117"/>
      <c r="L881" s="117"/>
      <c r="M881" s="213"/>
      <c r="N881" s="117"/>
      <c r="O881" s="117"/>
      <c r="P881" s="117"/>
      <c r="Q881" s="200"/>
      <c r="R881" s="239"/>
      <c r="S881" s="239"/>
      <c r="T881" s="239"/>
      <c r="U881" s="216"/>
      <c r="V881" s="217"/>
      <c r="W881" s="233"/>
      <c r="X881" s="123"/>
      <c r="Y881" s="117"/>
      <c r="Z881" s="117"/>
    </row>
    <row r="882" spans="1:26">
      <c r="A882" s="117"/>
      <c r="B882" s="117"/>
      <c r="C882" s="117"/>
      <c r="D882" s="117"/>
      <c r="E882" s="117"/>
      <c r="F882" s="117"/>
      <c r="G882" s="116"/>
      <c r="H882" s="117"/>
      <c r="I882" s="117"/>
      <c r="J882" s="117"/>
      <c r="K882" s="117"/>
      <c r="L882" s="117"/>
      <c r="M882" s="213"/>
      <c r="N882" s="117"/>
      <c r="O882" s="117"/>
      <c r="P882" s="117"/>
      <c r="Q882" s="200"/>
      <c r="R882" s="239"/>
      <c r="S882" s="239"/>
      <c r="T882" s="239"/>
      <c r="U882" s="216"/>
      <c r="V882" s="217"/>
      <c r="W882" s="233"/>
      <c r="X882" s="123"/>
      <c r="Y882" s="117"/>
      <c r="Z882" s="117"/>
    </row>
    <row r="883" spans="1:26">
      <c r="A883" s="117"/>
      <c r="B883" s="117"/>
      <c r="C883" s="117"/>
      <c r="D883" s="117"/>
      <c r="E883" s="117"/>
      <c r="F883" s="117"/>
      <c r="G883" s="116"/>
      <c r="H883" s="117"/>
      <c r="I883" s="117"/>
      <c r="J883" s="117"/>
      <c r="K883" s="117"/>
      <c r="L883" s="117"/>
      <c r="M883" s="213"/>
      <c r="N883" s="117"/>
      <c r="O883" s="117"/>
      <c r="P883" s="117"/>
      <c r="Q883" s="200"/>
      <c r="R883" s="239"/>
      <c r="S883" s="239"/>
      <c r="T883" s="239"/>
      <c r="U883" s="216"/>
      <c r="V883" s="217"/>
      <c r="W883" s="233"/>
      <c r="X883" s="123"/>
      <c r="Y883" s="117"/>
      <c r="Z883" s="117"/>
    </row>
    <row r="884" spans="1:26">
      <c r="A884" s="117"/>
      <c r="B884" s="117"/>
      <c r="C884" s="117"/>
      <c r="D884" s="117"/>
      <c r="E884" s="117"/>
      <c r="F884" s="117"/>
      <c r="G884" s="116"/>
      <c r="H884" s="117"/>
      <c r="I884" s="117"/>
      <c r="J884" s="117"/>
      <c r="K884" s="117"/>
      <c r="L884" s="117"/>
      <c r="M884" s="213"/>
      <c r="N884" s="117"/>
      <c r="O884" s="117"/>
      <c r="P884" s="117"/>
      <c r="Q884" s="200"/>
      <c r="R884" s="239"/>
      <c r="S884" s="239"/>
      <c r="T884" s="239"/>
      <c r="U884" s="216"/>
      <c r="V884" s="217"/>
      <c r="W884" s="233"/>
      <c r="X884" s="123"/>
      <c r="Y884" s="117"/>
      <c r="Z884" s="117"/>
    </row>
    <row r="885" spans="1:26">
      <c r="A885" s="117"/>
      <c r="B885" s="117"/>
      <c r="C885" s="117"/>
      <c r="D885" s="117"/>
      <c r="E885" s="117"/>
      <c r="F885" s="117"/>
      <c r="G885" s="116"/>
      <c r="H885" s="117"/>
      <c r="I885" s="117"/>
      <c r="J885" s="117"/>
      <c r="K885" s="117"/>
      <c r="L885" s="117"/>
      <c r="M885" s="213"/>
      <c r="N885" s="117"/>
      <c r="O885" s="117"/>
      <c r="P885" s="117"/>
      <c r="Q885" s="200"/>
      <c r="R885" s="239"/>
      <c r="S885" s="239"/>
      <c r="T885" s="239"/>
      <c r="U885" s="216"/>
      <c r="V885" s="217"/>
      <c r="W885" s="233"/>
      <c r="X885" s="123"/>
      <c r="Y885" s="117"/>
      <c r="Z885" s="117"/>
    </row>
    <row r="886" spans="1:26">
      <c r="A886" s="117"/>
      <c r="B886" s="117"/>
      <c r="C886" s="117"/>
      <c r="D886" s="117"/>
      <c r="E886" s="117"/>
      <c r="F886" s="117"/>
      <c r="G886" s="116"/>
      <c r="H886" s="117"/>
      <c r="I886" s="117"/>
      <c r="J886" s="117"/>
      <c r="K886" s="117"/>
      <c r="L886" s="117"/>
      <c r="M886" s="213"/>
      <c r="N886" s="117"/>
      <c r="O886" s="117"/>
      <c r="P886" s="117"/>
      <c r="Q886" s="200"/>
      <c r="R886" s="239"/>
      <c r="S886" s="239"/>
      <c r="T886" s="239"/>
      <c r="U886" s="216"/>
      <c r="V886" s="217"/>
      <c r="W886" s="233"/>
      <c r="X886" s="123"/>
      <c r="Y886" s="117"/>
      <c r="Z886" s="117"/>
    </row>
    <row r="887" spans="1:26">
      <c r="A887" s="117"/>
      <c r="B887" s="117"/>
      <c r="C887" s="117"/>
      <c r="D887" s="117"/>
      <c r="E887" s="117"/>
      <c r="F887" s="117"/>
      <c r="G887" s="116"/>
      <c r="H887" s="117"/>
      <c r="I887" s="117"/>
      <c r="J887" s="117"/>
      <c r="K887" s="117"/>
      <c r="L887" s="117"/>
      <c r="M887" s="213"/>
      <c r="N887" s="117"/>
      <c r="O887" s="117"/>
      <c r="P887" s="117"/>
      <c r="Q887" s="200"/>
      <c r="R887" s="239"/>
      <c r="S887" s="239"/>
      <c r="T887" s="239"/>
      <c r="U887" s="216"/>
      <c r="V887" s="217"/>
      <c r="W887" s="233"/>
      <c r="X887" s="123"/>
      <c r="Y887" s="117"/>
      <c r="Z887" s="117"/>
    </row>
    <row r="888" spans="1:26">
      <c r="A888" s="117"/>
      <c r="B888" s="117"/>
      <c r="C888" s="117"/>
      <c r="D888" s="117"/>
      <c r="E888" s="117"/>
      <c r="F888" s="117"/>
      <c r="G888" s="116"/>
      <c r="H888" s="117"/>
      <c r="I888" s="117"/>
      <c r="J888" s="117"/>
      <c r="K888" s="117"/>
      <c r="L888" s="117"/>
      <c r="M888" s="213"/>
      <c r="N888" s="117"/>
      <c r="O888" s="117"/>
      <c r="P888" s="117"/>
      <c r="Q888" s="200"/>
      <c r="R888" s="239"/>
      <c r="S888" s="239"/>
      <c r="T888" s="239"/>
      <c r="U888" s="216"/>
      <c r="V888" s="217"/>
      <c r="W888" s="233"/>
      <c r="X888" s="123"/>
      <c r="Y888" s="117"/>
      <c r="Z888" s="117"/>
    </row>
    <row r="889" spans="1:26">
      <c r="A889" s="117"/>
      <c r="B889" s="117"/>
      <c r="C889" s="117"/>
      <c r="D889" s="117"/>
      <c r="E889" s="117"/>
      <c r="F889" s="117"/>
      <c r="G889" s="116"/>
      <c r="H889" s="117"/>
      <c r="I889" s="117"/>
      <c r="J889" s="117"/>
      <c r="K889" s="117"/>
      <c r="L889" s="117"/>
      <c r="M889" s="213"/>
      <c r="N889" s="117"/>
      <c r="O889" s="117"/>
      <c r="P889" s="117"/>
      <c r="Q889" s="200"/>
      <c r="R889" s="239"/>
      <c r="S889" s="239"/>
      <c r="T889" s="239"/>
      <c r="U889" s="216"/>
      <c r="V889" s="217"/>
      <c r="W889" s="233"/>
      <c r="X889" s="123"/>
      <c r="Y889" s="117"/>
      <c r="Z889" s="117"/>
    </row>
    <row r="890" spans="1:26">
      <c r="A890" s="117"/>
      <c r="B890" s="117"/>
      <c r="C890" s="117"/>
      <c r="D890" s="117"/>
      <c r="E890" s="117"/>
      <c r="F890" s="117"/>
      <c r="G890" s="116"/>
      <c r="H890" s="117"/>
      <c r="I890" s="117"/>
      <c r="J890" s="117"/>
      <c r="K890" s="117"/>
      <c r="L890" s="117"/>
      <c r="M890" s="213"/>
      <c r="N890" s="117"/>
      <c r="O890" s="117"/>
      <c r="P890" s="117"/>
      <c r="Q890" s="200"/>
      <c r="R890" s="239"/>
      <c r="S890" s="239"/>
      <c r="T890" s="239"/>
      <c r="U890" s="216"/>
      <c r="V890" s="217"/>
      <c r="W890" s="233"/>
      <c r="X890" s="123"/>
      <c r="Y890" s="117"/>
      <c r="Z890" s="117"/>
    </row>
    <row r="891" spans="1:26">
      <c r="A891" s="117"/>
      <c r="B891" s="117"/>
      <c r="C891" s="117"/>
      <c r="D891" s="117"/>
      <c r="E891" s="117"/>
      <c r="F891" s="117"/>
      <c r="G891" s="116"/>
      <c r="H891" s="117"/>
      <c r="I891" s="117"/>
      <c r="J891" s="117"/>
      <c r="K891" s="117"/>
      <c r="L891" s="117"/>
      <c r="M891" s="213"/>
      <c r="N891" s="117"/>
      <c r="O891" s="117"/>
      <c r="P891" s="117"/>
      <c r="Q891" s="200"/>
      <c r="R891" s="239"/>
      <c r="S891" s="239"/>
      <c r="T891" s="239"/>
      <c r="U891" s="216"/>
      <c r="V891" s="217"/>
      <c r="W891" s="233"/>
      <c r="X891" s="123"/>
      <c r="Y891" s="117"/>
      <c r="Z891" s="117"/>
    </row>
    <row r="892" spans="1:26">
      <c r="A892" s="117"/>
      <c r="B892" s="117"/>
      <c r="C892" s="117"/>
      <c r="D892" s="117"/>
      <c r="E892" s="117"/>
      <c r="F892" s="117"/>
      <c r="G892" s="116"/>
      <c r="H892" s="117"/>
      <c r="I892" s="117"/>
      <c r="J892" s="117"/>
      <c r="K892" s="117"/>
      <c r="L892" s="117"/>
      <c r="M892" s="213"/>
      <c r="N892" s="117"/>
      <c r="O892" s="117"/>
      <c r="P892" s="117"/>
      <c r="Q892" s="200"/>
      <c r="R892" s="239"/>
      <c r="S892" s="239"/>
      <c r="T892" s="239"/>
      <c r="U892" s="216"/>
      <c r="V892" s="217"/>
      <c r="W892" s="233"/>
      <c r="X892" s="123"/>
      <c r="Y892" s="117"/>
      <c r="Z892" s="117"/>
    </row>
    <row r="893" spans="1:26">
      <c r="A893" s="117"/>
      <c r="B893" s="117"/>
      <c r="C893" s="117"/>
      <c r="D893" s="117"/>
      <c r="E893" s="117"/>
      <c r="F893" s="117"/>
      <c r="G893" s="116"/>
      <c r="H893" s="117"/>
      <c r="I893" s="117"/>
      <c r="J893" s="117"/>
      <c r="K893" s="117"/>
      <c r="L893" s="117"/>
      <c r="M893" s="213"/>
      <c r="N893" s="117"/>
      <c r="O893" s="117"/>
      <c r="P893" s="117"/>
      <c r="Q893" s="200"/>
      <c r="R893" s="239"/>
      <c r="S893" s="239"/>
      <c r="T893" s="239"/>
      <c r="U893" s="216"/>
      <c r="V893" s="217"/>
      <c r="W893" s="233"/>
      <c r="X893" s="123"/>
      <c r="Y893" s="117"/>
      <c r="Z893" s="117"/>
    </row>
    <row r="894" spans="1:26">
      <c r="A894" s="117"/>
      <c r="B894" s="117"/>
      <c r="C894" s="117"/>
      <c r="D894" s="117"/>
      <c r="E894" s="117"/>
      <c r="F894" s="117"/>
      <c r="G894" s="116"/>
      <c r="H894" s="117"/>
      <c r="I894" s="117"/>
      <c r="J894" s="117"/>
      <c r="K894" s="117"/>
      <c r="L894" s="117"/>
      <c r="M894" s="213"/>
      <c r="N894" s="117"/>
      <c r="O894" s="117"/>
      <c r="P894" s="117"/>
      <c r="Q894" s="200"/>
      <c r="R894" s="239"/>
      <c r="S894" s="239"/>
      <c r="T894" s="239"/>
      <c r="U894" s="216"/>
      <c r="V894" s="217"/>
      <c r="W894" s="233"/>
      <c r="X894" s="123"/>
      <c r="Y894" s="117"/>
      <c r="Z894" s="117"/>
    </row>
    <row r="895" spans="1:26">
      <c r="A895" s="117"/>
      <c r="B895" s="117"/>
      <c r="C895" s="117"/>
      <c r="D895" s="117"/>
      <c r="E895" s="117"/>
      <c r="F895" s="117"/>
      <c r="G895" s="116"/>
      <c r="H895" s="117"/>
      <c r="I895" s="117"/>
      <c r="J895" s="117"/>
      <c r="K895" s="117"/>
      <c r="L895" s="117"/>
      <c r="M895" s="213"/>
      <c r="N895" s="117"/>
      <c r="O895" s="117"/>
      <c r="P895" s="117"/>
      <c r="Q895" s="200"/>
      <c r="R895" s="239"/>
      <c r="S895" s="239"/>
      <c r="T895" s="239"/>
      <c r="U895" s="216"/>
      <c r="V895" s="217"/>
      <c r="W895" s="233"/>
      <c r="X895" s="123"/>
      <c r="Y895" s="117"/>
      <c r="Z895" s="117"/>
    </row>
    <row r="896" spans="1:26">
      <c r="A896" s="117"/>
      <c r="B896" s="117"/>
      <c r="C896" s="117"/>
      <c r="D896" s="117"/>
      <c r="E896" s="117"/>
      <c r="F896" s="117"/>
      <c r="G896" s="116"/>
      <c r="H896" s="117"/>
      <c r="I896" s="117"/>
      <c r="J896" s="117"/>
      <c r="K896" s="117"/>
      <c r="L896" s="117"/>
      <c r="M896" s="213"/>
      <c r="N896" s="117"/>
      <c r="O896" s="117"/>
      <c r="P896" s="117"/>
      <c r="Q896" s="200"/>
      <c r="R896" s="239"/>
      <c r="S896" s="239"/>
      <c r="T896" s="239"/>
      <c r="U896" s="216"/>
      <c r="V896" s="217"/>
      <c r="W896" s="233"/>
      <c r="X896" s="123"/>
      <c r="Y896" s="117"/>
      <c r="Z896" s="117"/>
    </row>
    <row r="897" spans="1:26">
      <c r="A897" s="117"/>
      <c r="B897" s="117"/>
      <c r="C897" s="117"/>
      <c r="D897" s="117"/>
      <c r="E897" s="117"/>
      <c r="F897" s="117"/>
      <c r="G897" s="116"/>
      <c r="H897" s="117"/>
      <c r="I897" s="117"/>
      <c r="J897" s="117"/>
      <c r="K897" s="117"/>
      <c r="L897" s="117"/>
      <c r="M897" s="213"/>
      <c r="N897" s="117"/>
      <c r="O897" s="117"/>
      <c r="P897" s="117"/>
      <c r="Q897" s="200"/>
      <c r="R897" s="239"/>
      <c r="S897" s="239"/>
      <c r="T897" s="239"/>
      <c r="U897" s="216"/>
      <c r="V897" s="217"/>
      <c r="W897" s="233"/>
      <c r="X897" s="123"/>
      <c r="Y897" s="117"/>
      <c r="Z897" s="117"/>
    </row>
    <row r="898" spans="1:26">
      <c r="A898" s="117"/>
      <c r="B898" s="117"/>
      <c r="C898" s="117"/>
      <c r="D898" s="117"/>
      <c r="E898" s="117"/>
      <c r="F898" s="117"/>
      <c r="G898" s="116"/>
      <c r="H898" s="117"/>
      <c r="I898" s="117"/>
      <c r="J898" s="117"/>
      <c r="K898" s="117"/>
      <c r="L898" s="117"/>
      <c r="M898" s="213"/>
      <c r="N898" s="117"/>
      <c r="O898" s="117"/>
      <c r="P898" s="117"/>
      <c r="Q898" s="200"/>
      <c r="R898" s="239"/>
      <c r="S898" s="239"/>
      <c r="T898" s="239"/>
      <c r="U898" s="216"/>
      <c r="V898" s="217"/>
      <c r="W898" s="233"/>
      <c r="X898" s="123"/>
      <c r="Y898" s="117"/>
      <c r="Z898" s="117"/>
    </row>
    <row r="899" spans="1:26">
      <c r="A899" s="117"/>
      <c r="B899" s="117"/>
      <c r="C899" s="117"/>
      <c r="D899" s="117"/>
      <c r="E899" s="117"/>
      <c r="F899" s="117"/>
      <c r="G899" s="116"/>
      <c r="H899" s="117"/>
      <c r="I899" s="117"/>
      <c r="J899" s="117"/>
      <c r="K899" s="117"/>
      <c r="L899" s="117"/>
      <c r="M899" s="213"/>
      <c r="N899" s="117"/>
      <c r="O899" s="117"/>
      <c r="P899" s="117"/>
      <c r="Q899" s="200"/>
      <c r="R899" s="239"/>
      <c r="S899" s="239"/>
      <c r="T899" s="239"/>
      <c r="U899" s="216"/>
      <c r="V899" s="217"/>
      <c r="W899" s="233"/>
      <c r="X899" s="123"/>
      <c r="Y899" s="117"/>
      <c r="Z899" s="117"/>
    </row>
    <row r="900" spans="1:26">
      <c r="A900" s="117"/>
      <c r="B900" s="117"/>
      <c r="C900" s="117"/>
      <c r="D900" s="117"/>
      <c r="E900" s="117"/>
      <c r="F900" s="117"/>
      <c r="G900" s="116"/>
      <c r="H900" s="117"/>
      <c r="I900" s="117"/>
      <c r="J900" s="117"/>
      <c r="K900" s="117"/>
      <c r="L900" s="117"/>
      <c r="M900" s="213"/>
      <c r="N900" s="117"/>
      <c r="O900" s="117"/>
      <c r="P900" s="117"/>
      <c r="Q900" s="200"/>
      <c r="R900" s="239"/>
      <c r="S900" s="239"/>
      <c r="T900" s="239"/>
      <c r="U900" s="216"/>
      <c r="V900" s="217"/>
      <c r="W900" s="233"/>
      <c r="X900" s="123"/>
      <c r="Y900" s="117"/>
      <c r="Z900" s="117"/>
    </row>
    <row r="901" spans="1:26">
      <c r="A901" s="117"/>
      <c r="B901" s="117"/>
      <c r="C901" s="117"/>
      <c r="D901" s="117"/>
      <c r="E901" s="117"/>
      <c r="F901" s="117"/>
      <c r="G901" s="116"/>
      <c r="H901" s="117"/>
      <c r="I901" s="117"/>
      <c r="J901" s="117"/>
      <c r="K901" s="117"/>
      <c r="L901" s="117"/>
      <c r="M901" s="213"/>
      <c r="N901" s="117"/>
      <c r="O901" s="117"/>
      <c r="P901" s="117"/>
      <c r="Q901" s="200"/>
      <c r="R901" s="239"/>
      <c r="S901" s="239"/>
      <c r="T901" s="239"/>
      <c r="U901" s="216"/>
      <c r="V901" s="217"/>
      <c r="W901" s="233"/>
      <c r="X901" s="123"/>
      <c r="Y901" s="117"/>
      <c r="Z901" s="117"/>
    </row>
    <row r="902" spans="1:26">
      <c r="A902" s="117"/>
      <c r="B902" s="117"/>
      <c r="C902" s="117"/>
      <c r="D902" s="117"/>
      <c r="E902" s="117"/>
      <c r="F902" s="117"/>
      <c r="G902" s="116"/>
      <c r="H902" s="117"/>
      <c r="I902" s="117"/>
      <c r="J902" s="117"/>
      <c r="K902" s="117"/>
      <c r="L902" s="117"/>
      <c r="M902" s="213"/>
      <c r="N902" s="117"/>
      <c r="O902" s="117"/>
      <c r="P902" s="117"/>
      <c r="Q902" s="200"/>
      <c r="R902" s="239"/>
      <c r="S902" s="239"/>
      <c r="T902" s="239"/>
      <c r="U902" s="216"/>
      <c r="V902" s="217"/>
      <c r="W902" s="233"/>
      <c r="X902" s="123"/>
      <c r="Y902" s="117"/>
      <c r="Z902" s="117"/>
    </row>
    <row r="903" spans="1:26">
      <c r="A903" s="117"/>
      <c r="B903" s="117"/>
      <c r="C903" s="117"/>
      <c r="D903" s="117"/>
      <c r="E903" s="117"/>
      <c r="F903" s="117"/>
      <c r="G903" s="116"/>
      <c r="H903" s="117"/>
      <c r="I903" s="117"/>
      <c r="J903" s="117"/>
      <c r="K903" s="117"/>
      <c r="L903" s="117"/>
      <c r="M903" s="213"/>
      <c r="N903" s="117"/>
      <c r="O903" s="117"/>
      <c r="P903" s="117"/>
      <c r="Q903" s="200"/>
      <c r="R903" s="239"/>
      <c r="S903" s="239"/>
      <c r="T903" s="239"/>
      <c r="U903" s="216"/>
      <c r="V903" s="217"/>
      <c r="W903" s="233"/>
      <c r="X903" s="123"/>
      <c r="Y903" s="117"/>
      <c r="Z903" s="117"/>
    </row>
    <row r="904" spans="1:26">
      <c r="A904" s="117"/>
      <c r="B904" s="117"/>
      <c r="C904" s="117"/>
      <c r="D904" s="117"/>
      <c r="E904" s="117"/>
      <c r="F904" s="117"/>
      <c r="G904" s="116"/>
      <c r="H904" s="117"/>
      <c r="I904" s="117"/>
      <c r="J904" s="117"/>
      <c r="K904" s="117"/>
      <c r="L904" s="117"/>
      <c r="M904" s="213"/>
      <c r="N904" s="117"/>
      <c r="O904" s="117"/>
      <c r="P904" s="117"/>
      <c r="Q904" s="200"/>
      <c r="R904" s="239"/>
      <c r="S904" s="239"/>
      <c r="T904" s="239"/>
      <c r="U904" s="216"/>
      <c r="V904" s="217"/>
      <c r="W904" s="233"/>
      <c r="X904" s="123"/>
      <c r="Y904" s="117"/>
      <c r="Z904" s="117"/>
    </row>
    <row r="905" spans="1:26">
      <c r="A905" s="117"/>
      <c r="B905" s="117"/>
      <c r="C905" s="117"/>
      <c r="D905" s="117"/>
      <c r="E905" s="117"/>
      <c r="F905" s="117"/>
      <c r="G905" s="116"/>
      <c r="H905" s="117"/>
      <c r="I905" s="117"/>
      <c r="J905" s="117"/>
      <c r="K905" s="117"/>
      <c r="L905" s="117"/>
      <c r="M905" s="213"/>
      <c r="N905" s="117"/>
      <c r="O905" s="117"/>
      <c r="P905" s="117"/>
      <c r="Q905" s="200"/>
      <c r="R905" s="239"/>
      <c r="S905" s="239"/>
      <c r="T905" s="239"/>
      <c r="U905" s="216"/>
      <c r="V905" s="217"/>
      <c r="W905" s="233"/>
      <c r="X905" s="123"/>
      <c r="Y905" s="117"/>
      <c r="Z905" s="117"/>
    </row>
    <row r="906" spans="1:26">
      <c r="A906" s="117"/>
      <c r="B906" s="117"/>
      <c r="C906" s="117"/>
      <c r="D906" s="117"/>
      <c r="E906" s="117"/>
      <c r="F906" s="117"/>
      <c r="G906" s="116"/>
      <c r="H906" s="117"/>
      <c r="I906" s="117"/>
      <c r="J906" s="117"/>
      <c r="K906" s="117"/>
      <c r="L906" s="117"/>
      <c r="M906" s="213"/>
      <c r="N906" s="117"/>
      <c r="O906" s="117"/>
      <c r="P906" s="117"/>
      <c r="Q906" s="200"/>
      <c r="R906" s="239"/>
      <c r="S906" s="239"/>
      <c r="T906" s="239"/>
      <c r="U906" s="216"/>
      <c r="V906" s="217"/>
      <c r="W906" s="233"/>
      <c r="X906" s="123"/>
      <c r="Y906" s="117"/>
      <c r="Z906" s="117"/>
    </row>
    <row r="907" spans="1:26">
      <c r="A907" s="117"/>
      <c r="B907" s="117"/>
      <c r="C907" s="117"/>
      <c r="D907" s="117"/>
      <c r="E907" s="117"/>
      <c r="F907" s="117"/>
      <c r="G907" s="116"/>
      <c r="H907" s="117"/>
      <c r="I907" s="117"/>
      <c r="J907" s="117"/>
      <c r="K907" s="117"/>
      <c r="L907" s="117"/>
      <c r="M907" s="213"/>
      <c r="N907" s="117"/>
      <c r="O907" s="117"/>
      <c r="P907" s="117"/>
      <c r="Q907" s="200"/>
      <c r="R907" s="239"/>
      <c r="S907" s="239"/>
      <c r="T907" s="239"/>
      <c r="U907" s="216"/>
      <c r="V907" s="217"/>
      <c r="W907" s="233"/>
      <c r="X907" s="123"/>
      <c r="Y907" s="117"/>
      <c r="Z907" s="117"/>
    </row>
    <row r="908" spans="1:26">
      <c r="A908" s="117"/>
      <c r="B908" s="117"/>
      <c r="C908" s="117"/>
      <c r="D908" s="117"/>
      <c r="E908" s="117"/>
      <c r="F908" s="117"/>
      <c r="G908" s="116"/>
      <c r="H908" s="117"/>
      <c r="I908" s="117"/>
      <c r="J908" s="117"/>
      <c r="K908" s="117"/>
      <c r="L908" s="117"/>
      <c r="M908" s="213"/>
      <c r="N908" s="117"/>
      <c r="O908" s="117"/>
      <c r="P908" s="117"/>
      <c r="Q908" s="200"/>
      <c r="R908" s="239"/>
      <c r="S908" s="239"/>
      <c r="T908" s="239"/>
      <c r="U908" s="216"/>
      <c r="V908" s="217"/>
      <c r="W908" s="233"/>
      <c r="X908" s="123"/>
      <c r="Y908" s="117"/>
      <c r="Z908" s="117"/>
    </row>
    <row r="909" spans="1:26">
      <c r="A909" s="117"/>
      <c r="B909" s="117"/>
      <c r="C909" s="117"/>
      <c r="D909" s="117"/>
      <c r="E909" s="117"/>
      <c r="F909" s="117"/>
      <c r="G909" s="116"/>
      <c r="H909" s="117"/>
      <c r="I909" s="117"/>
      <c r="J909" s="117"/>
      <c r="K909" s="117"/>
      <c r="L909" s="117"/>
      <c r="M909" s="213"/>
      <c r="N909" s="117"/>
      <c r="O909" s="117"/>
      <c r="P909" s="117"/>
      <c r="Q909" s="200"/>
      <c r="R909" s="239"/>
      <c r="S909" s="239"/>
      <c r="T909" s="239"/>
      <c r="U909" s="216"/>
      <c r="V909" s="217"/>
      <c r="W909" s="233"/>
      <c r="X909" s="123"/>
      <c r="Y909" s="117"/>
      <c r="Z909" s="117"/>
    </row>
    <row r="910" spans="1:26">
      <c r="A910" s="117"/>
      <c r="B910" s="117"/>
      <c r="C910" s="117"/>
      <c r="D910" s="117"/>
      <c r="E910" s="117"/>
      <c r="F910" s="117"/>
      <c r="G910" s="116"/>
      <c r="H910" s="117"/>
      <c r="I910" s="117"/>
      <c r="J910" s="117"/>
      <c r="K910" s="117"/>
      <c r="L910" s="117"/>
      <c r="M910" s="213"/>
      <c r="N910" s="117"/>
      <c r="O910" s="117"/>
      <c r="P910" s="117"/>
      <c r="Q910" s="200"/>
      <c r="R910" s="239"/>
      <c r="S910" s="239"/>
      <c r="T910" s="239"/>
      <c r="U910" s="216"/>
      <c r="V910" s="217"/>
      <c r="W910" s="233"/>
      <c r="X910" s="123"/>
      <c r="Y910" s="117"/>
      <c r="Z910" s="117"/>
    </row>
    <row r="911" spans="1:26">
      <c r="A911" s="117"/>
      <c r="B911" s="117"/>
      <c r="C911" s="117"/>
      <c r="D911" s="117"/>
      <c r="E911" s="117"/>
      <c r="F911" s="117"/>
      <c r="G911" s="116"/>
      <c r="H911" s="117"/>
      <c r="I911" s="117"/>
      <c r="J911" s="117"/>
      <c r="K911" s="117"/>
      <c r="L911" s="117"/>
      <c r="M911" s="213"/>
      <c r="N911" s="117"/>
      <c r="O911" s="117"/>
      <c r="P911" s="117"/>
      <c r="Q911" s="200"/>
      <c r="R911" s="239"/>
      <c r="S911" s="239"/>
      <c r="T911" s="239"/>
      <c r="U911" s="216"/>
      <c r="V911" s="217"/>
      <c r="W911" s="233"/>
      <c r="X911" s="123"/>
      <c r="Y911" s="117"/>
      <c r="Z911" s="117"/>
    </row>
    <row r="912" spans="1:26">
      <c r="A912" s="117"/>
      <c r="B912" s="117"/>
      <c r="C912" s="117"/>
      <c r="D912" s="117"/>
      <c r="E912" s="117"/>
      <c r="F912" s="117"/>
      <c r="G912" s="116"/>
      <c r="H912" s="117"/>
      <c r="I912" s="117"/>
      <c r="J912" s="117"/>
      <c r="K912" s="117"/>
      <c r="L912" s="117"/>
      <c r="M912" s="213"/>
      <c r="N912" s="117"/>
      <c r="O912" s="117"/>
      <c r="P912" s="117"/>
      <c r="Q912" s="200"/>
      <c r="R912" s="239"/>
      <c r="S912" s="239"/>
      <c r="T912" s="239"/>
      <c r="U912" s="216"/>
      <c r="V912" s="217"/>
      <c r="W912" s="233"/>
      <c r="X912" s="123"/>
      <c r="Y912" s="117"/>
      <c r="Z912" s="117"/>
    </row>
    <row r="913" spans="1:26">
      <c r="A913" s="117"/>
      <c r="B913" s="117"/>
      <c r="C913" s="117"/>
      <c r="D913" s="117"/>
      <c r="E913" s="117"/>
      <c r="F913" s="117"/>
      <c r="G913" s="116"/>
      <c r="H913" s="117"/>
      <c r="I913" s="117"/>
      <c r="J913" s="117"/>
      <c r="K913" s="117"/>
      <c r="L913" s="117"/>
      <c r="M913" s="213"/>
      <c r="N913" s="117"/>
      <c r="O913" s="117"/>
      <c r="P913" s="117"/>
      <c r="Q913" s="200"/>
      <c r="R913" s="239"/>
      <c r="S913" s="239"/>
      <c r="T913" s="239"/>
      <c r="U913" s="216"/>
      <c r="V913" s="217"/>
      <c r="W913" s="233"/>
      <c r="X913" s="123"/>
      <c r="Y913" s="117"/>
      <c r="Z913" s="117"/>
    </row>
    <row r="914" spans="1:26">
      <c r="A914" s="117"/>
      <c r="B914" s="117"/>
      <c r="C914" s="117"/>
      <c r="D914" s="117"/>
      <c r="E914" s="117"/>
      <c r="F914" s="117"/>
      <c r="G914" s="116"/>
      <c r="H914" s="117"/>
      <c r="I914" s="117"/>
      <c r="J914" s="117"/>
      <c r="K914" s="117"/>
      <c r="L914" s="117"/>
      <c r="M914" s="213"/>
      <c r="N914" s="117"/>
      <c r="O914" s="117"/>
      <c r="P914" s="117"/>
      <c r="Q914" s="200"/>
      <c r="R914" s="239"/>
      <c r="S914" s="239"/>
      <c r="T914" s="239"/>
      <c r="U914" s="216"/>
      <c r="V914" s="217"/>
      <c r="W914" s="233"/>
      <c r="X914" s="123"/>
      <c r="Y914" s="117"/>
      <c r="Z914" s="117"/>
    </row>
    <row r="915" spans="1:26">
      <c r="A915" s="117"/>
      <c r="B915" s="117"/>
      <c r="C915" s="117"/>
      <c r="D915" s="117"/>
      <c r="E915" s="117"/>
      <c r="F915" s="117"/>
      <c r="G915" s="116"/>
      <c r="H915" s="117"/>
      <c r="I915" s="117"/>
      <c r="J915" s="117"/>
      <c r="K915" s="117"/>
      <c r="L915" s="117"/>
      <c r="M915" s="213"/>
      <c r="N915" s="117"/>
      <c r="O915" s="117"/>
      <c r="P915" s="117"/>
      <c r="Q915" s="200"/>
      <c r="R915" s="239"/>
      <c r="S915" s="239"/>
      <c r="T915" s="239"/>
      <c r="U915" s="216"/>
      <c r="V915" s="217"/>
      <c r="W915" s="233"/>
      <c r="X915" s="123"/>
      <c r="Y915" s="117"/>
      <c r="Z915" s="117"/>
    </row>
    <row r="916" spans="1:26">
      <c r="A916" s="117"/>
      <c r="B916" s="117"/>
      <c r="C916" s="117"/>
      <c r="D916" s="117"/>
      <c r="E916" s="117"/>
      <c r="F916" s="117"/>
      <c r="G916" s="116"/>
      <c r="H916" s="117"/>
      <c r="I916" s="117"/>
      <c r="J916" s="117"/>
      <c r="K916" s="117"/>
      <c r="L916" s="117"/>
      <c r="M916" s="213"/>
      <c r="N916" s="117"/>
      <c r="O916" s="117"/>
      <c r="P916" s="117"/>
      <c r="Q916" s="200"/>
      <c r="R916" s="239"/>
      <c r="S916" s="239"/>
      <c r="T916" s="239"/>
      <c r="U916" s="216"/>
      <c r="V916" s="217"/>
      <c r="W916" s="233"/>
      <c r="X916" s="123"/>
      <c r="Y916" s="117"/>
      <c r="Z916" s="117"/>
    </row>
    <row r="917" spans="1:26">
      <c r="A917" s="117"/>
      <c r="B917" s="117"/>
      <c r="C917" s="117"/>
      <c r="D917" s="117"/>
      <c r="E917" s="117"/>
      <c r="F917" s="117"/>
      <c r="G917" s="116"/>
      <c r="H917" s="117"/>
      <c r="I917" s="117"/>
      <c r="J917" s="117"/>
      <c r="K917" s="117"/>
      <c r="L917" s="117"/>
      <c r="M917" s="213"/>
      <c r="N917" s="117"/>
      <c r="O917" s="117"/>
      <c r="P917" s="117"/>
      <c r="Q917" s="200"/>
      <c r="R917" s="239"/>
      <c r="S917" s="239"/>
      <c r="T917" s="239"/>
      <c r="U917" s="216"/>
      <c r="V917" s="217"/>
      <c r="W917" s="233"/>
      <c r="X917" s="123"/>
      <c r="Y917" s="117"/>
      <c r="Z917" s="117"/>
    </row>
    <row r="918" spans="1:26">
      <c r="A918" s="117"/>
      <c r="B918" s="117"/>
      <c r="C918" s="117"/>
      <c r="D918" s="117"/>
      <c r="E918" s="117"/>
      <c r="F918" s="117"/>
      <c r="G918" s="116"/>
      <c r="H918" s="117"/>
      <c r="I918" s="117"/>
      <c r="J918" s="117"/>
      <c r="K918" s="117"/>
      <c r="L918" s="117"/>
      <c r="M918" s="213"/>
      <c r="N918" s="117"/>
      <c r="O918" s="117"/>
      <c r="P918" s="117"/>
      <c r="Q918" s="200"/>
      <c r="R918" s="239"/>
      <c r="S918" s="239"/>
      <c r="T918" s="239"/>
      <c r="U918" s="216"/>
      <c r="V918" s="217"/>
      <c r="W918" s="233"/>
      <c r="X918" s="123"/>
      <c r="Y918" s="117"/>
      <c r="Z918" s="117"/>
    </row>
    <row r="919" spans="1:26">
      <c r="A919" s="117"/>
      <c r="B919" s="117"/>
      <c r="C919" s="117"/>
      <c r="D919" s="117"/>
      <c r="E919" s="117"/>
      <c r="F919" s="117"/>
      <c r="G919" s="116"/>
      <c r="H919" s="117"/>
      <c r="I919" s="117"/>
      <c r="J919" s="117"/>
      <c r="K919" s="117"/>
      <c r="L919" s="117"/>
      <c r="M919" s="213"/>
      <c r="N919" s="117"/>
      <c r="O919" s="117"/>
      <c r="P919" s="117"/>
      <c r="Q919" s="200"/>
      <c r="R919" s="239"/>
      <c r="S919" s="239"/>
      <c r="T919" s="239"/>
      <c r="U919" s="216"/>
      <c r="V919" s="217"/>
      <c r="W919" s="233"/>
      <c r="X919" s="123"/>
      <c r="Y919" s="117"/>
      <c r="Z919" s="117"/>
    </row>
    <row r="920" spans="1:26">
      <c r="A920" s="117"/>
      <c r="B920" s="117"/>
      <c r="C920" s="117"/>
      <c r="D920" s="117"/>
      <c r="E920" s="117"/>
      <c r="F920" s="117"/>
      <c r="G920" s="116"/>
      <c r="H920" s="117"/>
      <c r="I920" s="117"/>
      <c r="J920" s="117"/>
      <c r="K920" s="117"/>
      <c r="L920" s="117"/>
      <c r="M920" s="213"/>
      <c r="N920" s="117"/>
      <c r="O920" s="117"/>
      <c r="P920" s="117"/>
      <c r="Q920" s="200"/>
      <c r="R920" s="239"/>
      <c r="S920" s="239"/>
      <c r="T920" s="239"/>
      <c r="U920" s="216"/>
      <c r="V920" s="217"/>
      <c r="W920" s="233"/>
      <c r="X920" s="123"/>
      <c r="Y920" s="117"/>
      <c r="Z920" s="117"/>
    </row>
    <row r="921" spans="1:26">
      <c r="A921" s="117"/>
      <c r="B921" s="117"/>
      <c r="C921" s="117"/>
      <c r="D921" s="117"/>
      <c r="E921" s="117"/>
      <c r="F921" s="117"/>
      <c r="G921" s="116"/>
      <c r="H921" s="117"/>
      <c r="I921" s="117"/>
      <c r="J921" s="117"/>
      <c r="K921" s="117"/>
      <c r="L921" s="117"/>
      <c r="M921" s="213"/>
      <c r="N921" s="117"/>
      <c r="O921" s="117"/>
      <c r="P921" s="117"/>
      <c r="Q921" s="200"/>
      <c r="R921" s="239"/>
      <c r="S921" s="239"/>
      <c r="T921" s="239"/>
      <c r="U921" s="216"/>
      <c r="V921" s="217"/>
      <c r="W921" s="233"/>
      <c r="X921" s="123"/>
      <c r="Y921" s="117"/>
      <c r="Z921" s="117"/>
    </row>
    <row r="922" spans="1:26">
      <c r="A922" s="117"/>
      <c r="B922" s="117"/>
      <c r="C922" s="117"/>
      <c r="D922" s="117"/>
      <c r="E922" s="117"/>
      <c r="F922" s="117"/>
      <c r="G922" s="116"/>
      <c r="H922" s="117"/>
      <c r="I922" s="117"/>
      <c r="J922" s="117"/>
      <c r="K922" s="117"/>
      <c r="L922" s="117"/>
      <c r="M922" s="213"/>
      <c r="N922" s="117"/>
      <c r="O922" s="117"/>
      <c r="P922" s="117"/>
      <c r="Q922" s="200"/>
      <c r="R922" s="239"/>
      <c r="S922" s="239"/>
      <c r="T922" s="239"/>
      <c r="U922" s="216"/>
      <c r="V922" s="217"/>
      <c r="W922" s="233"/>
      <c r="X922" s="123"/>
      <c r="Y922" s="117"/>
      <c r="Z922" s="117"/>
    </row>
    <row r="923" spans="1:26">
      <c r="A923" s="117"/>
      <c r="B923" s="117"/>
      <c r="C923" s="117"/>
      <c r="D923" s="117"/>
      <c r="E923" s="117"/>
      <c r="F923" s="117"/>
      <c r="G923" s="116"/>
      <c r="H923" s="117"/>
      <c r="I923" s="117"/>
      <c r="J923" s="117"/>
      <c r="K923" s="117"/>
      <c r="L923" s="117"/>
      <c r="M923" s="213"/>
      <c r="N923" s="117"/>
      <c r="O923" s="117"/>
      <c r="P923" s="117"/>
      <c r="Q923" s="200"/>
      <c r="R923" s="239"/>
      <c r="S923" s="239"/>
      <c r="T923" s="239"/>
      <c r="U923" s="216"/>
      <c r="V923" s="217"/>
      <c r="W923" s="233"/>
      <c r="X923" s="123"/>
      <c r="Y923" s="117"/>
      <c r="Z923" s="117"/>
    </row>
    <row r="924" spans="1:26">
      <c r="A924" s="117"/>
      <c r="B924" s="117"/>
      <c r="C924" s="117"/>
      <c r="D924" s="117"/>
      <c r="E924" s="117"/>
      <c r="F924" s="117"/>
      <c r="G924" s="116"/>
      <c r="H924" s="117"/>
      <c r="I924" s="117"/>
      <c r="J924" s="117"/>
      <c r="K924" s="117"/>
      <c r="L924" s="117"/>
      <c r="M924" s="213"/>
      <c r="N924" s="117"/>
      <c r="O924" s="117"/>
      <c r="P924" s="117"/>
      <c r="Q924" s="200"/>
      <c r="R924" s="239"/>
      <c r="S924" s="239"/>
      <c r="T924" s="239"/>
      <c r="U924" s="216"/>
      <c r="V924" s="217"/>
      <c r="W924" s="233"/>
      <c r="X924" s="123"/>
      <c r="Y924" s="117"/>
      <c r="Z924" s="117"/>
    </row>
    <row r="925" spans="1:26">
      <c r="A925" s="117"/>
      <c r="B925" s="117"/>
      <c r="C925" s="117"/>
      <c r="D925" s="117"/>
      <c r="E925" s="117"/>
      <c r="F925" s="117"/>
      <c r="G925" s="116"/>
      <c r="H925" s="117"/>
      <c r="I925" s="117"/>
      <c r="J925" s="117"/>
      <c r="K925" s="117"/>
      <c r="L925" s="117"/>
      <c r="M925" s="213"/>
      <c r="N925" s="117"/>
      <c r="O925" s="117"/>
      <c r="P925" s="117"/>
      <c r="Q925" s="200"/>
      <c r="R925" s="239"/>
      <c r="S925" s="239"/>
      <c r="T925" s="239"/>
      <c r="U925" s="216"/>
      <c r="V925" s="217"/>
      <c r="W925" s="233"/>
      <c r="X925" s="123"/>
      <c r="Y925" s="117"/>
      <c r="Z925" s="117"/>
    </row>
    <row r="926" spans="1:26">
      <c r="A926" s="117"/>
      <c r="B926" s="117"/>
      <c r="C926" s="117"/>
      <c r="D926" s="117"/>
      <c r="E926" s="117"/>
      <c r="F926" s="117"/>
      <c r="G926" s="116"/>
      <c r="H926" s="117"/>
      <c r="I926" s="117"/>
      <c r="J926" s="117"/>
      <c r="K926" s="117"/>
      <c r="L926" s="117"/>
      <c r="M926" s="213"/>
      <c r="N926" s="117"/>
      <c r="O926" s="117"/>
      <c r="P926" s="117"/>
      <c r="Q926" s="200"/>
      <c r="R926" s="239"/>
      <c r="S926" s="239"/>
      <c r="T926" s="239"/>
      <c r="U926" s="216"/>
      <c r="V926" s="217"/>
      <c r="W926" s="233"/>
      <c r="X926" s="123"/>
      <c r="Y926" s="117"/>
      <c r="Z926" s="117"/>
    </row>
    <row r="927" spans="1:26">
      <c r="A927" s="117"/>
      <c r="B927" s="117"/>
      <c r="C927" s="117"/>
      <c r="D927" s="117"/>
      <c r="E927" s="117"/>
      <c r="F927" s="117"/>
      <c r="G927" s="116"/>
      <c r="H927" s="117"/>
      <c r="I927" s="117"/>
      <c r="J927" s="117"/>
      <c r="K927" s="117"/>
      <c r="L927" s="117"/>
      <c r="M927" s="213"/>
      <c r="N927" s="117"/>
      <c r="O927" s="117"/>
      <c r="P927" s="117"/>
      <c r="Q927" s="200"/>
      <c r="R927" s="239"/>
      <c r="S927" s="239"/>
      <c r="T927" s="239"/>
      <c r="U927" s="216"/>
      <c r="V927" s="217"/>
      <c r="W927" s="233"/>
      <c r="X927" s="123"/>
      <c r="Y927" s="117"/>
      <c r="Z927" s="117"/>
    </row>
    <row r="928" spans="1:26">
      <c r="A928" s="117"/>
      <c r="B928" s="117"/>
      <c r="C928" s="117"/>
      <c r="D928" s="117"/>
      <c r="E928" s="117"/>
      <c r="F928" s="117"/>
      <c r="G928" s="116"/>
      <c r="H928" s="117"/>
      <c r="I928" s="117"/>
      <c r="J928" s="117"/>
      <c r="K928" s="117"/>
      <c r="L928" s="117"/>
      <c r="M928" s="213"/>
      <c r="N928" s="117"/>
      <c r="O928" s="117"/>
      <c r="P928" s="117"/>
      <c r="Q928" s="200"/>
      <c r="R928" s="239"/>
      <c r="S928" s="239"/>
      <c r="T928" s="239"/>
      <c r="U928" s="216"/>
      <c r="V928" s="217"/>
      <c r="W928" s="233"/>
      <c r="X928" s="123"/>
      <c r="Y928" s="117"/>
      <c r="Z928" s="117"/>
    </row>
    <row r="929" spans="1:26">
      <c r="A929" s="117"/>
      <c r="B929" s="117"/>
      <c r="C929" s="117"/>
      <c r="D929" s="117"/>
      <c r="E929" s="117"/>
      <c r="F929" s="117"/>
      <c r="G929" s="116"/>
      <c r="H929" s="117"/>
      <c r="I929" s="117"/>
      <c r="J929" s="117"/>
      <c r="K929" s="117"/>
      <c r="L929" s="117"/>
      <c r="M929" s="213"/>
      <c r="N929" s="117"/>
      <c r="O929" s="117"/>
      <c r="P929" s="117"/>
      <c r="Q929" s="200"/>
      <c r="R929" s="239"/>
      <c r="S929" s="239"/>
      <c r="T929" s="239"/>
      <c r="U929" s="216"/>
      <c r="V929" s="217"/>
      <c r="W929" s="233"/>
      <c r="X929" s="123"/>
      <c r="Y929" s="117"/>
      <c r="Z929" s="117"/>
    </row>
    <row r="930" spans="1:26">
      <c r="A930" s="117"/>
      <c r="B930" s="117"/>
      <c r="C930" s="117"/>
      <c r="D930" s="117"/>
      <c r="E930" s="117"/>
      <c r="F930" s="117"/>
      <c r="G930" s="116"/>
      <c r="H930" s="117"/>
      <c r="I930" s="117"/>
      <c r="J930" s="117"/>
      <c r="K930" s="117"/>
      <c r="L930" s="117"/>
      <c r="M930" s="213"/>
      <c r="N930" s="117"/>
      <c r="O930" s="117"/>
      <c r="P930" s="117"/>
      <c r="Q930" s="200"/>
      <c r="R930" s="239"/>
      <c r="S930" s="239"/>
      <c r="T930" s="239"/>
      <c r="U930" s="216"/>
      <c r="V930" s="217"/>
      <c r="W930" s="233"/>
      <c r="X930" s="123"/>
      <c r="Y930" s="117"/>
      <c r="Z930" s="117"/>
    </row>
    <row r="931" spans="1:26">
      <c r="A931" s="117"/>
      <c r="B931" s="117"/>
      <c r="C931" s="117"/>
      <c r="D931" s="117"/>
      <c r="E931" s="117"/>
      <c r="F931" s="117"/>
      <c r="G931" s="116"/>
      <c r="H931" s="117"/>
      <c r="I931" s="117"/>
      <c r="J931" s="117"/>
      <c r="K931" s="117"/>
      <c r="L931" s="117"/>
      <c r="M931" s="213"/>
      <c r="N931" s="117"/>
      <c r="O931" s="117"/>
      <c r="P931" s="117"/>
      <c r="Q931" s="200"/>
      <c r="R931" s="239"/>
      <c r="S931" s="239"/>
      <c r="T931" s="239"/>
      <c r="U931" s="216"/>
      <c r="V931" s="217"/>
      <c r="W931" s="233"/>
      <c r="X931" s="123"/>
      <c r="Y931" s="117"/>
      <c r="Z931" s="117"/>
    </row>
    <row r="932" spans="1:26">
      <c r="A932" s="117"/>
      <c r="B932" s="117"/>
      <c r="C932" s="117"/>
      <c r="D932" s="117"/>
      <c r="E932" s="117"/>
      <c r="F932" s="117"/>
      <c r="G932" s="116"/>
      <c r="H932" s="117"/>
      <c r="I932" s="117"/>
      <c r="J932" s="117"/>
      <c r="K932" s="117"/>
      <c r="L932" s="117"/>
      <c r="M932" s="213"/>
      <c r="N932" s="117"/>
      <c r="O932" s="117"/>
      <c r="P932" s="117"/>
      <c r="Q932" s="200"/>
      <c r="R932" s="239"/>
      <c r="S932" s="239"/>
      <c r="T932" s="239"/>
      <c r="U932" s="216"/>
      <c r="V932" s="217"/>
      <c r="W932" s="233"/>
      <c r="X932" s="123"/>
      <c r="Y932" s="117"/>
      <c r="Z932" s="117"/>
    </row>
    <row r="933" spans="1:26">
      <c r="A933" s="117"/>
      <c r="B933" s="117"/>
      <c r="C933" s="117"/>
      <c r="D933" s="117"/>
      <c r="E933" s="117"/>
      <c r="F933" s="117"/>
      <c r="G933" s="116"/>
      <c r="H933" s="117"/>
      <c r="I933" s="117"/>
      <c r="J933" s="117"/>
      <c r="K933" s="117"/>
      <c r="L933" s="117"/>
      <c r="M933" s="213"/>
      <c r="N933" s="117"/>
      <c r="O933" s="117"/>
      <c r="P933" s="117"/>
      <c r="Q933" s="200"/>
      <c r="R933" s="239"/>
      <c r="S933" s="239"/>
      <c r="T933" s="239"/>
      <c r="U933" s="216"/>
      <c r="V933" s="217"/>
      <c r="W933" s="233"/>
      <c r="X933" s="123"/>
      <c r="Y933" s="117"/>
      <c r="Z933" s="117"/>
    </row>
    <row r="934" spans="1:26">
      <c r="A934" s="117"/>
      <c r="B934" s="117"/>
      <c r="C934" s="117"/>
      <c r="D934" s="117"/>
      <c r="E934" s="117"/>
      <c r="F934" s="117"/>
      <c r="G934" s="116"/>
      <c r="H934" s="117"/>
      <c r="I934" s="117"/>
      <c r="J934" s="117"/>
      <c r="K934" s="117"/>
      <c r="L934" s="117"/>
      <c r="M934" s="213"/>
      <c r="N934" s="117"/>
      <c r="O934" s="117"/>
      <c r="P934" s="117"/>
      <c r="Q934" s="200"/>
      <c r="R934" s="239"/>
      <c r="S934" s="239"/>
      <c r="T934" s="239"/>
      <c r="U934" s="216"/>
      <c r="V934" s="217"/>
      <c r="W934" s="233"/>
      <c r="X934" s="123"/>
      <c r="Y934" s="117"/>
      <c r="Z934" s="117"/>
    </row>
    <row r="935" spans="1:26">
      <c r="A935" s="117"/>
      <c r="B935" s="117"/>
      <c r="C935" s="117"/>
      <c r="D935" s="117"/>
      <c r="E935" s="117"/>
      <c r="F935" s="117"/>
      <c r="G935" s="116"/>
      <c r="H935" s="117"/>
      <c r="I935" s="117"/>
      <c r="J935" s="117"/>
      <c r="K935" s="117"/>
      <c r="L935" s="117"/>
      <c r="M935" s="213"/>
      <c r="N935" s="117"/>
      <c r="O935" s="117"/>
      <c r="P935" s="117"/>
      <c r="Q935" s="200"/>
      <c r="R935" s="239"/>
      <c r="S935" s="239"/>
      <c r="T935" s="239"/>
      <c r="U935" s="216"/>
      <c r="V935" s="217"/>
      <c r="W935" s="233"/>
      <c r="X935" s="123"/>
      <c r="Y935" s="117"/>
      <c r="Z935" s="117"/>
    </row>
    <row r="936" spans="1:26">
      <c r="A936" s="117"/>
      <c r="B936" s="117"/>
      <c r="C936" s="117"/>
      <c r="D936" s="117"/>
      <c r="E936" s="117"/>
      <c r="F936" s="117"/>
      <c r="G936" s="116"/>
      <c r="H936" s="117"/>
      <c r="I936" s="117"/>
      <c r="J936" s="117"/>
      <c r="K936" s="117"/>
      <c r="L936" s="117"/>
      <c r="M936" s="213"/>
      <c r="N936" s="117"/>
      <c r="O936" s="117"/>
      <c r="P936" s="117"/>
      <c r="Q936" s="200"/>
      <c r="R936" s="239"/>
      <c r="S936" s="239"/>
      <c r="T936" s="239"/>
      <c r="U936" s="216"/>
      <c r="V936" s="217"/>
      <c r="W936" s="233"/>
      <c r="X936" s="123"/>
      <c r="Y936" s="117"/>
      <c r="Z936" s="117"/>
    </row>
    <row r="937" spans="1:26">
      <c r="A937" s="117"/>
      <c r="B937" s="117"/>
      <c r="C937" s="117"/>
      <c r="D937" s="117"/>
      <c r="E937" s="117"/>
      <c r="F937" s="117"/>
      <c r="G937" s="116"/>
      <c r="H937" s="117"/>
      <c r="I937" s="117"/>
      <c r="J937" s="117"/>
      <c r="K937" s="117"/>
      <c r="L937" s="117"/>
      <c r="M937" s="213"/>
      <c r="N937" s="117"/>
      <c r="O937" s="117"/>
      <c r="P937" s="117"/>
      <c r="Q937" s="200"/>
      <c r="R937" s="239"/>
      <c r="S937" s="239"/>
      <c r="T937" s="239"/>
      <c r="U937" s="216"/>
      <c r="V937" s="217"/>
      <c r="W937" s="233"/>
      <c r="X937" s="123"/>
      <c r="Y937" s="117"/>
      <c r="Z937" s="117"/>
    </row>
    <row r="938" spans="1:26">
      <c r="A938" s="117"/>
      <c r="B938" s="117"/>
      <c r="C938" s="117"/>
      <c r="D938" s="117"/>
      <c r="E938" s="117"/>
      <c r="F938" s="117"/>
      <c r="G938" s="116"/>
      <c r="H938" s="117"/>
      <c r="I938" s="117"/>
      <c r="J938" s="117"/>
      <c r="K938" s="117"/>
      <c r="L938" s="117"/>
      <c r="M938" s="213"/>
      <c r="N938" s="117"/>
      <c r="O938" s="117"/>
      <c r="P938" s="117"/>
      <c r="Q938" s="200"/>
      <c r="R938" s="239"/>
      <c r="S938" s="239"/>
      <c r="T938" s="239"/>
      <c r="U938" s="216"/>
      <c r="V938" s="217"/>
      <c r="W938" s="233"/>
      <c r="X938" s="123"/>
      <c r="Y938" s="117"/>
      <c r="Z938" s="117"/>
    </row>
    <row r="939" spans="1:26">
      <c r="A939" s="117"/>
      <c r="B939" s="117"/>
      <c r="C939" s="117"/>
      <c r="D939" s="117"/>
      <c r="E939" s="117"/>
      <c r="F939" s="117"/>
      <c r="G939" s="116"/>
      <c r="H939" s="117"/>
      <c r="I939" s="117"/>
      <c r="J939" s="117"/>
      <c r="K939" s="117"/>
      <c r="L939" s="117"/>
      <c r="M939" s="213"/>
      <c r="N939" s="117"/>
      <c r="O939" s="117"/>
      <c r="P939" s="117"/>
      <c r="Q939" s="200"/>
      <c r="R939" s="239"/>
      <c r="S939" s="239"/>
      <c r="T939" s="239"/>
      <c r="U939" s="216"/>
      <c r="V939" s="217"/>
      <c r="W939" s="233"/>
      <c r="X939" s="123"/>
      <c r="Y939" s="117"/>
      <c r="Z939" s="117"/>
    </row>
    <row r="940" spans="1:26">
      <c r="A940" s="117"/>
      <c r="B940" s="117"/>
      <c r="C940" s="117"/>
      <c r="D940" s="117"/>
      <c r="E940" s="117"/>
      <c r="F940" s="117"/>
      <c r="G940" s="116"/>
      <c r="H940" s="117"/>
      <c r="I940" s="117"/>
      <c r="J940" s="117"/>
      <c r="K940" s="117"/>
      <c r="L940" s="117"/>
      <c r="M940" s="213"/>
      <c r="N940" s="117"/>
      <c r="O940" s="117"/>
      <c r="P940" s="117"/>
      <c r="Q940" s="200"/>
      <c r="R940" s="239"/>
      <c r="S940" s="239"/>
      <c r="T940" s="239"/>
      <c r="U940" s="216"/>
      <c r="V940" s="217"/>
      <c r="W940" s="233"/>
      <c r="X940" s="123"/>
      <c r="Y940" s="117"/>
      <c r="Z940" s="117"/>
    </row>
    <row r="941" spans="1:26">
      <c r="A941" s="117"/>
      <c r="B941" s="117"/>
      <c r="C941" s="117"/>
      <c r="D941" s="117"/>
      <c r="E941" s="117"/>
      <c r="F941" s="117"/>
      <c r="G941" s="116"/>
      <c r="H941" s="117"/>
      <c r="I941" s="117"/>
      <c r="J941" s="117"/>
      <c r="K941" s="117"/>
      <c r="L941" s="117"/>
      <c r="M941" s="213"/>
      <c r="N941" s="117"/>
      <c r="O941" s="117"/>
      <c r="P941" s="117"/>
      <c r="Q941" s="200"/>
      <c r="R941" s="239"/>
      <c r="S941" s="239"/>
      <c r="T941" s="239"/>
      <c r="U941" s="216"/>
      <c r="V941" s="217"/>
      <c r="W941" s="233"/>
      <c r="X941" s="123"/>
      <c r="Y941" s="117"/>
      <c r="Z941" s="117"/>
    </row>
    <row r="942" spans="1:26">
      <c r="A942" s="117"/>
      <c r="B942" s="117"/>
      <c r="C942" s="117"/>
      <c r="D942" s="117"/>
      <c r="E942" s="117"/>
      <c r="F942" s="117"/>
      <c r="G942" s="116"/>
      <c r="H942" s="117"/>
      <c r="I942" s="117"/>
      <c r="J942" s="117"/>
      <c r="K942" s="117"/>
      <c r="L942" s="117"/>
      <c r="M942" s="213"/>
      <c r="N942" s="117"/>
      <c r="O942" s="117"/>
      <c r="P942" s="117"/>
      <c r="Q942" s="200"/>
      <c r="R942" s="239"/>
      <c r="S942" s="239"/>
      <c r="T942" s="239"/>
      <c r="U942" s="216"/>
      <c r="V942" s="217"/>
      <c r="W942" s="233"/>
      <c r="X942" s="123"/>
      <c r="Y942" s="117"/>
      <c r="Z942" s="117"/>
    </row>
    <row r="943" spans="1:26">
      <c r="A943" s="117"/>
      <c r="B943" s="117"/>
      <c r="C943" s="117"/>
      <c r="D943" s="117"/>
      <c r="E943" s="117"/>
      <c r="F943" s="117"/>
      <c r="G943" s="116"/>
      <c r="H943" s="117"/>
      <c r="I943" s="117"/>
      <c r="J943" s="117"/>
      <c r="K943" s="117"/>
      <c r="L943" s="117"/>
      <c r="M943" s="213"/>
      <c r="N943" s="117"/>
      <c r="O943" s="117"/>
      <c r="P943" s="117"/>
      <c r="Q943" s="200"/>
      <c r="R943" s="239"/>
      <c r="S943" s="239"/>
      <c r="T943" s="239"/>
      <c r="U943" s="216"/>
      <c r="V943" s="217"/>
      <c r="W943" s="233"/>
      <c r="X943" s="123"/>
      <c r="Y943" s="117"/>
      <c r="Z943" s="117"/>
    </row>
    <row r="944" spans="1:26">
      <c r="A944" s="117"/>
      <c r="B944" s="117"/>
      <c r="C944" s="117"/>
      <c r="D944" s="117"/>
      <c r="E944" s="117"/>
      <c r="F944" s="117"/>
      <c r="G944" s="116"/>
      <c r="H944" s="117"/>
      <c r="I944" s="117"/>
      <c r="J944" s="117"/>
      <c r="K944" s="117"/>
      <c r="L944" s="117"/>
      <c r="M944" s="213"/>
      <c r="N944" s="117"/>
      <c r="O944" s="117"/>
      <c r="P944" s="117"/>
      <c r="Q944" s="200"/>
      <c r="R944" s="239"/>
      <c r="S944" s="239"/>
      <c r="T944" s="239"/>
      <c r="U944" s="216"/>
      <c r="V944" s="217"/>
      <c r="W944" s="233"/>
      <c r="X944" s="123"/>
      <c r="Y944" s="117"/>
      <c r="Z944" s="117"/>
    </row>
    <row r="945" spans="1:26">
      <c r="A945" s="117"/>
      <c r="B945" s="117"/>
      <c r="C945" s="117"/>
      <c r="D945" s="117"/>
      <c r="E945" s="117"/>
      <c r="F945" s="117"/>
      <c r="G945" s="116"/>
      <c r="H945" s="117"/>
      <c r="I945" s="117"/>
      <c r="J945" s="117"/>
      <c r="K945" s="117"/>
      <c r="L945" s="117"/>
      <c r="M945" s="213"/>
      <c r="N945" s="117"/>
      <c r="O945" s="117"/>
      <c r="P945" s="117"/>
      <c r="Q945" s="200"/>
      <c r="R945" s="239"/>
      <c r="S945" s="239"/>
      <c r="T945" s="239"/>
      <c r="U945" s="216"/>
      <c r="V945" s="217"/>
      <c r="W945" s="233"/>
      <c r="X945" s="123"/>
      <c r="Y945" s="117"/>
      <c r="Z945" s="117"/>
    </row>
    <row r="946" spans="1:26">
      <c r="A946" s="117"/>
      <c r="B946" s="117"/>
      <c r="C946" s="117"/>
      <c r="D946" s="117"/>
      <c r="E946" s="117"/>
      <c r="F946" s="117"/>
      <c r="G946" s="116"/>
      <c r="H946" s="117"/>
      <c r="I946" s="117"/>
      <c r="J946" s="117"/>
      <c r="K946" s="117"/>
      <c r="L946" s="117"/>
      <c r="M946" s="213"/>
      <c r="N946" s="117"/>
      <c r="O946" s="117"/>
      <c r="P946" s="117"/>
      <c r="Q946" s="200"/>
      <c r="R946" s="239"/>
      <c r="S946" s="239"/>
      <c r="T946" s="239"/>
      <c r="U946" s="216"/>
      <c r="V946" s="217"/>
      <c r="W946" s="233"/>
      <c r="X946" s="123"/>
      <c r="Y946" s="117"/>
      <c r="Z946" s="117"/>
    </row>
    <row r="947" spans="1:26">
      <c r="A947" s="117"/>
      <c r="B947" s="117"/>
      <c r="C947" s="117"/>
      <c r="D947" s="117"/>
      <c r="E947" s="117"/>
      <c r="F947" s="117"/>
      <c r="G947" s="116"/>
      <c r="H947" s="117"/>
      <c r="I947" s="117"/>
      <c r="J947" s="117"/>
      <c r="K947" s="117"/>
      <c r="L947" s="117"/>
      <c r="M947" s="213"/>
      <c r="N947" s="117"/>
      <c r="O947" s="117"/>
      <c r="P947" s="117"/>
      <c r="Q947" s="200"/>
      <c r="R947" s="239"/>
      <c r="S947" s="239"/>
      <c r="T947" s="239"/>
      <c r="U947" s="216"/>
      <c r="V947" s="217"/>
      <c r="W947" s="233"/>
      <c r="X947" s="123"/>
      <c r="Y947" s="117"/>
      <c r="Z947" s="117"/>
    </row>
    <row r="948" spans="1:26">
      <c r="A948" s="117"/>
      <c r="B948" s="117"/>
      <c r="C948" s="117"/>
      <c r="D948" s="117"/>
      <c r="E948" s="117"/>
      <c r="F948" s="117"/>
      <c r="G948" s="116"/>
      <c r="H948" s="117"/>
      <c r="I948" s="117"/>
      <c r="J948" s="117"/>
      <c r="K948" s="117"/>
      <c r="L948" s="117"/>
      <c r="M948" s="213"/>
      <c r="N948" s="117"/>
      <c r="O948" s="117"/>
      <c r="P948" s="117"/>
      <c r="Q948" s="200"/>
      <c r="R948" s="239"/>
      <c r="S948" s="239"/>
      <c r="T948" s="239"/>
      <c r="U948" s="216"/>
      <c r="V948" s="217"/>
      <c r="W948" s="233"/>
      <c r="X948" s="123"/>
      <c r="Y948" s="117"/>
      <c r="Z948" s="117"/>
    </row>
    <row r="949" spans="1:26">
      <c r="A949" s="117"/>
      <c r="B949" s="117"/>
      <c r="C949" s="117"/>
      <c r="D949" s="117"/>
      <c r="E949" s="117"/>
      <c r="F949" s="117"/>
      <c r="G949" s="116"/>
      <c r="H949" s="117"/>
      <c r="I949" s="117"/>
      <c r="J949" s="117"/>
      <c r="K949" s="117"/>
      <c r="L949" s="117"/>
      <c r="M949" s="213"/>
      <c r="N949" s="117"/>
      <c r="O949" s="117"/>
      <c r="P949" s="117"/>
      <c r="Q949" s="200"/>
      <c r="R949" s="239"/>
      <c r="S949" s="239"/>
      <c r="T949" s="239"/>
      <c r="U949" s="216"/>
      <c r="V949" s="217"/>
      <c r="W949" s="233"/>
      <c r="X949" s="123"/>
      <c r="Y949" s="117"/>
      <c r="Z949" s="117"/>
    </row>
    <row r="950" spans="1:26">
      <c r="A950" s="117"/>
      <c r="B950" s="117"/>
      <c r="C950" s="117"/>
      <c r="D950" s="117"/>
      <c r="E950" s="117"/>
      <c r="F950" s="117"/>
      <c r="G950" s="116"/>
      <c r="H950" s="117"/>
      <c r="I950" s="117"/>
      <c r="J950" s="117"/>
      <c r="K950" s="117"/>
      <c r="L950" s="117"/>
      <c r="M950" s="213"/>
      <c r="N950" s="117"/>
      <c r="O950" s="117"/>
      <c r="P950" s="117"/>
      <c r="Q950" s="200"/>
      <c r="R950" s="239"/>
      <c r="S950" s="239"/>
      <c r="T950" s="239"/>
      <c r="U950" s="216"/>
      <c r="V950" s="217"/>
      <c r="W950" s="233"/>
      <c r="X950" s="123"/>
      <c r="Y950" s="117"/>
      <c r="Z950" s="117"/>
    </row>
    <row r="951" spans="1:26">
      <c r="A951" s="117"/>
      <c r="B951" s="117"/>
      <c r="C951" s="117"/>
      <c r="D951" s="117"/>
      <c r="E951" s="117"/>
      <c r="F951" s="117"/>
      <c r="G951" s="116"/>
      <c r="H951" s="117"/>
      <c r="I951" s="117"/>
      <c r="J951" s="117"/>
      <c r="K951" s="117"/>
      <c r="L951" s="117"/>
      <c r="M951" s="213"/>
      <c r="N951" s="117"/>
      <c r="O951" s="117"/>
      <c r="P951" s="117"/>
      <c r="Q951" s="200"/>
      <c r="R951" s="239"/>
      <c r="S951" s="239"/>
      <c r="T951" s="239"/>
      <c r="U951" s="216"/>
      <c r="V951" s="217"/>
      <c r="W951" s="233"/>
      <c r="X951" s="123"/>
      <c r="Y951" s="117"/>
      <c r="Z951" s="117"/>
    </row>
    <row r="952" spans="1:26">
      <c r="A952" s="117"/>
      <c r="B952" s="117"/>
      <c r="C952" s="117"/>
      <c r="D952" s="117"/>
      <c r="E952" s="117"/>
      <c r="F952" s="117"/>
      <c r="G952" s="116"/>
      <c r="H952" s="117"/>
      <c r="I952" s="117"/>
      <c r="J952" s="117"/>
      <c r="K952" s="117"/>
      <c r="L952" s="117"/>
      <c r="M952" s="213"/>
      <c r="N952" s="117"/>
      <c r="O952" s="117"/>
      <c r="P952" s="117"/>
      <c r="Q952" s="200"/>
      <c r="R952" s="239"/>
      <c r="S952" s="239"/>
      <c r="T952" s="239"/>
      <c r="U952" s="216"/>
      <c r="V952" s="217"/>
      <c r="W952" s="233"/>
      <c r="X952" s="123"/>
      <c r="Y952" s="117"/>
      <c r="Z952" s="117"/>
    </row>
    <row r="953" spans="1:26">
      <c r="A953" s="117"/>
      <c r="B953" s="117"/>
      <c r="C953" s="117"/>
      <c r="D953" s="117"/>
      <c r="E953" s="117"/>
      <c r="F953" s="117"/>
      <c r="G953" s="116"/>
      <c r="H953" s="117"/>
      <c r="I953" s="117"/>
      <c r="J953" s="117"/>
      <c r="K953" s="117"/>
      <c r="L953" s="117"/>
      <c r="M953" s="213"/>
      <c r="N953" s="117"/>
      <c r="O953" s="117"/>
      <c r="P953" s="117"/>
      <c r="Q953" s="200"/>
      <c r="R953" s="239"/>
      <c r="S953" s="239"/>
      <c r="T953" s="239"/>
      <c r="U953" s="216"/>
      <c r="V953" s="217"/>
      <c r="W953" s="233"/>
      <c r="X953" s="123"/>
      <c r="Y953" s="117"/>
      <c r="Z953" s="117"/>
    </row>
    <row r="954" spans="1:26">
      <c r="A954" s="117"/>
      <c r="B954" s="117"/>
      <c r="C954" s="117"/>
      <c r="D954" s="117"/>
      <c r="E954" s="117"/>
      <c r="F954" s="117"/>
      <c r="G954" s="116"/>
      <c r="H954" s="117"/>
      <c r="I954" s="117"/>
      <c r="J954" s="117"/>
      <c r="K954" s="117"/>
      <c r="L954" s="117"/>
      <c r="M954" s="213"/>
      <c r="N954" s="117"/>
      <c r="O954" s="117"/>
      <c r="P954" s="117"/>
      <c r="Q954" s="200"/>
      <c r="R954" s="239"/>
      <c r="S954" s="239"/>
      <c r="T954" s="239"/>
      <c r="U954" s="216"/>
      <c r="V954" s="217"/>
      <c r="W954" s="233"/>
      <c r="X954" s="123"/>
      <c r="Y954" s="117"/>
      <c r="Z954" s="117"/>
    </row>
    <row r="955" spans="1:26">
      <c r="A955" s="117"/>
      <c r="B955" s="117"/>
      <c r="C955" s="117"/>
      <c r="D955" s="117"/>
      <c r="E955" s="117"/>
      <c r="F955" s="117"/>
      <c r="G955" s="116"/>
      <c r="H955" s="117"/>
      <c r="I955" s="117"/>
      <c r="J955" s="117"/>
      <c r="K955" s="117"/>
      <c r="L955" s="117"/>
      <c r="M955" s="213"/>
      <c r="N955" s="117"/>
      <c r="O955" s="117"/>
      <c r="P955" s="117"/>
      <c r="Q955" s="200"/>
      <c r="R955" s="239"/>
      <c r="S955" s="239"/>
      <c r="T955" s="239"/>
      <c r="U955" s="216"/>
      <c r="V955" s="217"/>
      <c r="W955" s="233"/>
      <c r="X955" s="123"/>
      <c r="Y955" s="117"/>
      <c r="Z955" s="117"/>
    </row>
    <row r="956" spans="1:26">
      <c r="A956" s="117"/>
      <c r="B956" s="117"/>
      <c r="C956" s="117"/>
      <c r="D956" s="117"/>
      <c r="E956" s="117"/>
      <c r="F956" s="117"/>
      <c r="G956" s="116"/>
      <c r="H956" s="117"/>
      <c r="I956" s="117"/>
      <c r="J956" s="117"/>
      <c r="K956" s="117"/>
      <c r="L956" s="117"/>
      <c r="M956" s="213"/>
      <c r="N956" s="117"/>
      <c r="O956" s="117"/>
      <c r="P956" s="117"/>
      <c r="Q956" s="200"/>
      <c r="R956" s="239"/>
      <c r="S956" s="239"/>
      <c r="T956" s="239"/>
      <c r="U956" s="216"/>
      <c r="V956" s="217"/>
      <c r="W956" s="233"/>
      <c r="X956" s="123"/>
      <c r="Y956" s="117"/>
      <c r="Z956" s="117"/>
    </row>
    <row r="957" spans="1:26">
      <c r="A957" s="117"/>
      <c r="B957" s="117"/>
      <c r="C957" s="117"/>
      <c r="D957" s="117"/>
      <c r="E957" s="117"/>
      <c r="F957" s="117"/>
      <c r="G957" s="116"/>
      <c r="H957" s="117"/>
      <c r="I957" s="117"/>
      <c r="J957" s="117"/>
      <c r="K957" s="117"/>
      <c r="L957" s="117"/>
      <c r="M957" s="213"/>
      <c r="N957" s="117"/>
      <c r="O957" s="117"/>
      <c r="P957" s="117"/>
      <c r="Q957" s="200"/>
      <c r="R957" s="239"/>
      <c r="S957" s="239"/>
      <c r="T957" s="239"/>
      <c r="U957" s="216"/>
      <c r="V957" s="217"/>
      <c r="W957" s="233"/>
      <c r="X957" s="123"/>
      <c r="Y957" s="117"/>
      <c r="Z957" s="117"/>
    </row>
    <row r="958" spans="1:26">
      <c r="A958" s="117"/>
      <c r="B958" s="117"/>
      <c r="C958" s="117"/>
      <c r="D958" s="117"/>
      <c r="E958" s="117"/>
      <c r="F958" s="117"/>
      <c r="G958" s="116"/>
      <c r="H958" s="117"/>
      <c r="I958" s="117"/>
      <c r="J958" s="117"/>
      <c r="K958" s="117"/>
      <c r="L958" s="117"/>
      <c r="M958" s="213"/>
      <c r="N958" s="117"/>
      <c r="O958" s="117"/>
      <c r="P958" s="117"/>
      <c r="Q958" s="200"/>
      <c r="R958" s="239"/>
      <c r="S958" s="239"/>
      <c r="T958" s="239"/>
      <c r="U958" s="216"/>
      <c r="V958" s="217"/>
      <c r="W958" s="233"/>
      <c r="X958" s="123"/>
      <c r="Y958" s="117"/>
      <c r="Z958" s="117"/>
    </row>
    <row r="959" spans="1:26">
      <c r="A959" s="117"/>
      <c r="B959" s="117"/>
      <c r="C959" s="117"/>
      <c r="D959" s="117"/>
      <c r="E959" s="117"/>
      <c r="F959" s="117"/>
      <c r="G959" s="116"/>
      <c r="H959" s="117"/>
      <c r="I959" s="117"/>
      <c r="J959" s="117"/>
      <c r="K959" s="117"/>
      <c r="L959" s="117"/>
      <c r="M959" s="213"/>
      <c r="N959" s="117"/>
      <c r="O959" s="117"/>
      <c r="P959" s="117"/>
      <c r="Q959" s="200"/>
      <c r="R959" s="239"/>
      <c r="S959" s="239"/>
      <c r="T959" s="239"/>
      <c r="U959" s="216"/>
      <c r="V959" s="217"/>
      <c r="W959" s="233"/>
      <c r="X959" s="123"/>
      <c r="Y959" s="117"/>
      <c r="Z959" s="117"/>
    </row>
    <row r="960" spans="1:26">
      <c r="A960" s="117"/>
      <c r="B960" s="117"/>
      <c r="C960" s="117"/>
      <c r="D960" s="117"/>
      <c r="E960" s="117"/>
      <c r="F960" s="117"/>
      <c r="G960" s="116"/>
      <c r="H960" s="117"/>
      <c r="I960" s="117"/>
      <c r="J960" s="117"/>
      <c r="K960" s="117"/>
      <c r="L960" s="117"/>
      <c r="M960" s="213"/>
      <c r="N960" s="117"/>
      <c r="O960" s="117"/>
      <c r="P960" s="117"/>
      <c r="Q960" s="200"/>
      <c r="R960" s="239"/>
      <c r="S960" s="239"/>
      <c r="T960" s="239"/>
      <c r="U960" s="216"/>
      <c r="V960" s="217"/>
      <c r="W960" s="233"/>
      <c r="X960" s="123"/>
      <c r="Y960" s="117"/>
      <c r="Z960" s="117"/>
    </row>
    <row r="961" spans="1:26">
      <c r="A961" s="117"/>
      <c r="B961" s="117"/>
      <c r="C961" s="117"/>
      <c r="D961" s="117"/>
      <c r="E961" s="117"/>
      <c r="F961" s="117"/>
      <c r="G961" s="116"/>
      <c r="H961" s="117"/>
      <c r="I961" s="117"/>
      <c r="J961" s="117"/>
      <c r="K961" s="117"/>
      <c r="L961" s="117"/>
      <c r="M961" s="213"/>
      <c r="N961" s="117"/>
      <c r="O961" s="117"/>
      <c r="P961" s="117"/>
      <c r="Q961" s="200"/>
      <c r="R961" s="239"/>
      <c r="S961" s="239"/>
      <c r="T961" s="239"/>
      <c r="U961" s="216"/>
      <c r="V961" s="217"/>
      <c r="W961" s="233"/>
      <c r="X961" s="123"/>
      <c r="Y961" s="117"/>
      <c r="Z961" s="117"/>
    </row>
    <row r="962" spans="1:26">
      <c r="A962" s="117"/>
      <c r="B962" s="117"/>
      <c r="C962" s="117"/>
      <c r="D962" s="117"/>
      <c r="E962" s="117"/>
      <c r="F962" s="117"/>
      <c r="G962" s="116"/>
      <c r="H962" s="117"/>
      <c r="I962" s="117"/>
      <c r="J962" s="117"/>
      <c r="K962" s="117"/>
      <c r="L962" s="117"/>
      <c r="M962" s="213"/>
      <c r="N962" s="117"/>
      <c r="O962" s="117"/>
      <c r="P962" s="117"/>
      <c r="Q962" s="200"/>
      <c r="R962" s="239"/>
      <c r="S962" s="239"/>
      <c r="T962" s="239"/>
      <c r="U962" s="216"/>
      <c r="V962" s="217"/>
      <c r="W962" s="233"/>
      <c r="X962" s="123"/>
      <c r="Y962" s="117"/>
      <c r="Z962" s="117"/>
    </row>
    <row r="963" spans="1:26">
      <c r="A963" s="117"/>
      <c r="B963" s="117"/>
      <c r="C963" s="117"/>
      <c r="D963" s="117"/>
      <c r="E963" s="117"/>
      <c r="F963" s="117"/>
      <c r="G963" s="116"/>
      <c r="H963" s="117"/>
      <c r="I963" s="117"/>
      <c r="J963" s="117"/>
      <c r="K963" s="117"/>
      <c r="L963" s="117"/>
      <c r="M963" s="213"/>
      <c r="N963" s="117"/>
      <c r="O963" s="117"/>
      <c r="P963" s="117"/>
      <c r="Q963" s="200"/>
      <c r="R963" s="239"/>
      <c r="S963" s="239"/>
      <c r="T963" s="239"/>
      <c r="U963" s="216"/>
      <c r="V963" s="217"/>
      <c r="W963" s="233"/>
      <c r="X963" s="123"/>
      <c r="Y963" s="117"/>
      <c r="Z963" s="117"/>
    </row>
    <row r="964" spans="1:26">
      <c r="A964" s="117"/>
      <c r="B964" s="117"/>
      <c r="C964" s="117"/>
      <c r="D964" s="117"/>
      <c r="E964" s="117"/>
      <c r="F964" s="117"/>
      <c r="G964" s="116"/>
      <c r="H964" s="117"/>
      <c r="I964" s="117"/>
      <c r="J964" s="117"/>
      <c r="K964" s="117"/>
      <c r="L964" s="117"/>
      <c r="M964" s="213"/>
      <c r="N964" s="117"/>
      <c r="O964" s="117"/>
      <c r="P964" s="117"/>
      <c r="Q964" s="200"/>
      <c r="R964" s="239"/>
      <c r="S964" s="239"/>
      <c r="T964" s="239"/>
      <c r="U964" s="216"/>
      <c r="V964" s="217"/>
      <c r="W964" s="233"/>
      <c r="X964" s="123"/>
      <c r="Y964" s="117"/>
      <c r="Z964" s="117"/>
    </row>
    <row r="965" spans="1:26">
      <c r="A965" s="117"/>
      <c r="B965" s="117"/>
      <c r="C965" s="117"/>
      <c r="D965" s="117"/>
      <c r="E965" s="117"/>
      <c r="F965" s="117"/>
      <c r="G965" s="116"/>
      <c r="H965" s="117"/>
      <c r="I965" s="117"/>
      <c r="J965" s="117"/>
      <c r="K965" s="117"/>
      <c r="L965" s="117"/>
      <c r="M965" s="213"/>
      <c r="N965" s="117"/>
      <c r="O965" s="117"/>
      <c r="P965" s="117"/>
      <c r="Q965" s="200"/>
      <c r="R965" s="239"/>
      <c r="S965" s="239"/>
      <c r="T965" s="239"/>
      <c r="U965" s="216"/>
      <c r="V965" s="217"/>
      <c r="W965" s="233"/>
      <c r="X965" s="123"/>
      <c r="Y965" s="117"/>
      <c r="Z965" s="117"/>
    </row>
    <row r="966" spans="1:26">
      <c r="A966" s="117"/>
      <c r="B966" s="117"/>
      <c r="C966" s="117"/>
      <c r="D966" s="117"/>
      <c r="E966" s="117"/>
      <c r="F966" s="117"/>
      <c r="G966" s="116"/>
      <c r="H966" s="117"/>
      <c r="I966" s="117"/>
      <c r="J966" s="117"/>
      <c r="K966" s="117"/>
      <c r="L966" s="117"/>
      <c r="M966" s="213"/>
      <c r="N966" s="117"/>
      <c r="O966" s="117"/>
      <c r="P966" s="117"/>
      <c r="Q966" s="200"/>
      <c r="R966" s="239"/>
      <c r="S966" s="239"/>
      <c r="T966" s="239"/>
      <c r="U966" s="216"/>
      <c r="V966" s="217"/>
      <c r="W966" s="233"/>
      <c r="X966" s="123"/>
      <c r="Y966" s="117"/>
      <c r="Z966" s="117"/>
    </row>
    <row r="967" spans="1:26">
      <c r="A967" s="117"/>
      <c r="B967" s="117"/>
      <c r="C967" s="117"/>
      <c r="D967" s="117"/>
      <c r="E967" s="117"/>
      <c r="F967" s="117"/>
      <c r="G967" s="116"/>
      <c r="H967" s="117"/>
      <c r="I967" s="117"/>
      <c r="J967" s="117"/>
      <c r="K967" s="117"/>
      <c r="L967" s="117"/>
      <c r="M967" s="213"/>
      <c r="N967" s="117"/>
      <c r="O967" s="117"/>
      <c r="P967" s="117"/>
      <c r="Q967" s="200"/>
      <c r="R967" s="239"/>
      <c r="S967" s="239"/>
      <c r="T967" s="239"/>
      <c r="U967" s="216"/>
      <c r="V967" s="217"/>
      <c r="W967" s="233"/>
      <c r="X967" s="123"/>
      <c r="Y967" s="117"/>
      <c r="Z967" s="117"/>
    </row>
    <row r="968" spans="1:26">
      <c r="A968" s="117"/>
      <c r="B968" s="117"/>
      <c r="C968" s="117"/>
      <c r="D968" s="117"/>
      <c r="E968" s="117"/>
      <c r="F968" s="117"/>
      <c r="G968" s="116"/>
      <c r="H968" s="117"/>
      <c r="I968" s="117"/>
      <c r="J968" s="117"/>
      <c r="K968" s="117"/>
      <c r="L968" s="117"/>
      <c r="M968" s="213"/>
      <c r="N968" s="117"/>
      <c r="O968" s="117"/>
      <c r="P968" s="117"/>
      <c r="Q968" s="200"/>
      <c r="R968" s="239"/>
      <c r="S968" s="239"/>
      <c r="T968" s="239"/>
      <c r="U968" s="216"/>
      <c r="V968" s="217"/>
      <c r="W968" s="233"/>
      <c r="X968" s="123"/>
      <c r="Y968" s="117"/>
      <c r="Z968" s="117"/>
    </row>
    <row r="969" spans="1:26">
      <c r="A969" s="117"/>
      <c r="B969" s="117"/>
      <c r="C969" s="117"/>
      <c r="D969" s="117"/>
      <c r="E969" s="117"/>
      <c r="F969" s="117"/>
      <c r="G969" s="116"/>
      <c r="H969" s="117"/>
      <c r="I969" s="117"/>
      <c r="J969" s="117"/>
      <c r="K969" s="117"/>
      <c r="L969" s="117"/>
      <c r="M969" s="213"/>
      <c r="N969" s="117"/>
      <c r="O969" s="117"/>
      <c r="P969" s="117"/>
      <c r="Q969" s="200"/>
      <c r="R969" s="239"/>
      <c r="S969" s="239"/>
      <c r="T969" s="239"/>
      <c r="U969" s="216"/>
      <c r="V969" s="217"/>
      <c r="W969" s="233"/>
      <c r="X969" s="123"/>
      <c r="Y969" s="117"/>
      <c r="Z969" s="117"/>
    </row>
    <row r="970" spans="1:26">
      <c r="A970" s="117"/>
      <c r="B970" s="117"/>
      <c r="C970" s="117"/>
      <c r="D970" s="117"/>
      <c r="E970" s="117"/>
      <c r="F970" s="117"/>
      <c r="G970" s="116"/>
      <c r="H970" s="117"/>
      <c r="I970" s="117"/>
      <c r="J970" s="117"/>
      <c r="K970" s="117"/>
      <c r="L970" s="117"/>
      <c r="M970" s="213"/>
      <c r="N970" s="117"/>
      <c r="O970" s="117"/>
      <c r="P970" s="117"/>
      <c r="Q970" s="200"/>
      <c r="R970" s="239"/>
      <c r="S970" s="239"/>
      <c r="T970" s="239"/>
      <c r="U970" s="216"/>
      <c r="V970" s="217"/>
      <c r="W970" s="233"/>
      <c r="X970" s="123"/>
      <c r="Y970" s="117"/>
      <c r="Z970" s="117"/>
    </row>
    <row r="971" spans="1:26">
      <c r="A971" s="117"/>
      <c r="B971" s="117"/>
      <c r="C971" s="117"/>
      <c r="D971" s="117"/>
      <c r="E971" s="117"/>
      <c r="F971" s="117"/>
      <c r="G971" s="116"/>
      <c r="H971" s="117"/>
      <c r="I971" s="117"/>
      <c r="J971" s="117"/>
      <c r="K971" s="117"/>
      <c r="L971" s="117"/>
      <c r="M971" s="213"/>
      <c r="N971" s="117"/>
      <c r="O971" s="117"/>
      <c r="P971" s="117"/>
      <c r="Q971" s="200"/>
      <c r="R971" s="239"/>
      <c r="S971" s="239"/>
      <c r="T971" s="239"/>
      <c r="U971" s="216"/>
      <c r="V971" s="217"/>
      <c r="W971" s="233"/>
      <c r="X971" s="123"/>
      <c r="Y971" s="117"/>
      <c r="Z971" s="117"/>
    </row>
    <row r="972" spans="1:26">
      <c r="A972" s="117"/>
      <c r="B972" s="117"/>
      <c r="C972" s="117"/>
      <c r="D972" s="117"/>
      <c r="E972" s="117"/>
      <c r="F972" s="117"/>
      <c r="G972" s="116"/>
      <c r="H972" s="117"/>
      <c r="I972" s="117"/>
      <c r="J972" s="117"/>
      <c r="K972" s="117"/>
      <c r="L972" s="117"/>
      <c r="M972" s="213"/>
      <c r="N972" s="117"/>
      <c r="O972" s="117"/>
      <c r="P972" s="117"/>
      <c r="Q972" s="200"/>
      <c r="R972" s="239"/>
      <c r="S972" s="239"/>
      <c r="T972" s="239"/>
      <c r="U972" s="216"/>
      <c r="V972" s="217"/>
      <c r="W972" s="233"/>
      <c r="X972" s="123"/>
      <c r="Y972" s="117"/>
      <c r="Z972" s="117"/>
    </row>
    <row r="973" spans="1:26">
      <c r="A973" s="117"/>
      <c r="B973" s="117"/>
      <c r="C973" s="117"/>
      <c r="D973" s="117"/>
      <c r="E973" s="117"/>
      <c r="F973" s="117"/>
      <c r="G973" s="116"/>
      <c r="H973" s="117"/>
      <c r="I973" s="117"/>
      <c r="J973" s="117"/>
      <c r="K973" s="117"/>
      <c r="L973" s="117"/>
      <c r="M973" s="213"/>
      <c r="N973" s="117"/>
      <c r="O973" s="117"/>
      <c r="P973" s="117"/>
      <c r="Q973" s="200"/>
      <c r="R973" s="239"/>
      <c r="S973" s="239"/>
      <c r="T973" s="239"/>
      <c r="U973" s="216"/>
      <c r="V973" s="217"/>
      <c r="W973" s="233"/>
      <c r="X973" s="123"/>
      <c r="Y973" s="117"/>
      <c r="Z973" s="117"/>
    </row>
    <row r="974" spans="1:26">
      <c r="A974" s="117"/>
      <c r="B974" s="117"/>
      <c r="C974" s="117"/>
      <c r="D974" s="117"/>
      <c r="E974" s="117"/>
      <c r="F974" s="117"/>
      <c r="G974" s="116"/>
      <c r="H974" s="117"/>
      <c r="I974" s="117"/>
      <c r="J974" s="117"/>
      <c r="K974" s="117"/>
      <c r="L974" s="117"/>
      <c r="M974" s="213"/>
      <c r="N974" s="117"/>
      <c r="O974" s="117"/>
      <c r="P974" s="117"/>
      <c r="Q974" s="200"/>
      <c r="R974" s="239"/>
      <c r="S974" s="239"/>
      <c r="T974" s="239"/>
      <c r="U974" s="216"/>
      <c r="V974" s="217"/>
      <c r="W974" s="233"/>
      <c r="X974" s="123"/>
      <c r="Y974" s="117"/>
      <c r="Z974" s="117"/>
    </row>
    <row r="975" spans="1:26">
      <c r="A975" s="117"/>
      <c r="B975" s="117"/>
      <c r="C975" s="117"/>
      <c r="D975" s="117"/>
      <c r="E975" s="117"/>
      <c r="F975" s="117"/>
      <c r="G975" s="116"/>
      <c r="H975" s="117"/>
      <c r="I975" s="117"/>
      <c r="J975" s="117"/>
      <c r="K975" s="117"/>
      <c r="L975" s="117"/>
      <c r="M975" s="213"/>
      <c r="N975" s="117"/>
      <c r="O975" s="117"/>
      <c r="P975" s="117"/>
      <c r="Q975" s="200"/>
      <c r="R975" s="239"/>
      <c r="S975" s="239"/>
      <c r="T975" s="239"/>
      <c r="U975" s="216"/>
      <c r="V975" s="217"/>
      <c r="W975" s="233"/>
      <c r="X975" s="123"/>
      <c r="Y975" s="117"/>
      <c r="Z975" s="117"/>
    </row>
    <row r="976" spans="1:26">
      <c r="A976" s="117"/>
      <c r="B976" s="117"/>
      <c r="C976" s="117"/>
      <c r="D976" s="117"/>
      <c r="E976" s="117"/>
      <c r="F976" s="117"/>
      <c r="G976" s="116"/>
      <c r="H976" s="117"/>
      <c r="I976" s="117"/>
      <c r="J976" s="117"/>
      <c r="K976" s="117"/>
      <c r="L976" s="117"/>
      <c r="M976" s="213"/>
      <c r="N976" s="117"/>
      <c r="O976" s="117"/>
      <c r="P976" s="117"/>
      <c r="Q976" s="200"/>
      <c r="R976" s="239"/>
      <c r="S976" s="239"/>
      <c r="T976" s="239"/>
      <c r="U976" s="216"/>
      <c r="V976" s="217"/>
      <c r="W976" s="233"/>
      <c r="X976" s="123"/>
      <c r="Y976" s="117"/>
      <c r="Z976" s="117"/>
    </row>
    <row r="977" spans="1:26">
      <c r="A977" s="117"/>
      <c r="B977" s="117"/>
      <c r="C977" s="117"/>
      <c r="D977" s="117"/>
      <c r="E977" s="117"/>
      <c r="F977" s="117"/>
      <c r="G977" s="116"/>
      <c r="H977" s="117"/>
      <c r="I977" s="117"/>
      <c r="J977" s="117"/>
      <c r="K977" s="117"/>
      <c r="L977" s="117"/>
      <c r="M977" s="213"/>
      <c r="N977" s="117"/>
      <c r="O977" s="117"/>
      <c r="P977" s="117"/>
      <c r="Q977" s="200"/>
      <c r="R977" s="239"/>
      <c r="S977" s="239"/>
      <c r="T977" s="239"/>
      <c r="U977" s="216"/>
      <c r="V977" s="217"/>
      <c r="W977" s="233"/>
      <c r="X977" s="123"/>
      <c r="Y977" s="117"/>
      <c r="Z977" s="117"/>
    </row>
    <row r="978" spans="1:26">
      <c r="A978" s="117"/>
      <c r="B978" s="117"/>
      <c r="C978" s="117"/>
      <c r="D978" s="117"/>
      <c r="E978" s="117"/>
      <c r="F978" s="117"/>
      <c r="G978" s="116"/>
      <c r="H978" s="117"/>
      <c r="I978" s="117"/>
      <c r="J978" s="117"/>
      <c r="K978" s="117"/>
      <c r="L978" s="117"/>
      <c r="M978" s="213"/>
      <c r="N978" s="117"/>
      <c r="O978" s="117"/>
      <c r="P978" s="117"/>
      <c r="Q978" s="200"/>
      <c r="R978" s="239"/>
      <c r="S978" s="239"/>
      <c r="T978" s="239"/>
      <c r="U978" s="216"/>
      <c r="V978" s="217"/>
      <c r="W978" s="233"/>
      <c r="X978" s="123"/>
      <c r="Y978" s="117"/>
      <c r="Z978" s="117"/>
    </row>
    <row r="979" spans="1:26">
      <c r="A979" s="117"/>
      <c r="B979" s="117"/>
      <c r="C979" s="117"/>
      <c r="D979" s="117"/>
      <c r="E979" s="117"/>
      <c r="F979" s="117"/>
      <c r="G979" s="116"/>
      <c r="H979" s="117"/>
      <c r="I979" s="117"/>
      <c r="J979" s="117"/>
      <c r="K979" s="117"/>
      <c r="L979" s="117"/>
      <c r="M979" s="213"/>
      <c r="N979" s="117"/>
      <c r="O979" s="117"/>
      <c r="P979" s="117"/>
      <c r="Q979" s="200"/>
      <c r="R979" s="239"/>
      <c r="S979" s="239"/>
      <c r="T979" s="239"/>
      <c r="U979" s="216"/>
      <c r="V979" s="217"/>
      <c r="W979" s="233"/>
      <c r="X979" s="123"/>
      <c r="Y979" s="117"/>
      <c r="Z979" s="117"/>
    </row>
    <row r="980" spans="1:26">
      <c r="A980" s="117"/>
      <c r="B980" s="117"/>
      <c r="C980" s="117"/>
      <c r="D980" s="117"/>
      <c r="E980" s="117"/>
      <c r="F980" s="117"/>
      <c r="G980" s="116"/>
      <c r="H980" s="117"/>
      <c r="I980" s="117"/>
      <c r="J980" s="117"/>
      <c r="K980" s="117"/>
      <c r="L980" s="117"/>
      <c r="M980" s="213"/>
      <c r="N980" s="117"/>
      <c r="O980" s="117"/>
      <c r="P980" s="117"/>
      <c r="Q980" s="200"/>
      <c r="R980" s="239"/>
      <c r="S980" s="239"/>
      <c r="T980" s="239"/>
      <c r="U980" s="216"/>
      <c r="V980" s="217"/>
      <c r="W980" s="233"/>
      <c r="X980" s="123"/>
      <c r="Y980" s="117"/>
      <c r="Z980" s="117"/>
    </row>
    <row r="981" spans="1:26">
      <c r="A981" s="117"/>
      <c r="B981" s="117"/>
      <c r="C981" s="117"/>
      <c r="D981" s="117"/>
      <c r="E981" s="117"/>
      <c r="F981" s="117"/>
      <c r="G981" s="116"/>
      <c r="H981" s="117"/>
      <c r="I981" s="117"/>
      <c r="J981" s="117"/>
      <c r="K981" s="117"/>
      <c r="L981" s="117"/>
      <c r="M981" s="213"/>
      <c r="N981" s="117"/>
      <c r="O981" s="117"/>
      <c r="P981" s="117"/>
      <c r="Q981" s="200"/>
      <c r="R981" s="239"/>
      <c r="S981" s="239"/>
      <c r="T981" s="239"/>
      <c r="U981" s="216"/>
      <c r="V981" s="217"/>
      <c r="W981" s="233"/>
      <c r="X981" s="123"/>
      <c r="Y981" s="117"/>
      <c r="Z981" s="117"/>
    </row>
    <row r="982" spans="1:26">
      <c r="A982" s="117"/>
      <c r="B982" s="117"/>
      <c r="C982" s="117"/>
      <c r="D982" s="117"/>
      <c r="E982" s="117"/>
      <c r="F982" s="117"/>
      <c r="G982" s="116"/>
      <c r="H982" s="117"/>
      <c r="I982" s="117"/>
      <c r="J982" s="117"/>
      <c r="K982" s="117"/>
      <c r="L982" s="117"/>
      <c r="M982" s="213"/>
      <c r="N982" s="117"/>
      <c r="O982" s="117"/>
      <c r="P982" s="117"/>
      <c r="Q982" s="200"/>
      <c r="R982" s="239"/>
      <c r="S982" s="239"/>
      <c r="T982" s="239"/>
      <c r="U982" s="216"/>
      <c r="V982" s="217"/>
      <c r="W982" s="233"/>
      <c r="X982" s="123"/>
      <c r="Y982" s="117"/>
      <c r="Z982" s="117"/>
    </row>
    <row r="983" spans="1:26">
      <c r="A983" s="117"/>
      <c r="B983" s="117"/>
      <c r="C983" s="117"/>
      <c r="D983" s="117"/>
      <c r="E983" s="117"/>
      <c r="F983" s="117"/>
      <c r="G983" s="116"/>
      <c r="H983" s="117"/>
      <c r="I983" s="117"/>
      <c r="J983" s="117"/>
      <c r="K983" s="117"/>
      <c r="L983" s="117"/>
      <c r="M983" s="213"/>
      <c r="N983" s="117"/>
      <c r="O983" s="117"/>
      <c r="P983" s="117"/>
      <c r="Q983" s="200"/>
      <c r="R983" s="239"/>
      <c r="S983" s="239"/>
      <c r="T983" s="239"/>
      <c r="U983" s="216"/>
      <c r="V983" s="217"/>
      <c r="W983" s="233"/>
      <c r="X983" s="123"/>
      <c r="Y983" s="117"/>
      <c r="Z983" s="117"/>
    </row>
    <row r="984" spans="1:26">
      <c r="A984" s="117"/>
      <c r="B984" s="117"/>
      <c r="C984" s="117"/>
      <c r="D984" s="117"/>
      <c r="E984" s="117"/>
      <c r="F984" s="117"/>
      <c r="G984" s="116"/>
      <c r="H984" s="117"/>
      <c r="I984" s="117"/>
      <c r="J984" s="117"/>
      <c r="K984" s="117"/>
      <c r="L984" s="117"/>
      <c r="M984" s="213"/>
      <c r="N984" s="117"/>
      <c r="O984" s="117"/>
      <c r="P984" s="117"/>
      <c r="Q984" s="200"/>
      <c r="R984" s="239"/>
      <c r="S984" s="239"/>
      <c r="T984" s="239"/>
      <c r="U984" s="216"/>
      <c r="V984" s="217"/>
      <c r="W984" s="233"/>
      <c r="X984" s="123"/>
      <c r="Y984" s="117"/>
      <c r="Z984" s="117"/>
    </row>
    <row r="985" spans="1:26">
      <c r="A985" s="117"/>
      <c r="B985" s="117"/>
      <c r="C985" s="117"/>
      <c r="D985" s="117"/>
      <c r="E985" s="117"/>
      <c r="F985" s="117"/>
      <c r="G985" s="116"/>
      <c r="H985" s="117"/>
      <c r="I985" s="117"/>
      <c r="J985" s="117"/>
      <c r="K985" s="117"/>
      <c r="L985" s="117"/>
      <c r="M985" s="213"/>
      <c r="N985" s="117"/>
      <c r="O985" s="117"/>
      <c r="P985" s="117"/>
      <c r="Q985" s="200"/>
      <c r="R985" s="239"/>
      <c r="S985" s="239"/>
      <c r="T985" s="239"/>
      <c r="U985" s="216"/>
      <c r="V985" s="217"/>
      <c r="W985" s="233"/>
      <c r="X985" s="123"/>
      <c r="Y985" s="117"/>
      <c r="Z985" s="117"/>
    </row>
    <row r="986" spans="1:26">
      <c r="A986" s="117"/>
      <c r="B986" s="117"/>
      <c r="C986" s="117"/>
      <c r="D986" s="117"/>
      <c r="E986" s="117"/>
      <c r="F986" s="117"/>
      <c r="G986" s="116"/>
      <c r="H986" s="117"/>
      <c r="I986" s="117"/>
      <c r="J986" s="117"/>
      <c r="K986" s="117"/>
      <c r="L986" s="117"/>
      <c r="M986" s="213"/>
      <c r="N986" s="117"/>
      <c r="O986" s="117"/>
      <c r="P986" s="117"/>
      <c r="Q986" s="200"/>
      <c r="R986" s="239"/>
      <c r="S986" s="239"/>
      <c r="T986" s="239"/>
      <c r="U986" s="216"/>
      <c r="V986" s="217"/>
      <c r="W986" s="233"/>
      <c r="X986" s="123"/>
      <c r="Y986" s="117"/>
      <c r="Z986" s="117"/>
    </row>
    <row r="987" spans="1:26">
      <c r="A987" s="117"/>
      <c r="B987" s="117"/>
      <c r="C987" s="117"/>
      <c r="D987" s="117"/>
      <c r="E987" s="117"/>
      <c r="F987" s="117"/>
      <c r="G987" s="116"/>
      <c r="H987" s="117"/>
      <c r="I987" s="117"/>
      <c r="J987" s="117"/>
      <c r="K987" s="117"/>
      <c r="L987" s="117"/>
      <c r="M987" s="213"/>
      <c r="N987" s="117"/>
      <c r="O987" s="117"/>
      <c r="P987" s="117"/>
      <c r="Q987" s="200"/>
      <c r="R987" s="239"/>
      <c r="S987" s="239"/>
      <c r="T987" s="239"/>
      <c r="U987" s="216"/>
      <c r="V987" s="217"/>
      <c r="W987" s="233"/>
      <c r="X987" s="123"/>
      <c r="Y987" s="117"/>
      <c r="Z987" s="117"/>
    </row>
    <row r="988" spans="1:26">
      <c r="A988" s="117"/>
      <c r="B988" s="117"/>
      <c r="C988" s="117"/>
      <c r="D988" s="117"/>
      <c r="E988" s="117"/>
      <c r="F988" s="117"/>
      <c r="G988" s="116"/>
      <c r="H988" s="117"/>
      <c r="I988" s="117"/>
      <c r="J988" s="117"/>
      <c r="K988" s="117"/>
      <c r="L988" s="117"/>
      <c r="M988" s="213"/>
      <c r="N988" s="117"/>
      <c r="O988" s="117"/>
      <c r="P988" s="117"/>
      <c r="Q988" s="200"/>
      <c r="R988" s="239"/>
      <c r="S988" s="239"/>
      <c r="T988" s="239"/>
      <c r="U988" s="216"/>
      <c r="V988" s="217"/>
      <c r="W988" s="233"/>
      <c r="X988" s="123"/>
      <c r="Y988" s="117"/>
      <c r="Z988" s="117"/>
    </row>
    <row r="989" spans="1:26">
      <c r="A989" s="117"/>
      <c r="B989" s="117"/>
      <c r="C989" s="117"/>
      <c r="D989" s="117"/>
      <c r="E989" s="117"/>
      <c r="F989" s="117"/>
      <c r="G989" s="116"/>
      <c r="H989" s="117"/>
      <c r="I989" s="117"/>
      <c r="J989" s="117"/>
      <c r="K989" s="117"/>
      <c r="L989" s="117"/>
      <c r="M989" s="213"/>
      <c r="N989" s="117"/>
      <c r="O989" s="117"/>
      <c r="P989" s="117"/>
      <c r="Q989" s="200"/>
      <c r="R989" s="239"/>
      <c r="S989" s="239"/>
      <c r="T989" s="239"/>
      <c r="U989" s="216"/>
      <c r="V989" s="217"/>
      <c r="W989" s="233"/>
      <c r="X989" s="123"/>
      <c r="Y989" s="117"/>
      <c r="Z989" s="117"/>
    </row>
    <row r="990" spans="1:26">
      <c r="A990" s="117"/>
      <c r="B990" s="117"/>
      <c r="C990" s="117"/>
      <c r="D990" s="117"/>
      <c r="E990" s="117"/>
      <c r="F990" s="117"/>
      <c r="G990" s="116"/>
      <c r="H990" s="117"/>
      <c r="I990" s="117"/>
      <c r="J990" s="117"/>
      <c r="K990" s="117"/>
      <c r="L990" s="117"/>
      <c r="M990" s="213"/>
      <c r="N990" s="117"/>
      <c r="O990" s="117"/>
      <c r="P990" s="117"/>
      <c r="Q990" s="200"/>
      <c r="R990" s="239"/>
      <c r="S990" s="239"/>
      <c r="T990" s="239"/>
      <c r="U990" s="216"/>
      <c r="V990" s="217"/>
      <c r="W990" s="233"/>
      <c r="X990" s="123"/>
      <c r="Y990" s="117"/>
      <c r="Z990" s="117"/>
    </row>
    <row r="991" spans="1:26">
      <c r="A991" s="117"/>
      <c r="B991" s="117"/>
      <c r="C991" s="117"/>
      <c r="D991" s="117"/>
      <c r="E991" s="117"/>
      <c r="F991" s="117"/>
      <c r="G991" s="116"/>
      <c r="H991" s="117"/>
      <c r="I991" s="117"/>
      <c r="J991" s="117"/>
      <c r="K991" s="117"/>
      <c r="L991" s="117"/>
      <c r="M991" s="213"/>
      <c r="N991" s="117"/>
      <c r="O991" s="117"/>
      <c r="P991" s="117"/>
      <c r="Q991" s="200"/>
      <c r="R991" s="239"/>
      <c r="S991" s="239"/>
      <c r="T991" s="239"/>
      <c r="U991" s="216"/>
      <c r="V991" s="217"/>
      <c r="W991" s="233"/>
      <c r="X991" s="123"/>
      <c r="Y991" s="117"/>
      <c r="Z991" s="117"/>
    </row>
    <row r="992" spans="1:26">
      <c r="A992" s="117"/>
      <c r="B992" s="117"/>
      <c r="C992" s="117"/>
      <c r="D992" s="117"/>
      <c r="E992" s="117"/>
      <c r="F992" s="117"/>
      <c r="G992" s="116"/>
      <c r="H992" s="117"/>
      <c r="I992" s="117"/>
      <c r="J992" s="117"/>
      <c r="K992" s="117"/>
      <c r="L992" s="117"/>
      <c r="M992" s="213"/>
      <c r="N992" s="117"/>
      <c r="O992" s="117"/>
      <c r="P992" s="117"/>
      <c r="Q992" s="200"/>
      <c r="R992" s="239"/>
      <c r="S992" s="239"/>
      <c r="T992" s="239"/>
      <c r="U992" s="216"/>
      <c r="V992" s="217"/>
      <c r="W992" s="233"/>
      <c r="X992" s="123"/>
      <c r="Y992" s="117"/>
      <c r="Z992" s="117"/>
    </row>
    <row r="993" spans="1:26">
      <c r="A993" s="117"/>
      <c r="B993" s="117"/>
      <c r="C993" s="117"/>
      <c r="D993" s="117"/>
      <c r="E993" s="117"/>
      <c r="F993" s="117"/>
      <c r="G993" s="116"/>
      <c r="H993" s="117"/>
      <c r="I993" s="117"/>
      <c r="J993" s="117"/>
      <c r="K993" s="117"/>
      <c r="L993" s="117"/>
      <c r="M993" s="213"/>
      <c r="N993" s="117"/>
      <c r="O993" s="117"/>
      <c r="P993" s="117"/>
      <c r="Q993" s="200"/>
      <c r="R993" s="239"/>
      <c r="S993" s="239"/>
      <c r="T993" s="239"/>
      <c r="U993" s="216"/>
      <c r="V993" s="217"/>
      <c r="W993" s="233"/>
      <c r="X993" s="123"/>
      <c r="Y993" s="117"/>
      <c r="Z993" s="117"/>
    </row>
    <row r="994" spans="1:26">
      <c r="A994" s="117"/>
      <c r="B994" s="117"/>
      <c r="C994" s="117"/>
      <c r="D994" s="117"/>
      <c r="E994" s="117"/>
      <c r="F994" s="117"/>
      <c r="G994" s="116"/>
      <c r="H994" s="117"/>
      <c r="I994" s="117"/>
      <c r="J994" s="117"/>
      <c r="K994" s="117"/>
      <c r="L994" s="117"/>
      <c r="M994" s="213"/>
      <c r="N994" s="117"/>
      <c r="O994" s="117"/>
      <c r="P994" s="117"/>
      <c r="Q994" s="200"/>
      <c r="R994" s="239"/>
      <c r="S994" s="239"/>
      <c r="T994" s="239"/>
      <c r="U994" s="216"/>
      <c r="V994" s="217"/>
      <c r="W994" s="233"/>
      <c r="X994" s="123"/>
      <c r="Y994" s="117"/>
      <c r="Z994" s="117"/>
    </row>
    <row r="995" spans="1:26">
      <c r="A995" s="117"/>
      <c r="B995" s="117"/>
      <c r="C995" s="117"/>
      <c r="D995" s="117"/>
      <c r="E995" s="117"/>
      <c r="F995" s="117"/>
      <c r="G995" s="116"/>
      <c r="H995" s="117"/>
      <c r="I995" s="117"/>
      <c r="J995" s="117"/>
      <c r="K995" s="117"/>
      <c r="L995" s="117"/>
      <c r="M995" s="213"/>
      <c r="N995" s="117"/>
      <c r="O995" s="117"/>
      <c r="P995" s="117"/>
      <c r="Q995" s="200"/>
      <c r="R995" s="239"/>
      <c r="S995" s="239"/>
      <c r="T995" s="239"/>
      <c r="U995" s="216"/>
      <c r="V995" s="217"/>
      <c r="W995" s="233"/>
      <c r="X995" s="123"/>
      <c r="Y995" s="117"/>
      <c r="Z995" s="117"/>
    </row>
    <row r="996" spans="1:26">
      <c r="A996" s="117"/>
      <c r="B996" s="117"/>
      <c r="C996" s="117"/>
      <c r="D996" s="117"/>
      <c r="E996" s="117"/>
      <c r="F996" s="117"/>
      <c r="G996" s="116"/>
      <c r="H996" s="117"/>
      <c r="I996" s="117"/>
      <c r="J996" s="117"/>
      <c r="K996" s="117"/>
      <c r="L996" s="117"/>
      <c r="M996" s="213"/>
      <c r="N996" s="117"/>
      <c r="O996" s="117"/>
      <c r="P996" s="117"/>
      <c r="Q996" s="200"/>
      <c r="R996" s="239"/>
      <c r="S996" s="239"/>
      <c r="T996" s="239"/>
      <c r="U996" s="216"/>
      <c r="V996" s="217"/>
      <c r="W996" s="233"/>
      <c r="X996" s="123"/>
      <c r="Y996" s="117"/>
      <c r="Z996" s="117"/>
    </row>
    <row r="997" spans="1:26">
      <c r="A997" s="117"/>
      <c r="B997" s="117"/>
      <c r="C997" s="117"/>
      <c r="D997" s="117"/>
      <c r="E997" s="117"/>
      <c r="F997" s="117"/>
      <c r="G997" s="116"/>
      <c r="H997" s="117"/>
      <c r="I997" s="117"/>
      <c r="J997" s="117"/>
      <c r="K997" s="117"/>
      <c r="L997" s="117"/>
      <c r="M997" s="213"/>
      <c r="N997" s="117"/>
      <c r="O997" s="117"/>
      <c r="P997" s="117"/>
      <c r="Q997" s="200"/>
      <c r="R997" s="239"/>
      <c r="S997" s="239"/>
      <c r="T997" s="239"/>
      <c r="U997" s="216"/>
      <c r="V997" s="217"/>
      <c r="W997" s="233"/>
      <c r="X997" s="123"/>
      <c r="Y997" s="117"/>
      <c r="Z997" s="117"/>
    </row>
    <row r="998" spans="1:26">
      <c r="A998" s="117"/>
      <c r="B998" s="117"/>
      <c r="C998" s="117"/>
      <c r="D998" s="117"/>
      <c r="E998" s="117"/>
      <c r="F998" s="117"/>
      <c r="G998" s="116"/>
      <c r="H998" s="117"/>
      <c r="I998" s="117"/>
      <c r="J998" s="117"/>
      <c r="K998" s="117"/>
      <c r="L998" s="117"/>
      <c r="M998" s="213"/>
      <c r="N998" s="117"/>
      <c r="O998" s="117"/>
      <c r="P998" s="117"/>
      <c r="Q998" s="200"/>
      <c r="R998" s="239"/>
      <c r="S998" s="239"/>
      <c r="T998" s="239"/>
      <c r="U998" s="216"/>
      <c r="V998" s="217"/>
      <c r="W998" s="233"/>
      <c r="X998" s="123"/>
      <c r="Y998" s="117"/>
      <c r="Z998" s="117"/>
    </row>
    <row r="999" spans="1:26">
      <c r="A999" s="117"/>
      <c r="B999" s="117"/>
      <c r="C999" s="117"/>
      <c r="D999" s="117"/>
      <c r="E999" s="117"/>
      <c r="F999" s="117"/>
      <c r="G999" s="116"/>
      <c r="H999" s="117"/>
      <c r="I999" s="117"/>
      <c r="J999" s="117"/>
      <c r="K999" s="117"/>
      <c r="L999" s="117"/>
      <c r="M999" s="213"/>
      <c r="N999" s="117"/>
      <c r="O999" s="117"/>
      <c r="P999" s="117"/>
      <c r="Q999" s="200"/>
      <c r="R999" s="239"/>
      <c r="S999" s="239"/>
      <c r="T999" s="239"/>
      <c r="U999" s="216"/>
      <c r="V999" s="217"/>
      <c r="W999" s="233"/>
      <c r="X999" s="123"/>
      <c r="Y999" s="117"/>
      <c r="Z999" s="117"/>
    </row>
    <row r="1000" spans="1:26">
      <c r="A1000" s="117"/>
      <c r="B1000" s="117"/>
      <c r="C1000" s="117"/>
      <c r="D1000" s="117"/>
      <c r="E1000" s="117"/>
      <c r="F1000" s="117"/>
      <c r="G1000" s="116"/>
      <c r="H1000" s="117"/>
      <c r="I1000" s="117"/>
      <c r="J1000" s="117"/>
      <c r="K1000" s="117"/>
      <c r="L1000" s="117"/>
      <c r="M1000" s="213"/>
      <c r="N1000" s="117"/>
      <c r="O1000" s="117"/>
      <c r="P1000" s="117"/>
      <c r="Q1000" s="200"/>
      <c r="R1000" s="239"/>
      <c r="S1000" s="239"/>
      <c r="T1000" s="239"/>
      <c r="U1000" s="216"/>
      <c r="V1000" s="217"/>
      <c r="W1000" s="233"/>
      <c r="X1000" s="123"/>
      <c r="Y1000" s="117"/>
      <c r="Z1000" s="117"/>
    </row>
    <row r="1001" spans="1:26">
      <c r="A1001" s="117"/>
      <c r="B1001" s="117"/>
      <c r="C1001" s="117"/>
      <c r="D1001" s="117"/>
      <c r="E1001" s="117"/>
      <c r="F1001" s="117"/>
      <c r="G1001" s="116"/>
      <c r="H1001" s="117"/>
      <c r="I1001" s="117"/>
      <c r="J1001" s="117"/>
      <c r="K1001" s="117"/>
      <c r="L1001" s="117"/>
      <c r="M1001" s="213"/>
      <c r="N1001" s="117"/>
      <c r="O1001" s="117"/>
      <c r="P1001" s="117"/>
      <c r="Q1001" s="200"/>
      <c r="R1001" s="239"/>
      <c r="S1001" s="239"/>
      <c r="T1001" s="239"/>
      <c r="U1001" s="216"/>
      <c r="V1001" s="217"/>
      <c r="W1001" s="233"/>
      <c r="X1001" s="123"/>
      <c r="Y1001" s="117"/>
      <c r="Z1001" s="117"/>
    </row>
    <row r="1002" spans="1:26">
      <c r="A1002" s="117"/>
      <c r="B1002" s="117"/>
      <c r="C1002" s="117"/>
      <c r="D1002" s="117"/>
      <c r="E1002" s="117"/>
      <c r="F1002" s="117"/>
      <c r="G1002" s="116"/>
      <c r="H1002" s="117"/>
      <c r="I1002" s="117"/>
      <c r="J1002" s="117"/>
      <c r="K1002" s="117"/>
      <c r="L1002" s="117"/>
      <c r="M1002" s="213"/>
      <c r="N1002" s="117"/>
      <c r="O1002" s="117"/>
      <c r="P1002" s="117"/>
      <c r="Q1002" s="200"/>
      <c r="R1002" s="239"/>
      <c r="S1002" s="239"/>
      <c r="T1002" s="239"/>
      <c r="U1002" s="216"/>
      <c r="V1002" s="217"/>
      <c r="W1002" s="233"/>
      <c r="X1002" s="123"/>
      <c r="Y1002" s="117"/>
      <c r="Z1002" s="117"/>
    </row>
    <row r="1003" spans="1:26">
      <c r="A1003" s="117"/>
      <c r="B1003" s="117"/>
      <c r="C1003" s="117"/>
      <c r="D1003" s="117"/>
      <c r="E1003" s="117"/>
      <c r="F1003" s="117"/>
      <c r="G1003" s="116"/>
      <c r="H1003" s="117"/>
      <c r="I1003" s="117"/>
      <c r="J1003" s="117"/>
      <c r="K1003" s="117"/>
      <c r="L1003" s="117"/>
      <c r="M1003" s="213"/>
      <c r="N1003" s="117"/>
      <c r="O1003" s="117"/>
      <c r="P1003" s="117"/>
      <c r="Q1003" s="200"/>
      <c r="R1003" s="239"/>
      <c r="S1003" s="239"/>
      <c r="T1003" s="239"/>
      <c r="U1003" s="216"/>
      <c r="V1003" s="217"/>
      <c r="W1003" s="233"/>
      <c r="X1003" s="123"/>
      <c r="Y1003" s="117"/>
      <c r="Z1003" s="117"/>
    </row>
    <row r="1004" spans="1:26">
      <c r="A1004" s="117"/>
      <c r="B1004" s="117"/>
      <c r="C1004" s="117"/>
      <c r="D1004" s="117"/>
      <c r="E1004" s="117"/>
      <c r="F1004" s="117"/>
      <c r="G1004" s="116"/>
      <c r="H1004" s="117"/>
      <c r="I1004" s="117"/>
      <c r="J1004" s="117"/>
      <c r="K1004" s="117"/>
      <c r="L1004" s="117"/>
      <c r="M1004" s="213"/>
      <c r="N1004" s="117"/>
      <c r="O1004" s="117"/>
      <c r="P1004" s="117"/>
      <c r="Q1004" s="200"/>
      <c r="R1004" s="239"/>
      <c r="S1004" s="239"/>
      <c r="T1004" s="239"/>
      <c r="U1004" s="216"/>
      <c r="V1004" s="217"/>
      <c r="W1004" s="233"/>
      <c r="X1004" s="123"/>
      <c r="Y1004" s="117"/>
      <c r="Z1004" s="117"/>
    </row>
    <row r="1005" spans="1:26">
      <c r="A1005" s="117"/>
      <c r="B1005" s="117"/>
      <c r="C1005" s="117"/>
      <c r="D1005" s="117"/>
      <c r="E1005" s="117"/>
      <c r="F1005" s="117"/>
      <c r="G1005" s="116"/>
      <c r="H1005" s="117"/>
      <c r="I1005" s="117"/>
      <c r="J1005" s="117"/>
      <c r="K1005" s="117"/>
      <c r="L1005" s="117"/>
      <c r="M1005" s="213"/>
      <c r="N1005" s="117"/>
      <c r="O1005" s="117"/>
      <c r="P1005" s="117"/>
      <c r="Q1005" s="200"/>
      <c r="R1005" s="239"/>
      <c r="S1005" s="239"/>
      <c r="T1005" s="239"/>
      <c r="U1005" s="216"/>
      <c r="V1005" s="217"/>
      <c r="W1005" s="233"/>
      <c r="X1005" s="123"/>
      <c r="Y1005" s="117"/>
      <c r="Z1005" s="117"/>
    </row>
    <row r="1006" spans="1:26">
      <c r="A1006" s="117"/>
      <c r="B1006" s="117"/>
      <c r="C1006" s="117"/>
      <c r="D1006" s="117"/>
      <c r="E1006" s="117"/>
      <c r="F1006" s="117"/>
      <c r="G1006" s="116"/>
      <c r="H1006" s="117"/>
      <c r="I1006" s="117"/>
      <c r="J1006" s="117"/>
      <c r="K1006" s="117"/>
      <c r="L1006" s="117"/>
      <c r="M1006" s="213"/>
      <c r="N1006" s="117"/>
      <c r="O1006" s="117"/>
      <c r="P1006" s="117"/>
      <c r="Q1006" s="200"/>
      <c r="R1006" s="239"/>
      <c r="S1006" s="239"/>
      <c r="T1006" s="239"/>
      <c r="U1006" s="216"/>
      <c r="V1006" s="217"/>
      <c r="W1006" s="233"/>
      <c r="X1006" s="123"/>
      <c r="Y1006" s="117"/>
      <c r="Z1006" s="117"/>
    </row>
    <row r="1007" spans="1:26">
      <c r="A1007" s="117"/>
      <c r="B1007" s="117"/>
      <c r="C1007" s="117"/>
      <c r="D1007" s="117"/>
      <c r="E1007" s="117"/>
      <c r="F1007" s="117"/>
      <c r="G1007" s="116"/>
      <c r="H1007" s="117"/>
      <c r="I1007" s="117"/>
      <c r="J1007" s="117"/>
      <c r="K1007" s="117"/>
      <c r="L1007" s="117"/>
      <c r="M1007" s="213"/>
      <c r="N1007" s="117"/>
      <c r="O1007" s="117"/>
      <c r="P1007" s="117"/>
      <c r="Q1007" s="200"/>
      <c r="R1007" s="239"/>
      <c r="S1007" s="239"/>
      <c r="T1007" s="239"/>
      <c r="U1007" s="216"/>
      <c r="V1007" s="217"/>
      <c r="W1007" s="233"/>
      <c r="X1007" s="123"/>
      <c r="Y1007" s="117"/>
      <c r="Z1007" s="117"/>
    </row>
    <row r="1008" spans="1:26">
      <c r="A1008" s="117"/>
      <c r="B1008" s="117"/>
      <c r="C1008" s="117"/>
      <c r="D1008" s="117"/>
      <c r="E1008" s="117"/>
      <c r="F1008" s="117"/>
      <c r="G1008" s="116"/>
      <c r="H1008" s="117"/>
      <c r="I1008" s="117"/>
      <c r="J1008" s="117"/>
      <c r="K1008" s="117"/>
      <c r="L1008" s="117"/>
      <c r="M1008" s="213"/>
      <c r="N1008" s="117"/>
      <c r="O1008" s="117"/>
      <c r="P1008" s="117"/>
      <c r="Q1008" s="200"/>
      <c r="R1008" s="239"/>
      <c r="S1008" s="239"/>
      <c r="T1008" s="239"/>
      <c r="U1008" s="216"/>
      <c r="V1008" s="217"/>
      <c r="W1008" s="233"/>
      <c r="X1008" s="123"/>
      <c r="Y1008" s="117"/>
      <c r="Z1008" s="117"/>
    </row>
    <row r="1009" spans="1:26">
      <c r="A1009" s="117"/>
      <c r="B1009" s="117"/>
      <c r="C1009" s="117"/>
      <c r="D1009" s="117"/>
      <c r="E1009" s="117"/>
      <c r="F1009" s="117"/>
      <c r="G1009" s="116"/>
      <c r="H1009" s="117"/>
      <c r="I1009" s="117"/>
      <c r="J1009" s="117"/>
      <c r="K1009" s="117"/>
      <c r="L1009" s="117"/>
      <c r="M1009" s="213"/>
      <c r="N1009" s="117"/>
      <c r="O1009" s="117"/>
      <c r="P1009" s="117"/>
      <c r="Q1009" s="200"/>
      <c r="R1009" s="239"/>
      <c r="S1009" s="239"/>
      <c r="T1009" s="239"/>
      <c r="U1009" s="216"/>
      <c r="V1009" s="217"/>
      <c r="W1009" s="233"/>
      <c r="X1009" s="123"/>
      <c r="Y1009" s="117"/>
      <c r="Z1009" s="117"/>
    </row>
    <row r="1010" spans="1:26">
      <c r="A1010" s="117"/>
      <c r="B1010" s="117"/>
      <c r="C1010" s="117"/>
      <c r="D1010" s="117"/>
      <c r="E1010" s="117"/>
      <c r="F1010" s="117"/>
      <c r="G1010" s="116"/>
      <c r="H1010" s="117"/>
      <c r="I1010" s="117"/>
      <c r="J1010" s="117"/>
      <c r="K1010" s="117"/>
      <c r="L1010" s="117"/>
      <c r="M1010" s="213"/>
      <c r="N1010" s="117"/>
      <c r="O1010" s="117"/>
      <c r="P1010" s="117"/>
      <c r="Q1010" s="200"/>
      <c r="R1010" s="239"/>
      <c r="S1010" s="239"/>
      <c r="T1010" s="239"/>
      <c r="U1010" s="216"/>
      <c r="V1010" s="217"/>
      <c r="W1010" s="233"/>
      <c r="X1010" s="123"/>
      <c r="Y1010" s="117"/>
      <c r="Z1010" s="117"/>
    </row>
    <row r="1011" spans="1:26">
      <c r="A1011" s="117"/>
      <c r="B1011" s="117"/>
      <c r="C1011" s="117"/>
      <c r="D1011" s="117"/>
      <c r="E1011" s="117"/>
      <c r="F1011" s="117"/>
      <c r="G1011" s="116"/>
      <c r="H1011" s="117"/>
      <c r="I1011" s="117"/>
      <c r="J1011" s="117"/>
      <c r="K1011" s="117"/>
      <c r="L1011" s="117"/>
      <c r="M1011" s="213"/>
      <c r="N1011" s="117"/>
      <c r="O1011" s="117"/>
      <c r="P1011" s="117"/>
      <c r="Q1011" s="200"/>
      <c r="R1011" s="239"/>
      <c r="S1011" s="239"/>
      <c r="T1011" s="239"/>
      <c r="U1011" s="216"/>
      <c r="V1011" s="217"/>
      <c r="W1011" s="233"/>
      <c r="X1011" s="123"/>
      <c r="Y1011" s="117"/>
      <c r="Z1011" s="117"/>
    </row>
    <row r="1012" spans="1:26">
      <c r="A1012" s="117"/>
      <c r="B1012" s="117"/>
      <c r="C1012" s="117"/>
      <c r="D1012" s="117"/>
      <c r="E1012" s="117"/>
      <c r="F1012" s="117"/>
      <c r="G1012" s="116"/>
      <c r="H1012" s="117"/>
      <c r="I1012" s="117"/>
      <c r="J1012" s="117"/>
      <c r="K1012" s="117"/>
      <c r="L1012" s="117"/>
      <c r="M1012" s="213"/>
      <c r="N1012" s="117"/>
      <c r="O1012" s="117"/>
      <c r="P1012" s="117"/>
      <c r="Q1012" s="200"/>
      <c r="R1012" s="239"/>
      <c r="S1012" s="239"/>
      <c r="T1012" s="239"/>
      <c r="U1012" s="216"/>
      <c r="V1012" s="217"/>
      <c r="W1012" s="233"/>
      <c r="X1012" s="123"/>
      <c r="Y1012" s="117"/>
      <c r="Z1012" s="117"/>
    </row>
    <row r="1013" spans="1:26">
      <c r="A1013" s="117"/>
      <c r="B1013" s="117"/>
      <c r="C1013" s="117"/>
      <c r="D1013" s="117"/>
      <c r="E1013" s="117"/>
      <c r="F1013" s="117"/>
      <c r="G1013" s="116"/>
      <c r="H1013" s="117"/>
      <c r="I1013" s="117"/>
      <c r="J1013" s="117"/>
      <c r="K1013" s="117"/>
      <c r="L1013" s="117"/>
      <c r="M1013" s="213"/>
      <c r="N1013" s="117"/>
      <c r="O1013" s="117"/>
      <c r="P1013" s="117"/>
      <c r="Q1013" s="200"/>
      <c r="R1013" s="239"/>
      <c r="S1013" s="239"/>
      <c r="T1013" s="239"/>
      <c r="U1013" s="216"/>
      <c r="V1013" s="217"/>
      <c r="W1013" s="233"/>
      <c r="X1013" s="123"/>
      <c r="Y1013" s="117"/>
      <c r="Z1013" s="117"/>
    </row>
    <row r="1014" spans="1:26">
      <c r="A1014" s="117"/>
      <c r="B1014" s="117"/>
      <c r="C1014" s="117"/>
      <c r="D1014" s="117"/>
      <c r="E1014" s="117"/>
      <c r="F1014" s="117"/>
      <c r="G1014" s="116"/>
      <c r="H1014" s="117"/>
      <c r="I1014" s="117"/>
      <c r="J1014" s="117"/>
      <c r="K1014" s="117"/>
      <c r="L1014" s="117"/>
      <c r="M1014" s="213"/>
      <c r="N1014" s="117"/>
      <c r="O1014" s="117"/>
      <c r="P1014" s="117"/>
      <c r="Q1014" s="200"/>
      <c r="R1014" s="239"/>
      <c r="S1014" s="239"/>
      <c r="T1014" s="239"/>
      <c r="U1014" s="216"/>
      <c r="V1014" s="217"/>
      <c r="W1014" s="233"/>
      <c r="X1014" s="123"/>
      <c r="Y1014" s="117"/>
      <c r="Z1014" s="117"/>
    </row>
    <row r="1015" spans="1:26">
      <c r="A1015" s="117"/>
      <c r="B1015" s="117"/>
      <c r="C1015" s="117"/>
      <c r="D1015" s="117"/>
      <c r="E1015" s="117"/>
      <c r="F1015" s="117"/>
      <c r="G1015" s="116"/>
      <c r="H1015" s="117"/>
      <c r="I1015" s="117"/>
      <c r="J1015" s="117"/>
      <c r="K1015" s="117"/>
      <c r="L1015" s="117"/>
      <c r="M1015" s="213"/>
      <c r="N1015" s="117"/>
      <c r="O1015" s="117"/>
      <c r="P1015" s="117"/>
      <c r="Q1015" s="200"/>
      <c r="R1015" s="239"/>
      <c r="S1015" s="239"/>
      <c r="T1015" s="239"/>
      <c r="U1015" s="216"/>
      <c r="V1015" s="217"/>
      <c r="W1015" s="233"/>
      <c r="X1015" s="123"/>
      <c r="Y1015" s="117"/>
      <c r="Z1015" s="117"/>
    </row>
    <row r="1016" spans="1:26">
      <c r="A1016" s="117"/>
      <c r="B1016" s="117"/>
      <c r="C1016" s="117"/>
      <c r="D1016" s="117"/>
      <c r="E1016" s="117"/>
      <c r="F1016" s="117"/>
      <c r="G1016" s="116"/>
      <c r="H1016" s="117"/>
      <c r="I1016" s="117"/>
      <c r="J1016" s="117"/>
      <c r="K1016" s="117"/>
      <c r="L1016" s="117"/>
      <c r="M1016" s="213"/>
      <c r="N1016" s="117"/>
      <c r="O1016" s="117"/>
      <c r="P1016" s="117"/>
      <c r="Q1016" s="200"/>
      <c r="R1016" s="239"/>
      <c r="S1016" s="239"/>
      <c r="T1016" s="239"/>
      <c r="U1016" s="216"/>
      <c r="V1016" s="217"/>
      <c r="W1016" s="233"/>
      <c r="X1016" s="123"/>
      <c r="Y1016" s="117"/>
      <c r="Z1016" s="117"/>
    </row>
    <row r="1017" spans="1:26">
      <c r="A1017" s="117"/>
      <c r="B1017" s="117"/>
      <c r="C1017" s="117"/>
      <c r="D1017" s="117"/>
      <c r="E1017" s="117"/>
      <c r="F1017" s="117"/>
      <c r="G1017" s="116"/>
      <c r="H1017" s="117"/>
      <c r="I1017" s="117"/>
      <c r="J1017" s="117"/>
      <c r="K1017" s="117"/>
      <c r="L1017" s="117"/>
      <c r="M1017" s="213"/>
      <c r="N1017" s="117"/>
      <c r="O1017" s="117"/>
      <c r="P1017" s="117"/>
      <c r="Q1017" s="200"/>
      <c r="R1017" s="239"/>
      <c r="S1017" s="239"/>
      <c r="T1017" s="239"/>
      <c r="U1017" s="216"/>
      <c r="V1017" s="217"/>
      <c r="W1017" s="233"/>
      <c r="X1017" s="123"/>
      <c r="Y1017" s="117"/>
      <c r="Z1017" s="117"/>
    </row>
    <row r="1018" spans="1:26">
      <c r="A1018" s="117"/>
      <c r="B1018" s="117"/>
      <c r="C1018" s="117"/>
      <c r="D1018" s="117"/>
      <c r="E1018" s="117"/>
      <c r="F1018" s="117"/>
      <c r="G1018" s="116"/>
      <c r="H1018" s="117"/>
      <c r="I1018" s="117"/>
      <c r="J1018" s="117"/>
      <c r="K1018" s="117"/>
      <c r="L1018" s="117"/>
      <c r="M1018" s="213"/>
      <c r="N1018" s="117"/>
      <c r="O1018" s="117"/>
      <c r="P1018" s="117"/>
      <c r="Q1018" s="200"/>
      <c r="R1018" s="239"/>
      <c r="S1018" s="239"/>
      <c r="T1018" s="239"/>
      <c r="U1018" s="216"/>
      <c r="V1018" s="217"/>
      <c r="W1018" s="233"/>
      <c r="X1018" s="123"/>
      <c r="Y1018" s="117"/>
      <c r="Z1018" s="117"/>
    </row>
    <row r="1019" spans="1:26">
      <c r="A1019" s="117"/>
      <c r="B1019" s="117"/>
      <c r="C1019" s="117"/>
      <c r="D1019" s="117"/>
      <c r="E1019" s="117"/>
      <c r="F1019" s="117"/>
      <c r="G1019" s="116"/>
      <c r="H1019" s="117"/>
      <c r="I1019" s="117"/>
      <c r="J1019" s="117"/>
      <c r="K1019" s="117"/>
      <c r="L1019" s="117"/>
      <c r="M1019" s="213"/>
      <c r="N1019" s="117"/>
      <c r="O1019" s="117"/>
      <c r="P1019" s="117"/>
      <c r="Q1019" s="200"/>
      <c r="R1019" s="239"/>
      <c r="S1019" s="239"/>
      <c r="T1019" s="239"/>
      <c r="U1019" s="216"/>
      <c r="V1019" s="217"/>
      <c r="W1019" s="233"/>
      <c r="X1019" s="123"/>
      <c r="Y1019" s="117"/>
      <c r="Z1019" s="117"/>
    </row>
    <row r="1020" spans="1:26">
      <c r="A1020" s="117"/>
      <c r="B1020" s="117"/>
      <c r="C1020" s="117"/>
      <c r="D1020" s="117"/>
      <c r="E1020" s="117"/>
      <c r="F1020" s="117"/>
      <c r="G1020" s="116"/>
      <c r="H1020" s="117"/>
      <c r="I1020" s="117"/>
      <c r="J1020" s="117"/>
      <c r="K1020" s="117"/>
      <c r="L1020" s="117"/>
      <c r="M1020" s="213"/>
      <c r="N1020" s="117"/>
      <c r="O1020" s="117"/>
      <c r="P1020" s="117"/>
      <c r="Q1020" s="200"/>
      <c r="R1020" s="239"/>
      <c r="S1020" s="239"/>
      <c r="T1020" s="239"/>
      <c r="U1020" s="216"/>
      <c r="V1020" s="217"/>
      <c r="W1020" s="233"/>
      <c r="X1020" s="123"/>
      <c r="Y1020" s="117"/>
      <c r="Z1020" s="117"/>
    </row>
    <row r="1021" spans="1:26">
      <c r="A1021" s="117"/>
      <c r="B1021" s="117"/>
      <c r="C1021" s="117"/>
      <c r="D1021" s="117"/>
      <c r="E1021" s="117"/>
      <c r="F1021" s="117"/>
      <c r="G1021" s="116"/>
      <c r="H1021" s="117"/>
      <c r="I1021" s="117"/>
      <c r="J1021" s="117"/>
      <c r="K1021" s="117"/>
      <c r="L1021" s="117"/>
      <c r="M1021" s="213"/>
      <c r="N1021" s="117"/>
      <c r="O1021" s="117"/>
      <c r="P1021" s="117"/>
      <c r="Q1021" s="200"/>
      <c r="R1021" s="239"/>
      <c r="S1021" s="239"/>
      <c r="T1021" s="239"/>
      <c r="U1021" s="216"/>
      <c r="V1021" s="217"/>
      <c r="W1021" s="233"/>
      <c r="X1021" s="123"/>
      <c r="Y1021" s="117"/>
      <c r="Z1021" s="117"/>
    </row>
    <row r="1022" spans="1:26">
      <c r="A1022" s="117"/>
      <c r="B1022" s="117"/>
      <c r="C1022" s="117"/>
      <c r="D1022" s="117"/>
      <c r="E1022" s="117"/>
      <c r="F1022" s="117"/>
      <c r="G1022" s="116"/>
      <c r="H1022" s="117"/>
      <c r="I1022" s="117"/>
      <c r="J1022" s="117"/>
      <c r="K1022" s="117"/>
      <c r="L1022" s="117"/>
      <c r="M1022" s="213"/>
      <c r="N1022" s="117"/>
      <c r="O1022" s="117"/>
      <c r="P1022" s="117"/>
      <c r="Q1022" s="200"/>
      <c r="R1022" s="239"/>
      <c r="S1022" s="239"/>
      <c r="T1022" s="239"/>
      <c r="U1022" s="216"/>
      <c r="V1022" s="217"/>
      <c r="W1022" s="233"/>
      <c r="X1022" s="123"/>
      <c r="Y1022" s="117"/>
      <c r="Z1022" s="117"/>
    </row>
    <row r="1023" spans="1:26">
      <c r="A1023" s="117"/>
      <c r="B1023" s="117"/>
      <c r="C1023" s="117"/>
      <c r="D1023" s="117"/>
      <c r="E1023" s="117"/>
      <c r="F1023" s="117"/>
      <c r="G1023" s="116"/>
      <c r="H1023" s="117"/>
      <c r="I1023" s="117"/>
      <c r="J1023" s="117"/>
      <c r="K1023" s="117"/>
      <c r="L1023" s="117"/>
      <c r="M1023" s="213"/>
      <c r="N1023" s="117"/>
      <c r="O1023" s="117"/>
      <c r="P1023" s="117"/>
      <c r="Q1023" s="200"/>
      <c r="R1023" s="239"/>
      <c r="S1023" s="239"/>
      <c r="T1023" s="239"/>
      <c r="U1023" s="216"/>
      <c r="V1023" s="217"/>
      <c r="W1023" s="233"/>
      <c r="X1023" s="123"/>
      <c r="Y1023" s="117"/>
      <c r="Z1023" s="117"/>
    </row>
    <row r="1024" spans="1:26">
      <c r="A1024" s="117"/>
      <c r="B1024" s="117"/>
      <c r="C1024" s="117"/>
      <c r="D1024" s="117"/>
      <c r="E1024" s="117"/>
      <c r="F1024" s="117"/>
      <c r="G1024" s="116"/>
      <c r="H1024" s="117"/>
      <c r="I1024" s="117"/>
      <c r="J1024" s="117"/>
      <c r="K1024" s="117"/>
      <c r="L1024" s="117"/>
      <c r="M1024" s="213"/>
      <c r="N1024" s="117"/>
      <c r="O1024" s="117"/>
      <c r="P1024" s="117"/>
      <c r="Q1024" s="200"/>
      <c r="R1024" s="239"/>
      <c r="S1024" s="239"/>
      <c r="T1024" s="239"/>
      <c r="U1024" s="216"/>
      <c r="V1024" s="217"/>
      <c r="W1024" s="233"/>
      <c r="X1024" s="123"/>
      <c r="Y1024" s="117"/>
      <c r="Z1024" s="117"/>
    </row>
    <row r="1025" spans="1:26">
      <c r="A1025" s="117"/>
      <c r="B1025" s="117"/>
      <c r="C1025" s="117"/>
      <c r="D1025" s="117"/>
      <c r="E1025" s="117"/>
      <c r="F1025" s="117"/>
      <c r="G1025" s="116"/>
      <c r="H1025" s="117"/>
      <c r="I1025" s="117"/>
      <c r="J1025" s="117"/>
      <c r="K1025" s="117"/>
      <c r="L1025" s="117"/>
      <c r="M1025" s="213"/>
      <c r="N1025" s="117"/>
      <c r="O1025" s="117"/>
      <c r="P1025" s="117"/>
      <c r="Q1025" s="200"/>
      <c r="R1025" s="239"/>
      <c r="S1025" s="239"/>
      <c r="T1025" s="239"/>
      <c r="U1025" s="216"/>
      <c r="V1025" s="217"/>
      <c r="W1025" s="233"/>
      <c r="X1025" s="123"/>
      <c r="Y1025" s="117"/>
      <c r="Z1025" s="117"/>
    </row>
    <row r="1026" spans="1:26">
      <c r="A1026" s="117"/>
      <c r="B1026" s="117"/>
      <c r="C1026" s="117"/>
      <c r="D1026" s="117"/>
      <c r="E1026" s="117"/>
      <c r="F1026" s="117"/>
      <c r="G1026" s="116"/>
      <c r="H1026" s="117"/>
      <c r="I1026" s="117"/>
      <c r="J1026" s="117"/>
      <c r="K1026" s="117"/>
      <c r="L1026" s="117"/>
      <c r="M1026" s="213"/>
      <c r="N1026" s="117"/>
      <c r="O1026" s="117"/>
      <c r="P1026" s="117"/>
      <c r="Q1026" s="200"/>
      <c r="R1026" s="239"/>
      <c r="S1026" s="239"/>
      <c r="T1026" s="239"/>
      <c r="U1026" s="216"/>
      <c r="V1026" s="217"/>
      <c r="W1026" s="233"/>
      <c r="X1026" s="123"/>
      <c r="Y1026" s="117"/>
      <c r="Z1026" s="117"/>
    </row>
    <row r="1027" spans="1:26">
      <c r="A1027" s="117"/>
      <c r="B1027" s="117"/>
      <c r="C1027" s="117"/>
      <c r="D1027" s="117"/>
      <c r="E1027" s="117"/>
      <c r="F1027" s="117"/>
      <c r="G1027" s="116"/>
      <c r="H1027" s="117"/>
      <c r="I1027" s="117"/>
      <c r="J1027" s="117"/>
      <c r="K1027" s="117"/>
      <c r="L1027" s="117"/>
      <c r="M1027" s="213"/>
      <c r="N1027" s="117"/>
      <c r="O1027" s="117"/>
      <c r="P1027" s="117"/>
      <c r="Q1027" s="200"/>
      <c r="R1027" s="239"/>
      <c r="S1027" s="239"/>
      <c r="T1027" s="239"/>
      <c r="U1027" s="216"/>
      <c r="V1027" s="217"/>
      <c r="W1027" s="233"/>
      <c r="X1027" s="123"/>
      <c r="Y1027" s="117"/>
      <c r="Z1027" s="117"/>
    </row>
    <row r="1028" spans="1:26">
      <c r="A1028" s="117"/>
      <c r="B1028" s="117"/>
      <c r="C1028" s="117"/>
      <c r="D1028" s="117"/>
      <c r="E1028" s="117"/>
      <c r="F1028" s="117"/>
      <c r="G1028" s="116"/>
      <c r="H1028" s="117"/>
      <c r="I1028" s="117"/>
      <c r="J1028" s="117"/>
      <c r="K1028" s="117"/>
      <c r="L1028" s="117"/>
      <c r="M1028" s="213"/>
      <c r="N1028" s="117"/>
      <c r="O1028" s="117"/>
      <c r="P1028" s="117"/>
      <c r="Q1028" s="200"/>
      <c r="R1028" s="239"/>
      <c r="S1028" s="239"/>
      <c r="T1028" s="239"/>
      <c r="U1028" s="216"/>
      <c r="V1028" s="217"/>
      <c r="W1028" s="233"/>
      <c r="X1028" s="123"/>
      <c r="Y1028" s="117"/>
      <c r="Z1028" s="117"/>
    </row>
    <row r="1029" spans="1:26">
      <c r="A1029" s="117"/>
      <c r="B1029" s="117"/>
      <c r="C1029" s="117"/>
      <c r="D1029" s="117"/>
      <c r="E1029" s="117"/>
      <c r="F1029" s="117"/>
      <c r="G1029" s="116"/>
      <c r="H1029" s="117"/>
      <c r="I1029" s="117"/>
      <c r="J1029" s="117"/>
      <c r="K1029" s="117"/>
      <c r="L1029" s="117"/>
      <c r="M1029" s="213"/>
      <c r="N1029" s="117"/>
      <c r="O1029" s="117"/>
      <c r="P1029" s="117"/>
      <c r="Q1029" s="200"/>
      <c r="R1029" s="239"/>
      <c r="S1029" s="239"/>
      <c r="T1029" s="239"/>
      <c r="U1029" s="216"/>
      <c r="V1029" s="217"/>
      <c r="W1029" s="233"/>
      <c r="X1029" s="123"/>
      <c r="Y1029" s="117"/>
      <c r="Z1029" s="117"/>
    </row>
    <row r="1030" spans="1:26">
      <c r="A1030" s="117"/>
      <c r="B1030" s="117"/>
      <c r="C1030" s="117"/>
      <c r="D1030" s="117"/>
      <c r="E1030" s="117"/>
      <c r="F1030" s="117"/>
      <c r="G1030" s="116"/>
      <c r="H1030" s="117"/>
      <c r="I1030" s="117"/>
      <c r="J1030" s="117"/>
      <c r="K1030" s="117"/>
      <c r="L1030" s="117"/>
      <c r="M1030" s="213"/>
      <c r="N1030" s="117"/>
      <c r="O1030" s="117"/>
      <c r="P1030" s="117"/>
      <c r="Q1030" s="200"/>
      <c r="R1030" s="239"/>
      <c r="S1030" s="239"/>
      <c r="T1030" s="239"/>
      <c r="U1030" s="216"/>
      <c r="V1030" s="217"/>
      <c r="W1030" s="233"/>
      <c r="X1030" s="123"/>
      <c r="Y1030" s="117"/>
      <c r="Z1030" s="117"/>
    </row>
    <row r="1031" spans="1:26">
      <c r="A1031" s="117"/>
      <c r="B1031" s="117"/>
      <c r="C1031" s="117"/>
      <c r="D1031" s="117"/>
      <c r="E1031" s="117"/>
      <c r="F1031" s="117"/>
      <c r="G1031" s="116"/>
      <c r="H1031" s="117"/>
      <c r="I1031" s="117"/>
      <c r="J1031" s="117"/>
      <c r="K1031" s="117"/>
      <c r="L1031" s="117"/>
      <c r="M1031" s="213"/>
      <c r="N1031" s="117"/>
      <c r="O1031" s="117"/>
      <c r="P1031" s="117"/>
      <c r="Q1031" s="200"/>
      <c r="R1031" s="239"/>
      <c r="S1031" s="239"/>
      <c r="T1031" s="239"/>
      <c r="U1031" s="216"/>
      <c r="V1031" s="217"/>
      <c r="W1031" s="233"/>
      <c r="X1031" s="123"/>
      <c r="Y1031" s="117"/>
      <c r="Z1031" s="117"/>
    </row>
    <row r="1032" spans="1:26">
      <c r="A1032" s="117"/>
      <c r="B1032" s="117"/>
      <c r="C1032" s="117"/>
      <c r="D1032" s="117"/>
      <c r="E1032" s="117"/>
      <c r="F1032" s="117"/>
      <c r="G1032" s="116"/>
      <c r="H1032" s="117"/>
      <c r="I1032" s="117"/>
      <c r="J1032" s="117"/>
      <c r="K1032" s="117"/>
      <c r="L1032" s="117"/>
      <c r="M1032" s="213"/>
      <c r="N1032" s="117"/>
      <c r="O1032" s="117"/>
      <c r="P1032" s="117"/>
      <c r="Q1032" s="200"/>
      <c r="R1032" s="239"/>
      <c r="S1032" s="239"/>
      <c r="T1032" s="239"/>
      <c r="U1032" s="216"/>
      <c r="V1032" s="217"/>
      <c r="W1032" s="233"/>
      <c r="X1032" s="123"/>
      <c r="Y1032" s="117"/>
      <c r="Z1032" s="117"/>
    </row>
    <row r="1033" spans="1:26">
      <c r="A1033" s="117"/>
      <c r="B1033" s="117"/>
      <c r="C1033" s="117"/>
      <c r="D1033" s="117"/>
      <c r="E1033" s="117"/>
      <c r="F1033" s="117"/>
      <c r="G1033" s="116"/>
      <c r="H1033" s="117"/>
      <c r="I1033" s="117"/>
      <c r="J1033" s="117"/>
      <c r="K1033" s="117"/>
      <c r="L1033" s="117"/>
      <c r="M1033" s="213"/>
      <c r="N1033" s="117"/>
      <c r="O1033" s="117"/>
      <c r="P1033" s="117"/>
      <c r="Q1033" s="200"/>
      <c r="R1033" s="239"/>
      <c r="S1033" s="239"/>
      <c r="T1033" s="239"/>
      <c r="U1033" s="216"/>
      <c r="V1033" s="217"/>
      <c r="W1033" s="233"/>
      <c r="X1033" s="123"/>
      <c r="Y1033" s="117"/>
      <c r="Z1033" s="117"/>
    </row>
    <row r="1034" spans="1:26">
      <c r="A1034" s="117"/>
      <c r="B1034" s="117"/>
      <c r="C1034" s="117"/>
      <c r="D1034" s="117"/>
      <c r="E1034" s="117"/>
      <c r="F1034" s="117"/>
      <c r="G1034" s="116"/>
      <c r="H1034" s="117"/>
      <c r="I1034" s="117"/>
      <c r="J1034" s="117"/>
      <c r="K1034" s="117"/>
      <c r="L1034" s="117"/>
      <c r="M1034" s="213"/>
      <c r="N1034" s="117"/>
      <c r="O1034" s="117"/>
      <c r="P1034" s="117"/>
      <c r="Q1034" s="200"/>
      <c r="R1034" s="239"/>
      <c r="S1034" s="239"/>
      <c r="T1034" s="239"/>
      <c r="U1034" s="216"/>
      <c r="V1034" s="217"/>
      <c r="W1034" s="233"/>
      <c r="X1034" s="123"/>
      <c r="Y1034" s="117"/>
      <c r="Z1034" s="117"/>
    </row>
    <row r="1035" spans="1:26">
      <c r="A1035" s="117"/>
      <c r="B1035" s="117"/>
      <c r="C1035" s="117"/>
      <c r="D1035" s="117"/>
      <c r="E1035" s="117"/>
      <c r="F1035" s="117"/>
      <c r="G1035" s="116"/>
      <c r="H1035" s="117"/>
      <c r="I1035" s="117"/>
      <c r="J1035" s="117"/>
      <c r="K1035" s="117"/>
      <c r="L1035" s="117"/>
      <c r="M1035" s="213"/>
      <c r="N1035" s="117"/>
      <c r="O1035" s="117"/>
      <c r="P1035" s="117"/>
      <c r="Q1035" s="200"/>
      <c r="R1035" s="239"/>
      <c r="S1035" s="239"/>
      <c r="T1035" s="239"/>
      <c r="U1035" s="216"/>
      <c r="V1035" s="217"/>
      <c r="W1035" s="233"/>
      <c r="X1035" s="123"/>
      <c r="Y1035" s="117"/>
      <c r="Z1035" s="117"/>
    </row>
    <row r="1036" spans="1:26">
      <c r="A1036" s="117"/>
      <c r="B1036" s="117"/>
      <c r="C1036" s="117"/>
      <c r="D1036" s="117"/>
      <c r="E1036" s="117"/>
      <c r="F1036" s="117"/>
      <c r="G1036" s="116"/>
      <c r="H1036" s="117"/>
      <c r="I1036" s="117"/>
      <c r="J1036" s="117"/>
      <c r="K1036" s="117"/>
      <c r="L1036" s="117"/>
      <c r="M1036" s="213"/>
      <c r="N1036" s="117"/>
      <c r="O1036" s="117"/>
      <c r="P1036" s="117"/>
      <c r="Q1036" s="200"/>
      <c r="R1036" s="239"/>
      <c r="S1036" s="239"/>
      <c r="T1036" s="239"/>
      <c r="U1036" s="216"/>
      <c r="V1036" s="217"/>
      <c r="W1036" s="233"/>
      <c r="X1036" s="123"/>
      <c r="Y1036" s="117"/>
      <c r="Z1036" s="117"/>
    </row>
    <row r="1037" spans="1:26">
      <c r="A1037" s="117"/>
      <c r="B1037" s="117"/>
      <c r="C1037" s="117"/>
      <c r="D1037" s="117"/>
      <c r="E1037" s="117"/>
      <c r="F1037" s="117"/>
      <c r="G1037" s="116"/>
      <c r="H1037" s="117"/>
      <c r="I1037" s="117"/>
      <c r="J1037" s="117"/>
      <c r="K1037" s="117"/>
      <c r="L1037" s="117"/>
      <c r="M1037" s="213"/>
      <c r="N1037" s="117"/>
      <c r="O1037" s="117"/>
      <c r="P1037" s="117"/>
      <c r="Q1037" s="200"/>
      <c r="R1037" s="239"/>
      <c r="S1037" s="239"/>
      <c r="T1037" s="239"/>
      <c r="U1037" s="216"/>
      <c r="V1037" s="217"/>
      <c r="W1037" s="233"/>
      <c r="X1037" s="123"/>
      <c r="Y1037" s="117"/>
      <c r="Z1037" s="117"/>
    </row>
    <row r="1038" spans="1:26">
      <c r="A1038" s="117"/>
      <c r="B1038" s="117"/>
      <c r="C1038" s="117"/>
      <c r="D1038" s="117"/>
      <c r="E1038" s="117"/>
      <c r="F1038" s="117"/>
      <c r="G1038" s="116"/>
      <c r="H1038" s="117"/>
      <c r="I1038" s="117"/>
      <c r="J1038" s="117"/>
      <c r="K1038" s="117"/>
      <c r="L1038" s="117"/>
      <c r="M1038" s="213"/>
      <c r="N1038" s="117"/>
      <c r="O1038" s="117"/>
      <c r="P1038" s="117"/>
      <c r="Q1038" s="200"/>
      <c r="R1038" s="239"/>
      <c r="S1038" s="239"/>
      <c r="T1038" s="239"/>
      <c r="U1038" s="216"/>
      <c r="V1038" s="217"/>
      <c r="W1038" s="233"/>
      <c r="X1038" s="123"/>
      <c r="Y1038" s="117"/>
      <c r="Z1038" s="117"/>
    </row>
    <row r="1039" spans="1:26">
      <c r="A1039" s="117"/>
      <c r="B1039" s="117"/>
      <c r="C1039" s="117"/>
      <c r="D1039" s="117"/>
      <c r="E1039" s="117"/>
      <c r="F1039" s="117"/>
      <c r="G1039" s="116"/>
      <c r="H1039" s="117"/>
      <c r="I1039" s="117"/>
      <c r="J1039" s="117"/>
      <c r="K1039" s="117"/>
      <c r="L1039" s="117"/>
      <c r="M1039" s="213"/>
      <c r="N1039" s="117"/>
      <c r="O1039" s="117"/>
      <c r="P1039" s="117"/>
      <c r="Q1039" s="200"/>
      <c r="R1039" s="239"/>
      <c r="S1039" s="239"/>
      <c r="T1039" s="239"/>
      <c r="U1039" s="216"/>
      <c r="V1039" s="217"/>
      <c r="W1039" s="233"/>
      <c r="X1039" s="123"/>
      <c r="Y1039" s="117"/>
      <c r="Z1039" s="117"/>
    </row>
    <row r="1040" spans="1:26">
      <c r="A1040" s="117"/>
      <c r="B1040" s="117"/>
      <c r="C1040" s="117"/>
      <c r="D1040" s="117"/>
      <c r="E1040" s="117"/>
      <c r="F1040" s="117"/>
      <c r="G1040" s="116"/>
      <c r="H1040" s="117"/>
      <c r="I1040" s="117"/>
      <c r="J1040" s="117"/>
      <c r="K1040" s="117"/>
      <c r="L1040" s="117"/>
      <c r="M1040" s="213"/>
      <c r="N1040" s="117"/>
      <c r="O1040" s="117"/>
      <c r="P1040" s="117"/>
      <c r="Q1040" s="200"/>
      <c r="R1040" s="239"/>
      <c r="S1040" s="239"/>
      <c r="T1040" s="239"/>
      <c r="U1040" s="216"/>
      <c r="V1040" s="217"/>
      <c r="W1040" s="233"/>
      <c r="X1040" s="123"/>
      <c r="Y1040" s="117"/>
      <c r="Z1040" s="117"/>
    </row>
    <row r="1041" spans="1:26">
      <c r="A1041" s="117"/>
      <c r="B1041" s="117"/>
      <c r="C1041" s="117"/>
      <c r="D1041" s="117"/>
      <c r="E1041" s="117"/>
      <c r="F1041" s="117"/>
      <c r="G1041" s="116"/>
      <c r="H1041" s="117"/>
      <c r="I1041" s="117"/>
      <c r="J1041" s="117"/>
      <c r="K1041" s="117"/>
      <c r="L1041" s="117"/>
      <c r="M1041" s="213"/>
      <c r="N1041" s="117"/>
      <c r="O1041" s="117"/>
      <c r="P1041" s="117"/>
      <c r="Q1041" s="200"/>
      <c r="R1041" s="239"/>
      <c r="S1041" s="239"/>
      <c r="T1041" s="239"/>
      <c r="U1041" s="216"/>
      <c r="V1041" s="217"/>
      <c r="W1041" s="233"/>
      <c r="X1041" s="123"/>
      <c r="Y1041" s="117"/>
      <c r="Z1041" s="117"/>
    </row>
    <row r="1042" spans="1:26">
      <c r="A1042" s="117"/>
      <c r="B1042" s="117"/>
      <c r="C1042" s="117"/>
      <c r="D1042" s="117"/>
      <c r="E1042" s="117"/>
      <c r="F1042" s="117"/>
      <c r="G1042" s="116"/>
      <c r="H1042" s="117"/>
      <c r="I1042" s="117"/>
      <c r="J1042" s="117"/>
      <c r="K1042" s="117"/>
      <c r="L1042" s="117"/>
      <c r="M1042" s="213"/>
      <c r="N1042" s="117"/>
      <c r="O1042" s="117"/>
      <c r="P1042" s="117"/>
      <c r="Q1042" s="200"/>
      <c r="R1042" s="239"/>
      <c r="S1042" s="239"/>
      <c r="T1042" s="239"/>
      <c r="U1042" s="216"/>
      <c r="V1042" s="217"/>
      <c r="W1042" s="233"/>
      <c r="X1042" s="123"/>
      <c r="Y1042" s="117"/>
      <c r="Z1042" s="117"/>
    </row>
    <row r="1043" spans="1:26">
      <c r="A1043" s="117"/>
      <c r="B1043" s="117"/>
      <c r="C1043" s="117"/>
      <c r="D1043" s="117"/>
      <c r="E1043" s="117"/>
      <c r="F1043" s="117"/>
      <c r="G1043" s="116"/>
      <c r="H1043" s="117"/>
      <c r="I1043" s="117"/>
      <c r="J1043" s="117"/>
      <c r="K1043" s="117"/>
      <c r="L1043" s="117"/>
      <c r="M1043" s="213"/>
      <c r="N1043" s="117"/>
      <c r="O1043" s="117"/>
      <c r="P1043" s="117"/>
      <c r="Q1043" s="200"/>
      <c r="R1043" s="239"/>
      <c r="S1043" s="239"/>
      <c r="T1043" s="239"/>
      <c r="U1043" s="216"/>
      <c r="V1043" s="217"/>
      <c r="W1043" s="233"/>
      <c r="X1043" s="123"/>
      <c r="Y1043" s="117"/>
      <c r="Z1043" s="117"/>
    </row>
    <row r="1044" spans="1:26">
      <c r="A1044" s="117"/>
      <c r="B1044" s="117"/>
      <c r="C1044" s="117"/>
      <c r="D1044" s="117"/>
      <c r="E1044" s="117"/>
      <c r="F1044" s="117"/>
      <c r="G1044" s="116"/>
      <c r="H1044" s="117"/>
      <c r="I1044" s="117"/>
      <c r="J1044" s="117"/>
      <c r="K1044" s="117"/>
      <c r="L1044" s="117"/>
      <c r="M1044" s="213"/>
      <c r="N1044" s="117"/>
      <c r="O1044" s="117"/>
      <c r="P1044" s="117"/>
      <c r="Q1044" s="200"/>
      <c r="R1044" s="239"/>
      <c r="S1044" s="239"/>
      <c r="T1044" s="239"/>
      <c r="U1044" s="216"/>
      <c r="V1044" s="217"/>
      <c r="W1044" s="233"/>
      <c r="X1044" s="123"/>
      <c r="Y1044" s="117"/>
      <c r="Z1044" s="117"/>
    </row>
    <row r="1045" spans="1:26">
      <c r="A1045" s="117"/>
      <c r="B1045" s="117"/>
      <c r="C1045" s="117"/>
      <c r="D1045" s="117"/>
      <c r="E1045" s="117"/>
      <c r="F1045" s="117"/>
      <c r="G1045" s="116"/>
      <c r="H1045" s="117"/>
      <c r="I1045" s="117"/>
      <c r="J1045" s="117"/>
      <c r="K1045" s="117"/>
      <c r="L1045" s="117"/>
      <c r="M1045" s="213"/>
      <c r="N1045" s="117"/>
      <c r="O1045" s="117"/>
      <c r="P1045" s="117"/>
      <c r="Q1045" s="200"/>
      <c r="R1045" s="239"/>
      <c r="S1045" s="239"/>
      <c r="T1045" s="239"/>
      <c r="U1045" s="216"/>
      <c r="V1045" s="217"/>
      <c r="W1045" s="233"/>
      <c r="X1045" s="123"/>
      <c r="Y1045" s="117"/>
      <c r="Z1045" s="117"/>
    </row>
    <row r="1046" spans="1:26">
      <c r="A1046" s="117"/>
      <c r="B1046" s="117"/>
      <c r="C1046" s="117"/>
      <c r="D1046" s="117"/>
      <c r="E1046" s="117"/>
      <c r="F1046" s="117"/>
      <c r="G1046" s="116"/>
      <c r="H1046" s="117"/>
      <c r="I1046" s="117"/>
      <c r="J1046" s="117"/>
      <c r="K1046" s="117"/>
      <c r="L1046" s="117"/>
      <c r="M1046" s="213"/>
      <c r="N1046" s="117"/>
      <c r="O1046" s="117"/>
      <c r="P1046" s="117"/>
      <c r="Q1046" s="200"/>
      <c r="R1046" s="239"/>
      <c r="S1046" s="239"/>
      <c r="T1046" s="239"/>
      <c r="U1046" s="216"/>
      <c r="V1046" s="217"/>
      <c r="W1046" s="233"/>
      <c r="X1046" s="123"/>
      <c r="Y1046" s="117"/>
      <c r="Z1046" s="117"/>
    </row>
    <row r="1047" spans="1:26">
      <c r="A1047" s="117"/>
      <c r="B1047" s="117"/>
      <c r="C1047" s="117"/>
      <c r="D1047" s="117"/>
      <c r="E1047" s="117"/>
      <c r="F1047" s="117"/>
      <c r="G1047" s="116"/>
      <c r="H1047" s="117"/>
      <c r="I1047" s="117"/>
      <c r="J1047" s="117"/>
      <c r="K1047" s="117"/>
      <c r="L1047" s="117"/>
      <c r="M1047" s="213"/>
      <c r="N1047" s="117"/>
      <c r="O1047" s="117"/>
      <c r="P1047" s="117"/>
      <c r="Q1047" s="200"/>
      <c r="R1047" s="239"/>
      <c r="S1047" s="239"/>
      <c r="T1047" s="239"/>
      <c r="U1047" s="216"/>
      <c r="V1047" s="217"/>
      <c r="W1047" s="233"/>
      <c r="X1047" s="123"/>
      <c r="Y1047" s="117"/>
      <c r="Z1047" s="117"/>
    </row>
    <row r="1048" spans="1:26">
      <c r="A1048" s="117"/>
      <c r="B1048" s="117"/>
      <c r="C1048" s="117"/>
      <c r="D1048" s="117"/>
      <c r="E1048" s="117"/>
      <c r="F1048" s="117"/>
      <c r="G1048" s="116"/>
      <c r="H1048" s="117"/>
      <c r="I1048" s="117"/>
      <c r="J1048" s="117"/>
      <c r="K1048" s="117"/>
      <c r="L1048" s="117"/>
      <c r="M1048" s="213"/>
      <c r="N1048" s="117"/>
      <c r="O1048" s="117"/>
      <c r="P1048" s="117"/>
      <c r="Q1048" s="200"/>
      <c r="R1048" s="239"/>
      <c r="S1048" s="239"/>
      <c r="T1048" s="239"/>
      <c r="U1048" s="216"/>
      <c r="V1048" s="217"/>
      <c r="W1048" s="233"/>
      <c r="X1048" s="123"/>
      <c r="Y1048" s="117"/>
      <c r="Z1048" s="117"/>
    </row>
    <row r="1049" spans="1:26">
      <c r="A1049" s="117"/>
      <c r="B1049" s="117"/>
      <c r="C1049" s="117"/>
      <c r="D1049" s="117"/>
      <c r="E1049" s="117"/>
      <c r="F1049" s="117"/>
      <c r="G1049" s="116"/>
      <c r="H1049" s="117"/>
      <c r="I1049" s="117"/>
      <c r="J1049" s="117"/>
      <c r="K1049" s="117"/>
      <c r="L1049" s="117"/>
      <c r="M1049" s="213"/>
      <c r="N1049" s="117"/>
      <c r="O1049" s="117"/>
      <c r="P1049" s="117"/>
      <c r="Q1049" s="200"/>
      <c r="R1049" s="239"/>
      <c r="S1049" s="239"/>
      <c r="T1049" s="239"/>
      <c r="U1049" s="216"/>
      <c r="V1049" s="217"/>
      <c r="W1049" s="233"/>
      <c r="X1049" s="123"/>
      <c r="Y1049" s="117"/>
      <c r="Z1049" s="117"/>
    </row>
    <row r="1050" spans="1:26">
      <c r="A1050" s="117"/>
      <c r="B1050" s="117"/>
      <c r="C1050" s="117"/>
      <c r="D1050" s="117"/>
      <c r="E1050" s="117"/>
      <c r="F1050" s="117"/>
      <c r="G1050" s="116"/>
      <c r="H1050" s="117"/>
      <c r="I1050" s="117"/>
      <c r="J1050" s="117"/>
      <c r="K1050" s="117"/>
      <c r="L1050" s="117"/>
      <c r="M1050" s="213"/>
      <c r="N1050" s="117"/>
      <c r="O1050" s="117"/>
      <c r="P1050" s="117"/>
      <c r="Q1050" s="200"/>
      <c r="R1050" s="239"/>
      <c r="S1050" s="239"/>
      <c r="T1050" s="239"/>
      <c r="U1050" s="216"/>
      <c r="V1050" s="217"/>
      <c r="W1050" s="233"/>
      <c r="X1050" s="123"/>
      <c r="Y1050" s="117"/>
      <c r="Z1050" s="117"/>
    </row>
    <row r="1051" spans="1:26">
      <c r="A1051" s="117"/>
      <c r="B1051" s="117"/>
      <c r="C1051" s="117"/>
      <c r="D1051" s="117"/>
      <c r="E1051" s="117"/>
      <c r="F1051" s="117"/>
      <c r="G1051" s="116"/>
      <c r="H1051" s="117"/>
      <c r="I1051" s="117"/>
      <c r="J1051" s="117"/>
      <c r="K1051" s="117"/>
      <c r="L1051" s="117"/>
      <c r="M1051" s="213"/>
      <c r="N1051" s="117"/>
      <c r="O1051" s="117"/>
      <c r="P1051" s="117"/>
      <c r="Q1051" s="200"/>
      <c r="R1051" s="239"/>
      <c r="S1051" s="239"/>
      <c r="T1051" s="239"/>
      <c r="U1051" s="216"/>
      <c r="V1051" s="217"/>
      <c r="W1051" s="233"/>
      <c r="X1051" s="123"/>
      <c r="Y1051" s="117"/>
      <c r="Z1051" s="117"/>
    </row>
    <row r="1052" spans="1:26">
      <c r="A1052" s="117"/>
      <c r="B1052" s="117"/>
      <c r="C1052" s="117"/>
      <c r="D1052" s="117"/>
      <c r="E1052" s="117"/>
      <c r="F1052" s="117"/>
      <c r="G1052" s="116"/>
      <c r="H1052" s="117"/>
      <c r="I1052" s="117"/>
      <c r="J1052" s="117"/>
      <c r="K1052" s="117"/>
      <c r="L1052" s="117"/>
      <c r="M1052" s="213"/>
      <c r="N1052" s="117"/>
      <c r="O1052" s="117"/>
      <c r="P1052" s="117"/>
      <c r="Q1052" s="200"/>
      <c r="R1052" s="239"/>
      <c r="S1052" s="239"/>
      <c r="T1052" s="239"/>
      <c r="U1052" s="216"/>
      <c r="V1052" s="217"/>
      <c r="W1052" s="233"/>
      <c r="X1052" s="123"/>
      <c r="Y1052" s="117"/>
      <c r="Z1052" s="117"/>
    </row>
    <row r="1053" spans="1:26">
      <c r="A1053" s="117"/>
      <c r="B1053" s="117"/>
      <c r="C1053" s="117"/>
      <c r="D1053" s="117"/>
      <c r="E1053" s="117"/>
      <c r="F1053" s="117"/>
      <c r="G1053" s="116"/>
      <c r="H1053" s="117"/>
      <c r="I1053" s="117"/>
      <c r="J1053" s="117"/>
      <c r="K1053" s="117"/>
      <c r="L1053" s="117"/>
      <c r="M1053" s="213"/>
      <c r="N1053" s="117"/>
      <c r="O1053" s="117"/>
      <c r="P1053" s="117"/>
      <c r="Q1053" s="200"/>
      <c r="R1053" s="239"/>
      <c r="S1053" s="239"/>
      <c r="T1053" s="239"/>
      <c r="U1053" s="216"/>
      <c r="V1053" s="217"/>
      <c r="W1053" s="233"/>
      <c r="X1053" s="123"/>
      <c r="Y1053" s="117"/>
      <c r="Z1053" s="117"/>
    </row>
    <row r="1054" spans="1:26">
      <c r="A1054" s="117"/>
      <c r="B1054" s="117"/>
      <c r="C1054" s="117"/>
      <c r="D1054" s="117"/>
      <c r="E1054" s="117"/>
      <c r="F1054" s="117"/>
      <c r="G1054" s="116"/>
      <c r="H1054" s="117"/>
      <c r="I1054" s="117"/>
      <c r="J1054" s="117"/>
      <c r="K1054" s="117"/>
      <c r="L1054" s="117"/>
      <c r="M1054" s="213"/>
      <c r="N1054" s="117"/>
      <c r="O1054" s="117"/>
      <c r="P1054" s="117"/>
      <c r="Q1054" s="200"/>
      <c r="R1054" s="239"/>
      <c r="S1054" s="239"/>
      <c r="T1054" s="239"/>
      <c r="U1054" s="216"/>
      <c r="V1054" s="217"/>
      <c r="W1054" s="233"/>
      <c r="X1054" s="123"/>
      <c r="Y1054" s="117"/>
      <c r="Z1054" s="117"/>
    </row>
    <row r="1055" spans="1:26">
      <c r="A1055" s="117"/>
      <c r="B1055" s="117"/>
      <c r="C1055" s="117"/>
      <c r="D1055" s="117"/>
      <c r="E1055" s="117"/>
      <c r="F1055" s="117"/>
      <c r="G1055" s="116"/>
      <c r="H1055" s="117"/>
      <c r="I1055" s="117"/>
      <c r="J1055" s="117"/>
      <c r="K1055" s="117"/>
      <c r="L1055" s="117"/>
      <c r="M1055" s="213"/>
      <c r="N1055" s="117"/>
      <c r="O1055" s="117"/>
      <c r="P1055" s="117"/>
      <c r="Q1055" s="200"/>
      <c r="R1055" s="239"/>
      <c r="S1055" s="239"/>
      <c r="T1055" s="239"/>
      <c r="U1055" s="216"/>
      <c r="V1055" s="217"/>
      <c r="W1055" s="233"/>
      <c r="X1055" s="123"/>
      <c r="Y1055" s="117"/>
      <c r="Z1055" s="117"/>
    </row>
    <row r="1056" spans="1:26">
      <c r="A1056" s="117"/>
      <c r="B1056" s="117"/>
      <c r="C1056" s="117"/>
      <c r="D1056" s="117"/>
      <c r="E1056" s="117"/>
      <c r="F1056" s="117"/>
      <c r="G1056" s="116"/>
      <c r="H1056" s="117"/>
      <c r="I1056" s="117"/>
      <c r="J1056" s="117"/>
      <c r="K1056" s="117"/>
      <c r="L1056" s="117"/>
      <c r="M1056" s="213"/>
      <c r="N1056" s="117"/>
      <c r="O1056" s="117"/>
      <c r="P1056" s="117"/>
      <c r="Q1056" s="200"/>
      <c r="R1056" s="239"/>
      <c r="S1056" s="239"/>
      <c r="T1056" s="239"/>
      <c r="U1056" s="216"/>
      <c r="V1056" s="217"/>
      <c r="W1056" s="233"/>
      <c r="X1056" s="123"/>
      <c r="Y1056" s="117"/>
      <c r="Z1056" s="117"/>
    </row>
    <row r="1057" spans="1:26">
      <c r="A1057" s="117"/>
      <c r="B1057" s="117"/>
      <c r="C1057" s="117"/>
      <c r="D1057" s="117"/>
      <c r="E1057" s="117"/>
      <c r="F1057" s="117"/>
      <c r="G1057" s="116"/>
      <c r="H1057" s="117"/>
      <c r="I1057" s="117"/>
      <c r="J1057" s="117"/>
      <c r="K1057" s="117"/>
      <c r="L1057" s="117"/>
      <c r="M1057" s="213"/>
      <c r="N1057" s="117"/>
      <c r="O1057" s="117"/>
      <c r="P1057" s="117"/>
      <c r="Q1057" s="200"/>
      <c r="R1057" s="239"/>
      <c r="S1057" s="239"/>
      <c r="T1057" s="239"/>
      <c r="U1057" s="216"/>
      <c r="V1057" s="217"/>
      <c r="W1057" s="233"/>
      <c r="X1057" s="123"/>
      <c r="Y1057" s="117"/>
      <c r="Z1057" s="117"/>
    </row>
    <row r="1058" spans="1:26">
      <c r="A1058" s="117"/>
      <c r="B1058" s="117"/>
      <c r="C1058" s="117"/>
      <c r="D1058" s="117"/>
      <c r="E1058" s="117"/>
      <c r="F1058" s="117"/>
      <c r="G1058" s="116"/>
      <c r="H1058" s="117"/>
      <c r="I1058" s="117"/>
      <c r="J1058" s="117"/>
      <c r="K1058" s="117"/>
      <c r="L1058" s="117"/>
      <c r="M1058" s="213"/>
      <c r="N1058" s="117"/>
      <c r="O1058" s="117"/>
      <c r="P1058" s="117"/>
      <c r="Q1058" s="200"/>
      <c r="R1058" s="239"/>
      <c r="S1058" s="239"/>
      <c r="T1058" s="239"/>
      <c r="U1058" s="216"/>
      <c r="V1058" s="217"/>
      <c r="W1058" s="233"/>
      <c r="X1058" s="123"/>
      <c r="Y1058" s="117"/>
      <c r="Z1058" s="117"/>
    </row>
    <row r="1059" spans="1:26">
      <c r="A1059" s="117"/>
      <c r="B1059" s="117"/>
      <c r="C1059" s="117"/>
      <c r="D1059" s="117"/>
      <c r="E1059" s="117"/>
      <c r="F1059" s="117"/>
      <c r="G1059" s="116"/>
      <c r="H1059" s="117"/>
      <c r="I1059" s="117"/>
      <c r="J1059" s="117"/>
      <c r="K1059" s="117"/>
      <c r="L1059" s="117"/>
      <c r="M1059" s="213"/>
      <c r="N1059" s="117"/>
      <c r="O1059" s="117"/>
      <c r="P1059" s="117"/>
      <c r="Q1059" s="200"/>
      <c r="R1059" s="239"/>
      <c r="S1059" s="239"/>
      <c r="T1059" s="239"/>
      <c r="U1059" s="216"/>
      <c r="V1059" s="217"/>
      <c r="W1059" s="233"/>
      <c r="X1059" s="123"/>
      <c r="Y1059" s="117"/>
      <c r="Z1059" s="117"/>
    </row>
    <row r="1060" spans="1:26">
      <c r="A1060" s="117"/>
      <c r="B1060" s="117"/>
      <c r="C1060" s="117"/>
      <c r="D1060" s="117"/>
      <c r="E1060" s="117"/>
      <c r="F1060" s="117"/>
      <c r="G1060" s="116"/>
      <c r="H1060" s="117"/>
      <c r="I1060" s="117"/>
      <c r="J1060" s="117"/>
      <c r="K1060" s="117"/>
      <c r="L1060" s="117"/>
      <c r="M1060" s="213"/>
      <c r="N1060" s="117"/>
      <c r="O1060" s="117"/>
      <c r="P1060" s="117"/>
      <c r="Q1060" s="200"/>
      <c r="R1060" s="239"/>
      <c r="S1060" s="239"/>
      <c r="T1060" s="239"/>
      <c r="U1060" s="216"/>
      <c r="V1060" s="217"/>
      <c r="W1060" s="233"/>
      <c r="X1060" s="123"/>
      <c r="Y1060" s="117"/>
      <c r="Z1060" s="117"/>
    </row>
    <row r="1061" spans="1:26">
      <c r="A1061" s="117"/>
      <c r="B1061" s="117"/>
      <c r="C1061" s="117"/>
      <c r="D1061" s="117"/>
      <c r="E1061" s="117"/>
      <c r="F1061" s="117"/>
      <c r="G1061" s="116"/>
      <c r="H1061" s="117"/>
      <c r="I1061" s="117"/>
      <c r="J1061" s="117"/>
      <c r="K1061" s="117"/>
      <c r="L1061" s="117"/>
      <c r="M1061" s="213"/>
      <c r="N1061" s="117"/>
      <c r="O1061" s="117"/>
      <c r="P1061" s="117"/>
      <c r="Q1061" s="200"/>
      <c r="R1061" s="239"/>
      <c r="S1061" s="239"/>
      <c r="T1061" s="239"/>
      <c r="U1061" s="216"/>
      <c r="V1061" s="217"/>
      <c r="W1061" s="233"/>
      <c r="X1061" s="123"/>
      <c r="Y1061" s="117"/>
      <c r="Z1061" s="117"/>
    </row>
    <row r="1062" spans="1:26">
      <c r="A1062" s="117"/>
      <c r="B1062" s="117"/>
      <c r="C1062" s="117"/>
      <c r="D1062" s="117"/>
      <c r="E1062" s="117"/>
      <c r="F1062" s="117"/>
      <c r="G1062" s="116"/>
      <c r="H1062" s="117"/>
      <c r="I1062" s="117"/>
      <c r="J1062" s="117"/>
      <c r="K1062" s="117"/>
      <c r="L1062" s="117"/>
      <c r="M1062" s="213"/>
      <c r="N1062" s="117"/>
      <c r="O1062" s="117"/>
      <c r="P1062" s="117"/>
      <c r="Q1062" s="200"/>
      <c r="R1062" s="239"/>
      <c r="S1062" s="239"/>
      <c r="T1062" s="239"/>
      <c r="U1062" s="216"/>
      <c r="V1062" s="217"/>
      <c r="W1062" s="233"/>
      <c r="X1062" s="123"/>
      <c r="Y1062" s="117"/>
      <c r="Z1062" s="117"/>
    </row>
    <row r="1063" spans="1:26">
      <c r="A1063" s="117"/>
      <c r="B1063" s="117"/>
      <c r="C1063" s="117"/>
      <c r="D1063" s="117"/>
      <c r="E1063" s="117"/>
      <c r="F1063" s="117"/>
      <c r="G1063" s="116"/>
      <c r="H1063" s="117"/>
      <c r="I1063" s="117"/>
      <c r="J1063" s="117"/>
      <c r="K1063" s="117"/>
      <c r="L1063" s="117"/>
      <c r="M1063" s="213"/>
      <c r="N1063" s="117"/>
      <c r="O1063" s="117"/>
      <c r="P1063" s="117"/>
      <c r="Q1063" s="200"/>
      <c r="R1063" s="239"/>
      <c r="S1063" s="239"/>
      <c r="T1063" s="239"/>
      <c r="U1063" s="216"/>
      <c r="V1063" s="217"/>
      <c r="W1063" s="233"/>
      <c r="X1063" s="123"/>
      <c r="Y1063" s="117"/>
      <c r="Z1063" s="117"/>
    </row>
    <row r="1064" spans="1:26">
      <c r="A1064" s="117"/>
      <c r="B1064" s="117"/>
      <c r="C1064" s="117"/>
      <c r="D1064" s="117"/>
      <c r="E1064" s="117"/>
      <c r="F1064" s="117"/>
      <c r="G1064" s="116"/>
      <c r="H1064" s="117"/>
      <c r="I1064" s="117"/>
      <c r="J1064" s="117"/>
      <c r="K1064" s="117"/>
      <c r="L1064" s="117"/>
      <c r="M1064" s="213"/>
      <c r="N1064" s="117"/>
      <c r="O1064" s="117"/>
      <c r="P1064" s="117"/>
      <c r="Q1064" s="200"/>
      <c r="R1064" s="239"/>
      <c r="S1064" s="239"/>
      <c r="T1064" s="239"/>
      <c r="U1064" s="216"/>
      <c r="V1064" s="217"/>
      <c r="W1064" s="233"/>
      <c r="X1064" s="123"/>
      <c r="Y1064" s="117"/>
      <c r="Z1064" s="117"/>
    </row>
    <row r="1065" spans="1:26">
      <c r="A1065" s="117"/>
      <c r="B1065" s="117"/>
      <c r="C1065" s="117"/>
      <c r="D1065" s="117"/>
      <c r="E1065" s="117"/>
      <c r="F1065" s="117"/>
      <c r="G1065" s="116"/>
      <c r="H1065" s="117"/>
      <c r="I1065" s="117"/>
      <c r="J1065" s="117"/>
      <c r="K1065" s="117"/>
      <c r="L1065" s="117"/>
      <c r="M1065" s="213"/>
      <c r="N1065" s="117"/>
      <c r="O1065" s="117"/>
      <c r="P1065" s="117"/>
      <c r="Q1065" s="200"/>
      <c r="R1065" s="239"/>
      <c r="S1065" s="239"/>
      <c r="T1065" s="239"/>
      <c r="U1065" s="216"/>
      <c r="V1065" s="217"/>
      <c r="W1065" s="233"/>
      <c r="X1065" s="123"/>
      <c r="Y1065" s="117"/>
      <c r="Z1065" s="117"/>
    </row>
    <row r="1066" spans="1:26">
      <c r="A1066" s="117"/>
      <c r="B1066" s="117"/>
      <c r="C1066" s="117"/>
      <c r="D1066" s="117"/>
      <c r="E1066" s="117"/>
      <c r="F1066" s="117"/>
      <c r="G1066" s="116"/>
      <c r="H1066" s="117"/>
      <c r="I1066" s="117"/>
      <c r="J1066" s="117"/>
      <c r="K1066" s="117"/>
      <c r="L1066" s="117"/>
      <c r="M1066" s="213"/>
      <c r="N1066" s="117"/>
      <c r="O1066" s="117"/>
      <c r="P1066" s="117"/>
      <c r="Q1066" s="200"/>
      <c r="R1066" s="239"/>
      <c r="S1066" s="239"/>
      <c r="T1066" s="239"/>
      <c r="U1066" s="216"/>
      <c r="V1066" s="217"/>
      <c r="W1066" s="233"/>
      <c r="X1066" s="123"/>
      <c r="Y1066" s="117"/>
      <c r="Z1066" s="117"/>
    </row>
    <row r="1067" spans="1:26">
      <c r="A1067" s="117"/>
      <c r="B1067" s="117"/>
      <c r="C1067" s="117"/>
      <c r="D1067" s="117"/>
      <c r="E1067" s="117"/>
      <c r="F1067" s="117"/>
      <c r="G1067" s="116"/>
      <c r="H1067" s="117"/>
      <c r="I1067" s="117"/>
      <c r="J1067" s="117"/>
      <c r="K1067" s="117"/>
      <c r="L1067" s="117"/>
      <c r="M1067" s="213"/>
      <c r="N1067" s="117"/>
      <c r="O1067" s="117"/>
      <c r="P1067" s="117"/>
      <c r="Q1067" s="200"/>
      <c r="R1067" s="239"/>
      <c r="S1067" s="239"/>
      <c r="T1067" s="239"/>
      <c r="U1067" s="216"/>
      <c r="V1067" s="217"/>
      <c r="W1067" s="233"/>
      <c r="X1067" s="123"/>
      <c r="Y1067" s="117"/>
      <c r="Z1067" s="117"/>
    </row>
    <row r="1068" spans="1:26">
      <c r="A1068" s="117"/>
      <c r="B1068" s="117"/>
      <c r="C1068" s="117"/>
      <c r="D1068" s="117"/>
      <c r="E1068" s="117"/>
      <c r="F1068" s="117"/>
      <c r="G1068" s="116"/>
      <c r="H1068" s="117"/>
      <c r="I1068" s="117"/>
      <c r="J1068" s="117"/>
      <c r="K1068" s="117"/>
      <c r="L1068" s="117"/>
      <c r="M1068" s="213"/>
      <c r="N1068" s="117"/>
      <c r="O1068" s="117"/>
      <c r="P1068" s="117"/>
      <c r="Q1068" s="200"/>
      <c r="R1068" s="239"/>
      <c r="S1068" s="239"/>
      <c r="T1068" s="239"/>
      <c r="U1068" s="216"/>
      <c r="V1068" s="217"/>
      <c r="W1068" s="233"/>
      <c r="X1068" s="123"/>
      <c r="Y1068" s="117"/>
      <c r="Z1068" s="117"/>
    </row>
    <row r="1069" spans="1:26">
      <c r="A1069" s="117"/>
      <c r="B1069" s="117"/>
      <c r="C1069" s="117"/>
      <c r="D1069" s="117"/>
      <c r="E1069" s="117"/>
      <c r="F1069" s="117"/>
      <c r="G1069" s="116"/>
      <c r="H1069" s="117"/>
      <c r="I1069" s="117"/>
      <c r="J1069" s="117"/>
      <c r="K1069" s="117"/>
      <c r="L1069" s="117"/>
      <c r="M1069" s="213"/>
      <c r="N1069" s="117"/>
      <c r="O1069" s="117"/>
      <c r="P1069" s="117"/>
      <c r="Q1069" s="200"/>
      <c r="R1069" s="239"/>
      <c r="S1069" s="239"/>
      <c r="T1069" s="239"/>
      <c r="U1069" s="216"/>
      <c r="V1069" s="217"/>
      <c r="W1069" s="233"/>
      <c r="X1069" s="123"/>
      <c r="Y1069" s="117"/>
      <c r="Z1069" s="117"/>
    </row>
    <row r="1070" spans="1:26">
      <c r="A1070" s="117"/>
      <c r="B1070" s="117"/>
      <c r="C1070" s="117"/>
      <c r="D1070" s="117"/>
      <c r="E1070" s="117"/>
      <c r="F1070" s="117"/>
      <c r="G1070" s="116"/>
      <c r="H1070" s="117"/>
      <c r="I1070" s="117"/>
      <c r="J1070" s="117"/>
      <c r="K1070" s="117"/>
      <c r="L1070" s="117"/>
      <c r="M1070" s="213"/>
      <c r="N1070" s="117"/>
      <c r="O1070" s="117"/>
      <c r="P1070" s="117"/>
      <c r="Q1070" s="200"/>
      <c r="R1070" s="239"/>
      <c r="S1070" s="239"/>
      <c r="T1070" s="239"/>
      <c r="U1070" s="216"/>
      <c r="V1070" s="217"/>
      <c r="W1070" s="233"/>
      <c r="X1070" s="123"/>
      <c r="Y1070" s="117"/>
      <c r="Z1070" s="117"/>
    </row>
    <row r="1071" spans="1:26">
      <c r="A1071" s="117"/>
      <c r="B1071" s="117"/>
      <c r="C1071" s="117"/>
      <c r="D1071" s="117"/>
      <c r="E1071" s="117"/>
      <c r="F1071" s="117"/>
      <c r="G1071" s="116"/>
      <c r="H1071" s="117"/>
      <c r="I1071" s="117"/>
      <c r="J1071" s="117"/>
      <c r="K1071" s="117"/>
      <c r="L1071" s="117"/>
      <c r="M1071" s="213"/>
      <c r="N1071" s="117"/>
      <c r="O1071" s="117"/>
      <c r="P1071" s="117"/>
      <c r="Q1071" s="200"/>
      <c r="R1071" s="239"/>
      <c r="S1071" s="239"/>
      <c r="T1071" s="239"/>
      <c r="U1071" s="216"/>
      <c r="V1071" s="217"/>
      <c r="W1071" s="233"/>
      <c r="X1071" s="123"/>
      <c r="Y1071" s="117"/>
      <c r="Z1071" s="117"/>
    </row>
    <row r="1072" spans="1:26">
      <c r="A1072" s="117"/>
      <c r="B1072" s="117"/>
      <c r="C1072" s="117"/>
      <c r="D1072" s="117"/>
      <c r="E1072" s="117"/>
      <c r="F1072" s="117"/>
      <c r="G1072" s="116"/>
      <c r="H1072" s="117"/>
      <c r="I1072" s="117"/>
      <c r="J1072" s="117"/>
      <c r="K1072" s="117"/>
      <c r="L1072" s="117"/>
      <c r="M1072" s="213"/>
      <c r="N1072" s="117"/>
      <c r="O1072" s="117"/>
      <c r="P1072" s="117"/>
      <c r="Q1072" s="200"/>
      <c r="R1072" s="239"/>
      <c r="S1072" s="239"/>
      <c r="T1072" s="239"/>
      <c r="U1072" s="216"/>
      <c r="V1072" s="217"/>
      <c r="W1072" s="233"/>
      <c r="X1072" s="123"/>
      <c r="Y1072" s="117"/>
      <c r="Z1072" s="117"/>
    </row>
    <row r="1073" spans="1:26">
      <c r="A1073" s="117"/>
      <c r="B1073" s="117"/>
      <c r="C1073" s="117"/>
      <c r="D1073" s="117"/>
      <c r="E1073" s="117"/>
      <c r="F1073" s="117"/>
      <c r="G1073" s="116"/>
      <c r="H1073" s="117"/>
      <c r="I1073" s="117"/>
      <c r="J1073" s="117"/>
      <c r="K1073" s="117"/>
      <c r="L1073" s="117"/>
      <c r="M1073" s="213"/>
      <c r="N1073" s="117"/>
      <c r="O1073" s="117"/>
      <c r="P1073" s="117"/>
      <c r="Q1073" s="200"/>
      <c r="R1073" s="239"/>
      <c r="S1073" s="239"/>
      <c r="T1073" s="239"/>
      <c r="U1073" s="216"/>
      <c r="V1073" s="217"/>
      <c r="W1073" s="233"/>
      <c r="X1073" s="123"/>
      <c r="Y1073" s="117"/>
      <c r="Z1073" s="117"/>
    </row>
    <row r="1074" spans="1:26">
      <c r="A1074" s="117"/>
      <c r="B1074" s="117"/>
      <c r="C1074" s="117"/>
      <c r="D1074" s="117"/>
      <c r="E1074" s="117"/>
      <c r="F1074" s="117"/>
      <c r="G1074" s="116"/>
      <c r="H1074" s="117"/>
      <c r="I1074" s="117"/>
      <c r="J1074" s="117"/>
      <c r="K1074" s="117"/>
      <c r="L1074" s="117"/>
      <c r="M1074" s="213"/>
      <c r="N1074" s="117"/>
      <c r="O1074" s="117"/>
      <c r="P1074" s="117"/>
      <c r="Q1074" s="200"/>
      <c r="R1074" s="239"/>
      <c r="S1074" s="239"/>
      <c r="T1074" s="239"/>
      <c r="U1074" s="216"/>
      <c r="V1074" s="217"/>
      <c r="W1074" s="233"/>
      <c r="X1074" s="123"/>
      <c r="Y1074" s="117"/>
      <c r="Z1074" s="117"/>
    </row>
    <row r="1075" spans="1:26">
      <c r="A1075" s="117"/>
      <c r="B1075" s="117"/>
      <c r="C1075" s="117"/>
      <c r="D1075" s="117"/>
      <c r="E1075" s="117"/>
      <c r="F1075" s="117"/>
      <c r="G1075" s="116"/>
      <c r="H1075" s="117"/>
      <c r="I1075" s="117"/>
      <c r="J1075" s="117"/>
      <c r="K1075" s="117"/>
      <c r="L1075" s="117"/>
      <c r="M1075" s="213"/>
      <c r="N1075" s="117"/>
      <c r="O1075" s="117"/>
      <c r="P1075" s="117"/>
      <c r="Q1075" s="200"/>
      <c r="R1075" s="239"/>
      <c r="S1075" s="239"/>
      <c r="T1075" s="239"/>
      <c r="U1075" s="216"/>
      <c r="V1075" s="217"/>
      <c r="W1075" s="233"/>
      <c r="X1075" s="123"/>
      <c r="Y1075" s="117"/>
      <c r="Z1075" s="117"/>
    </row>
    <row r="1076" spans="1:26">
      <c r="A1076" s="117"/>
      <c r="B1076" s="117"/>
      <c r="C1076" s="117"/>
      <c r="D1076" s="117"/>
      <c r="E1076" s="117"/>
      <c r="F1076" s="117"/>
      <c r="G1076" s="116"/>
      <c r="H1076" s="117"/>
      <c r="I1076" s="117"/>
      <c r="J1076" s="117"/>
      <c r="K1076" s="117"/>
      <c r="L1076" s="117"/>
      <c r="M1076" s="213"/>
      <c r="N1076" s="117"/>
      <c r="O1076" s="117"/>
      <c r="P1076" s="117"/>
      <c r="Q1076" s="200"/>
      <c r="R1076" s="239"/>
      <c r="S1076" s="239"/>
      <c r="T1076" s="239"/>
      <c r="U1076" s="216"/>
      <c r="V1076" s="217"/>
      <c r="W1076" s="233"/>
      <c r="X1076" s="123"/>
      <c r="Y1076" s="117"/>
      <c r="Z1076" s="117"/>
    </row>
    <row r="1077" spans="1:26">
      <c r="A1077" s="117"/>
      <c r="B1077" s="117"/>
      <c r="C1077" s="117"/>
      <c r="D1077" s="117"/>
      <c r="E1077" s="117"/>
      <c r="F1077" s="117"/>
      <c r="G1077" s="116"/>
      <c r="H1077" s="117"/>
      <c r="I1077" s="117"/>
      <c r="J1077" s="117"/>
      <c r="K1077" s="117"/>
      <c r="L1077" s="117"/>
      <c r="M1077" s="213"/>
      <c r="N1077" s="117"/>
      <c r="O1077" s="117"/>
      <c r="P1077" s="117"/>
      <c r="Q1077" s="200"/>
      <c r="R1077" s="239"/>
      <c r="S1077" s="239"/>
      <c r="T1077" s="239"/>
      <c r="U1077" s="216"/>
      <c r="V1077" s="217"/>
      <c r="W1077" s="233"/>
      <c r="X1077" s="123"/>
      <c r="Y1077" s="117"/>
      <c r="Z1077" s="117"/>
    </row>
    <row r="1078" spans="1:26">
      <c r="A1078" s="117"/>
      <c r="B1078" s="117"/>
      <c r="C1078" s="117"/>
      <c r="D1078" s="117"/>
      <c r="E1078" s="117"/>
      <c r="F1078" s="117"/>
      <c r="G1078" s="116"/>
      <c r="H1078" s="117"/>
      <c r="I1078" s="117"/>
      <c r="J1078" s="117"/>
      <c r="K1078" s="117"/>
      <c r="L1078" s="117"/>
      <c r="M1078" s="213"/>
      <c r="N1078" s="117"/>
      <c r="O1078" s="117"/>
      <c r="P1078" s="117"/>
      <c r="Q1078" s="200"/>
      <c r="R1078" s="239"/>
      <c r="S1078" s="239"/>
      <c r="T1078" s="239"/>
      <c r="U1078" s="216"/>
      <c r="V1078" s="217"/>
      <c r="W1078" s="233"/>
      <c r="X1078" s="123"/>
      <c r="Y1078" s="117"/>
      <c r="Z1078" s="117"/>
    </row>
    <row r="1079" spans="1:26">
      <c r="A1079" s="117"/>
      <c r="B1079" s="117"/>
      <c r="C1079" s="117"/>
      <c r="D1079" s="117"/>
      <c r="E1079" s="117"/>
      <c r="F1079" s="117"/>
      <c r="G1079" s="116"/>
      <c r="H1079" s="117"/>
      <c r="I1079" s="117"/>
      <c r="J1079" s="117"/>
      <c r="K1079" s="117"/>
      <c r="L1079" s="117"/>
      <c r="M1079" s="213"/>
      <c r="N1079" s="117"/>
      <c r="O1079" s="117"/>
      <c r="P1079" s="117"/>
      <c r="Q1079" s="200"/>
      <c r="R1079" s="239"/>
      <c r="S1079" s="239"/>
      <c r="T1079" s="239"/>
      <c r="U1079" s="216"/>
      <c r="V1079" s="217"/>
      <c r="W1079" s="233"/>
      <c r="X1079" s="123"/>
      <c r="Y1079" s="117"/>
      <c r="Z1079" s="117"/>
    </row>
    <row r="1080" spans="1:26">
      <c r="A1080" s="117"/>
      <c r="B1080" s="117"/>
      <c r="C1080" s="117"/>
      <c r="D1080" s="117"/>
      <c r="E1080" s="117"/>
      <c r="F1080" s="117"/>
      <c r="G1080" s="116"/>
      <c r="H1080" s="117"/>
      <c r="I1080" s="117"/>
      <c r="J1080" s="117"/>
      <c r="K1080" s="117"/>
      <c r="L1080" s="117"/>
      <c r="M1080" s="213"/>
      <c r="N1080" s="117"/>
      <c r="O1080" s="117"/>
      <c r="P1080" s="117"/>
      <c r="Q1080" s="200"/>
      <c r="R1080" s="239"/>
      <c r="S1080" s="239"/>
      <c r="T1080" s="239"/>
      <c r="U1080" s="216"/>
      <c r="V1080" s="217"/>
      <c r="W1080" s="233"/>
      <c r="X1080" s="123"/>
      <c r="Y1080" s="117"/>
      <c r="Z1080" s="117"/>
    </row>
    <row r="1081" spans="1:26">
      <c r="A1081" s="117"/>
      <c r="B1081" s="117"/>
      <c r="C1081" s="117"/>
      <c r="D1081" s="117"/>
      <c r="E1081" s="117"/>
      <c r="F1081" s="117"/>
      <c r="G1081" s="116"/>
      <c r="H1081" s="117"/>
      <c r="I1081" s="117"/>
      <c r="J1081" s="117"/>
      <c r="K1081" s="117"/>
      <c r="L1081" s="117"/>
      <c r="M1081" s="213"/>
      <c r="N1081" s="117"/>
      <c r="O1081" s="117"/>
      <c r="P1081" s="117"/>
      <c r="Q1081" s="200"/>
      <c r="R1081" s="239"/>
      <c r="S1081" s="239"/>
      <c r="T1081" s="239"/>
      <c r="U1081" s="216"/>
      <c r="V1081" s="217"/>
      <c r="W1081" s="233"/>
      <c r="X1081" s="123"/>
      <c r="Y1081" s="117"/>
      <c r="Z1081" s="117"/>
    </row>
    <row r="1082" spans="1:26">
      <c r="A1082" s="117"/>
      <c r="B1082" s="117"/>
      <c r="C1082" s="117"/>
      <c r="D1082" s="117"/>
      <c r="E1082" s="117"/>
      <c r="F1082" s="117"/>
      <c r="G1082" s="116"/>
      <c r="H1082" s="117"/>
      <c r="I1082" s="117"/>
      <c r="J1082" s="117"/>
      <c r="K1082" s="117"/>
      <c r="L1082" s="117"/>
      <c r="M1082" s="213"/>
      <c r="N1082" s="117"/>
      <c r="O1082" s="117"/>
      <c r="P1082" s="117"/>
      <c r="Q1082" s="200"/>
      <c r="R1082" s="239"/>
      <c r="S1082" s="239"/>
      <c r="T1082" s="239"/>
      <c r="U1082" s="216"/>
      <c r="V1082" s="217"/>
      <c r="W1082" s="233"/>
      <c r="X1082" s="123"/>
      <c r="Y1082" s="117"/>
      <c r="Z1082" s="117"/>
    </row>
    <row r="1083" spans="1:26">
      <c r="A1083" s="117"/>
      <c r="B1083" s="117"/>
      <c r="C1083" s="117"/>
      <c r="D1083" s="117"/>
      <c r="E1083" s="117"/>
      <c r="F1083" s="117"/>
      <c r="G1083" s="116"/>
      <c r="H1083" s="117"/>
      <c r="I1083" s="117"/>
      <c r="J1083" s="117"/>
      <c r="K1083" s="117"/>
      <c r="L1083" s="117"/>
      <c r="M1083" s="213"/>
      <c r="N1083" s="117"/>
      <c r="O1083" s="117"/>
      <c r="P1083" s="117"/>
      <c r="Q1083" s="200"/>
      <c r="R1083" s="239"/>
      <c r="S1083" s="239"/>
      <c r="T1083" s="239"/>
      <c r="U1083" s="216"/>
      <c r="V1083" s="217"/>
      <c r="W1083" s="233"/>
      <c r="X1083" s="123"/>
      <c r="Y1083" s="117"/>
      <c r="Z1083" s="117"/>
    </row>
    <row r="1084" spans="1:26">
      <c r="A1084" s="117"/>
      <c r="B1084" s="117"/>
      <c r="C1084" s="117"/>
      <c r="D1084" s="117"/>
      <c r="E1084" s="117"/>
      <c r="F1084" s="117"/>
      <c r="G1084" s="116"/>
      <c r="H1084" s="117"/>
      <c r="I1084" s="117"/>
      <c r="J1084" s="117"/>
      <c r="K1084" s="117"/>
      <c r="L1084" s="117"/>
      <c r="M1084" s="213"/>
      <c r="N1084" s="117"/>
      <c r="O1084" s="117"/>
      <c r="P1084" s="117"/>
      <c r="Q1084" s="200"/>
      <c r="R1084" s="239"/>
      <c r="S1084" s="239"/>
      <c r="T1084" s="239"/>
      <c r="U1084" s="216"/>
      <c r="V1084" s="217"/>
      <c r="W1084" s="233"/>
      <c r="X1084" s="123"/>
      <c r="Y1084" s="117"/>
      <c r="Z1084" s="117"/>
    </row>
    <row r="1085" spans="1:26">
      <c r="A1085" s="117"/>
      <c r="B1085" s="117"/>
      <c r="C1085" s="117"/>
      <c r="D1085" s="117"/>
      <c r="E1085" s="117"/>
      <c r="F1085" s="117"/>
      <c r="G1085" s="116"/>
      <c r="H1085" s="117"/>
      <c r="I1085" s="117"/>
      <c r="J1085" s="117"/>
      <c r="K1085" s="117"/>
      <c r="L1085" s="117"/>
      <c r="M1085" s="213"/>
      <c r="N1085" s="117"/>
      <c r="O1085" s="117"/>
      <c r="P1085" s="117"/>
      <c r="Q1085" s="200"/>
      <c r="R1085" s="239"/>
      <c r="S1085" s="239"/>
      <c r="T1085" s="239"/>
      <c r="U1085" s="216"/>
      <c r="V1085" s="217"/>
      <c r="W1085" s="233"/>
      <c r="X1085" s="123"/>
      <c r="Y1085" s="117"/>
      <c r="Z1085" s="117"/>
    </row>
    <row r="1086" spans="1:26">
      <c r="A1086" s="117"/>
      <c r="B1086" s="117"/>
      <c r="C1086" s="117"/>
      <c r="D1086" s="117"/>
      <c r="E1086" s="117"/>
      <c r="F1086" s="117"/>
      <c r="G1086" s="116"/>
      <c r="H1086" s="117"/>
      <c r="I1086" s="117"/>
      <c r="J1086" s="117"/>
      <c r="K1086" s="117"/>
      <c r="L1086" s="117"/>
      <c r="M1086" s="213"/>
      <c r="N1086" s="117"/>
      <c r="O1086" s="117"/>
      <c r="P1086" s="117"/>
      <c r="Q1086" s="200"/>
      <c r="R1086" s="239"/>
      <c r="S1086" s="239"/>
      <c r="T1086" s="239"/>
      <c r="U1086" s="216"/>
      <c r="V1086" s="217"/>
      <c r="W1086" s="233"/>
      <c r="X1086" s="123"/>
      <c r="Y1086" s="117"/>
      <c r="Z1086" s="117"/>
    </row>
    <row r="1087" spans="1:26">
      <c r="A1087" s="117"/>
      <c r="B1087" s="117"/>
      <c r="C1087" s="117"/>
      <c r="D1087" s="117"/>
      <c r="E1087" s="117"/>
      <c r="F1087" s="117"/>
      <c r="G1087" s="116"/>
      <c r="H1087" s="117"/>
      <c r="I1087" s="117"/>
      <c r="J1087" s="117"/>
      <c r="K1087" s="117"/>
      <c r="L1087" s="117"/>
      <c r="M1087" s="213"/>
      <c r="N1087" s="117"/>
      <c r="O1087" s="117"/>
      <c r="P1087" s="117"/>
      <c r="Q1087" s="200"/>
      <c r="R1087" s="239"/>
      <c r="S1087" s="239"/>
      <c r="T1087" s="239"/>
      <c r="U1087" s="216"/>
      <c r="V1087" s="217"/>
      <c r="W1087" s="233"/>
      <c r="X1087" s="123"/>
      <c r="Y1087" s="117"/>
      <c r="Z1087" s="117"/>
    </row>
    <row r="1088" spans="1:26">
      <c r="A1088" s="117"/>
      <c r="B1088" s="117"/>
      <c r="C1088" s="117"/>
      <c r="D1088" s="117"/>
      <c r="E1088" s="117"/>
      <c r="F1088" s="117"/>
      <c r="G1088" s="116"/>
      <c r="H1088" s="117"/>
      <c r="I1088" s="117"/>
      <c r="J1088" s="117"/>
      <c r="K1088" s="117"/>
      <c r="L1088" s="117"/>
      <c r="M1088" s="213"/>
      <c r="N1088" s="117"/>
      <c r="O1088" s="117"/>
      <c r="P1088" s="117"/>
      <c r="Q1088" s="200"/>
      <c r="R1088" s="239"/>
      <c r="S1088" s="239"/>
      <c r="T1088" s="239"/>
      <c r="U1088" s="216"/>
      <c r="V1088" s="217"/>
      <c r="W1088" s="233"/>
      <c r="X1088" s="123"/>
      <c r="Y1088" s="117"/>
      <c r="Z1088" s="117"/>
    </row>
    <row r="1089" spans="1:26">
      <c r="A1089" s="117"/>
      <c r="B1089" s="117"/>
      <c r="C1089" s="117"/>
      <c r="D1089" s="117"/>
      <c r="E1089" s="117"/>
      <c r="F1089" s="117"/>
      <c r="G1089" s="116"/>
      <c r="H1089" s="117"/>
      <c r="I1089" s="117"/>
      <c r="J1089" s="117"/>
      <c r="K1089" s="117"/>
      <c r="L1089" s="117"/>
      <c r="M1089" s="213"/>
      <c r="N1089" s="117"/>
      <c r="O1089" s="117"/>
      <c r="P1089" s="117"/>
      <c r="Q1089" s="200"/>
      <c r="R1089" s="239"/>
      <c r="S1089" s="239"/>
      <c r="T1089" s="239"/>
      <c r="U1089" s="216"/>
      <c r="V1089" s="217"/>
      <c r="W1089" s="233"/>
      <c r="X1089" s="123"/>
      <c r="Y1089" s="117"/>
      <c r="Z1089" s="117"/>
    </row>
    <row r="1090" spans="1:26">
      <c r="A1090" s="117"/>
      <c r="B1090" s="117"/>
      <c r="C1090" s="117"/>
      <c r="D1090" s="117"/>
      <c r="E1090" s="117"/>
      <c r="F1090" s="117"/>
      <c r="G1090" s="116"/>
      <c r="H1090" s="117"/>
      <c r="I1090" s="117"/>
      <c r="J1090" s="117"/>
      <c r="K1090" s="117"/>
      <c r="L1090" s="117"/>
      <c r="M1090" s="213"/>
      <c r="N1090" s="117"/>
      <c r="O1090" s="117"/>
      <c r="P1090" s="117"/>
      <c r="Q1090" s="200"/>
      <c r="R1090" s="239"/>
      <c r="S1090" s="239"/>
      <c r="T1090" s="239"/>
      <c r="U1090" s="216"/>
      <c r="V1090" s="217"/>
      <c r="W1090" s="233"/>
      <c r="X1090" s="123"/>
      <c r="Y1090" s="117"/>
      <c r="Z1090" s="117"/>
    </row>
    <row r="1091" spans="1:26">
      <c r="A1091" s="117"/>
      <c r="B1091" s="117"/>
      <c r="C1091" s="117"/>
      <c r="D1091" s="117"/>
      <c r="E1091" s="117"/>
      <c r="F1091" s="117"/>
      <c r="G1091" s="116"/>
      <c r="H1091" s="117"/>
      <c r="I1091" s="117"/>
      <c r="J1091" s="117"/>
      <c r="K1091" s="117"/>
      <c r="L1091" s="117"/>
      <c r="M1091" s="213"/>
      <c r="N1091" s="117"/>
      <c r="O1091" s="117"/>
      <c r="P1091" s="117"/>
      <c r="Q1091" s="200"/>
      <c r="R1091" s="239"/>
      <c r="S1091" s="239"/>
      <c r="T1091" s="239"/>
      <c r="U1091" s="216"/>
      <c r="V1091" s="217"/>
      <c r="W1091" s="233"/>
      <c r="X1091" s="123"/>
      <c r="Y1091" s="117"/>
      <c r="Z1091" s="117"/>
    </row>
    <row r="1092" spans="1:26">
      <c r="A1092" s="117"/>
      <c r="B1092" s="117"/>
      <c r="C1092" s="117"/>
      <c r="D1092" s="117"/>
      <c r="E1092" s="117"/>
      <c r="F1092" s="117"/>
      <c r="G1092" s="116"/>
      <c r="H1092" s="117"/>
      <c r="I1092" s="117"/>
      <c r="J1092" s="117"/>
      <c r="K1092" s="117"/>
      <c r="L1092" s="117"/>
      <c r="M1092" s="213"/>
      <c r="N1092" s="117"/>
      <c r="O1092" s="117"/>
      <c r="P1092" s="117"/>
      <c r="Q1092" s="200"/>
      <c r="R1092" s="239"/>
      <c r="S1092" s="239"/>
      <c r="T1092" s="239"/>
      <c r="U1092" s="216"/>
      <c r="V1092" s="217"/>
      <c r="W1092" s="233"/>
      <c r="X1092" s="123"/>
      <c r="Y1092" s="117"/>
      <c r="Z1092" s="117"/>
    </row>
    <row r="1093" spans="1:26">
      <c r="A1093" s="117"/>
      <c r="B1093" s="117"/>
      <c r="C1093" s="117"/>
      <c r="D1093" s="117"/>
      <c r="E1093" s="117"/>
      <c r="F1093" s="117"/>
      <c r="G1093" s="116"/>
      <c r="H1093" s="117"/>
      <c r="I1093" s="117"/>
      <c r="J1093" s="117"/>
      <c r="K1093" s="117"/>
      <c r="L1093" s="117"/>
      <c r="M1093" s="213"/>
      <c r="N1093" s="117"/>
      <c r="O1093" s="117"/>
      <c r="P1093" s="117"/>
      <c r="Q1093" s="200"/>
      <c r="R1093" s="239"/>
      <c r="S1093" s="239"/>
      <c r="T1093" s="239"/>
      <c r="U1093" s="216"/>
      <c r="V1093" s="217"/>
      <c r="W1093" s="233"/>
      <c r="X1093" s="123"/>
      <c r="Y1093" s="117"/>
      <c r="Z1093" s="117"/>
    </row>
    <row r="1094" spans="1:26">
      <c r="A1094" s="117"/>
      <c r="B1094" s="117"/>
      <c r="C1094" s="117"/>
      <c r="D1094" s="117"/>
      <c r="E1094" s="117"/>
      <c r="F1094" s="117"/>
      <c r="G1094" s="116"/>
      <c r="H1094" s="117"/>
      <c r="I1094" s="117"/>
      <c r="J1094" s="117"/>
      <c r="K1094" s="117"/>
      <c r="L1094" s="117"/>
      <c r="M1094" s="213"/>
      <c r="N1094" s="117"/>
      <c r="O1094" s="117"/>
      <c r="P1094" s="117"/>
      <c r="Q1094" s="200"/>
      <c r="R1094" s="239"/>
      <c r="S1094" s="239"/>
      <c r="T1094" s="239"/>
      <c r="U1094" s="216"/>
      <c r="V1094" s="217"/>
      <c r="W1094" s="233"/>
      <c r="X1094" s="123"/>
      <c r="Y1094" s="117"/>
      <c r="Z1094" s="117"/>
    </row>
    <row r="1095" spans="1:26">
      <c r="A1095" s="117"/>
      <c r="B1095" s="117"/>
      <c r="C1095" s="117"/>
      <c r="D1095" s="117"/>
      <c r="E1095" s="117"/>
      <c r="F1095" s="117"/>
      <c r="G1095" s="116"/>
      <c r="H1095" s="117"/>
      <c r="I1095" s="117"/>
      <c r="J1095" s="117"/>
      <c r="K1095" s="117"/>
      <c r="L1095" s="117"/>
      <c r="M1095" s="213"/>
      <c r="N1095" s="117"/>
      <c r="O1095" s="117"/>
      <c r="P1095" s="117"/>
      <c r="Q1095" s="200"/>
      <c r="R1095" s="239"/>
      <c r="S1095" s="239"/>
      <c r="T1095" s="239"/>
      <c r="U1095" s="216"/>
      <c r="V1095" s="217"/>
      <c r="W1095" s="233"/>
      <c r="X1095" s="123"/>
      <c r="Y1095" s="117"/>
      <c r="Z1095" s="117"/>
    </row>
    <row r="1096" spans="1:26">
      <c r="A1096" s="117"/>
      <c r="B1096" s="117"/>
      <c r="C1096" s="117"/>
      <c r="D1096" s="117"/>
      <c r="E1096" s="117"/>
      <c r="F1096" s="117"/>
      <c r="G1096" s="116"/>
      <c r="H1096" s="117"/>
      <c r="I1096" s="117"/>
      <c r="J1096" s="117"/>
      <c r="K1096" s="117"/>
      <c r="L1096" s="117"/>
      <c r="M1096" s="213"/>
      <c r="N1096" s="117"/>
      <c r="O1096" s="117"/>
      <c r="P1096" s="117"/>
      <c r="Q1096" s="200"/>
      <c r="R1096" s="239"/>
      <c r="S1096" s="239"/>
      <c r="T1096" s="239"/>
      <c r="U1096" s="216"/>
      <c r="V1096" s="217"/>
      <c r="W1096" s="233"/>
      <c r="X1096" s="123"/>
      <c r="Y1096" s="117"/>
      <c r="Z1096" s="117"/>
    </row>
    <row r="1097" spans="1:26">
      <c r="A1097" s="117"/>
      <c r="B1097" s="117"/>
      <c r="C1097" s="117"/>
      <c r="D1097" s="117"/>
      <c r="E1097" s="117"/>
      <c r="F1097" s="117"/>
      <c r="G1097" s="116"/>
      <c r="H1097" s="117"/>
      <c r="I1097" s="117"/>
      <c r="J1097" s="117"/>
      <c r="K1097" s="117"/>
      <c r="L1097" s="117"/>
      <c r="M1097" s="213"/>
      <c r="N1097" s="117"/>
      <c r="O1097" s="117"/>
      <c r="P1097" s="117"/>
      <c r="Q1097" s="200"/>
      <c r="R1097" s="239"/>
      <c r="S1097" s="239"/>
      <c r="T1097" s="239"/>
      <c r="U1097" s="216"/>
      <c r="V1097" s="217"/>
      <c r="W1097" s="233"/>
      <c r="X1097" s="123"/>
      <c r="Y1097" s="117"/>
      <c r="Z1097" s="117"/>
    </row>
    <row r="1098" spans="1:26">
      <c r="A1098" s="117"/>
      <c r="B1098" s="117"/>
      <c r="C1098" s="117"/>
      <c r="D1098" s="117"/>
      <c r="E1098" s="117"/>
      <c r="F1098" s="117"/>
      <c r="G1098" s="116"/>
      <c r="H1098" s="117"/>
      <c r="I1098" s="117"/>
      <c r="J1098" s="117"/>
      <c r="K1098" s="117"/>
      <c r="L1098" s="117"/>
      <c r="M1098" s="213"/>
      <c r="N1098" s="117"/>
      <c r="O1098" s="117"/>
      <c r="P1098" s="117"/>
      <c r="Q1098" s="200"/>
      <c r="R1098" s="239"/>
      <c r="S1098" s="239"/>
      <c r="T1098" s="239"/>
      <c r="U1098" s="216"/>
      <c r="V1098" s="217"/>
      <c r="W1098" s="233"/>
      <c r="X1098" s="123"/>
      <c r="Y1098" s="117"/>
      <c r="Z1098" s="117"/>
    </row>
    <row r="1099" spans="1:26">
      <c r="A1099" s="117"/>
      <c r="B1099" s="117"/>
      <c r="C1099" s="117"/>
      <c r="D1099" s="117"/>
      <c r="E1099" s="117"/>
      <c r="F1099" s="117"/>
      <c r="G1099" s="116"/>
      <c r="H1099" s="117"/>
      <c r="I1099" s="117"/>
      <c r="J1099" s="117"/>
      <c r="K1099" s="117"/>
      <c r="L1099" s="117"/>
      <c r="M1099" s="213"/>
      <c r="N1099" s="117"/>
      <c r="O1099" s="117"/>
      <c r="P1099" s="117"/>
      <c r="Q1099" s="200"/>
      <c r="R1099" s="239"/>
      <c r="S1099" s="239"/>
      <c r="T1099" s="239"/>
      <c r="U1099" s="216"/>
      <c r="V1099" s="217"/>
      <c r="W1099" s="233"/>
      <c r="X1099" s="123"/>
      <c r="Y1099" s="117"/>
      <c r="Z1099" s="117"/>
    </row>
    <row r="1100" spans="1:26">
      <c r="A1100" s="117"/>
      <c r="B1100" s="117"/>
      <c r="C1100" s="117"/>
      <c r="D1100" s="117"/>
      <c r="E1100" s="117"/>
      <c r="F1100" s="117"/>
      <c r="G1100" s="116"/>
      <c r="H1100" s="117"/>
      <c r="I1100" s="117"/>
      <c r="J1100" s="117"/>
      <c r="K1100" s="117"/>
      <c r="L1100" s="117"/>
      <c r="M1100" s="213"/>
      <c r="N1100" s="117"/>
      <c r="O1100" s="117"/>
      <c r="P1100" s="117"/>
      <c r="Q1100" s="200"/>
      <c r="R1100" s="239"/>
      <c r="S1100" s="239"/>
      <c r="T1100" s="239"/>
      <c r="U1100" s="216"/>
      <c r="V1100" s="217"/>
      <c r="W1100" s="233"/>
      <c r="X1100" s="123"/>
      <c r="Y1100" s="117"/>
      <c r="Z1100" s="117"/>
    </row>
    <row r="1101" spans="1:26">
      <c r="A1101" s="117"/>
      <c r="B1101" s="117"/>
      <c r="C1101" s="117"/>
      <c r="D1101" s="117"/>
      <c r="E1101" s="117"/>
      <c r="F1101" s="117"/>
      <c r="G1101" s="116"/>
      <c r="H1101" s="117"/>
      <c r="I1101" s="117"/>
      <c r="J1101" s="117"/>
      <c r="K1101" s="117"/>
      <c r="L1101" s="117"/>
      <c r="M1101" s="213"/>
      <c r="N1101" s="117"/>
      <c r="O1101" s="117"/>
      <c r="P1101" s="117"/>
      <c r="Q1101" s="200"/>
      <c r="R1101" s="239"/>
      <c r="S1101" s="239"/>
      <c r="T1101" s="239"/>
      <c r="U1101" s="216"/>
      <c r="V1101" s="217"/>
      <c r="W1101" s="233"/>
      <c r="X1101" s="123"/>
      <c r="Y1101" s="117"/>
      <c r="Z1101" s="117"/>
    </row>
    <row r="1102" spans="1:26">
      <c r="A1102" s="117"/>
      <c r="B1102" s="117"/>
      <c r="C1102" s="117"/>
      <c r="D1102" s="117"/>
      <c r="E1102" s="117"/>
      <c r="F1102" s="117"/>
      <c r="G1102" s="116"/>
      <c r="H1102" s="117"/>
      <c r="I1102" s="117"/>
      <c r="J1102" s="117"/>
      <c r="K1102" s="117"/>
      <c r="L1102" s="117"/>
      <c r="M1102" s="213"/>
      <c r="N1102" s="117"/>
      <c r="O1102" s="117"/>
      <c r="P1102" s="117"/>
      <c r="Q1102" s="200"/>
      <c r="R1102" s="239"/>
      <c r="S1102" s="239"/>
      <c r="T1102" s="239"/>
      <c r="U1102" s="216"/>
      <c r="V1102" s="217"/>
      <c r="W1102" s="233"/>
      <c r="X1102" s="123"/>
      <c r="Y1102" s="117"/>
      <c r="Z1102" s="117"/>
    </row>
    <row r="1103" spans="1:26">
      <c r="A1103" s="117"/>
      <c r="B1103" s="117"/>
      <c r="C1103" s="117"/>
      <c r="D1103" s="117"/>
      <c r="E1103" s="117"/>
      <c r="F1103" s="117"/>
      <c r="G1103" s="116"/>
      <c r="H1103" s="117"/>
      <c r="I1103" s="117"/>
      <c r="J1103" s="117"/>
      <c r="K1103" s="117"/>
      <c r="L1103" s="117"/>
      <c r="M1103" s="213"/>
      <c r="N1103" s="117"/>
      <c r="O1103" s="117"/>
      <c r="P1103" s="117"/>
      <c r="Q1103" s="200"/>
      <c r="R1103" s="239"/>
      <c r="S1103" s="239"/>
      <c r="T1103" s="239"/>
      <c r="U1103" s="216"/>
      <c r="V1103" s="217"/>
      <c r="W1103" s="233"/>
      <c r="X1103" s="123"/>
      <c r="Y1103" s="117"/>
      <c r="Z1103" s="117"/>
    </row>
    <row r="1104" spans="1:26">
      <c r="A1104" s="117"/>
      <c r="B1104" s="117"/>
      <c r="C1104" s="117"/>
      <c r="D1104" s="117"/>
      <c r="E1104" s="117"/>
      <c r="F1104" s="117"/>
      <c r="G1104" s="116"/>
      <c r="H1104" s="117"/>
      <c r="I1104" s="117"/>
      <c r="J1104" s="117"/>
      <c r="K1104" s="117"/>
      <c r="L1104" s="117"/>
      <c r="M1104" s="213"/>
      <c r="N1104" s="117"/>
      <c r="O1104" s="117"/>
      <c r="P1104" s="117"/>
      <c r="Q1104" s="200"/>
      <c r="R1104" s="239"/>
      <c r="S1104" s="239"/>
      <c r="T1104" s="239"/>
      <c r="U1104" s="216"/>
      <c r="V1104" s="217"/>
      <c r="W1104" s="233"/>
      <c r="X1104" s="123"/>
      <c r="Y1104" s="117"/>
      <c r="Z1104" s="117"/>
    </row>
    <row r="1105" spans="1:26">
      <c r="A1105" s="117"/>
      <c r="B1105" s="117"/>
      <c r="C1105" s="117"/>
      <c r="D1105" s="117"/>
      <c r="E1105" s="117"/>
      <c r="F1105" s="117"/>
      <c r="G1105" s="116"/>
      <c r="H1105" s="117"/>
      <c r="I1105" s="117"/>
      <c r="J1105" s="117"/>
      <c r="K1105" s="117"/>
      <c r="L1105" s="117"/>
      <c r="M1105" s="213"/>
      <c r="N1105" s="117"/>
      <c r="O1105" s="117"/>
      <c r="P1105" s="117"/>
      <c r="Q1105" s="200"/>
      <c r="R1105" s="239"/>
      <c r="S1105" s="239"/>
      <c r="T1105" s="239"/>
      <c r="U1105" s="216"/>
      <c r="V1105" s="217"/>
      <c r="W1105" s="233"/>
      <c r="X1105" s="123"/>
      <c r="Y1105" s="117"/>
      <c r="Z1105" s="117"/>
    </row>
    <row r="1106" spans="1:26">
      <c r="A1106" s="117"/>
      <c r="B1106" s="117"/>
      <c r="C1106" s="117"/>
      <c r="D1106" s="117"/>
      <c r="E1106" s="117"/>
      <c r="F1106" s="117"/>
      <c r="G1106" s="116"/>
      <c r="H1106" s="117"/>
      <c r="I1106" s="117"/>
      <c r="J1106" s="117"/>
      <c r="K1106" s="117"/>
      <c r="L1106" s="117"/>
      <c r="M1106" s="213"/>
      <c r="N1106" s="117"/>
      <c r="O1106" s="117"/>
      <c r="P1106" s="117"/>
      <c r="Q1106" s="200"/>
      <c r="R1106" s="239"/>
      <c r="S1106" s="239"/>
      <c r="T1106" s="239"/>
      <c r="U1106" s="216"/>
      <c r="V1106" s="217"/>
      <c r="W1106" s="233"/>
      <c r="X1106" s="123"/>
      <c r="Y1106" s="117"/>
      <c r="Z1106" s="117"/>
    </row>
    <row r="1107" spans="1:26">
      <c r="A1107" s="117"/>
      <c r="B1107" s="117"/>
      <c r="C1107" s="117"/>
      <c r="D1107" s="117"/>
      <c r="E1107" s="117"/>
      <c r="F1107" s="117"/>
      <c r="G1107" s="116"/>
      <c r="H1107" s="117"/>
      <c r="I1107" s="117"/>
      <c r="J1107" s="117"/>
      <c r="K1107" s="117"/>
      <c r="L1107" s="117"/>
      <c r="M1107" s="213"/>
      <c r="N1107" s="117"/>
      <c r="O1107" s="117"/>
      <c r="P1107" s="117"/>
      <c r="Q1107" s="200"/>
      <c r="R1107" s="239"/>
      <c r="S1107" s="239"/>
      <c r="T1107" s="239"/>
      <c r="U1107" s="216"/>
      <c r="V1107" s="217"/>
      <c r="W1107" s="233"/>
      <c r="X1107" s="123"/>
      <c r="Y1107" s="117"/>
      <c r="Z1107" s="117"/>
    </row>
    <row r="1108" spans="1:26">
      <c r="A1108" s="117"/>
      <c r="B1108" s="117"/>
      <c r="C1108" s="117"/>
      <c r="D1108" s="117"/>
      <c r="E1108" s="117"/>
      <c r="F1108" s="117"/>
      <c r="G1108" s="116"/>
      <c r="H1108" s="117"/>
      <c r="I1108" s="117"/>
      <c r="J1108" s="117"/>
      <c r="K1108" s="117"/>
      <c r="L1108" s="117"/>
      <c r="M1108" s="213"/>
      <c r="N1108" s="117"/>
      <c r="O1108" s="117"/>
      <c r="P1108" s="117"/>
      <c r="Q1108" s="200"/>
      <c r="R1108" s="239"/>
      <c r="S1108" s="239"/>
      <c r="T1108" s="239"/>
      <c r="U1108" s="216"/>
      <c r="V1108" s="217"/>
      <c r="W1108" s="233"/>
      <c r="X1108" s="123"/>
      <c r="Y1108" s="117"/>
      <c r="Z1108" s="117"/>
    </row>
    <row r="1109" spans="1:26">
      <c r="A1109" s="117"/>
      <c r="B1109" s="117"/>
      <c r="C1109" s="117"/>
      <c r="D1109" s="117"/>
      <c r="E1109" s="117"/>
      <c r="F1109" s="117"/>
      <c r="G1109" s="116"/>
      <c r="H1109" s="117"/>
      <c r="I1109" s="117"/>
      <c r="J1109" s="117"/>
      <c r="K1109" s="117"/>
      <c r="L1109" s="117"/>
      <c r="M1109" s="213"/>
      <c r="N1109" s="117"/>
      <c r="O1109" s="117"/>
      <c r="P1109" s="117"/>
      <c r="Q1109" s="200"/>
      <c r="R1109" s="239"/>
      <c r="S1109" s="239"/>
      <c r="T1109" s="239"/>
      <c r="U1109" s="216"/>
      <c r="V1109" s="217"/>
      <c r="W1109" s="233"/>
      <c r="X1109" s="123"/>
      <c r="Y1109" s="117"/>
      <c r="Z1109" s="117"/>
    </row>
    <row r="1110" spans="1:26">
      <c r="A1110" s="117"/>
      <c r="B1110" s="117"/>
      <c r="C1110" s="117"/>
      <c r="D1110" s="117"/>
      <c r="E1110" s="117"/>
      <c r="F1110" s="117"/>
      <c r="G1110" s="116"/>
      <c r="H1110" s="117"/>
      <c r="I1110" s="117"/>
      <c r="J1110" s="117"/>
      <c r="K1110" s="117"/>
      <c r="L1110" s="117"/>
      <c r="M1110" s="213"/>
      <c r="N1110" s="117"/>
      <c r="O1110" s="117"/>
      <c r="P1110" s="117"/>
      <c r="Q1110" s="200"/>
      <c r="R1110" s="239"/>
      <c r="S1110" s="239"/>
      <c r="T1110" s="239"/>
      <c r="U1110" s="216"/>
      <c r="V1110" s="217"/>
      <c r="W1110" s="233"/>
      <c r="X1110" s="123"/>
      <c r="Y1110" s="117"/>
      <c r="Z1110" s="117"/>
    </row>
    <row r="1111" spans="1:26">
      <c r="A1111" s="117"/>
      <c r="B1111" s="117"/>
      <c r="C1111" s="117"/>
      <c r="D1111" s="117"/>
      <c r="E1111" s="117"/>
      <c r="F1111" s="117"/>
      <c r="G1111" s="116"/>
      <c r="H1111" s="117"/>
      <c r="I1111" s="117"/>
      <c r="J1111" s="117"/>
      <c r="K1111" s="117"/>
      <c r="L1111" s="117"/>
      <c r="M1111" s="213"/>
      <c r="N1111" s="117"/>
      <c r="O1111" s="117"/>
      <c r="P1111" s="117"/>
      <c r="Q1111" s="200"/>
      <c r="R1111" s="239"/>
      <c r="S1111" s="239"/>
      <c r="T1111" s="239"/>
      <c r="U1111" s="216"/>
      <c r="V1111" s="217"/>
      <c r="W1111" s="233"/>
      <c r="X1111" s="123"/>
      <c r="Y1111" s="117"/>
      <c r="Z1111" s="117"/>
    </row>
    <row r="1112" spans="1:26">
      <c r="A1112" s="117"/>
      <c r="B1112" s="117"/>
      <c r="C1112" s="117"/>
      <c r="D1112" s="117"/>
      <c r="E1112" s="117"/>
      <c r="F1112" s="117"/>
      <c r="G1112" s="116"/>
      <c r="H1112" s="117"/>
      <c r="I1112" s="117"/>
      <c r="J1112" s="117"/>
      <c r="K1112" s="117"/>
      <c r="L1112" s="117"/>
      <c r="M1112" s="213"/>
      <c r="N1112" s="117"/>
      <c r="O1112" s="117"/>
      <c r="P1112" s="117"/>
      <c r="Q1112" s="200"/>
      <c r="R1112" s="239"/>
      <c r="S1112" s="239"/>
      <c r="T1112" s="239"/>
      <c r="U1112" s="216"/>
      <c r="V1112" s="217"/>
      <c r="W1112" s="233"/>
      <c r="X1112" s="123"/>
      <c r="Y1112" s="117"/>
      <c r="Z1112" s="117"/>
    </row>
    <row r="1113" spans="1:26">
      <c r="A1113" s="117"/>
      <c r="B1113" s="117"/>
      <c r="C1113" s="117"/>
      <c r="D1113" s="117"/>
      <c r="E1113" s="117"/>
      <c r="F1113" s="117"/>
      <c r="G1113" s="116"/>
      <c r="H1113" s="117"/>
      <c r="I1113" s="117"/>
      <c r="J1113" s="117"/>
      <c r="K1113" s="117"/>
      <c r="L1113" s="117"/>
      <c r="M1113" s="213"/>
      <c r="N1113" s="117"/>
      <c r="O1113" s="117"/>
      <c r="P1113" s="117"/>
      <c r="Q1113" s="200"/>
      <c r="R1113" s="239"/>
      <c r="S1113" s="239"/>
      <c r="T1113" s="239"/>
      <c r="U1113" s="216"/>
      <c r="V1113" s="217"/>
      <c r="W1113" s="233"/>
      <c r="X1113" s="123"/>
      <c r="Y1113" s="117"/>
      <c r="Z1113" s="117"/>
    </row>
    <row r="1114" spans="1:26">
      <c r="A1114" s="117"/>
      <c r="B1114" s="117"/>
      <c r="C1114" s="117"/>
      <c r="D1114" s="117"/>
      <c r="E1114" s="117"/>
      <c r="F1114" s="117"/>
      <c r="G1114" s="116"/>
      <c r="H1114" s="117"/>
      <c r="I1114" s="117"/>
      <c r="J1114" s="117"/>
      <c r="K1114" s="117"/>
      <c r="L1114" s="117"/>
      <c r="M1114" s="213"/>
      <c r="N1114" s="117"/>
      <c r="O1114" s="117"/>
      <c r="P1114" s="117"/>
      <c r="Q1114" s="200"/>
      <c r="R1114" s="239"/>
      <c r="S1114" s="239"/>
      <c r="T1114" s="239"/>
      <c r="U1114" s="216"/>
      <c r="V1114" s="217"/>
      <c r="W1114" s="233"/>
      <c r="X1114" s="123"/>
      <c r="Y1114" s="117"/>
      <c r="Z1114" s="117"/>
    </row>
    <row r="1115" spans="1:26">
      <c r="A1115" s="117"/>
      <c r="B1115" s="117"/>
      <c r="C1115" s="117"/>
      <c r="D1115" s="117"/>
      <c r="E1115" s="117"/>
      <c r="F1115" s="117"/>
      <c r="G1115" s="116"/>
      <c r="H1115" s="117"/>
      <c r="I1115" s="117"/>
      <c r="J1115" s="117"/>
      <c r="K1115" s="117"/>
      <c r="L1115" s="117"/>
      <c r="M1115" s="213"/>
      <c r="N1115" s="117"/>
      <c r="O1115" s="117"/>
      <c r="P1115" s="117"/>
      <c r="Q1115" s="200"/>
      <c r="R1115" s="239"/>
      <c r="S1115" s="239"/>
      <c r="T1115" s="239"/>
      <c r="U1115" s="216"/>
      <c r="V1115" s="217"/>
      <c r="W1115" s="233"/>
      <c r="X1115" s="123"/>
      <c r="Y1115" s="117"/>
      <c r="Z1115" s="117"/>
    </row>
    <row r="1116" spans="1:26">
      <c r="A1116" s="117"/>
      <c r="B1116" s="117"/>
      <c r="C1116" s="117"/>
      <c r="D1116" s="117"/>
      <c r="E1116" s="117"/>
      <c r="F1116" s="117"/>
      <c r="G1116" s="116"/>
      <c r="H1116" s="117"/>
      <c r="I1116" s="117"/>
      <c r="J1116" s="117"/>
      <c r="K1116" s="117"/>
      <c r="L1116" s="117"/>
      <c r="M1116" s="213"/>
      <c r="N1116" s="117"/>
      <c r="O1116" s="117"/>
      <c r="P1116" s="117"/>
      <c r="Q1116" s="200"/>
      <c r="R1116" s="239"/>
      <c r="S1116" s="239"/>
      <c r="T1116" s="239"/>
      <c r="U1116" s="216"/>
      <c r="V1116" s="217"/>
      <c r="W1116" s="233"/>
      <c r="X1116" s="123"/>
      <c r="Y1116" s="117"/>
      <c r="Z1116" s="117"/>
    </row>
    <row r="1117" spans="1:26">
      <c r="A1117" s="117"/>
      <c r="B1117" s="117"/>
      <c r="C1117" s="117"/>
      <c r="D1117" s="117"/>
      <c r="E1117" s="117"/>
      <c r="F1117" s="117"/>
      <c r="G1117" s="116"/>
      <c r="H1117" s="117"/>
      <c r="I1117" s="117"/>
      <c r="J1117" s="117"/>
      <c r="K1117" s="117"/>
      <c r="L1117" s="117"/>
      <c r="M1117" s="213"/>
      <c r="N1117" s="117"/>
      <c r="O1117" s="117"/>
      <c r="P1117" s="117"/>
      <c r="Q1117" s="200"/>
      <c r="R1117" s="239"/>
      <c r="S1117" s="239"/>
      <c r="T1117" s="239"/>
      <c r="U1117" s="216"/>
      <c r="V1117" s="217"/>
      <c r="W1117" s="233"/>
      <c r="X1117" s="123"/>
      <c r="Y1117" s="117"/>
      <c r="Z1117" s="117"/>
    </row>
    <row r="1118" spans="1:26">
      <c r="A1118" s="117"/>
      <c r="B1118" s="117"/>
      <c r="C1118" s="117"/>
      <c r="D1118" s="117"/>
      <c r="E1118" s="117"/>
      <c r="F1118" s="117"/>
      <c r="G1118" s="116"/>
      <c r="H1118" s="117"/>
      <c r="I1118" s="117"/>
      <c r="J1118" s="117"/>
      <c r="K1118" s="117"/>
      <c r="L1118" s="117"/>
      <c r="M1118" s="213"/>
      <c r="N1118" s="117"/>
      <c r="O1118" s="117"/>
      <c r="P1118" s="117"/>
      <c r="Q1118" s="200"/>
      <c r="R1118" s="239"/>
      <c r="S1118" s="239"/>
      <c r="T1118" s="239"/>
      <c r="U1118" s="216"/>
      <c r="V1118" s="217"/>
      <c r="W1118" s="233"/>
      <c r="X1118" s="123"/>
      <c r="Y1118" s="117"/>
      <c r="Z1118" s="117"/>
    </row>
    <row r="1119" spans="1:26">
      <c r="A1119" s="117"/>
      <c r="B1119" s="117"/>
      <c r="C1119" s="117"/>
      <c r="D1119" s="117"/>
      <c r="E1119" s="117"/>
      <c r="F1119" s="117"/>
      <c r="G1119" s="116"/>
      <c r="H1119" s="117"/>
      <c r="I1119" s="117"/>
      <c r="J1119" s="117"/>
      <c r="K1119" s="117"/>
      <c r="L1119" s="117"/>
      <c r="M1119" s="213"/>
      <c r="N1119" s="117"/>
      <c r="O1119" s="117"/>
      <c r="P1119" s="117"/>
      <c r="Q1119" s="200"/>
      <c r="R1119" s="239"/>
      <c r="S1119" s="239"/>
      <c r="T1119" s="239"/>
      <c r="U1119" s="216"/>
      <c r="V1119" s="217"/>
      <c r="W1119" s="233"/>
      <c r="X1119" s="123"/>
      <c r="Y1119" s="117"/>
      <c r="Z1119" s="117"/>
    </row>
    <row r="1120" spans="1:26">
      <c r="A1120" s="117"/>
      <c r="B1120" s="117"/>
      <c r="C1120" s="117"/>
      <c r="D1120" s="117"/>
      <c r="E1120" s="117"/>
      <c r="F1120" s="117"/>
      <c r="G1120" s="116"/>
      <c r="H1120" s="117"/>
      <c r="I1120" s="117"/>
      <c r="J1120" s="117"/>
      <c r="K1120" s="117"/>
      <c r="L1120" s="117"/>
      <c r="M1120" s="213"/>
      <c r="N1120" s="117"/>
      <c r="O1120" s="117"/>
      <c r="P1120" s="117"/>
      <c r="Q1120" s="200"/>
      <c r="R1120" s="239"/>
      <c r="S1120" s="239"/>
      <c r="T1120" s="239"/>
      <c r="U1120" s="216"/>
      <c r="V1120" s="217"/>
      <c r="W1120" s="233"/>
      <c r="X1120" s="123"/>
      <c r="Y1120" s="117"/>
      <c r="Z1120" s="117"/>
    </row>
    <row r="1121" spans="1:26">
      <c r="A1121" s="117"/>
      <c r="B1121" s="117"/>
      <c r="C1121" s="117"/>
      <c r="D1121" s="117"/>
      <c r="E1121" s="117"/>
      <c r="F1121" s="117"/>
      <c r="G1121" s="116"/>
      <c r="H1121" s="117"/>
      <c r="I1121" s="117"/>
      <c r="J1121" s="117"/>
      <c r="K1121" s="117"/>
      <c r="L1121" s="117"/>
      <c r="M1121" s="213"/>
      <c r="N1121" s="117"/>
      <c r="O1121" s="117"/>
      <c r="P1121" s="117"/>
      <c r="Q1121" s="200"/>
      <c r="R1121" s="239"/>
      <c r="S1121" s="239"/>
      <c r="T1121" s="239"/>
      <c r="U1121" s="216"/>
      <c r="V1121" s="217"/>
      <c r="W1121" s="233"/>
      <c r="X1121" s="123"/>
      <c r="Y1121" s="117"/>
      <c r="Z1121" s="117"/>
    </row>
    <row r="1122" spans="1:26">
      <c r="A1122" s="117"/>
      <c r="B1122" s="117"/>
      <c r="C1122" s="117"/>
      <c r="D1122" s="117"/>
      <c r="E1122" s="117"/>
      <c r="F1122" s="117"/>
      <c r="G1122" s="116"/>
      <c r="H1122" s="117"/>
      <c r="I1122" s="117"/>
      <c r="J1122" s="117"/>
      <c r="K1122" s="117"/>
      <c r="L1122" s="117"/>
      <c r="M1122" s="213"/>
      <c r="N1122" s="117"/>
      <c r="O1122" s="117"/>
      <c r="P1122" s="117"/>
      <c r="Q1122" s="200"/>
      <c r="R1122" s="239"/>
      <c r="S1122" s="239"/>
      <c r="T1122" s="239"/>
      <c r="U1122" s="216"/>
      <c r="V1122" s="217"/>
      <c r="W1122" s="233"/>
      <c r="X1122" s="123"/>
      <c r="Y1122" s="117"/>
      <c r="Z1122" s="117"/>
    </row>
    <row r="1123" spans="1:26">
      <c r="A1123" s="117"/>
      <c r="B1123" s="117"/>
      <c r="C1123" s="117"/>
      <c r="D1123" s="117"/>
      <c r="E1123" s="117"/>
      <c r="F1123" s="117"/>
      <c r="G1123" s="116"/>
      <c r="H1123" s="117"/>
      <c r="I1123" s="117"/>
      <c r="J1123" s="117"/>
      <c r="K1123" s="117"/>
      <c r="L1123" s="117"/>
      <c r="M1123" s="213"/>
      <c r="N1123" s="117"/>
      <c r="O1123" s="117"/>
      <c r="P1123" s="117"/>
      <c r="Q1123" s="200"/>
      <c r="R1123" s="239"/>
      <c r="S1123" s="239"/>
      <c r="T1123" s="239"/>
      <c r="U1123" s="216"/>
      <c r="V1123" s="217"/>
      <c r="W1123" s="233"/>
      <c r="X1123" s="123"/>
      <c r="Y1123" s="117"/>
      <c r="Z1123" s="117"/>
    </row>
    <row r="1124" spans="1:26">
      <c r="A1124" s="117"/>
      <c r="B1124" s="117"/>
      <c r="C1124" s="117"/>
      <c r="D1124" s="117"/>
      <c r="E1124" s="117"/>
      <c r="F1124" s="117"/>
      <c r="G1124" s="116"/>
      <c r="H1124" s="117"/>
      <c r="I1124" s="117"/>
      <c r="J1124" s="117"/>
      <c r="K1124" s="117"/>
      <c r="L1124" s="117"/>
      <c r="M1124" s="213"/>
      <c r="N1124" s="117"/>
      <c r="O1124" s="117"/>
      <c r="P1124" s="117"/>
      <c r="Q1124" s="200"/>
      <c r="R1124" s="239"/>
      <c r="S1124" s="239"/>
      <c r="T1124" s="239"/>
      <c r="U1124" s="216"/>
      <c r="V1124" s="217"/>
      <c r="W1124" s="233"/>
      <c r="X1124" s="123"/>
      <c r="Y1124" s="117"/>
      <c r="Z1124" s="117"/>
    </row>
    <row r="1125" spans="1:26">
      <c r="A1125" s="117"/>
      <c r="B1125" s="117"/>
      <c r="C1125" s="117"/>
      <c r="D1125" s="117"/>
      <c r="E1125" s="117"/>
      <c r="F1125" s="117"/>
      <c r="G1125" s="116"/>
      <c r="H1125" s="117"/>
      <c r="I1125" s="117"/>
      <c r="J1125" s="117"/>
      <c r="K1125" s="117"/>
      <c r="L1125" s="117"/>
      <c r="M1125" s="213"/>
      <c r="N1125" s="117"/>
      <c r="O1125" s="117"/>
      <c r="P1125" s="117"/>
      <c r="Q1125" s="200"/>
      <c r="R1125" s="239"/>
      <c r="S1125" s="239"/>
      <c r="T1125" s="239"/>
      <c r="U1125" s="216"/>
      <c r="V1125" s="217"/>
      <c r="W1125" s="233"/>
      <c r="X1125" s="123"/>
      <c r="Y1125" s="117"/>
      <c r="Z1125" s="117"/>
    </row>
    <row r="1126" spans="1:26">
      <c r="A1126" s="117"/>
      <c r="B1126" s="117"/>
      <c r="C1126" s="117"/>
      <c r="D1126" s="117"/>
      <c r="E1126" s="117"/>
      <c r="F1126" s="117"/>
      <c r="G1126" s="116"/>
      <c r="H1126" s="117"/>
      <c r="I1126" s="117"/>
      <c r="J1126" s="117"/>
      <c r="K1126" s="117"/>
      <c r="L1126" s="117"/>
      <c r="M1126" s="213"/>
      <c r="N1126" s="117"/>
      <c r="O1126" s="117"/>
      <c r="P1126" s="117"/>
      <c r="Q1126" s="200"/>
      <c r="R1126" s="239"/>
      <c r="S1126" s="239"/>
      <c r="T1126" s="239"/>
      <c r="U1126" s="216"/>
      <c r="V1126" s="217"/>
      <c r="W1126" s="233"/>
      <c r="X1126" s="123"/>
      <c r="Y1126" s="117"/>
      <c r="Z1126" s="117"/>
    </row>
    <row r="1127" spans="1:26">
      <c r="A1127" s="117"/>
      <c r="B1127" s="117"/>
      <c r="C1127" s="117"/>
      <c r="D1127" s="117"/>
      <c r="E1127" s="117"/>
      <c r="F1127" s="117"/>
      <c r="G1127" s="116"/>
      <c r="H1127" s="117"/>
      <c r="I1127" s="117"/>
      <c r="J1127" s="117"/>
      <c r="K1127" s="117"/>
      <c r="L1127" s="117"/>
      <c r="M1127" s="213"/>
      <c r="N1127" s="117"/>
      <c r="O1127" s="117"/>
      <c r="P1127" s="117"/>
      <c r="Q1127" s="200"/>
      <c r="R1127" s="239"/>
      <c r="S1127" s="239"/>
      <c r="T1127" s="239"/>
      <c r="U1127" s="216"/>
      <c r="V1127" s="217"/>
      <c r="W1127" s="233"/>
      <c r="X1127" s="123"/>
      <c r="Y1127" s="117"/>
      <c r="Z1127" s="117"/>
    </row>
    <row r="1128" spans="1:26">
      <c r="A1128" s="117"/>
      <c r="B1128" s="117"/>
      <c r="C1128" s="117"/>
      <c r="D1128" s="117"/>
      <c r="E1128" s="117"/>
      <c r="F1128" s="117"/>
      <c r="G1128" s="116"/>
      <c r="H1128" s="117"/>
      <c r="I1128" s="117"/>
      <c r="J1128" s="117"/>
      <c r="K1128" s="117"/>
      <c r="L1128" s="117"/>
      <c r="M1128" s="213"/>
      <c r="N1128" s="117"/>
      <c r="O1128" s="117"/>
      <c r="P1128" s="117"/>
      <c r="Q1128" s="200"/>
      <c r="R1128" s="239"/>
      <c r="S1128" s="239"/>
      <c r="T1128" s="239"/>
      <c r="U1128" s="216"/>
      <c r="V1128" s="217"/>
      <c r="W1128" s="233"/>
      <c r="X1128" s="123"/>
      <c r="Y1128" s="117"/>
      <c r="Z1128" s="117"/>
    </row>
    <row r="1129" spans="1:26">
      <c r="A1129" s="117"/>
      <c r="B1129" s="117"/>
      <c r="C1129" s="117"/>
      <c r="D1129" s="117"/>
      <c r="E1129" s="117"/>
      <c r="F1129" s="117"/>
      <c r="G1129" s="116"/>
      <c r="H1129" s="117"/>
      <c r="I1129" s="117"/>
      <c r="J1129" s="117"/>
      <c r="K1129" s="117"/>
      <c r="L1129" s="117"/>
      <c r="M1129" s="213"/>
      <c r="N1129" s="117"/>
      <c r="O1129" s="117"/>
      <c r="P1129" s="117"/>
      <c r="Q1129" s="200"/>
      <c r="R1129" s="239"/>
      <c r="S1129" s="239"/>
      <c r="T1129" s="239"/>
      <c r="U1129" s="216"/>
      <c r="V1129" s="217"/>
      <c r="W1129" s="233"/>
      <c r="X1129" s="123"/>
      <c r="Y1129" s="117"/>
      <c r="Z1129" s="117"/>
    </row>
    <row r="1130" spans="1:26">
      <c r="A1130" s="117"/>
      <c r="B1130" s="117"/>
      <c r="C1130" s="117"/>
      <c r="D1130" s="117"/>
      <c r="E1130" s="117"/>
      <c r="F1130" s="117"/>
      <c r="G1130" s="116"/>
      <c r="H1130" s="117"/>
      <c r="I1130" s="117"/>
      <c r="J1130" s="117"/>
      <c r="K1130" s="117"/>
      <c r="L1130" s="117"/>
      <c r="M1130" s="213"/>
      <c r="N1130" s="117"/>
      <c r="O1130" s="117"/>
      <c r="P1130" s="117"/>
      <c r="Q1130" s="200"/>
      <c r="R1130" s="239"/>
      <c r="S1130" s="239"/>
      <c r="T1130" s="239"/>
      <c r="U1130" s="216"/>
      <c r="V1130" s="217"/>
      <c r="W1130" s="233"/>
      <c r="X1130" s="123"/>
      <c r="Y1130" s="117"/>
      <c r="Z1130" s="117"/>
    </row>
  </sheetData>
  <hyperlinks>
    <hyperlink ref="F2" r:id="rId1" xr:uid="{00000000-0004-0000-0500-000000000000}"/>
    <hyperlink ref="F3" r:id="rId2" xr:uid="{00000000-0004-0000-0500-000001000000}"/>
    <hyperlink ref="F13" r:id="rId3" xr:uid="{00000000-0004-0000-0500-000002000000}"/>
    <hyperlink ref="F33" r:id="rId4" xr:uid="{00000000-0004-0000-0500-000003000000}"/>
    <hyperlink ref="F38" r:id="rId5" xr:uid="{00000000-0004-0000-0500-000004000000}"/>
    <hyperlink ref="F58" r:id="rId6" xr:uid="{00000000-0004-0000-0500-000005000000}"/>
    <hyperlink ref="F75" r:id="rId7" xr:uid="{00000000-0004-0000-0500-000006000000}"/>
    <hyperlink ref="F90" r:id="rId8" xr:uid="{00000000-0004-0000-0500-000007000000}"/>
    <hyperlink ref="F102" r:id="rId9" xr:uid="{00000000-0004-0000-0500-000008000000}"/>
    <hyperlink ref="F106" r:id="rId10" xr:uid="{00000000-0004-0000-0500-000009000000}"/>
    <hyperlink ref="F114" r:id="rId11" xr:uid="{00000000-0004-0000-0500-00000A000000}"/>
    <hyperlink ref="F131" r:id="rId12" xr:uid="{00000000-0004-0000-0500-00000B000000}"/>
    <hyperlink ref="F141" r:id="rId13" xr:uid="{00000000-0004-0000-0500-00000C000000}"/>
    <hyperlink ref="F151" r:id="rId14" xr:uid="{00000000-0004-0000-0500-00000D000000}"/>
    <hyperlink ref="F152" r:id="rId15" xr:uid="{00000000-0004-0000-0500-00000E000000}"/>
    <hyperlink ref="F153" r:id="rId16" xr:uid="{00000000-0004-0000-0500-00000F000000}"/>
    <hyperlink ref="F154" r:id="rId17" xr:uid="{00000000-0004-0000-0500-000010000000}"/>
    <hyperlink ref="F155" r:id="rId18" xr:uid="{00000000-0004-0000-0500-000011000000}"/>
    <hyperlink ref="F156" r:id="rId19" xr:uid="{00000000-0004-0000-0500-000012000000}"/>
    <hyperlink ref="F157" r:id="rId20" xr:uid="{00000000-0004-0000-0500-000013000000}"/>
    <hyperlink ref="F158" r:id="rId21" xr:uid="{00000000-0004-0000-0500-000014000000}"/>
  </hyperlinks>
  <pageMargins left="0.7" right="0.7" top="0.75" bottom="0.75" header="0.3" footer="0.3"/>
  <drawing r:id="rId22"/>
  <legacyDrawing r:id="rId23"/>
  <tableParts count="1">
    <tablePart r:id="rId24"/>
  </tableParts>
  <extLst>
    <ext xmlns:x14="http://schemas.microsoft.com/office/spreadsheetml/2009/9/main" uri="{CCE6A557-97BC-4b89-ADB6-D9C93CAAB3DF}">
      <x14:dataValidations xmlns:xm="http://schemas.microsoft.com/office/excel/2006/main" count="27">
        <x14:dataValidation type="list" allowBlank="1" xr:uid="{00000000-0002-0000-0500-000000000000}">
          <x14:formula1>
            <xm:f>Fields!$D$2:$D$15</xm:f>
          </x14:formula1>
          <xm:sqref>B72</xm:sqref>
        </x14:dataValidation>
        <x14:dataValidation type="list" allowBlank="1" xr:uid="{00000000-0002-0000-0500-000001000000}">
          <x14:formula1>
            <xm:f>Fields!$D$2:$D$15</xm:f>
          </x14:formula1>
          <xm:sqref>B36:B37 B39:B42</xm:sqref>
        </x14:dataValidation>
        <x14:dataValidation type="list" allowBlank="1" xr:uid="{00000000-0002-0000-0500-000002000000}">
          <x14:formula1>
            <xm:f>Fields!$D$2:$D$15</xm:f>
          </x14:formula1>
          <xm:sqref>B52</xm:sqref>
        </x14:dataValidation>
        <x14:dataValidation type="list" allowBlank="1" xr:uid="{00000000-0002-0000-0500-000003000000}">
          <x14:formula1>
            <xm:f>Fields!$D$2:$D$15</xm:f>
          </x14:formula1>
          <xm:sqref>B35</xm:sqref>
        </x14:dataValidation>
        <x14:dataValidation type="list" allowBlank="1" xr:uid="{00000000-0002-0000-0500-000004000000}">
          <x14:formula1>
            <xm:f>Fields!$F$2:$F$12</xm:f>
          </x14:formula1>
          <xm:sqref>C26 C29</xm:sqref>
        </x14:dataValidation>
        <x14:dataValidation type="list" allowBlank="1" xr:uid="{00000000-0002-0000-0500-000005000000}">
          <x14:formula1>
            <xm:f>Fields!$D$2:$D$15</xm:f>
          </x14:formula1>
          <xm:sqref>B70:B71</xm:sqref>
        </x14:dataValidation>
        <x14:dataValidation type="list" allowBlank="1" xr:uid="{00000000-0002-0000-0500-000006000000}">
          <x14:formula1>
            <xm:f>Fields!$A$2:$A$8</xm:f>
          </x14:formula1>
          <xm:sqref>D75:D89</xm:sqref>
        </x14:dataValidation>
        <x14:dataValidation type="list" allowBlank="1" xr:uid="{00000000-0002-0000-0500-000007000000}">
          <x14:formula1>
            <xm:f>Fields!$D$2:$D$15</xm:f>
          </x14:formula1>
          <xm:sqref>B2:B12 B14:B33 B90:B158</xm:sqref>
        </x14:dataValidation>
        <x14:dataValidation type="list" allowBlank="1" xr:uid="{00000000-0002-0000-0500-000008000000}">
          <x14:formula1>
            <xm:f>Fields!$A$2:$A$8</xm:f>
          </x14:formula1>
          <xm:sqref>D13 D38:D41 D43:D49 D52:D56</xm:sqref>
        </x14:dataValidation>
        <x14:dataValidation type="list" allowBlank="1" xr:uid="{00000000-0002-0000-0500-000009000000}">
          <x14:formula1>
            <xm:f>Fields!$D$2:$D$15</xm:f>
          </x14:formula1>
          <xm:sqref>B60:B69</xm:sqref>
        </x14:dataValidation>
        <x14:dataValidation type="list" allowBlank="1" xr:uid="{00000000-0002-0000-0500-00000A000000}">
          <x14:formula1>
            <xm:f>Fields!$D$2:$D$15</xm:f>
          </x14:formula1>
          <xm:sqref>B34</xm:sqref>
        </x14:dataValidation>
        <x14:dataValidation type="list" allowBlank="1" xr:uid="{00000000-0002-0000-0500-00000B000000}">
          <x14:formula1>
            <xm:f>Fields!$F$2:$F$12</xm:f>
          </x14:formula1>
          <xm:sqref>C2:C12 C14:C24 C30:C158</xm:sqref>
        </x14:dataValidation>
        <x14:dataValidation type="list" allowBlank="1" xr:uid="{00000000-0002-0000-0500-00000C000000}">
          <x14:formula1>
            <xm:f>Fields!$A$2:$A$8</xm:f>
          </x14:formula1>
          <xm:sqref>D42 D50:D51</xm:sqref>
        </x14:dataValidation>
        <x14:dataValidation type="list" allowBlank="1" xr:uid="{00000000-0002-0000-0500-00000D000000}">
          <x14:formula1>
            <xm:f>Fields!$D$2:$D$15</xm:f>
          </x14:formula1>
          <xm:sqref>B53:B55 B57</xm:sqref>
        </x14:dataValidation>
        <x14:dataValidation type="list" allowBlank="1" xr:uid="{00000000-0002-0000-0500-00000E000000}">
          <x14:formula1>
            <xm:f>Fields!$F$2:$F$12</xm:f>
          </x14:formula1>
          <xm:sqref>C13 C25 C27:C28</xm:sqref>
        </x14:dataValidation>
        <x14:dataValidation type="list" allowBlank="1" xr:uid="{00000000-0002-0000-0500-00000F000000}">
          <x14:formula1>
            <xm:f>Fields!$D$2:$D$15</xm:f>
          </x14:formula1>
          <xm:sqref>B73</xm:sqref>
        </x14:dataValidation>
        <x14:dataValidation type="list" allowBlank="1" xr:uid="{00000000-0002-0000-0500-000010000000}">
          <x14:formula1>
            <xm:f>Fields!$A$2:$A$8</xm:f>
          </x14:formula1>
          <xm:sqref>D2:D12 D14:D37 D57 D59:D74 D90:D141 D151:D158</xm:sqref>
        </x14:dataValidation>
        <x14:dataValidation type="list" allowBlank="1" xr:uid="{00000000-0002-0000-0500-000011000000}">
          <x14:formula1>
            <xm:f>Fields!$D$2:$D$15</xm:f>
          </x14:formula1>
          <xm:sqref>B89</xm:sqref>
        </x14:dataValidation>
        <x14:dataValidation type="list" allowBlank="1" xr:uid="{00000000-0002-0000-0500-000012000000}">
          <x14:formula1>
            <xm:f>Fields!$D$2:$D$15</xm:f>
          </x14:formula1>
          <xm:sqref>B47:B51</xm:sqref>
        </x14:dataValidation>
        <x14:dataValidation type="list" allowBlank="1" xr:uid="{00000000-0002-0000-0500-000013000000}">
          <x14:formula1>
            <xm:f>Fields!$A$2:$A$8</xm:f>
          </x14:formula1>
          <xm:sqref>D58</xm:sqref>
        </x14:dataValidation>
        <x14:dataValidation type="list" allowBlank="1" xr:uid="{00000000-0002-0000-0500-000014000000}">
          <x14:formula1>
            <xm:f>Fields!$D$2:$D$15</xm:f>
          </x14:formula1>
          <xm:sqref>B58:B59</xm:sqref>
        </x14:dataValidation>
        <x14:dataValidation type="list" allowBlank="1" xr:uid="{00000000-0002-0000-0500-000015000000}">
          <x14:formula1>
            <xm:f>Fields!$D$2:$D$15</xm:f>
          </x14:formula1>
          <xm:sqref>B74</xm:sqref>
        </x14:dataValidation>
        <x14:dataValidation type="list" allowBlank="1" xr:uid="{00000000-0002-0000-0500-000016000000}">
          <x14:formula1>
            <xm:f>Fields!$D$2:$D$15</xm:f>
          </x14:formula1>
          <xm:sqref>B56</xm:sqref>
        </x14:dataValidation>
        <x14:dataValidation type="list" allowBlank="1" xr:uid="{00000000-0002-0000-0500-000017000000}">
          <x14:formula1>
            <xm:f>Fields!$D$2:$D$15</xm:f>
          </x14:formula1>
          <xm:sqref>B43:B45</xm:sqref>
        </x14:dataValidation>
        <x14:dataValidation type="list" allowBlank="1" xr:uid="{00000000-0002-0000-0500-000018000000}">
          <x14:formula1>
            <xm:f>Fields!$D$2:$D$15</xm:f>
          </x14:formula1>
          <xm:sqref>B46</xm:sqref>
        </x14:dataValidation>
        <x14:dataValidation type="list" allowBlank="1" xr:uid="{00000000-0002-0000-0500-000019000000}">
          <x14:formula1>
            <xm:f>Fields!$D$2:$D$15</xm:f>
          </x14:formula1>
          <xm:sqref>B75:B88</xm:sqref>
        </x14:dataValidation>
        <x14:dataValidation type="list" allowBlank="1" xr:uid="{00000000-0002-0000-0500-00001A000000}">
          <x14:formula1>
            <xm:f>Fields!$D$2:$D$15</xm:f>
          </x14:formula1>
          <xm:sqref>B13 B38</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4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2.140625" customWidth="1"/>
    <col min="7" max="7" width="28.42578125" customWidth="1"/>
    <col min="8" max="8" width="3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2" t="s">
        <v>1</v>
      </c>
      <c r="B1" s="7" t="str">
        <f>HYPERLINK("#rangeid=2086300674","Content Owner")</f>
        <v>Content Owner</v>
      </c>
      <c r="C1" s="11" t="str">
        <f>HYPERLINK("#rangeid=632369931","Video Owner")</f>
        <v>Video Owner</v>
      </c>
      <c r="D1" s="13" t="s">
        <v>6</v>
      </c>
      <c r="E1" s="14" t="s">
        <v>12</v>
      </c>
      <c r="F1" s="16" t="s">
        <v>16</v>
      </c>
      <c r="G1" s="2" t="s">
        <v>18</v>
      </c>
      <c r="H1" s="26" t="str">
        <f>HYPERLINK("#rangeid=906849400","Description")</f>
        <v>Description</v>
      </c>
      <c r="I1" s="21" t="s">
        <v>22</v>
      </c>
      <c r="J1" s="2" t="s">
        <v>24</v>
      </c>
      <c r="K1" s="23" t="s">
        <v>25</v>
      </c>
      <c r="L1" s="2" t="s">
        <v>27</v>
      </c>
      <c r="M1" s="2" t="s">
        <v>28</v>
      </c>
      <c r="N1" s="2"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c r="AC1" s="37"/>
      <c r="AD1" s="37"/>
      <c r="AE1" s="37"/>
      <c r="AF1" s="37"/>
      <c r="AG1" s="37"/>
      <c r="AH1" s="37"/>
      <c r="AI1" s="37"/>
      <c r="AJ1" s="37"/>
      <c r="AK1" s="37"/>
    </row>
    <row r="2" spans="1:37">
      <c r="A2" s="38">
        <v>17</v>
      </c>
      <c r="B2" s="39" t="s">
        <v>136</v>
      </c>
      <c r="C2" s="41"/>
      <c r="D2" s="42"/>
      <c r="E2" s="38" t="s">
        <v>140</v>
      </c>
      <c r="F2" s="43" t="s">
        <v>141</v>
      </c>
      <c r="G2" s="44"/>
      <c r="H2" s="45"/>
      <c r="I2" s="38"/>
      <c r="J2" s="38">
        <f>343</f>
        <v>343</v>
      </c>
      <c r="K2" s="46">
        <v>2.7430555555555559E-3</v>
      </c>
      <c r="L2" s="47" t="s">
        <v>61</v>
      </c>
      <c r="M2" s="38"/>
      <c r="N2" s="38"/>
      <c r="O2" s="38"/>
      <c r="P2" s="49"/>
      <c r="Q2" s="14" t="str">
        <f t="shared" ref="Q2:Q149" ca="1" si="0">HYPERLINK(IF(INT(A2)-A2=0,"",REPLACE(INDIRECT("MasterList!e"&amp;INT(A2)+1),25,8,"embed/")&amp;"?start="&amp;HOUR(M2)*3600+MINUTE(M2)*60+SECOND(M2)&amp;"&amp;end="&amp;HOUR(N2)*3600+MINUTE(N2)*60+SECOND(N2)&amp;"&amp;autoplay=1"))</f>
        <v/>
      </c>
      <c r="R2" s="51"/>
      <c r="S2" s="51"/>
      <c r="T2" s="51"/>
      <c r="U2" s="40"/>
      <c r="V2" s="54"/>
      <c r="W2" s="55"/>
      <c r="X2" s="56"/>
      <c r="Y2" s="38"/>
      <c r="Z2" s="38"/>
      <c r="AA2" s="38"/>
      <c r="AB2" s="38"/>
    </row>
    <row r="3" spans="1:37">
      <c r="A3" s="38">
        <v>19</v>
      </c>
      <c r="B3" s="39" t="s">
        <v>136</v>
      </c>
      <c r="C3" s="41"/>
      <c r="D3" s="42"/>
      <c r="E3" s="38" t="s">
        <v>152</v>
      </c>
      <c r="F3" s="43" t="s">
        <v>153</v>
      </c>
      <c r="G3" s="44"/>
      <c r="H3" s="45"/>
      <c r="I3" s="38"/>
      <c r="J3" s="38">
        <f>378</f>
        <v>378</v>
      </c>
      <c r="K3" s="46">
        <v>1.1226851851851851E-3</v>
      </c>
      <c r="L3" s="47" t="s">
        <v>61</v>
      </c>
      <c r="M3" s="38"/>
      <c r="N3" s="38"/>
      <c r="O3" s="38"/>
      <c r="P3" s="49"/>
      <c r="Q3" s="14" t="str">
        <f t="shared" ca="1" si="0"/>
        <v/>
      </c>
      <c r="R3" s="51"/>
      <c r="S3" s="51"/>
      <c r="T3" s="51"/>
      <c r="U3" s="40"/>
      <c r="V3" s="54"/>
      <c r="W3" s="55"/>
      <c r="X3" s="56"/>
      <c r="Y3" s="38"/>
      <c r="Z3" s="38"/>
      <c r="AA3" s="38"/>
      <c r="AB3" s="38"/>
    </row>
    <row r="4" spans="1:37">
      <c r="A4" s="38">
        <v>30</v>
      </c>
      <c r="B4" s="39" t="s">
        <v>136</v>
      </c>
      <c r="C4" s="40"/>
      <c r="D4" s="38"/>
      <c r="E4" s="38" t="s">
        <v>220</v>
      </c>
      <c r="F4" s="43" t="s">
        <v>221</v>
      </c>
      <c r="G4" s="63"/>
      <c r="H4" s="45"/>
      <c r="I4" s="38"/>
      <c r="J4" s="38">
        <f>6.9*1000</f>
        <v>6900</v>
      </c>
      <c r="K4" s="46">
        <v>5.208333333333333E-3</v>
      </c>
      <c r="L4" s="47" t="s">
        <v>61</v>
      </c>
      <c r="M4" s="62"/>
      <c r="N4" s="62"/>
      <c r="O4" s="38"/>
      <c r="P4" s="38"/>
      <c r="Q4" s="14" t="str">
        <f t="shared" ca="1" si="0"/>
        <v/>
      </c>
      <c r="R4" s="51"/>
      <c r="S4" s="51"/>
      <c r="T4" s="51"/>
      <c r="U4" s="40"/>
      <c r="V4" s="54"/>
      <c r="W4" s="55"/>
      <c r="X4" s="56"/>
      <c r="Y4" s="38"/>
      <c r="Z4" s="38"/>
      <c r="AA4" s="38"/>
      <c r="AB4" s="38"/>
    </row>
    <row r="5" spans="1:37">
      <c r="A5" s="38">
        <v>32</v>
      </c>
      <c r="B5" s="39" t="s">
        <v>136</v>
      </c>
      <c r="C5" s="40"/>
      <c r="D5" s="38"/>
      <c r="E5" s="38" t="s">
        <v>231</v>
      </c>
      <c r="F5" s="43" t="s">
        <v>232</v>
      </c>
      <c r="G5" s="44"/>
      <c r="H5" s="45"/>
      <c r="I5" s="38"/>
      <c r="J5" s="38">
        <f>282</f>
        <v>282</v>
      </c>
      <c r="K5" s="46">
        <v>1.2037037037037038E-3</v>
      </c>
      <c r="L5" s="47" t="s">
        <v>61</v>
      </c>
      <c r="M5" s="62"/>
      <c r="N5" s="62"/>
      <c r="O5" s="38"/>
      <c r="P5" s="38"/>
      <c r="Q5" s="14" t="str">
        <f t="shared" ca="1" si="0"/>
        <v/>
      </c>
      <c r="R5" s="51"/>
      <c r="S5" s="51"/>
      <c r="T5" s="51"/>
      <c r="U5" s="40"/>
      <c r="V5" s="54"/>
      <c r="W5" s="55"/>
      <c r="X5" s="56"/>
      <c r="Y5" s="38"/>
      <c r="Z5" s="38"/>
      <c r="AA5" s="38"/>
      <c r="AB5" s="38"/>
    </row>
    <row r="6" spans="1:37">
      <c r="A6" s="38">
        <v>54</v>
      </c>
      <c r="B6" s="39" t="s">
        <v>136</v>
      </c>
      <c r="C6" s="40"/>
      <c r="D6" s="38"/>
      <c r="E6" s="38" t="s">
        <v>337</v>
      </c>
      <c r="F6" s="43" t="s">
        <v>338</v>
      </c>
      <c r="G6" s="44"/>
      <c r="H6" s="45"/>
      <c r="I6" s="38"/>
      <c r="J6" s="38">
        <f>1.3*1000</f>
        <v>1300</v>
      </c>
      <c r="K6" s="46">
        <v>9.3171296296296283E-3</v>
      </c>
      <c r="L6" s="47" t="s">
        <v>61</v>
      </c>
      <c r="M6" s="62"/>
      <c r="N6" s="62"/>
      <c r="O6" s="38"/>
      <c r="P6" s="38"/>
      <c r="Q6" s="14" t="str">
        <f t="shared" ca="1" si="0"/>
        <v/>
      </c>
      <c r="R6" s="51"/>
      <c r="S6" s="51"/>
      <c r="T6" s="51"/>
      <c r="U6" s="40"/>
      <c r="V6" s="54"/>
      <c r="W6" s="55"/>
      <c r="X6" s="56"/>
      <c r="Y6" s="38"/>
      <c r="Z6" s="38"/>
      <c r="AA6" s="38"/>
      <c r="AB6" s="38"/>
    </row>
    <row r="7" spans="1:37">
      <c r="A7" s="38">
        <v>55</v>
      </c>
      <c r="B7" s="39" t="s">
        <v>136</v>
      </c>
      <c r="C7" s="40"/>
      <c r="D7" s="38"/>
      <c r="E7" s="38" t="s">
        <v>342</v>
      </c>
      <c r="F7" s="43" t="s">
        <v>343</v>
      </c>
      <c r="G7" s="44"/>
      <c r="H7" s="45"/>
      <c r="I7" s="38"/>
      <c r="J7" s="38">
        <f>959</f>
        <v>959</v>
      </c>
      <c r="K7" s="46">
        <v>9.0740740740740729E-3</v>
      </c>
      <c r="L7" s="47" t="s">
        <v>61</v>
      </c>
      <c r="M7" s="62"/>
      <c r="N7" s="62"/>
      <c r="O7" s="38"/>
      <c r="P7" s="38"/>
      <c r="Q7" s="14" t="str">
        <f t="shared" ca="1" si="0"/>
        <v/>
      </c>
      <c r="R7" s="51"/>
      <c r="S7" s="51"/>
      <c r="T7" s="51"/>
      <c r="U7" s="40"/>
      <c r="V7" s="54"/>
      <c r="W7" s="55"/>
      <c r="X7" s="56"/>
      <c r="Y7" s="38"/>
      <c r="Z7" s="38"/>
      <c r="AA7" s="38"/>
      <c r="AB7" s="38"/>
    </row>
    <row r="8" spans="1:37">
      <c r="A8" s="38">
        <v>56</v>
      </c>
      <c r="B8" s="39" t="s">
        <v>136</v>
      </c>
      <c r="C8" s="40"/>
      <c r="D8" s="38"/>
      <c r="E8" s="38" t="s">
        <v>348</v>
      </c>
      <c r="F8" s="43" t="s">
        <v>349</v>
      </c>
      <c r="G8" s="44"/>
      <c r="H8" s="45"/>
      <c r="I8" s="38"/>
      <c r="J8" s="38">
        <f>1.1*1000</f>
        <v>1100</v>
      </c>
      <c r="K8" s="46">
        <v>5.185185185185185E-3</v>
      </c>
      <c r="L8" s="47" t="s">
        <v>61</v>
      </c>
      <c r="M8" s="62"/>
      <c r="N8" s="62"/>
      <c r="O8" s="38"/>
      <c r="P8" s="38"/>
      <c r="Q8" s="14" t="str">
        <f t="shared" ca="1" si="0"/>
        <v/>
      </c>
      <c r="R8" s="51"/>
      <c r="S8" s="51"/>
      <c r="T8" s="51"/>
      <c r="U8" s="40"/>
      <c r="V8" s="54"/>
      <c r="W8" s="55"/>
      <c r="X8" s="56"/>
      <c r="Y8" s="38"/>
      <c r="Z8" s="38"/>
      <c r="AA8" s="38"/>
      <c r="AB8" s="38"/>
    </row>
    <row r="9" spans="1:37">
      <c r="A9" s="38">
        <v>57</v>
      </c>
      <c r="B9" s="39" t="s">
        <v>136</v>
      </c>
      <c r="C9" s="40"/>
      <c r="D9" s="38"/>
      <c r="E9" s="38" t="s">
        <v>352</v>
      </c>
      <c r="F9" s="43" t="s">
        <v>353</v>
      </c>
      <c r="G9" s="44"/>
      <c r="H9" s="45"/>
      <c r="I9" s="38"/>
      <c r="J9" s="38">
        <f>1*1000</f>
        <v>1000</v>
      </c>
      <c r="K9" s="46">
        <v>8.5995370370370357E-3</v>
      </c>
      <c r="L9" s="47" t="s">
        <v>61</v>
      </c>
      <c r="M9" s="62"/>
      <c r="N9" s="62"/>
      <c r="O9" s="38"/>
      <c r="P9" s="38"/>
      <c r="Q9" s="14" t="str">
        <f t="shared" ca="1" si="0"/>
        <v/>
      </c>
      <c r="R9" s="51"/>
      <c r="S9" s="51"/>
      <c r="T9" s="51"/>
      <c r="U9" s="40"/>
      <c r="V9" s="54"/>
      <c r="W9" s="55"/>
      <c r="X9" s="56"/>
      <c r="Y9" s="38"/>
      <c r="Z9" s="38"/>
      <c r="AA9" s="38"/>
      <c r="AB9" s="38"/>
    </row>
    <row r="10" spans="1:37">
      <c r="A10" s="38">
        <v>58</v>
      </c>
      <c r="B10" s="39" t="s">
        <v>136</v>
      </c>
      <c r="C10" s="40"/>
      <c r="D10" s="38"/>
      <c r="E10" s="38" t="s">
        <v>356</v>
      </c>
      <c r="F10" s="43" t="s">
        <v>357</v>
      </c>
      <c r="G10" s="44"/>
      <c r="H10" s="45"/>
      <c r="I10" s="38"/>
      <c r="J10" s="38">
        <f>1.5*1000</f>
        <v>1500</v>
      </c>
      <c r="K10" s="46">
        <v>0.01</v>
      </c>
      <c r="L10" s="47" t="s">
        <v>61</v>
      </c>
      <c r="M10" s="62"/>
      <c r="N10" s="62"/>
      <c r="O10" s="38"/>
      <c r="P10" s="38"/>
      <c r="Q10" s="14" t="str">
        <f t="shared" ca="1" si="0"/>
        <v/>
      </c>
      <c r="R10" s="51"/>
      <c r="S10" s="51"/>
      <c r="T10" s="51"/>
      <c r="U10" s="40"/>
      <c r="V10" s="54"/>
      <c r="W10" s="55"/>
      <c r="X10" s="56"/>
      <c r="Y10" s="38"/>
      <c r="Z10" s="38"/>
      <c r="AA10" s="38"/>
      <c r="AB10" s="38"/>
    </row>
    <row r="11" spans="1:37">
      <c r="A11" s="38">
        <v>60</v>
      </c>
      <c r="B11" s="39" t="s">
        <v>136</v>
      </c>
      <c r="C11" s="40"/>
      <c r="D11" s="38"/>
      <c r="E11" s="38" t="s">
        <v>371</v>
      </c>
      <c r="F11" s="43" t="s">
        <v>373</v>
      </c>
      <c r="G11" s="44"/>
      <c r="H11" s="45"/>
      <c r="I11" s="38"/>
      <c r="J11" s="38">
        <f>2.3*1000</f>
        <v>2300</v>
      </c>
      <c r="K11" s="46">
        <v>5.6018518518518518E-3</v>
      </c>
      <c r="L11" s="47" t="s">
        <v>286</v>
      </c>
      <c r="M11" s="38"/>
      <c r="N11" s="38"/>
      <c r="O11" s="38"/>
      <c r="P11" s="38"/>
      <c r="Q11" s="14" t="str">
        <f t="shared" ca="1" si="0"/>
        <v/>
      </c>
      <c r="R11" s="51"/>
      <c r="S11" s="51"/>
      <c r="T11" s="51"/>
      <c r="U11" s="40"/>
      <c r="V11" s="54"/>
      <c r="W11" s="55"/>
      <c r="X11" s="56"/>
      <c r="Y11" s="38"/>
      <c r="Z11" s="38"/>
      <c r="AA11" s="38"/>
      <c r="AB11" s="38"/>
    </row>
    <row r="12" spans="1:37">
      <c r="A12" s="38">
        <v>61</v>
      </c>
      <c r="B12" s="39" t="s">
        <v>136</v>
      </c>
      <c r="C12" s="40"/>
      <c r="D12" s="38"/>
      <c r="E12" s="38" t="s">
        <v>377</v>
      </c>
      <c r="F12" s="43" t="s">
        <v>378</v>
      </c>
      <c r="G12" s="44"/>
      <c r="H12" s="45"/>
      <c r="I12" s="38"/>
      <c r="J12" s="38">
        <f>709</f>
        <v>709</v>
      </c>
      <c r="K12" s="46">
        <v>2.0138888888888888E-3</v>
      </c>
      <c r="L12" s="47" t="s">
        <v>286</v>
      </c>
      <c r="M12" s="38"/>
      <c r="N12" s="38"/>
      <c r="O12" s="38"/>
      <c r="P12" s="38"/>
      <c r="Q12" s="14" t="str">
        <f t="shared" ca="1" si="0"/>
        <v/>
      </c>
      <c r="R12" s="51"/>
      <c r="S12" s="51"/>
      <c r="T12" s="51"/>
      <c r="U12" s="40"/>
      <c r="V12" s="54"/>
      <c r="W12" s="55"/>
      <c r="X12" s="56"/>
      <c r="Y12" s="38"/>
      <c r="Z12" s="38"/>
      <c r="AA12" s="38"/>
      <c r="AB12" s="38"/>
    </row>
    <row r="13" spans="1:37">
      <c r="A13" s="38">
        <v>66</v>
      </c>
      <c r="B13" s="39" t="s">
        <v>136</v>
      </c>
      <c r="C13" s="40"/>
      <c r="D13" s="38"/>
      <c r="E13" s="38" t="s">
        <v>399</v>
      </c>
      <c r="F13" s="43" t="s">
        <v>401</v>
      </c>
      <c r="G13" s="44"/>
      <c r="H13" s="45"/>
      <c r="I13" s="38"/>
      <c r="J13" s="38">
        <f>2.9*1000</f>
        <v>2900</v>
      </c>
      <c r="K13" s="46">
        <v>2.7766203703703706E-2</v>
      </c>
      <c r="L13" s="47" t="s">
        <v>286</v>
      </c>
      <c r="M13" s="38"/>
      <c r="N13" s="38"/>
      <c r="O13" s="38"/>
      <c r="P13" s="38"/>
      <c r="Q13" s="14" t="str">
        <f t="shared" ca="1" si="0"/>
        <v/>
      </c>
      <c r="R13" s="51"/>
      <c r="S13" s="51"/>
      <c r="T13" s="51"/>
      <c r="U13" s="40"/>
      <c r="V13" s="54"/>
      <c r="W13" s="55"/>
      <c r="X13" s="56"/>
      <c r="Y13" s="38"/>
      <c r="Z13" s="38"/>
      <c r="AA13" s="38"/>
      <c r="AB13" s="38"/>
    </row>
    <row r="14" spans="1:37">
      <c r="A14" s="38">
        <v>67</v>
      </c>
      <c r="B14" s="39" t="s">
        <v>136</v>
      </c>
      <c r="C14" s="40"/>
      <c r="D14" s="38"/>
      <c r="E14" s="38" t="s">
        <v>404</v>
      </c>
      <c r="F14" s="43" t="s">
        <v>407</v>
      </c>
      <c r="G14" s="44"/>
      <c r="H14" s="45"/>
      <c r="I14" s="38"/>
      <c r="J14" s="38">
        <f>575</f>
        <v>575</v>
      </c>
      <c r="K14" s="46">
        <v>5.0347222222222225E-3</v>
      </c>
      <c r="L14" s="47" t="s">
        <v>286</v>
      </c>
      <c r="M14" s="38"/>
      <c r="N14" s="38"/>
      <c r="O14" s="38"/>
      <c r="P14" s="38"/>
      <c r="Q14" s="14" t="str">
        <f t="shared" ca="1" si="0"/>
        <v/>
      </c>
      <c r="R14" s="51"/>
      <c r="S14" s="51"/>
      <c r="T14" s="51"/>
      <c r="U14" s="40"/>
      <c r="V14" s="54"/>
      <c r="W14" s="55"/>
      <c r="X14" s="56"/>
      <c r="Y14" s="38"/>
      <c r="Z14" s="38"/>
      <c r="AA14" s="38"/>
      <c r="AB14" s="38"/>
    </row>
    <row r="15" spans="1:37">
      <c r="A15" s="38">
        <v>271</v>
      </c>
      <c r="B15" s="39" t="s">
        <v>136</v>
      </c>
      <c r="C15" s="40"/>
      <c r="D15" s="42" t="s">
        <v>56</v>
      </c>
      <c r="E15" s="38" t="s">
        <v>1217</v>
      </c>
      <c r="F15" s="43" t="s">
        <v>1218</v>
      </c>
      <c r="G15" s="44"/>
      <c r="H15" s="45"/>
      <c r="I15" s="38"/>
      <c r="J15" s="38">
        <f>46*1000</f>
        <v>46000</v>
      </c>
      <c r="K15" s="46">
        <v>3.3611111111111112E-2</v>
      </c>
      <c r="L15" s="47" t="s">
        <v>1139</v>
      </c>
      <c r="M15" s="38"/>
      <c r="N15" s="38"/>
      <c r="O15" s="38"/>
      <c r="P15" s="65">
        <v>43019</v>
      </c>
      <c r="Q15" s="14" t="str">
        <f t="shared" ca="1" si="0"/>
        <v/>
      </c>
      <c r="R15" s="39" t="s">
        <v>63</v>
      </c>
      <c r="S15" s="39" t="s">
        <v>2059</v>
      </c>
      <c r="T15" s="39" t="s">
        <v>63</v>
      </c>
      <c r="U15" s="40"/>
      <c r="V15" s="54"/>
      <c r="W15" s="55"/>
      <c r="X15" s="56"/>
      <c r="Y15" s="96" t="s">
        <v>2060</v>
      </c>
      <c r="Z15" s="12" t="s">
        <v>2061</v>
      </c>
      <c r="AA15" s="88"/>
      <c r="AB15" s="88"/>
    </row>
    <row r="16" spans="1:37">
      <c r="A16" s="42">
        <v>271.01</v>
      </c>
      <c r="B16" s="39" t="s">
        <v>136</v>
      </c>
      <c r="C16" s="40"/>
      <c r="D16" s="42" t="s">
        <v>56</v>
      </c>
      <c r="E16" s="38"/>
      <c r="F16" s="43"/>
      <c r="G16" s="63" t="s">
        <v>2062</v>
      </c>
      <c r="H16" s="58" t="s">
        <v>2063</v>
      </c>
      <c r="I16" s="38"/>
      <c r="J16" s="38"/>
      <c r="K16" s="46"/>
      <c r="L16" s="47"/>
      <c r="M16" s="76">
        <v>8.1018518518518516E-5</v>
      </c>
      <c r="N16" s="76">
        <v>1.9560185185185184E-3</v>
      </c>
      <c r="O16" s="76">
        <v>1.8749999999999999E-3</v>
      </c>
      <c r="P16" s="65">
        <v>43019</v>
      </c>
      <c r="Q16" s="59" t="str">
        <f t="shared" ca="1" si="0"/>
        <v>https://www.youtube.com/embed/_OWY_haNDNI?start=7&amp;end=169&amp;autoplay=1</v>
      </c>
      <c r="R16" s="39" t="s">
        <v>63</v>
      </c>
      <c r="S16" s="39" t="s">
        <v>2059</v>
      </c>
      <c r="T16" s="39" t="s">
        <v>63</v>
      </c>
      <c r="U16" s="40"/>
      <c r="V16" s="54"/>
      <c r="W16" s="69" t="s">
        <v>64</v>
      </c>
      <c r="X16" s="56"/>
      <c r="Y16" s="88"/>
      <c r="Z16" s="88"/>
      <c r="AA16" s="88"/>
      <c r="AB16" s="88"/>
    </row>
    <row r="17" spans="1:28">
      <c r="A17" s="42">
        <v>271.02</v>
      </c>
      <c r="B17" s="39" t="s">
        <v>136</v>
      </c>
      <c r="C17" s="40"/>
      <c r="D17" s="42" t="s">
        <v>56</v>
      </c>
      <c r="E17" s="38"/>
      <c r="F17" s="43"/>
      <c r="G17" s="63" t="s">
        <v>2066</v>
      </c>
      <c r="H17" s="58" t="s">
        <v>2067</v>
      </c>
      <c r="I17" s="38"/>
      <c r="J17" s="38"/>
      <c r="K17" s="46"/>
      <c r="L17" s="47"/>
      <c r="M17" s="76">
        <v>2.0254629629629629E-3</v>
      </c>
      <c r="N17" s="76">
        <v>4.8495370370370368E-3</v>
      </c>
      <c r="O17" s="76">
        <v>2.8240740740740739E-3</v>
      </c>
      <c r="P17" s="65">
        <v>43020</v>
      </c>
      <c r="Q17" s="59" t="str">
        <f t="shared" ca="1" si="0"/>
        <v>https://www.youtube.com/embed/_OWY_haNDNI?start=175&amp;end=419&amp;autoplay=1</v>
      </c>
      <c r="R17" s="39" t="s">
        <v>63</v>
      </c>
      <c r="S17" s="39" t="s">
        <v>2059</v>
      </c>
      <c r="T17" s="39" t="s">
        <v>63</v>
      </c>
      <c r="U17" s="40"/>
      <c r="V17" s="54"/>
      <c r="W17" s="69" t="s">
        <v>64</v>
      </c>
      <c r="X17" s="56"/>
      <c r="Y17" s="88"/>
      <c r="Z17" s="88"/>
      <c r="AA17" s="88"/>
      <c r="AB17" s="88"/>
    </row>
    <row r="18" spans="1:28">
      <c r="A18" s="42">
        <v>271.02999999999997</v>
      </c>
      <c r="B18" s="39" t="s">
        <v>136</v>
      </c>
      <c r="C18" s="40"/>
      <c r="D18" s="42" t="s">
        <v>56</v>
      </c>
      <c r="E18" s="38"/>
      <c r="F18" s="43"/>
      <c r="G18" s="63" t="s">
        <v>2070</v>
      </c>
      <c r="H18" s="58" t="s">
        <v>2071</v>
      </c>
      <c r="I18" s="38"/>
      <c r="J18" s="38"/>
      <c r="K18" s="46"/>
      <c r="L18" s="47"/>
      <c r="M18" s="76">
        <v>4.9652777777777777E-3</v>
      </c>
      <c r="N18" s="76">
        <v>6.2152777777777779E-3</v>
      </c>
      <c r="O18" s="76">
        <v>1.1921296296296296E-3</v>
      </c>
      <c r="P18" s="65">
        <v>43020</v>
      </c>
      <c r="Q18" s="59" t="str">
        <f t="shared" ca="1" si="0"/>
        <v>https://www.youtube.com/embed/_OWY_haNDNI?start=429&amp;end=537&amp;autoplay=1</v>
      </c>
      <c r="R18" s="39" t="s">
        <v>63</v>
      </c>
      <c r="S18" s="39" t="s">
        <v>2059</v>
      </c>
      <c r="T18" s="39" t="s">
        <v>63</v>
      </c>
      <c r="U18" s="40"/>
      <c r="V18" s="54"/>
      <c r="W18" s="69" t="s">
        <v>64</v>
      </c>
      <c r="X18" s="56"/>
      <c r="Y18" s="88"/>
      <c r="Z18" s="88"/>
      <c r="AA18" s="88"/>
      <c r="AB18" s="88"/>
    </row>
    <row r="19" spans="1:28">
      <c r="A19" s="42">
        <v>271.04000000000002</v>
      </c>
      <c r="B19" s="39" t="s">
        <v>136</v>
      </c>
      <c r="C19" s="40"/>
      <c r="D19" s="42" t="s">
        <v>56</v>
      </c>
      <c r="E19" s="38"/>
      <c r="F19" s="43"/>
      <c r="G19" s="63" t="s">
        <v>2074</v>
      </c>
      <c r="H19" s="58" t="s">
        <v>2075</v>
      </c>
      <c r="I19" s="38"/>
      <c r="J19" s="38"/>
      <c r="K19" s="46"/>
      <c r="L19" s="47"/>
      <c r="M19" s="76">
        <v>6.2268518518518515E-3</v>
      </c>
      <c r="N19" s="76">
        <v>7.5231481481481477E-3</v>
      </c>
      <c r="O19" s="76">
        <v>1.3541666666666667E-3</v>
      </c>
      <c r="P19" s="65">
        <v>43021</v>
      </c>
      <c r="Q19" s="59" t="str">
        <f t="shared" ca="1" si="0"/>
        <v>https://www.youtube.com/embed/_OWY_haNDNI?start=538&amp;end=650&amp;autoplay=1</v>
      </c>
      <c r="R19" s="39" t="s">
        <v>63</v>
      </c>
      <c r="S19" s="39" t="s">
        <v>2059</v>
      </c>
      <c r="T19" s="39" t="s">
        <v>63</v>
      </c>
      <c r="U19" s="40"/>
      <c r="V19" s="54"/>
      <c r="W19" s="69" t="s">
        <v>64</v>
      </c>
      <c r="X19" s="56"/>
      <c r="Y19" s="88"/>
      <c r="Z19" s="88"/>
      <c r="AA19" s="88"/>
      <c r="AB19" s="88"/>
    </row>
    <row r="20" spans="1:28">
      <c r="A20" s="42">
        <v>271.05</v>
      </c>
      <c r="B20" s="39" t="s">
        <v>136</v>
      </c>
      <c r="C20" s="40"/>
      <c r="D20" s="42" t="s">
        <v>56</v>
      </c>
      <c r="E20" s="38"/>
      <c r="F20" s="43"/>
      <c r="G20" s="63" t="s">
        <v>2076</v>
      </c>
      <c r="H20" s="58" t="s">
        <v>2077</v>
      </c>
      <c r="I20" s="38"/>
      <c r="J20" s="38"/>
      <c r="K20" s="46"/>
      <c r="L20" s="47"/>
      <c r="M20" s="76">
        <v>7.5231481481481477E-3</v>
      </c>
      <c r="N20" s="76">
        <v>9.6759259259259264E-3</v>
      </c>
      <c r="O20" s="76">
        <v>2.1527777777777778E-3</v>
      </c>
      <c r="P20" s="65">
        <v>43021</v>
      </c>
      <c r="Q20" s="59" t="str">
        <f t="shared" ca="1" si="0"/>
        <v>https://www.youtube.com/embed/_OWY_haNDNI?start=650&amp;end=836&amp;autoplay=1</v>
      </c>
      <c r="R20" s="39" t="s">
        <v>63</v>
      </c>
      <c r="S20" s="39" t="s">
        <v>2059</v>
      </c>
      <c r="T20" s="39" t="s">
        <v>63</v>
      </c>
      <c r="U20" s="40"/>
      <c r="V20" s="54"/>
      <c r="W20" s="69" t="s">
        <v>64</v>
      </c>
      <c r="X20" s="56"/>
      <c r="Y20" s="88"/>
      <c r="Z20" s="88"/>
      <c r="AA20" s="88"/>
      <c r="AB20" s="88"/>
    </row>
    <row r="21" spans="1:28">
      <c r="A21" s="42">
        <v>271.06</v>
      </c>
      <c r="B21" s="39" t="s">
        <v>136</v>
      </c>
      <c r="C21" s="40"/>
      <c r="D21" s="42" t="s">
        <v>56</v>
      </c>
      <c r="E21" s="38"/>
      <c r="F21" s="43"/>
      <c r="G21" s="63" t="s">
        <v>2080</v>
      </c>
      <c r="H21" s="58" t="s">
        <v>2082</v>
      </c>
      <c r="I21" s="38"/>
      <c r="J21" s="38"/>
      <c r="K21" s="46"/>
      <c r="L21" s="47"/>
      <c r="M21" s="76">
        <v>9.6874999999999999E-3</v>
      </c>
      <c r="N21" s="76">
        <v>1.2418981481481482E-2</v>
      </c>
      <c r="O21" s="76">
        <v>2.7314814814814814E-3</v>
      </c>
      <c r="P21" s="65">
        <v>43025</v>
      </c>
      <c r="Q21" s="59" t="str">
        <f t="shared" ca="1" si="0"/>
        <v>https://www.youtube.com/embed/_OWY_haNDNI?start=837&amp;end=1073&amp;autoplay=1</v>
      </c>
      <c r="R21" s="39" t="s">
        <v>63</v>
      </c>
      <c r="S21" s="39" t="s">
        <v>2059</v>
      </c>
      <c r="T21" s="39" t="s">
        <v>63</v>
      </c>
      <c r="U21" s="40"/>
      <c r="V21" s="54"/>
      <c r="W21" s="69" t="s">
        <v>64</v>
      </c>
      <c r="X21" s="56"/>
      <c r="Y21" s="96" t="s">
        <v>2083</v>
      </c>
      <c r="Z21" s="96" t="s">
        <v>2084</v>
      </c>
      <c r="AA21" s="88"/>
      <c r="AB21" s="88"/>
    </row>
    <row r="22" spans="1:28">
      <c r="A22" s="42">
        <v>271.07</v>
      </c>
      <c r="B22" s="39" t="s">
        <v>136</v>
      </c>
      <c r="C22" s="40"/>
      <c r="D22" s="42" t="s">
        <v>56</v>
      </c>
      <c r="E22" s="38"/>
      <c r="F22" s="43"/>
      <c r="G22" s="63" t="s">
        <v>2086</v>
      </c>
      <c r="H22" s="58" t="s">
        <v>2087</v>
      </c>
      <c r="I22" s="38"/>
      <c r="J22" s="38"/>
      <c r="K22" s="46"/>
      <c r="L22" s="47"/>
      <c r="M22" s="76">
        <v>1.2430555555555556E-2</v>
      </c>
      <c r="N22" s="76">
        <v>1.3472222222222222E-2</v>
      </c>
      <c r="O22" s="76">
        <v>1.0416666666666667E-3</v>
      </c>
      <c r="P22" s="65">
        <v>43025</v>
      </c>
      <c r="Q22" s="59" t="str">
        <f t="shared" ca="1" si="0"/>
        <v>https://www.youtube.com/embed/_OWY_haNDNI?start=1074&amp;end=1164&amp;autoplay=1</v>
      </c>
      <c r="R22" s="39" t="s">
        <v>63</v>
      </c>
      <c r="S22" s="39" t="s">
        <v>2059</v>
      </c>
      <c r="T22" s="39" t="s">
        <v>63</v>
      </c>
      <c r="U22" s="40"/>
      <c r="V22" s="54"/>
      <c r="W22" s="69" t="s">
        <v>64</v>
      </c>
      <c r="X22" s="56"/>
      <c r="Y22" s="88"/>
      <c r="Z22" s="88"/>
      <c r="AA22" s="88"/>
      <c r="AB22" s="88"/>
    </row>
    <row r="23" spans="1:28">
      <c r="A23" s="42">
        <v>271.08</v>
      </c>
      <c r="B23" s="39" t="s">
        <v>136</v>
      </c>
      <c r="C23" s="40"/>
      <c r="D23" s="42" t="s">
        <v>56</v>
      </c>
      <c r="E23" s="38"/>
      <c r="F23" s="43"/>
      <c r="G23" s="63" t="s">
        <v>2089</v>
      </c>
      <c r="H23" s="58" t="s">
        <v>2090</v>
      </c>
      <c r="I23" s="38"/>
      <c r="J23" s="38"/>
      <c r="K23" s="46"/>
      <c r="L23" s="47"/>
      <c r="M23" s="76">
        <v>1.3472222222222222E-2</v>
      </c>
      <c r="N23" s="76">
        <v>1.4918981481481481E-2</v>
      </c>
      <c r="O23" s="76">
        <v>1.4467592592592592E-3</v>
      </c>
      <c r="P23" s="65">
        <v>43025</v>
      </c>
      <c r="Q23" s="59" t="str">
        <f t="shared" ca="1" si="0"/>
        <v>https://www.youtube.com/embed/_OWY_haNDNI?start=1164&amp;end=1289&amp;autoplay=1</v>
      </c>
      <c r="R23" s="39" t="s">
        <v>63</v>
      </c>
      <c r="S23" s="39" t="s">
        <v>2059</v>
      </c>
      <c r="T23" s="39" t="s">
        <v>63</v>
      </c>
      <c r="U23" s="40"/>
      <c r="V23" s="54"/>
      <c r="W23" s="69" t="s">
        <v>64</v>
      </c>
      <c r="X23" s="56"/>
      <c r="Y23" s="88"/>
      <c r="Z23" s="88"/>
      <c r="AA23" s="88"/>
      <c r="AB23" s="88"/>
    </row>
    <row r="24" spans="1:28">
      <c r="A24" s="42">
        <v>271.08999999999997</v>
      </c>
      <c r="B24" s="39" t="s">
        <v>136</v>
      </c>
      <c r="C24" s="40"/>
      <c r="D24" s="42" t="s">
        <v>56</v>
      </c>
      <c r="E24" s="38"/>
      <c r="F24" s="43"/>
      <c r="G24" s="63" t="s">
        <v>2093</v>
      </c>
      <c r="H24" s="58" t="s">
        <v>2094</v>
      </c>
      <c r="I24" s="38"/>
      <c r="J24" s="38"/>
      <c r="K24" s="46"/>
      <c r="L24" s="47"/>
      <c r="M24" s="76">
        <v>1.4918981481481481E-2</v>
      </c>
      <c r="N24" s="76">
        <v>1.5868055555555555E-2</v>
      </c>
      <c r="O24" s="76">
        <v>9.4907407407407408E-4</v>
      </c>
      <c r="P24" s="65">
        <v>43025</v>
      </c>
      <c r="Q24" s="59" t="str">
        <f t="shared" ca="1" si="0"/>
        <v>https://www.youtube.com/embed/_OWY_haNDNI?start=1289&amp;end=1371&amp;autoplay=1</v>
      </c>
      <c r="R24" s="39" t="s">
        <v>63</v>
      </c>
      <c r="S24" s="39" t="s">
        <v>2059</v>
      </c>
      <c r="T24" s="39" t="s">
        <v>63</v>
      </c>
      <c r="U24" s="40"/>
      <c r="V24" s="54"/>
      <c r="W24" s="69" t="s">
        <v>64</v>
      </c>
      <c r="X24" s="56"/>
      <c r="Y24" s="88"/>
      <c r="Z24" s="88"/>
      <c r="AA24" s="88"/>
      <c r="AB24" s="88"/>
    </row>
    <row r="25" spans="1:28">
      <c r="A25" s="85">
        <v>271.10000000000002</v>
      </c>
      <c r="B25" s="39" t="s">
        <v>136</v>
      </c>
      <c r="C25" s="40"/>
      <c r="D25" s="42" t="s">
        <v>56</v>
      </c>
      <c r="E25" s="38"/>
      <c r="F25" s="43"/>
      <c r="G25" s="63" t="s">
        <v>2097</v>
      </c>
      <c r="H25" s="58" t="s">
        <v>2098</v>
      </c>
      <c r="I25" s="38"/>
      <c r="J25" s="38"/>
      <c r="K25" s="46"/>
      <c r="L25" s="47"/>
      <c r="M25" s="76">
        <v>1.5879629629629629E-2</v>
      </c>
      <c r="N25" s="76">
        <v>1.7384259259259259E-2</v>
      </c>
      <c r="O25" s="76">
        <v>1.5046296296296296E-3</v>
      </c>
      <c r="P25" s="65">
        <v>43025</v>
      </c>
      <c r="Q25" s="59" t="str">
        <f t="shared" ca="1" si="0"/>
        <v>https://www.youtube.com/embed/_OWY_haNDNI?start=1372&amp;end=1502&amp;autoplay=1</v>
      </c>
      <c r="R25" s="39" t="s">
        <v>63</v>
      </c>
      <c r="S25" s="39" t="s">
        <v>2059</v>
      </c>
      <c r="T25" s="39" t="s">
        <v>63</v>
      </c>
      <c r="U25" s="40"/>
      <c r="V25" s="54"/>
      <c r="W25" s="69" t="s">
        <v>64</v>
      </c>
      <c r="X25" s="56"/>
      <c r="Y25" s="88"/>
      <c r="Z25" s="88"/>
      <c r="AA25" s="88"/>
      <c r="AB25" s="88"/>
    </row>
    <row r="26" spans="1:28">
      <c r="A26" s="42">
        <v>271.11</v>
      </c>
      <c r="B26" s="39" t="s">
        <v>136</v>
      </c>
      <c r="C26" s="40"/>
      <c r="D26" s="42" t="s">
        <v>56</v>
      </c>
      <c r="E26" s="38"/>
      <c r="F26" s="43"/>
      <c r="G26" s="63" t="s">
        <v>2099</v>
      </c>
      <c r="H26" s="58" t="s">
        <v>2100</v>
      </c>
      <c r="I26" s="38"/>
      <c r="J26" s="38"/>
      <c r="K26" s="46"/>
      <c r="L26" s="47"/>
      <c r="M26" s="76">
        <v>1.7384259259259259E-2</v>
      </c>
      <c r="N26" s="76">
        <v>1.8993055555555555E-2</v>
      </c>
      <c r="O26" s="76">
        <v>1.6087962962962963E-3</v>
      </c>
      <c r="P26" s="65">
        <v>43025</v>
      </c>
      <c r="Q26" s="59" t="str">
        <f t="shared" ca="1" si="0"/>
        <v>https://www.youtube.com/embed/_OWY_haNDNI?start=1502&amp;end=1641&amp;autoplay=1</v>
      </c>
      <c r="R26" s="39" t="s">
        <v>63</v>
      </c>
      <c r="S26" s="39" t="s">
        <v>2059</v>
      </c>
      <c r="T26" s="39" t="s">
        <v>63</v>
      </c>
      <c r="U26" s="40"/>
      <c r="V26" s="54"/>
      <c r="W26" s="69" t="s">
        <v>64</v>
      </c>
      <c r="X26" s="56"/>
      <c r="Y26" s="88"/>
      <c r="Z26" s="88"/>
      <c r="AA26" s="88"/>
      <c r="AB26" s="88"/>
    </row>
    <row r="27" spans="1:28">
      <c r="A27" s="42">
        <v>271.12</v>
      </c>
      <c r="B27" s="39" t="s">
        <v>136</v>
      </c>
      <c r="C27" s="40"/>
      <c r="D27" s="42" t="s">
        <v>56</v>
      </c>
      <c r="E27" s="38"/>
      <c r="F27" s="43"/>
      <c r="G27" s="63" t="s">
        <v>2103</v>
      </c>
      <c r="H27" s="58" t="s">
        <v>2104</v>
      </c>
      <c r="I27" s="38"/>
      <c r="J27" s="38"/>
      <c r="K27" s="46"/>
      <c r="L27" s="47"/>
      <c r="M27" s="76">
        <v>1.9097222222222224E-2</v>
      </c>
      <c r="N27" s="76">
        <v>2.0208333333333332E-2</v>
      </c>
      <c r="O27" s="76">
        <v>1.1111111111111111E-3</v>
      </c>
      <c r="P27" s="65">
        <v>43025</v>
      </c>
      <c r="Q27" s="59" t="str">
        <f t="shared" ca="1" si="0"/>
        <v>https://www.youtube.com/embed/_OWY_haNDNI?start=1650&amp;end=1746&amp;autoplay=1</v>
      </c>
      <c r="R27" s="39" t="s">
        <v>63</v>
      </c>
      <c r="S27" s="39" t="s">
        <v>2059</v>
      </c>
      <c r="T27" s="39" t="s">
        <v>63</v>
      </c>
      <c r="U27" s="40"/>
      <c r="V27" s="54"/>
      <c r="W27" s="69" t="s">
        <v>64</v>
      </c>
      <c r="X27" s="56"/>
      <c r="Y27" s="88"/>
      <c r="Z27" s="88"/>
      <c r="AA27" s="88"/>
      <c r="AB27" s="88"/>
    </row>
    <row r="28" spans="1:28">
      <c r="A28" s="42">
        <v>271.13</v>
      </c>
      <c r="B28" s="39" t="s">
        <v>136</v>
      </c>
      <c r="C28" s="40"/>
      <c r="D28" s="42" t="s">
        <v>56</v>
      </c>
      <c r="E28" s="38"/>
      <c r="F28" s="43"/>
      <c r="G28" s="63" t="s">
        <v>2109</v>
      </c>
      <c r="H28" s="58" t="s">
        <v>2110</v>
      </c>
      <c r="I28" s="38"/>
      <c r="J28" s="38"/>
      <c r="K28" s="46"/>
      <c r="L28" s="47"/>
      <c r="M28" s="76">
        <v>2.0324074074074074E-2</v>
      </c>
      <c r="N28" s="76">
        <v>2.4016203703703703E-2</v>
      </c>
      <c r="O28" s="76">
        <v>3.6921296296296298E-3</v>
      </c>
      <c r="P28" s="65">
        <v>43025</v>
      </c>
      <c r="Q28" s="59" t="str">
        <f t="shared" ca="1" si="0"/>
        <v>https://www.youtube.com/embed/_OWY_haNDNI?start=1756&amp;end=2075&amp;autoplay=1</v>
      </c>
      <c r="R28" s="39" t="s">
        <v>63</v>
      </c>
      <c r="S28" s="39" t="s">
        <v>2059</v>
      </c>
      <c r="T28" s="39" t="s">
        <v>63</v>
      </c>
      <c r="U28" s="40"/>
      <c r="V28" s="54"/>
      <c r="W28" s="69" t="s">
        <v>64</v>
      </c>
      <c r="X28" s="56"/>
      <c r="Y28" s="88"/>
      <c r="Z28" s="96" t="s">
        <v>2084</v>
      </c>
      <c r="AA28" s="88"/>
      <c r="AB28" s="88"/>
    </row>
    <row r="29" spans="1:28">
      <c r="A29" s="42">
        <v>271.14</v>
      </c>
      <c r="B29" s="39" t="s">
        <v>136</v>
      </c>
      <c r="C29" s="40"/>
      <c r="D29" s="42" t="s">
        <v>56</v>
      </c>
      <c r="E29" s="38"/>
      <c r="F29" s="43"/>
      <c r="G29" s="63" t="s">
        <v>2117</v>
      </c>
      <c r="H29" s="58" t="s">
        <v>2118</v>
      </c>
      <c r="I29" s="38"/>
      <c r="J29" s="38"/>
      <c r="K29" s="46"/>
      <c r="L29" s="47"/>
      <c r="M29" s="76">
        <v>2.4097222222222221E-2</v>
      </c>
      <c r="N29" s="76">
        <v>2.4872685185185185E-2</v>
      </c>
      <c r="O29" s="76">
        <v>7.7546296296296293E-4</v>
      </c>
      <c r="P29" s="65">
        <v>43025</v>
      </c>
      <c r="Q29" s="59" t="str">
        <f t="shared" ca="1" si="0"/>
        <v>https://www.youtube.com/embed/_OWY_haNDNI?start=2082&amp;end=2149&amp;autoplay=1</v>
      </c>
      <c r="R29" s="39" t="s">
        <v>63</v>
      </c>
      <c r="S29" s="39" t="s">
        <v>2059</v>
      </c>
      <c r="T29" s="39" t="s">
        <v>63</v>
      </c>
      <c r="U29" s="40"/>
      <c r="V29" s="54"/>
      <c r="W29" s="69" t="s">
        <v>64</v>
      </c>
      <c r="X29" s="56"/>
      <c r="Y29" s="88"/>
      <c r="Z29" s="88"/>
      <c r="AA29" s="88"/>
      <c r="AB29" s="88"/>
    </row>
    <row r="30" spans="1:28">
      <c r="A30" s="42">
        <v>271.14999999999998</v>
      </c>
      <c r="B30" s="39" t="s">
        <v>136</v>
      </c>
      <c r="C30" s="40"/>
      <c r="D30" s="42" t="s">
        <v>56</v>
      </c>
      <c r="E30" s="38"/>
      <c r="F30" s="43"/>
      <c r="G30" s="63" t="s">
        <v>2124</v>
      </c>
      <c r="H30" s="58" t="s">
        <v>2126</v>
      </c>
      <c r="I30" s="38"/>
      <c r="J30" s="38"/>
      <c r="K30" s="46"/>
      <c r="L30" s="47"/>
      <c r="M30" s="76">
        <v>2.6666666666666668E-2</v>
      </c>
      <c r="N30" s="76">
        <v>2.8750000000000001E-2</v>
      </c>
      <c r="O30" s="76">
        <v>2.0833333333333333E-3</v>
      </c>
      <c r="P30" s="65">
        <v>43025</v>
      </c>
      <c r="Q30" s="59" t="str">
        <f t="shared" ca="1" si="0"/>
        <v>https://www.youtube.com/embed/_OWY_haNDNI?start=2304&amp;end=2484&amp;autoplay=1</v>
      </c>
      <c r="R30" s="39" t="s">
        <v>63</v>
      </c>
      <c r="S30" s="39" t="s">
        <v>2059</v>
      </c>
      <c r="T30" s="39" t="s">
        <v>63</v>
      </c>
      <c r="U30" s="40"/>
      <c r="V30" s="54"/>
      <c r="W30" s="69" t="s">
        <v>64</v>
      </c>
      <c r="X30" s="56"/>
      <c r="Y30" s="88"/>
      <c r="Z30" s="96" t="s">
        <v>1820</v>
      </c>
      <c r="AA30" s="88"/>
      <c r="AB30" s="88"/>
    </row>
    <row r="31" spans="1:28">
      <c r="A31" s="42">
        <v>271.16000000000003</v>
      </c>
      <c r="B31" s="39" t="s">
        <v>136</v>
      </c>
      <c r="C31" s="40"/>
      <c r="D31" s="42" t="s">
        <v>56</v>
      </c>
      <c r="E31" s="38"/>
      <c r="F31" s="43"/>
      <c r="G31" s="63" t="s">
        <v>2129</v>
      </c>
      <c r="H31" s="58" t="s">
        <v>2132</v>
      </c>
      <c r="I31" s="38"/>
      <c r="J31" s="38"/>
      <c r="K31" s="46"/>
      <c r="L31" s="47"/>
      <c r="M31" s="76">
        <v>2.8981481481481483E-2</v>
      </c>
      <c r="N31" s="76">
        <v>3.0659722222222224E-2</v>
      </c>
      <c r="O31" s="76">
        <v>1.6782407407407408E-3</v>
      </c>
      <c r="P31" s="65">
        <v>43025</v>
      </c>
      <c r="Q31" s="59" t="str">
        <f t="shared" ca="1" si="0"/>
        <v>https://www.youtube.com/embed/_OWY_haNDNI?start=2504&amp;end=2649&amp;autoplay=1</v>
      </c>
      <c r="R31" s="39" t="s">
        <v>63</v>
      </c>
      <c r="S31" s="39" t="s">
        <v>2059</v>
      </c>
      <c r="T31" s="39" t="s">
        <v>63</v>
      </c>
      <c r="U31" s="40"/>
      <c r="V31" s="54"/>
      <c r="W31" s="69" t="s">
        <v>64</v>
      </c>
      <c r="X31" s="56"/>
      <c r="Y31" s="88"/>
      <c r="Z31" s="88"/>
      <c r="AA31" s="88"/>
      <c r="AB31" s="88"/>
    </row>
    <row r="32" spans="1:28">
      <c r="A32" s="38">
        <v>273</v>
      </c>
      <c r="B32" s="39" t="s">
        <v>136</v>
      </c>
      <c r="C32" s="40"/>
      <c r="D32" s="42" t="s">
        <v>56</v>
      </c>
      <c r="E32" s="38" t="s">
        <v>1225</v>
      </c>
      <c r="F32" s="43" t="s">
        <v>1226</v>
      </c>
      <c r="G32" s="44"/>
      <c r="H32" s="45"/>
      <c r="I32" s="38"/>
      <c r="J32" s="38">
        <f>12*1000</f>
        <v>12000</v>
      </c>
      <c r="K32" s="46">
        <v>3.005787037037037E-2</v>
      </c>
      <c r="L32" s="47" t="s">
        <v>1139</v>
      </c>
      <c r="M32" s="48"/>
      <c r="N32" s="48"/>
      <c r="O32" s="48">
        <f t="shared" ref="O32:O46" si="1">N32-M32</f>
        <v>0</v>
      </c>
      <c r="P32" s="65">
        <v>43029</v>
      </c>
      <c r="Q32" s="14" t="str">
        <f t="shared" ca="1" si="0"/>
        <v/>
      </c>
      <c r="R32" s="51"/>
      <c r="S32" s="51"/>
      <c r="T32" s="51"/>
      <c r="U32" s="40"/>
      <c r="V32" s="54"/>
      <c r="W32" s="55"/>
      <c r="X32" s="56"/>
      <c r="Y32" s="88"/>
      <c r="Z32" s="88"/>
      <c r="AA32" s="88"/>
      <c r="AB32" s="88"/>
    </row>
    <row r="33" spans="1:28">
      <c r="A33" s="42">
        <v>273.01</v>
      </c>
      <c r="B33" s="39" t="s">
        <v>136</v>
      </c>
      <c r="C33" s="40"/>
      <c r="D33" s="42" t="s">
        <v>56</v>
      </c>
      <c r="E33" s="38"/>
      <c r="F33" s="43"/>
      <c r="G33" s="63" t="s">
        <v>2140</v>
      </c>
      <c r="H33" s="58" t="s">
        <v>2141</v>
      </c>
      <c r="I33" s="38"/>
      <c r="J33" s="38"/>
      <c r="K33" s="46"/>
      <c r="L33" s="47"/>
      <c r="M33" s="93">
        <v>1.4351851851851852E-3</v>
      </c>
      <c r="N33" s="93">
        <v>2.7314814814814814E-3</v>
      </c>
      <c r="O33" s="48">
        <f t="shared" si="1"/>
        <v>1.2962962962962963E-3</v>
      </c>
      <c r="P33" s="65">
        <v>43029</v>
      </c>
      <c r="Q33" s="59" t="str">
        <f t="shared" ca="1" si="0"/>
        <v>https://www.youtube.com/embed/NpqJHyWjh7A?start=124&amp;end=236&amp;autoplay=1</v>
      </c>
      <c r="R33" s="39" t="s">
        <v>63</v>
      </c>
      <c r="S33" s="39" t="s">
        <v>2059</v>
      </c>
      <c r="T33" s="39" t="s">
        <v>63</v>
      </c>
      <c r="U33" s="40"/>
      <c r="V33" s="54"/>
      <c r="W33" s="69" t="s">
        <v>64</v>
      </c>
      <c r="X33" s="71" t="s">
        <v>64</v>
      </c>
      <c r="Y33" s="96"/>
      <c r="Z33" s="96" t="s">
        <v>2144</v>
      </c>
      <c r="AA33" s="88"/>
      <c r="AB33" s="88"/>
    </row>
    <row r="34" spans="1:28">
      <c r="A34" s="42">
        <v>273.02</v>
      </c>
      <c r="B34" s="39" t="s">
        <v>136</v>
      </c>
      <c r="C34" s="40"/>
      <c r="D34" s="42" t="s">
        <v>56</v>
      </c>
      <c r="E34" s="38"/>
      <c r="F34" s="43"/>
      <c r="G34" s="63" t="s">
        <v>2145</v>
      </c>
      <c r="H34" s="58" t="s">
        <v>2146</v>
      </c>
      <c r="I34" s="38"/>
      <c r="J34" s="38"/>
      <c r="K34" s="46"/>
      <c r="L34" s="47"/>
      <c r="M34" s="93">
        <v>2.8240740740740739E-3</v>
      </c>
      <c r="N34" s="93">
        <v>4.5833333333333334E-3</v>
      </c>
      <c r="O34" s="48">
        <f t="shared" si="1"/>
        <v>1.7592592592592595E-3</v>
      </c>
      <c r="P34" s="65">
        <v>43029</v>
      </c>
      <c r="Q34" s="59" t="str">
        <f t="shared" ca="1" si="0"/>
        <v>https://www.youtube.com/embed/NpqJHyWjh7A?start=244&amp;end=396&amp;autoplay=1</v>
      </c>
      <c r="R34" s="39" t="s">
        <v>63</v>
      </c>
      <c r="S34" s="39" t="s">
        <v>2059</v>
      </c>
      <c r="T34" s="39" t="s">
        <v>63</v>
      </c>
      <c r="U34" s="40"/>
      <c r="V34" s="54"/>
      <c r="W34" s="69" t="s">
        <v>64</v>
      </c>
      <c r="X34" s="71"/>
      <c r="Y34" s="96"/>
      <c r="Z34" s="96"/>
      <c r="AA34" s="88"/>
      <c r="AB34" s="88"/>
    </row>
    <row r="35" spans="1:28">
      <c r="A35" s="42">
        <v>273.02999999999997</v>
      </c>
      <c r="B35" s="39" t="s">
        <v>136</v>
      </c>
      <c r="C35" s="40"/>
      <c r="D35" s="42" t="s">
        <v>56</v>
      </c>
      <c r="E35" s="38"/>
      <c r="F35" s="43"/>
      <c r="G35" s="63" t="s">
        <v>2151</v>
      </c>
      <c r="H35" s="58" t="s">
        <v>2152</v>
      </c>
      <c r="I35" s="38"/>
      <c r="J35" s="38"/>
      <c r="K35" s="46"/>
      <c r="L35" s="47"/>
      <c r="M35" s="93">
        <v>4.5949074074074078E-3</v>
      </c>
      <c r="N35" s="93">
        <v>6.2037037037037035E-3</v>
      </c>
      <c r="O35" s="48">
        <f t="shared" si="1"/>
        <v>1.6087962962962957E-3</v>
      </c>
      <c r="P35" s="65">
        <v>43042</v>
      </c>
      <c r="Q35" s="59" t="str">
        <f t="shared" ca="1" si="0"/>
        <v>https://www.youtube.com/embed/NpqJHyWjh7A?start=397&amp;end=536&amp;autoplay=1</v>
      </c>
      <c r="R35" s="39" t="s">
        <v>63</v>
      </c>
      <c r="S35" s="39" t="s">
        <v>63</v>
      </c>
      <c r="T35" s="39" t="s">
        <v>63</v>
      </c>
      <c r="U35" s="40"/>
      <c r="V35" s="54"/>
      <c r="W35" s="69"/>
      <c r="X35" s="71" t="s">
        <v>64</v>
      </c>
      <c r="Y35" s="96"/>
      <c r="Z35" s="96" t="s">
        <v>2155</v>
      </c>
      <c r="AA35" s="88"/>
      <c r="AB35" s="88"/>
    </row>
    <row r="36" spans="1:28">
      <c r="A36" s="42">
        <v>273.04000000000002</v>
      </c>
      <c r="B36" s="39" t="s">
        <v>136</v>
      </c>
      <c r="C36" s="40"/>
      <c r="D36" s="42" t="s">
        <v>56</v>
      </c>
      <c r="E36" s="38"/>
      <c r="F36" s="43"/>
      <c r="G36" s="63" t="s">
        <v>2156</v>
      </c>
      <c r="H36" s="58" t="s">
        <v>2157</v>
      </c>
      <c r="I36" s="38"/>
      <c r="J36" s="38"/>
      <c r="K36" s="46"/>
      <c r="L36" s="47"/>
      <c r="M36" s="93">
        <v>6.2152777777777779E-3</v>
      </c>
      <c r="N36" s="76">
        <v>8.2291666666666659E-3</v>
      </c>
      <c r="O36" s="77">
        <f t="shared" si="1"/>
        <v>2.013888888888888E-3</v>
      </c>
      <c r="P36" s="65">
        <v>43042</v>
      </c>
      <c r="Q36" s="59" t="str">
        <f t="shared" ca="1" si="0"/>
        <v>https://www.youtube.com/embed/NpqJHyWjh7A?start=537&amp;end=711&amp;autoplay=1</v>
      </c>
      <c r="R36" s="39" t="s">
        <v>63</v>
      </c>
      <c r="S36" s="39" t="s">
        <v>63</v>
      </c>
      <c r="T36" s="39" t="s">
        <v>63</v>
      </c>
      <c r="U36" s="40"/>
      <c r="V36" s="54"/>
      <c r="W36" s="69" t="s">
        <v>64</v>
      </c>
      <c r="X36" s="71"/>
      <c r="Y36" s="96"/>
      <c r="Z36" s="96"/>
      <c r="AA36" s="88"/>
      <c r="AB36" s="88"/>
    </row>
    <row r="37" spans="1:28">
      <c r="A37" s="42">
        <v>273.05</v>
      </c>
      <c r="B37" s="39" t="s">
        <v>136</v>
      </c>
      <c r="C37" s="40"/>
      <c r="D37" s="42" t="s">
        <v>56</v>
      </c>
      <c r="E37" s="38"/>
      <c r="F37" s="43"/>
      <c r="G37" s="63" t="s">
        <v>2158</v>
      </c>
      <c r="H37" s="58" t="s">
        <v>2159</v>
      </c>
      <c r="I37" s="38"/>
      <c r="J37" s="38"/>
      <c r="K37" s="46"/>
      <c r="L37" s="47"/>
      <c r="M37" s="93">
        <v>8.2407407407407412E-3</v>
      </c>
      <c r="N37" s="76">
        <v>9.3171296296296301E-3</v>
      </c>
      <c r="O37" s="77">
        <f t="shared" si="1"/>
        <v>1.0763888888888889E-3</v>
      </c>
      <c r="P37" s="65">
        <v>43042</v>
      </c>
      <c r="Q37" s="59" t="str">
        <f t="shared" ca="1" si="0"/>
        <v>https://www.youtube.com/embed/NpqJHyWjh7A?start=712&amp;end=805&amp;autoplay=1</v>
      </c>
      <c r="R37" s="39" t="s">
        <v>63</v>
      </c>
      <c r="S37" s="39" t="s">
        <v>63</v>
      </c>
      <c r="T37" s="39" t="s">
        <v>63</v>
      </c>
      <c r="U37" s="40"/>
      <c r="V37" s="54"/>
      <c r="W37" s="69" t="s">
        <v>64</v>
      </c>
      <c r="X37" s="71"/>
      <c r="Y37" s="96"/>
      <c r="Z37" s="96"/>
      <c r="AA37" s="88"/>
      <c r="AB37" s="88"/>
    </row>
    <row r="38" spans="1:28">
      <c r="A38" s="42">
        <v>273.06</v>
      </c>
      <c r="B38" s="39" t="s">
        <v>136</v>
      </c>
      <c r="C38" s="40"/>
      <c r="D38" s="42" t="s">
        <v>56</v>
      </c>
      <c r="E38" s="38"/>
      <c r="F38" s="43"/>
      <c r="G38" s="63" t="s">
        <v>2162</v>
      </c>
      <c r="H38" s="58" t="s">
        <v>2163</v>
      </c>
      <c r="I38" s="38"/>
      <c r="J38" s="38"/>
      <c r="K38" s="46"/>
      <c r="L38" s="47"/>
      <c r="M38" s="93">
        <v>9.3171296296296301E-3</v>
      </c>
      <c r="N38" s="76">
        <v>1.1284722222222222E-2</v>
      </c>
      <c r="O38" s="77">
        <f t="shared" si="1"/>
        <v>1.967592592592592E-3</v>
      </c>
      <c r="P38" s="65">
        <v>43042</v>
      </c>
      <c r="Q38" s="59" t="str">
        <f t="shared" ca="1" si="0"/>
        <v>https://www.youtube.com/embed/NpqJHyWjh7A?start=805&amp;end=975&amp;autoplay=1</v>
      </c>
      <c r="R38" s="39" t="s">
        <v>63</v>
      </c>
      <c r="S38" s="39" t="s">
        <v>63</v>
      </c>
      <c r="T38" s="39" t="s">
        <v>63</v>
      </c>
      <c r="U38" s="40"/>
      <c r="V38" s="54"/>
      <c r="W38" s="69" t="s">
        <v>64</v>
      </c>
      <c r="X38" s="71"/>
      <c r="Y38" s="96"/>
      <c r="Z38" s="96" t="s">
        <v>2164</v>
      </c>
      <c r="AA38" s="88"/>
      <c r="AB38" s="88"/>
    </row>
    <row r="39" spans="1:28">
      <c r="A39" s="42">
        <v>273.07</v>
      </c>
      <c r="B39" s="39" t="s">
        <v>136</v>
      </c>
      <c r="C39" s="40"/>
      <c r="D39" s="42" t="s">
        <v>56</v>
      </c>
      <c r="E39" s="38"/>
      <c r="F39" s="43"/>
      <c r="G39" s="63" t="s">
        <v>2167</v>
      </c>
      <c r="H39" s="58" t="s">
        <v>2168</v>
      </c>
      <c r="I39" s="38"/>
      <c r="J39" s="38"/>
      <c r="K39" s="46"/>
      <c r="L39" s="47"/>
      <c r="M39" s="93">
        <v>1.1319444444444444E-2</v>
      </c>
      <c r="N39" s="76">
        <v>1.2152777777777778E-2</v>
      </c>
      <c r="O39" s="77">
        <f t="shared" si="1"/>
        <v>8.333333333333335E-4</v>
      </c>
      <c r="P39" s="65">
        <v>43042</v>
      </c>
      <c r="Q39" s="59" t="str">
        <f t="shared" ca="1" si="0"/>
        <v>https://www.youtube.com/embed/NpqJHyWjh7A?start=978&amp;end=1050&amp;autoplay=1</v>
      </c>
      <c r="R39" s="39" t="s">
        <v>63</v>
      </c>
      <c r="S39" s="39" t="s">
        <v>63</v>
      </c>
      <c r="T39" s="39" t="s">
        <v>63</v>
      </c>
      <c r="U39" s="40"/>
      <c r="V39" s="54"/>
      <c r="W39" s="69" t="s">
        <v>64</v>
      </c>
      <c r="X39" s="71"/>
      <c r="Y39" s="96"/>
      <c r="Z39" s="96"/>
      <c r="AA39" s="88"/>
      <c r="AB39" s="88"/>
    </row>
    <row r="40" spans="1:28">
      <c r="A40" s="42">
        <v>273.08</v>
      </c>
      <c r="B40" s="39" t="s">
        <v>136</v>
      </c>
      <c r="C40" s="40"/>
      <c r="D40" s="42" t="s">
        <v>56</v>
      </c>
      <c r="E40" s="38"/>
      <c r="F40" s="43"/>
      <c r="G40" s="63" t="s">
        <v>2171</v>
      </c>
      <c r="H40" s="58" t="s">
        <v>2172</v>
      </c>
      <c r="I40" s="38"/>
      <c r="J40" s="38"/>
      <c r="K40" s="46"/>
      <c r="L40" s="47"/>
      <c r="M40" s="93">
        <v>1.2164351851851852E-2</v>
      </c>
      <c r="N40" s="76">
        <v>1.3402777777777777E-2</v>
      </c>
      <c r="O40" s="77">
        <f t="shared" si="1"/>
        <v>1.2384259259259258E-3</v>
      </c>
      <c r="P40" s="65">
        <v>43042</v>
      </c>
      <c r="Q40" s="59" t="str">
        <f t="shared" ca="1" si="0"/>
        <v>https://www.youtube.com/embed/NpqJHyWjh7A?start=1051&amp;end=1158&amp;autoplay=1</v>
      </c>
      <c r="R40" s="39" t="s">
        <v>63</v>
      </c>
      <c r="S40" s="39" t="s">
        <v>63</v>
      </c>
      <c r="T40" s="39" t="s">
        <v>63</v>
      </c>
      <c r="U40" s="40"/>
      <c r="V40" s="54"/>
      <c r="W40" s="69" t="s">
        <v>64</v>
      </c>
      <c r="X40" s="71"/>
      <c r="Y40" s="96"/>
      <c r="Z40" s="96"/>
      <c r="AA40" s="88"/>
      <c r="AB40" s="88"/>
    </row>
    <row r="41" spans="1:28">
      <c r="A41" s="42">
        <v>273.08999999999997</v>
      </c>
      <c r="B41" s="39" t="s">
        <v>136</v>
      </c>
      <c r="C41" s="40"/>
      <c r="D41" s="42" t="s">
        <v>56</v>
      </c>
      <c r="E41" s="38"/>
      <c r="F41" s="43"/>
      <c r="G41" s="63" t="s">
        <v>2175</v>
      </c>
      <c r="H41" s="58" t="s">
        <v>2176</v>
      </c>
      <c r="I41" s="38"/>
      <c r="J41" s="38"/>
      <c r="K41" s="46"/>
      <c r="L41" s="47"/>
      <c r="M41" s="93">
        <v>1.3402777777777777E-2</v>
      </c>
      <c r="N41" s="76">
        <v>1.4583333333333334E-2</v>
      </c>
      <c r="O41" s="77">
        <f t="shared" si="1"/>
        <v>1.1805555555555562E-3</v>
      </c>
      <c r="P41" s="65">
        <v>43042</v>
      </c>
      <c r="Q41" s="59" t="str">
        <f t="shared" ca="1" si="0"/>
        <v>https://www.youtube.com/embed/NpqJHyWjh7A?start=1158&amp;end=1260&amp;autoplay=1</v>
      </c>
      <c r="R41" s="39" t="s">
        <v>63</v>
      </c>
      <c r="S41" s="39" t="s">
        <v>63</v>
      </c>
      <c r="T41" s="39" t="s">
        <v>63</v>
      </c>
      <c r="U41" s="40"/>
      <c r="V41" s="54"/>
      <c r="W41" s="69" t="s">
        <v>64</v>
      </c>
      <c r="X41" s="71"/>
      <c r="Y41" s="96"/>
      <c r="Z41" s="96"/>
      <c r="AA41" s="88"/>
      <c r="AB41" s="88"/>
    </row>
    <row r="42" spans="1:28">
      <c r="A42" s="85">
        <v>273.10000000000002</v>
      </c>
      <c r="B42" s="39" t="s">
        <v>136</v>
      </c>
      <c r="C42" s="40"/>
      <c r="D42" s="42" t="s">
        <v>56</v>
      </c>
      <c r="E42" s="38"/>
      <c r="F42" s="43"/>
      <c r="G42" s="63" t="s">
        <v>2179</v>
      </c>
      <c r="H42" s="58" t="s">
        <v>2180</v>
      </c>
      <c r="I42" s="38"/>
      <c r="J42" s="38"/>
      <c r="K42" s="46"/>
      <c r="L42" s="47"/>
      <c r="M42" s="93">
        <v>1.4583333333333334E-2</v>
      </c>
      <c r="N42" s="76">
        <v>1.6759259259259258E-2</v>
      </c>
      <c r="O42" s="77">
        <f t="shared" si="1"/>
        <v>2.1759259259259249E-3</v>
      </c>
      <c r="P42" s="65">
        <v>43042</v>
      </c>
      <c r="Q42" s="59" t="str">
        <f t="shared" ca="1" si="0"/>
        <v>https://www.youtube.com/embed/NpqJHyWjh7A?start=1260&amp;end=1448&amp;autoplay=1</v>
      </c>
      <c r="R42" s="39" t="s">
        <v>63</v>
      </c>
      <c r="S42" s="39" t="s">
        <v>63</v>
      </c>
      <c r="T42" s="39" t="s">
        <v>63</v>
      </c>
      <c r="U42" s="40"/>
      <c r="V42" s="54"/>
      <c r="W42" s="69" t="s">
        <v>64</v>
      </c>
      <c r="X42" s="71"/>
      <c r="Y42" s="96"/>
      <c r="Z42" s="96"/>
      <c r="AA42" s="88"/>
      <c r="AB42" s="88"/>
    </row>
    <row r="43" spans="1:28">
      <c r="A43" s="42">
        <v>273.11</v>
      </c>
      <c r="B43" s="39" t="s">
        <v>136</v>
      </c>
      <c r="C43" s="40"/>
      <c r="D43" s="42" t="s">
        <v>56</v>
      </c>
      <c r="E43" s="38"/>
      <c r="F43" s="43"/>
      <c r="G43" s="63" t="s">
        <v>2181</v>
      </c>
      <c r="H43" s="58" t="s">
        <v>2184</v>
      </c>
      <c r="I43" s="38"/>
      <c r="J43" s="38"/>
      <c r="K43" s="46"/>
      <c r="L43" s="47"/>
      <c r="M43" s="93">
        <v>1.6759259259259258E-2</v>
      </c>
      <c r="N43" s="76">
        <v>1.8298611111111113E-2</v>
      </c>
      <c r="O43" s="77">
        <f t="shared" si="1"/>
        <v>1.5393518518518542E-3</v>
      </c>
      <c r="P43" s="65">
        <v>43042</v>
      </c>
      <c r="Q43" s="59" t="str">
        <f t="shared" ca="1" si="0"/>
        <v>https://www.youtube.com/embed/NpqJHyWjh7A?start=1448&amp;end=1581&amp;autoplay=1</v>
      </c>
      <c r="R43" s="39" t="s">
        <v>63</v>
      </c>
      <c r="S43" s="39" t="s">
        <v>63</v>
      </c>
      <c r="T43" s="39" t="s">
        <v>63</v>
      </c>
      <c r="U43" s="40"/>
      <c r="V43" s="54"/>
      <c r="W43" s="69" t="s">
        <v>64</v>
      </c>
      <c r="X43" s="71"/>
      <c r="Y43" s="96"/>
      <c r="Z43" s="96"/>
      <c r="AA43" s="88"/>
      <c r="AB43" s="88"/>
    </row>
    <row r="44" spans="1:28">
      <c r="A44" s="42">
        <v>273.12</v>
      </c>
      <c r="B44" s="39" t="s">
        <v>136</v>
      </c>
      <c r="C44" s="40"/>
      <c r="D44" s="42" t="s">
        <v>56</v>
      </c>
      <c r="E44" s="38"/>
      <c r="F44" s="43"/>
      <c r="G44" s="63" t="s">
        <v>2185</v>
      </c>
      <c r="H44" s="58" t="s">
        <v>2186</v>
      </c>
      <c r="I44" s="38"/>
      <c r="J44" s="38"/>
      <c r="K44" s="46"/>
      <c r="L44" s="47"/>
      <c r="M44" s="93">
        <v>1.8298611111111113E-2</v>
      </c>
      <c r="N44" s="76">
        <v>1.9120370370370371E-2</v>
      </c>
      <c r="O44" s="77">
        <f t="shared" si="1"/>
        <v>8.2175925925925819E-4</v>
      </c>
      <c r="P44" s="65">
        <v>43042</v>
      </c>
      <c r="Q44" s="59" t="str">
        <f t="shared" ca="1" si="0"/>
        <v>https://www.youtube.com/embed/NpqJHyWjh7A?start=1581&amp;end=1652&amp;autoplay=1</v>
      </c>
      <c r="R44" s="39" t="s">
        <v>63</v>
      </c>
      <c r="S44" s="39" t="s">
        <v>63</v>
      </c>
      <c r="T44" s="39" t="s">
        <v>63</v>
      </c>
      <c r="U44" s="40"/>
      <c r="V44" s="54"/>
      <c r="W44" s="69" t="s">
        <v>64</v>
      </c>
      <c r="X44" s="71"/>
      <c r="Y44" s="96"/>
      <c r="Z44" s="96"/>
      <c r="AA44" s="88"/>
      <c r="AB44" s="88"/>
    </row>
    <row r="45" spans="1:28">
      <c r="A45" s="42">
        <v>273.13</v>
      </c>
      <c r="B45" s="39" t="s">
        <v>136</v>
      </c>
      <c r="C45" s="40"/>
      <c r="D45" s="42" t="s">
        <v>56</v>
      </c>
      <c r="E45" s="38"/>
      <c r="F45" s="43"/>
      <c r="G45" s="63" t="s">
        <v>2189</v>
      </c>
      <c r="H45" s="58" t="s">
        <v>2190</v>
      </c>
      <c r="I45" s="38"/>
      <c r="J45" s="38"/>
      <c r="K45" s="46"/>
      <c r="L45" s="47"/>
      <c r="M45" s="93">
        <v>1.9201388888888889E-2</v>
      </c>
      <c r="N45" s="76">
        <v>2.3993055555555556E-2</v>
      </c>
      <c r="O45" s="77">
        <f t="shared" si="1"/>
        <v>4.7916666666666663E-3</v>
      </c>
      <c r="P45" s="65">
        <v>43042</v>
      </c>
      <c r="Q45" s="59" t="str">
        <f t="shared" ca="1" si="0"/>
        <v>https://www.youtube.com/embed/NpqJHyWjh7A?start=1659&amp;end=2073&amp;autoplay=1</v>
      </c>
      <c r="R45" s="39" t="s">
        <v>63</v>
      </c>
      <c r="S45" s="39" t="s">
        <v>63</v>
      </c>
      <c r="T45" s="39" t="s">
        <v>63</v>
      </c>
      <c r="U45" s="40"/>
      <c r="V45" s="54"/>
      <c r="W45" s="69" t="s">
        <v>64</v>
      </c>
      <c r="X45" s="71"/>
      <c r="Y45" s="96"/>
      <c r="Z45" s="96"/>
      <c r="AA45" s="88"/>
      <c r="AB45" s="88"/>
    </row>
    <row r="46" spans="1:28">
      <c r="A46" s="42">
        <v>273.14</v>
      </c>
      <c r="B46" s="39" t="s">
        <v>136</v>
      </c>
      <c r="C46" s="40"/>
      <c r="D46" s="42" t="s">
        <v>56</v>
      </c>
      <c r="E46" s="38"/>
      <c r="F46" s="43"/>
      <c r="G46" s="63" t="s">
        <v>2193</v>
      </c>
      <c r="H46" s="58" t="s">
        <v>2194</v>
      </c>
      <c r="I46" s="38"/>
      <c r="J46" s="38"/>
      <c r="K46" s="46"/>
      <c r="L46" s="47"/>
      <c r="M46" s="93">
        <v>2.420138888888889E-2</v>
      </c>
      <c r="N46" s="76">
        <v>2.9201388888888888E-2</v>
      </c>
      <c r="O46" s="77">
        <f t="shared" si="1"/>
        <v>4.9999999999999975E-3</v>
      </c>
      <c r="P46" s="65">
        <v>43042</v>
      </c>
      <c r="Q46" s="59" t="str">
        <f t="shared" ca="1" si="0"/>
        <v>https://www.youtube.com/embed/NpqJHyWjh7A?start=2091&amp;end=2523&amp;autoplay=1</v>
      </c>
      <c r="R46" s="39" t="s">
        <v>63</v>
      </c>
      <c r="S46" s="39" t="s">
        <v>63</v>
      </c>
      <c r="T46" s="39" t="s">
        <v>63</v>
      </c>
      <c r="U46" s="40"/>
      <c r="V46" s="54"/>
      <c r="W46" s="69" t="s">
        <v>64</v>
      </c>
      <c r="X46" s="71"/>
      <c r="Y46" s="96"/>
      <c r="Z46" s="96" t="s">
        <v>2195</v>
      </c>
      <c r="AA46" s="88"/>
      <c r="AB46" s="88"/>
    </row>
    <row r="47" spans="1:28">
      <c r="A47" s="38">
        <v>274</v>
      </c>
      <c r="B47" s="39" t="s">
        <v>136</v>
      </c>
      <c r="C47" s="40"/>
      <c r="D47" s="42" t="s">
        <v>56</v>
      </c>
      <c r="E47" s="38" t="s">
        <v>1229</v>
      </c>
      <c r="F47" s="43" t="s">
        <v>1230</v>
      </c>
      <c r="G47" s="44"/>
      <c r="H47" s="45"/>
      <c r="I47" s="38"/>
      <c r="J47" s="38">
        <f>4.4*1000</f>
        <v>4400</v>
      </c>
      <c r="K47" s="46">
        <v>2.0902777777777781E-2</v>
      </c>
      <c r="L47" s="47" t="s">
        <v>1139</v>
      </c>
      <c r="M47" s="38"/>
      <c r="N47" s="38"/>
      <c r="O47" s="38"/>
      <c r="P47" s="65">
        <v>43043</v>
      </c>
      <c r="Q47" s="14" t="str">
        <f t="shared" ca="1" si="0"/>
        <v/>
      </c>
      <c r="R47" s="51"/>
      <c r="S47" s="51"/>
      <c r="T47" s="51"/>
      <c r="U47" s="40"/>
      <c r="V47" s="54"/>
      <c r="W47" s="55"/>
      <c r="X47" s="56"/>
      <c r="Y47" s="88"/>
      <c r="Z47" s="88"/>
      <c r="AA47" s="88"/>
      <c r="AB47" s="88"/>
    </row>
    <row r="48" spans="1:28">
      <c r="A48" s="42">
        <v>274.01</v>
      </c>
      <c r="B48" s="39" t="s">
        <v>136</v>
      </c>
      <c r="C48" s="40"/>
      <c r="D48" s="42" t="s">
        <v>56</v>
      </c>
      <c r="E48" s="38"/>
      <c r="F48" s="43"/>
      <c r="G48" s="63" t="s">
        <v>2198</v>
      </c>
      <c r="H48" s="58" t="s">
        <v>2199</v>
      </c>
      <c r="I48" s="38"/>
      <c r="J48" s="38"/>
      <c r="K48" s="46"/>
      <c r="L48" s="47"/>
      <c r="M48" s="76">
        <v>7.9861111111111116E-4</v>
      </c>
      <c r="N48" s="76">
        <v>1.3425925925925925E-3</v>
      </c>
      <c r="O48" s="77">
        <f t="shared" ref="O48:O77" si="2">N48-M48</f>
        <v>5.4398148148148133E-4</v>
      </c>
      <c r="P48" s="65">
        <v>43043</v>
      </c>
      <c r="Q48" s="59" t="str">
        <f t="shared" ca="1" si="0"/>
        <v>https://www.youtube.com/embed/m9xF54UZFuY?start=69&amp;end=116&amp;autoplay=1</v>
      </c>
      <c r="R48" s="39" t="s">
        <v>63</v>
      </c>
      <c r="S48" s="39" t="s">
        <v>2059</v>
      </c>
      <c r="T48" s="39" t="s">
        <v>63</v>
      </c>
      <c r="U48" s="40"/>
      <c r="V48" s="54"/>
      <c r="W48" s="69" t="s">
        <v>64</v>
      </c>
      <c r="X48" s="56"/>
      <c r="Y48" s="88"/>
      <c r="Z48" s="96" t="s">
        <v>2202</v>
      </c>
      <c r="AA48" s="88"/>
      <c r="AB48" s="88"/>
    </row>
    <row r="49" spans="1:28">
      <c r="A49" s="42">
        <v>274.02</v>
      </c>
      <c r="B49" s="39" t="s">
        <v>136</v>
      </c>
      <c r="C49" s="40"/>
      <c r="D49" s="42" t="s">
        <v>56</v>
      </c>
      <c r="E49" s="38"/>
      <c r="F49" s="43"/>
      <c r="G49" s="63" t="s">
        <v>2203</v>
      </c>
      <c r="H49" s="58" t="s">
        <v>2204</v>
      </c>
      <c r="I49" s="38"/>
      <c r="J49" s="38"/>
      <c r="K49" s="46"/>
      <c r="L49" s="47"/>
      <c r="M49" s="76">
        <v>1.3541666666666667E-3</v>
      </c>
      <c r="N49" s="76">
        <v>2.2916666666666667E-3</v>
      </c>
      <c r="O49" s="77">
        <f t="shared" si="2"/>
        <v>9.3749999999999997E-4</v>
      </c>
      <c r="P49" s="65">
        <v>43043</v>
      </c>
      <c r="Q49" s="59" t="str">
        <f t="shared" ca="1" si="0"/>
        <v>https://www.youtube.com/embed/m9xF54UZFuY?start=117&amp;end=198&amp;autoplay=1</v>
      </c>
      <c r="R49" s="39" t="s">
        <v>63</v>
      </c>
      <c r="S49" s="39" t="s">
        <v>63</v>
      </c>
      <c r="T49" s="39" t="s">
        <v>63</v>
      </c>
      <c r="U49" s="40"/>
      <c r="V49" s="54"/>
      <c r="W49" s="69" t="s">
        <v>64</v>
      </c>
      <c r="X49" s="56"/>
      <c r="Y49" s="88"/>
      <c r="Z49" s="96" t="s">
        <v>2207</v>
      </c>
      <c r="AA49" s="88"/>
      <c r="AB49" s="88"/>
    </row>
    <row r="50" spans="1:28">
      <c r="A50" s="42">
        <v>274.02999999999997</v>
      </c>
      <c r="B50" s="39" t="s">
        <v>136</v>
      </c>
      <c r="C50" s="40"/>
      <c r="D50" s="42" t="s">
        <v>56</v>
      </c>
      <c r="E50" s="38"/>
      <c r="F50" s="43"/>
      <c r="G50" s="63" t="s">
        <v>2208</v>
      </c>
      <c r="H50" s="58" t="s">
        <v>2209</v>
      </c>
      <c r="I50" s="38"/>
      <c r="J50" s="38"/>
      <c r="K50" s="46"/>
      <c r="L50" s="47"/>
      <c r="M50" s="76">
        <v>2.5694444444444445E-3</v>
      </c>
      <c r="N50" s="76">
        <v>3.7962962962962963E-3</v>
      </c>
      <c r="O50" s="77">
        <f t="shared" si="2"/>
        <v>1.2268518518518518E-3</v>
      </c>
      <c r="P50" s="65">
        <v>43043</v>
      </c>
      <c r="Q50" s="59" t="str">
        <f t="shared" ca="1" si="0"/>
        <v>https://www.youtube.com/embed/m9xF54UZFuY?start=222&amp;end=328&amp;autoplay=1</v>
      </c>
      <c r="R50" s="39" t="s">
        <v>63</v>
      </c>
      <c r="S50" s="39" t="s">
        <v>63</v>
      </c>
      <c r="T50" s="39" t="s">
        <v>63</v>
      </c>
      <c r="U50" s="40"/>
      <c r="V50" s="54"/>
      <c r="W50" s="69" t="s">
        <v>64</v>
      </c>
      <c r="X50" s="56"/>
      <c r="Y50" s="88"/>
      <c r="Z50" s="96" t="s">
        <v>2207</v>
      </c>
      <c r="AA50" s="88"/>
      <c r="AB50" s="88"/>
    </row>
    <row r="51" spans="1:28">
      <c r="A51" s="42">
        <v>274.04000000000002</v>
      </c>
      <c r="B51" s="39" t="s">
        <v>136</v>
      </c>
      <c r="C51" s="40"/>
      <c r="D51" s="42" t="s">
        <v>56</v>
      </c>
      <c r="E51" s="38"/>
      <c r="F51" s="43"/>
      <c r="G51" s="63" t="s">
        <v>2210</v>
      </c>
      <c r="H51" s="58" t="s">
        <v>2211</v>
      </c>
      <c r="I51" s="38"/>
      <c r="J51" s="38"/>
      <c r="K51" s="46"/>
      <c r="L51" s="47"/>
      <c r="M51" s="76">
        <v>3.7962962962962963E-3</v>
      </c>
      <c r="N51" s="76">
        <v>5.0000000000000001E-3</v>
      </c>
      <c r="O51" s="77">
        <f t="shared" si="2"/>
        <v>1.2037037037037038E-3</v>
      </c>
      <c r="P51" s="65">
        <v>43043</v>
      </c>
      <c r="Q51" s="59" t="str">
        <f t="shared" ca="1" si="0"/>
        <v>https://www.youtube.com/embed/m9xF54UZFuY?start=328&amp;end=432&amp;autoplay=1</v>
      </c>
      <c r="R51" s="39" t="s">
        <v>63</v>
      </c>
      <c r="S51" s="39" t="s">
        <v>63</v>
      </c>
      <c r="T51" s="39" t="s">
        <v>63</v>
      </c>
      <c r="U51" s="40"/>
      <c r="V51" s="54"/>
      <c r="W51" s="69" t="s">
        <v>64</v>
      </c>
      <c r="X51" s="56"/>
      <c r="Y51" s="88"/>
      <c r="Z51" s="96" t="s">
        <v>2214</v>
      </c>
      <c r="AA51" s="88"/>
      <c r="AB51" s="88"/>
    </row>
    <row r="52" spans="1:28">
      <c r="A52" s="42">
        <v>274.05</v>
      </c>
      <c r="B52" s="39" t="s">
        <v>136</v>
      </c>
      <c r="C52" s="40"/>
      <c r="D52" s="42" t="s">
        <v>56</v>
      </c>
      <c r="E52" s="38"/>
      <c r="F52" s="43"/>
      <c r="G52" s="63" t="s">
        <v>2215</v>
      </c>
      <c r="H52" s="58" t="s">
        <v>2216</v>
      </c>
      <c r="I52" s="38"/>
      <c r="J52" s="38"/>
      <c r="K52" s="46"/>
      <c r="L52" s="47"/>
      <c r="M52" s="76">
        <v>5.0000000000000001E-3</v>
      </c>
      <c r="N52" s="76">
        <v>6.9675925925925929E-3</v>
      </c>
      <c r="O52" s="77">
        <f t="shared" si="2"/>
        <v>1.9675925925925928E-3</v>
      </c>
      <c r="P52" s="65">
        <v>43043</v>
      </c>
      <c r="Q52" s="59" t="str">
        <f t="shared" ca="1" si="0"/>
        <v>https://www.youtube.com/embed/m9xF54UZFuY?start=432&amp;end=602&amp;autoplay=1</v>
      </c>
      <c r="R52" s="39" t="s">
        <v>63</v>
      </c>
      <c r="S52" s="39" t="s">
        <v>63</v>
      </c>
      <c r="T52" s="39" t="s">
        <v>63</v>
      </c>
      <c r="U52" s="40"/>
      <c r="V52" s="54"/>
      <c r="W52" s="69" t="s">
        <v>64</v>
      </c>
      <c r="X52" s="56"/>
      <c r="Y52" s="88"/>
      <c r="Z52" s="96" t="s">
        <v>2217</v>
      </c>
      <c r="AA52" s="88"/>
      <c r="AB52" s="88"/>
    </row>
    <row r="53" spans="1:28">
      <c r="A53" s="42">
        <v>274.06</v>
      </c>
      <c r="B53" s="39" t="s">
        <v>136</v>
      </c>
      <c r="C53" s="40"/>
      <c r="D53" s="42" t="s">
        <v>56</v>
      </c>
      <c r="E53" s="38"/>
      <c r="F53" s="43"/>
      <c r="G53" s="63" t="s">
        <v>2220</v>
      </c>
      <c r="H53" s="58" t="s">
        <v>2221</v>
      </c>
      <c r="I53" s="38"/>
      <c r="J53" s="38"/>
      <c r="K53" s="46"/>
      <c r="L53" s="47"/>
      <c r="M53" s="76">
        <v>7.1412037037037034E-3</v>
      </c>
      <c r="N53" s="76">
        <v>7.8935185185185185E-3</v>
      </c>
      <c r="O53" s="77">
        <f t="shared" si="2"/>
        <v>7.5231481481481503E-4</v>
      </c>
      <c r="P53" s="65">
        <v>43043</v>
      </c>
      <c r="Q53" s="59" t="str">
        <f t="shared" ca="1" si="0"/>
        <v>https://www.youtube.com/embed/m9xF54UZFuY?start=617&amp;end=682&amp;autoplay=1</v>
      </c>
      <c r="R53" s="39" t="s">
        <v>63</v>
      </c>
      <c r="S53" s="39" t="s">
        <v>63</v>
      </c>
      <c r="T53" s="39" t="s">
        <v>63</v>
      </c>
      <c r="U53" s="40"/>
      <c r="V53" s="54"/>
      <c r="W53" s="69" t="s">
        <v>151</v>
      </c>
      <c r="X53" s="56"/>
      <c r="Y53" s="88"/>
      <c r="Z53" s="96"/>
      <c r="AA53" s="88"/>
      <c r="AB53" s="88"/>
    </row>
    <row r="54" spans="1:28">
      <c r="A54" s="42">
        <v>274.07</v>
      </c>
      <c r="B54" s="39" t="s">
        <v>136</v>
      </c>
      <c r="C54" s="40"/>
      <c r="D54" s="42" t="s">
        <v>56</v>
      </c>
      <c r="E54" s="38"/>
      <c r="F54" s="43"/>
      <c r="G54" s="63" t="s">
        <v>2222</v>
      </c>
      <c r="H54" s="58" t="s">
        <v>2224</v>
      </c>
      <c r="I54" s="38"/>
      <c r="J54" s="38"/>
      <c r="K54" s="46"/>
      <c r="L54" s="47"/>
      <c r="M54" s="76">
        <v>7.9745370370370369E-3</v>
      </c>
      <c r="N54" s="76">
        <v>1.0347222222222223E-2</v>
      </c>
      <c r="O54" s="77">
        <f t="shared" si="2"/>
        <v>2.372685185185186E-3</v>
      </c>
      <c r="P54" s="65">
        <v>43043</v>
      </c>
      <c r="Q54" s="59" t="str">
        <f t="shared" ca="1" si="0"/>
        <v>https://www.youtube.com/embed/m9xF54UZFuY?start=689&amp;end=894&amp;autoplay=1</v>
      </c>
      <c r="R54" s="39" t="s">
        <v>63</v>
      </c>
      <c r="S54" s="39" t="s">
        <v>63</v>
      </c>
      <c r="T54" s="39" t="s">
        <v>63</v>
      </c>
      <c r="U54" s="40"/>
      <c r="V54" s="54"/>
      <c r="W54" s="69" t="s">
        <v>64</v>
      </c>
      <c r="X54" s="56"/>
      <c r="Y54" s="88"/>
      <c r="Z54" s="96" t="s">
        <v>2226</v>
      </c>
      <c r="AA54" s="88"/>
      <c r="AB54" s="88"/>
    </row>
    <row r="55" spans="1:28">
      <c r="A55" s="42">
        <v>274.08</v>
      </c>
      <c r="B55" s="39" t="s">
        <v>136</v>
      </c>
      <c r="C55" s="40"/>
      <c r="D55" s="42" t="s">
        <v>56</v>
      </c>
      <c r="E55" s="38"/>
      <c r="F55" s="43"/>
      <c r="G55" s="63" t="s">
        <v>2227</v>
      </c>
      <c r="H55" s="58" t="s">
        <v>2228</v>
      </c>
      <c r="I55" s="38"/>
      <c r="J55" s="38"/>
      <c r="K55" s="46"/>
      <c r="L55" s="47"/>
      <c r="M55" s="76">
        <v>1.0416666666666666E-2</v>
      </c>
      <c r="N55" s="76">
        <v>1.3310185185185185E-2</v>
      </c>
      <c r="O55" s="77">
        <f t="shared" si="2"/>
        <v>2.8935185185185192E-3</v>
      </c>
      <c r="P55" s="65">
        <v>43043</v>
      </c>
      <c r="Q55" s="59" t="str">
        <f t="shared" ca="1" si="0"/>
        <v>https://www.youtube.com/embed/m9xF54UZFuY?start=900&amp;end=1150&amp;autoplay=1</v>
      </c>
      <c r="R55" s="39" t="s">
        <v>63</v>
      </c>
      <c r="S55" s="39" t="s">
        <v>63</v>
      </c>
      <c r="T55" s="39" t="s">
        <v>63</v>
      </c>
      <c r="U55" s="40"/>
      <c r="V55" s="54"/>
      <c r="W55" s="69" t="s">
        <v>64</v>
      </c>
      <c r="X55" s="56"/>
      <c r="Y55" s="88"/>
      <c r="Z55" s="96" t="s">
        <v>2231</v>
      </c>
      <c r="AA55" s="88"/>
      <c r="AB55" s="88"/>
    </row>
    <row r="56" spans="1:28">
      <c r="A56" s="42">
        <v>274.08999999999997</v>
      </c>
      <c r="B56" s="39" t="s">
        <v>136</v>
      </c>
      <c r="C56" s="40"/>
      <c r="D56" s="42" t="s">
        <v>56</v>
      </c>
      <c r="E56" s="38"/>
      <c r="F56" s="43"/>
      <c r="G56" s="63" t="s">
        <v>2232</v>
      </c>
      <c r="H56" s="58" t="s">
        <v>2233</v>
      </c>
      <c r="I56" s="38"/>
      <c r="J56" s="38"/>
      <c r="K56" s="46"/>
      <c r="L56" s="47"/>
      <c r="M56" s="76">
        <v>1.3877314814814815E-2</v>
      </c>
      <c r="N56" s="76">
        <v>1.6273148148148148E-2</v>
      </c>
      <c r="O56" s="77">
        <f t="shared" si="2"/>
        <v>2.3958333333333331E-3</v>
      </c>
      <c r="P56" s="65">
        <v>43043</v>
      </c>
      <c r="Q56" s="59" t="str">
        <f t="shared" ca="1" si="0"/>
        <v>https://www.youtube.com/embed/m9xF54UZFuY?start=1199&amp;end=1406&amp;autoplay=1</v>
      </c>
      <c r="R56" s="39" t="s">
        <v>63</v>
      </c>
      <c r="S56" s="39" t="s">
        <v>63</v>
      </c>
      <c r="T56" s="39" t="s">
        <v>63</v>
      </c>
      <c r="U56" s="40"/>
      <c r="V56" s="54"/>
      <c r="W56" s="69" t="s">
        <v>64</v>
      </c>
      <c r="X56" s="56"/>
      <c r="Y56" s="88"/>
      <c r="Z56" s="96" t="s">
        <v>2236</v>
      </c>
      <c r="AA56" s="88"/>
      <c r="AB56" s="88"/>
    </row>
    <row r="57" spans="1:28">
      <c r="A57" s="85">
        <v>274.10000000000002</v>
      </c>
      <c r="B57" s="39" t="s">
        <v>136</v>
      </c>
      <c r="C57" s="40"/>
      <c r="D57" s="42" t="s">
        <v>56</v>
      </c>
      <c r="E57" s="38"/>
      <c r="F57" s="43"/>
      <c r="G57" s="63" t="s">
        <v>2237</v>
      </c>
      <c r="H57" s="58" t="s">
        <v>2238</v>
      </c>
      <c r="I57" s="38"/>
      <c r="J57" s="38"/>
      <c r="K57" s="46"/>
      <c r="L57" s="47"/>
      <c r="M57" s="76">
        <v>1.6273148148148148E-2</v>
      </c>
      <c r="N57" s="76">
        <v>2.0671296296296295E-2</v>
      </c>
      <c r="O57" s="77">
        <f t="shared" si="2"/>
        <v>4.3981481481481476E-3</v>
      </c>
      <c r="P57" s="65">
        <v>43043</v>
      </c>
      <c r="Q57" s="59" t="str">
        <f t="shared" ca="1" si="0"/>
        <v>https://www.youtube.com/embed/m9xF54UZFuY?start=1406&amp;end=1786&amp;autoplay=1</v>
      </c>
      <c r="R57" s="39" t="s">
        <v>63</v>
      </c>
      <c r="S57" s="39" t="s">
        <v>63</v>
      </c>
      <c r="T57" s="39" t="s">
        <v>63</v>
      </c>
      <c r="U57" s="40"/>
      <c r="V57" s="54"/>
      <c r="W57" s="69" t="s">
        <v>64</v>
      </c>
      <c r="X57" s="56"/>
      <c r="Y57" s="88"/>
      <c r="Z57" s="96" t="s">
        <v>2241</v>
      </c>
      <c r="AA57" s="88"/>
      <c r="AB57" s="88"/>
    </row>
    <row r="58" spans="1:28">
      <c r="A58" s="38">
        <v>275</v>
      </c>
      <c r="B58" s="39" t="s">
        <v>136</v>
      </c>
      <c r="C58" s="40"/>
      <c r="D58" s="38"/>
      <c r="E58" s="38" t="s">
        <v>1234</v>
      </c>
      <c r="F58" s="43" t="s">
        <v>1235</v>
      </c>
      <c r="G58" s="44"/>
      <c r="H58" s="45"/>
      <c r="I58" s="38"/>
      <c r="J58" s="38">
        <f>4.5*1000</f>
        <v>4500</v>
      </c>
      <c r="K58" s="46">
        <v>2.2083333333333333E-2</v>
      </c>
      <c r="L58" s="47" t="s">
        <v>1139</v>
      </c>
      <c r="M58" s="38"/>
      <c r="N58" s="38"/>
      <c r="O58" s="38">
        <f t="shared" si="2"/>
        <v>0</v>
      </c>
      <c r="P58" s="38"/>
      <c r="Q58" s="14" t="str">
        <f t="shared" ca="1" si="0"/>
        <v/>
      </c>
      <c r="R58" s="51"/>
      <c r="S58" s="51"/>
      <c r="T58" s="51"/>
      <c r="U58" s="40"/>
      <c r="V58" s="54"/>
      <c r="W58" s="55"/>
      <c r="X58" s="56"/>
      <c r="Y58" s="88"/>
      <c r="Z58" s="88"/>
      <c r="AA58" s="88"/>
      <c r="AB58" s="88"/>
    </row>
    <row r="59" spans="1:28">
      <c r="A59" s="38">
        <v>276</v>
      </c>
      <c r="B59" s="39" t="s">
        <v>136</v>
      </c>
      <c r="C59" s="40"/>
      <c r="D59" s="42" t="s">
        <v>56</v>
      </c>
      <c r="E59" s="38" t="s">
        <v>1238</v>
      </c>
      <c r="F59" s="43" t="s">
        <v>1239</v>
      </c>
      <c r="G59" s="44"/>
      <c r="H59" s="45"/>
      <c r="I59" s="38"/>
      <c r="J59" s="38">
        <f>4.3*1000</f>
        <v>4300</v>
      </c>
      <c r="K59" s="46">
        <v>5.2430555555555555E-3</v>
      </c>
      <c r="L59" s="47" t="s">
        <v>1139</v>
      </c>
      <c r="M59" s="38"/>
      <c r="N59" s="38"/>
      <c r="O59" s="38">
        <f t="shared" si="2"/>
        <v>0</v>
      </c>
      <c r="P59" s="65">
        <v>43043</v>
      </c>
      <c r="Q59" s="14" t="str">
        <f t="shared" ca="1" si="0"/>
        <v/>
      </c>
      <c r="R59" s="51"/>
      <c r="S59" s="51"/>
      <c r="T59" s="51"/>
      <c r="U59" s="40"/>
      <c r="V59" s="54"/>
      <c r="W59" s="55"/>
      <c r="X59" s="56"/>
      <c r="Y59" s="88"/>
      <c r="Z59" s="96" t="s">
        <v>2246</v>
      </c>
      <c r="AA59" s="88"/>
      <c r="AB59" s="88"/>
    </row>
    <row r="60" spans="1:28">
      <c r="A60" s="42">
        <v>276.01</v>
      </c>
      <c r="B60" s="39" t="s">
        <v>136</v>
      </c>
      <c r="C60" s="40"/>
      <c r="D60" s="42" t="s">
        <v>56</v>
      </c>
      <c r="E60" s="38"/>
      <c r="F60" s="43"/>
      <c r="G60" s="63" t="s">
        <v>2247</v>
      </c>
      <c r="H60" s="58" t="s">
        <v>2248</v>
      </c>
      <c r="I60" s="38"/>
      <c r="J60" s="38"/>
      <c r="K60" s="46"/>
      <c r="L60" s="47"/>
      <c r="M60" s="76">
        <v>7.0601851851851847E-4</v>
      </c>
      <c r="N60" s="76">
        <v>3.2291666666666666E-3</v>
      </c>
      <c r="O60" s="77">
        <f t="shared" si="2"/>
        <v>2.5231481481481481E-3</v>
      </c>
      <c r="P60" s="65">
        <v>43043</v>
      </c>
      <c r="Q60" s="59" t="str">
        <f t="shared" ca="1" si="0"/>
        <v>https://www.youtube.com/embed/w5KPpzfrQQY?start=61&amp;end=279&amp;autoplay=1</v>
      </c>
      <c r="R60" s="39" t="s">
        <v>63</v>
      </c>
      <c r="S60" s="39" t="s">
        <v>63</v>
      </c>
      <c r="T60" s="39" t="s">
        <v>63</v>
      </c>
      <c r="U60" s="40"/>
      <c r="V60" s="54"/>
      <c r="W60" s="69" t="s">
        <v>151</v>
      </c>
      <c r="X60" s="56"/>
      <c r="Y60" s="88"/>
      <c r="Z60" s="96" t="s">
        <v>2251</v>
      </c>
      <c r="AA60" s="88"/>
      <c r="AB60" s="88"/>
    </row>
    <row r="61" spans="1:28">
      <c r="A61" s="42">
        <v>276.02</v>
      </c>
      <c r="B61" s="39" t="s">
        <v>136</v>
      </c>
      <c r="C61" s="40"/>
      <c r="D61" s="42" t="s">
        <v>56</v>
      </c>
      <c r="E61" s="38"/>
      <c r="F61" s="43"/>
      <c r="G61" s="63" t="s">
        <v>2252</v>
      </c>
      <c r="H61" s="58" t="s">
        <v>2253</v>
      </c>
      <c r="I61" s="38"/>
      <c r="J61" s="38"/>
      <c r="K61" s="46"/>
      <c r="L61" s="47"/>
      <c r="M61" s="76">
        <v>3.2407407407407406E-3</v>
      </c>
      <c r="N61" s="76">
        <v>5.185185185185185E-3</v>
      </c>
      <c r="O61" s="77">
        <f t="shared" si="2"/>
        <v>1.9444444444444444E-3</v>
      </c>
      <c r="P61" s="65">
        <v>43044</v>
      </c>
      <c r="Q61" s="59" t="str">
        <f t="shared" ca="1" si="0"/>
        <v>https://www.youtube.com/embed/w5KPpzfrQQY?start=280&amp;end=448&amp;autoplay=1</v>
      </c>
      <c r="R61" s="39" t="s">
        <v>63</v>
      </c>
      <c r="S61" s="39" t="s">
        <v>63</v>
      </c>
      <c r="T61" s="39" t="s">
        <v>63</v>
      </c>
      <c r="U61" s="40"/>
      <c r="V61" s="54"/>
      <c r="W61" s="69" t="s">
        <v>151</v>
      </c>
      <c r="X61" s="56"/>
      <c r="Y61" s="88"/>
      <c r="Z61" s="96" t="s">
        <v>2256</v>
      </c>
      <c r="AA61" s="88"/>
      <c r="AB61" s="88"/>
    </row>
    <row r="62" spans="1:28">
      <c r="A62" s="38">
        <v>481</v>
      </c>
      <c r="B62" s="39" t="s">
        <v>136</v>
      </c>
      <c r="C62" s="40"/>
      <c r="D62" s="38"/>
      <c r="E62" s="38" t="s">
        <v>1947</v>
      </c>
      <c r="F62" s="43" t="s">
        <v>1948</v>
      </c>
      <c r="G62" s="44"/>
      <c r="H62" s="45"/>
      <c r="I62" s="38"/>
      <c r="J62" s="38">
        <f>3.5*1000</f>
        <v>3500</v>
      </c>
      <c r="K62" s="46">
        <v>7.4884259259259262E-3</v>
      </c>
      <c r="L62" s="47" t="s">
        <v>1283</v>
      </c>
      <c r="M62" s="38"/>
      <c r="N62" s="38"/>
      <c r="O62" s="38">
        <f t="shared" si="2"/>
        <v>0</v>
      </c>
      <c r="P62" s="38"/>
      <c r="Q62" s="14" t="str">
        <f t="shared" ca="1" si="0"/>
        <v/>
      </c>
      <c r="R62" s="51"/>
      <c r="S62" s="51"/>
      <c r="T62" s="51"/>
      <c r="U62" s="40"/>
      <c r="V62" s="54"/>
      <c r="W62" s="55"/>
      <c r="X62" s="56"/>
      <c r="Y62" s="88"/>
      <c r="Z62" s="88"/>
      <c r="AA62" s="88"/>
      <c r="AB62" s="88"/>
    </row>
    <row r="63" spans="1:28">
      <c r="A63" s="38">
        <v>751</v>
      </c>
      <c r="B63" s="39" t="s">
        <v>136</v>
      </c>
      <c r="C63" s="40"/>
      <c r="D63" s="42" t="s">
        <v>139</v>
      </c>
      <c r="E63" s="38" t="s">
        <v>2261</v>
      </c>
      <c r="F63" s="43" t="s">
        <v>2262</v>
      </c>
      <c r="G63" s="44"/>
      <c r="H63" s="45"/>
      <c r="I63" s="38"/>
      <c r="J63" s="38">
        <f>6.7*1000</f>
        <v>6700</v>
      </c>
      <c r="K63" s="46">
        <v>8.1655092592592585E-2</v>
      </c>
      <c r="L63" s="47" t="s">
        <v>1525</v>
      </c>
      <c r="M63" s="38"/>
      <c r="N63" s="38"/>
      <c r="O63" s="38">
        <f t="shared" si="2"/>
        <v>0</v>
      </c>
      <c r="P63" s="65">
        <v>43044</v>
      </c>
      <c r="Q63" s="14" t="str">
        <f t="shared" ca="1" si="0"/>
        <v/>
      </c>
      <c r="R63" s="51"/>
      <c r="S63" s="51"/>
      <c r="T63" s="51"/>
      <c r="U63" s="40"/>
      <c r="V63" s="54"/>
      <c r="W63" s="55"/>
      <c r="X63" s="56"/>
      <c r="Y63" s="88"/>
      <c r="Z63" s="88"/>
      <c r="AA63" s="88"/>
      <c r="AB63" s="88"/>
    </row>
    <row r="64" spans="1:28" ht="13.5" customHeight="1">
      <c r="A64" s="42">
        <v>751.01</v>
      </c>
      <c r="B64" s="39" t="s">
        <v>136</v>
      </c>
      <c r="C64" s="40"/>
      <c r="D64" s="42" t="s">
        <v>139</v>
      </c>
      <c r="E64" s="38"/>
      <c r="F64" s="43"/>
      <c r="G64" s="63" t="s">
        <v>2265</v>
      </c>
      <c r="H64" s="58" t="s">
        <v>2266</v>
      </c>
      <c r="I64" s="38"/>
      <c r="J64" s="38"/>
      <c r="K64" s="46"/>
      <c r="L64" s="47"/>
      <c r="M64" s="76">
        <v>1.0532407407407407E-3</v>
      </c>
      <c r="N64" s="76">
        <v>2.8009259259259259E-3</v>
      </c>
      <c r="O64" s="77">
        <f t="shared" si="2"/>
        <v>1.7476851851851852E-3</v>
      </c>
      <c r="P64" s="65">
        <v>43044</v>
      </c>
      <c r="Q64" s="59" t="str">
        <f t="shared" ca="1" si="0"/>
        <v>https://www.youtube.com/embed/GtSbmTRia5Y?start=91&amp;end=242&amp;autoplay=1</v>
      </c>
      <c r="R64" s="39" t="s">
        <v>63</v>
      </c>
      <c r="S64" s="39" t="s">
        <v>63</v>
      </c>
      <c r="T64" s="39" t="s">
        <v>63</v>
      </c>
      <c r="U64" s="40"/>
      <c r="V64" s="54"/>
      <c r="W64" s="69" t="s">
        <v>64</v>
      </c>
      <c r="X64" s="56"/>
      <c r="Y64" s="88"/>
      <c r="Z64" s="96" t="s">
        <v>2269</v>
      </c>
      <c r="AA64" s="88"/>
      <c r="AB64" s="88"/>
    </row>
    <row r="65" spans="1:28" ht="13.5" customHeight="1">
      <c r="A65" s="42">
        <v>751.02</v>
      </c>
      <c r="B65" s="39" t="s">
        <v>136</v>
      </c>
      <c r="C65" s="40"/>
      <c r="D65" s="42" t="s">
        <v>139</v>
      </c>
      <c r="E65" s="38"/>
      <c r="F65" s="43"/>
      <c r="G65" s="63" t="s">
        <v>2270</v>
      </c>
      <c r="H65" s="58" t="s">
        <v>2271</v>
      </c>
      <c r="I65" s="38"/>
      <c r="J65" s="38"/>
      <c r="K65" s="46"/>
      <c r="L65" s="47"/>
      <c r="M65" s="76">
        <v>2.8935185185185184E-3</v>
      </c>
      <c r="N65" s="76">
        <v>4.9884259259259257E-3</v>
      </c>
      <c r="O65" s="77">
        <f t="shared" si="2"/>
        <v>2.0949074074074073E-3</v>
      </c>
      <c r="P65" s="65">
        <v>43044</v>
      </c>
      <c r="Q65" s="59" t="str">
        <f t="shared" ca="1" si="0"/>
        <v>https://www.youtube.com/embed/GtSbmTRia5Y?start=250&amp;end=431&amp;autoplay=1</v>
      </c>
      <c r="R65" s="39" t="s">
        <v>63</v>
      </c>
      <c r="S65" s="39" t="s">
        <v>63</v>
      </c>
      <c r="T65" s="39" t="s">
        <v>63</v>
      </c>
      <c r="U65" s="40"/>
      <c r="V65" s="54"/>
      <c r="W65" s="69"/>
      <c r="X65" s="56"/>
      <c r="Y65" s="96" t="s">
        <v>2272</v>
      </c>
      <c r="Z65" s="96" t="s">
        <v>2273</v>
      </c>
      <c r="AA65" s="88"/>
      <c r="AB65" s="88"/>
    </row>
    <row r="66" spans="1:28" ht="13.5" customHeight="1">
      <c r="A66" s="42">
        <v>751.03</v>
      </c>
      <c r="B66" s="39" t="s">
        <v>136</v>
      </c>
      <c r="C66" s="40"/>
      <c r="D66" s="42" t="s">
        <v>139</v>
      </c>
      <c r="E66" s="38"/>
      <c r="F66" s="43"/>
      <c r="G66" s="63" t="s">
        <v>2274</v>
      </c>
      <c r="H66" s="58" t="s">
        <v>2275</v>
      </c>
      <c r="I66" s="38"/>
      <c r="J66" s="38"/>
      <c r="K66" s="46"/>
      <c r="L66" s="47"/>
      <c r="M66" s="76">
        <v>6.053240740740741E-3</v>
      </c>
      <c r="N66" s="76">
        <v>7.2453703703703708E-3</v>
      </c>
      <c r="O66" s="77">
        <f t="shared" si="2"/>
        <v>1.1921296296296298E-3</v>
      </c>
      <c r="P66" s="65">
        <v>43052</v>
      </c>
      <c r="Q66" s="59" t="str">
        <f t="shared" ca="1" si="0"/>
        <v>https://www.youtube.com/embed/GtSbmTRia5Y?start=523&amp;end=626&amp;autoplay=1</v>
      </c>
      <c r="R66" s="39" t="s">
        <v>63</v>
      </c>
      <c r="S66" s="39" t="s">
        <v>63</v>
      </c>
      <c r="T66" s="39" t="s">
        <v>63</v>
      </c>
      <c r="U66" s="40"/>
      <c r="V66" s="54"/>
      <c r="W66" s="69" t="s">
        <v>64</v>
      </c>
      <c r="X66" s="56"/>
      <c r="Y66" s="96"/>
      <c r="Z66" s="96" t="s">
        <v>2278</v>
      </c>
      <c r="AA66" s="88"/>
      <c r="AB66" s="88"/>
    </row>
    <row r="67" spans="1:28" ht="13.5" customHeight="1">
      <c r="A67" s="42">
        <v>751.04</v>
      </c>
      <c r="B67" s="39" t="s">
        <v>136</v>
      </c>
      <c r="C67" s="40"/>
      <c r="D67" s="42" t="s">
        <v>139</v>
      </c>
      <c r="E67" s="38"/>
      <c r="F67" s="43"/>
      <c r="G67" s="63" t="s">
        <v>2279</v>
      </c>
      <c r="H67" s="58" t="s">
        <v>2280</v>
      </c>
      <c r="I67" s="38"/>
      <c r="J67" s="38"/>
      <c r="K67" s="46"/>
      <c r="L67" s="47"/>
      <c r="M67" s="76">
        <v>7.5231481481481477E-3</v>
      </c>
      <c r="N67" s="76">
        <v>8.0902777777777778E-3</v>
      </c>
      <c r="O67" s="77">
        <f t="shared" si="2"/>
        <v>5.671296296296301E-4</v>
      </c>
      <c r="P67" s="65">
        <v>43052</v>
      </c>
      <c r="Q67" s="59" t="str">
        <f t="shared" ca="1" si="0"/>
        <v>https://www.youtube.com/embed/GtSbmTRia5Y?start=650&amp;end=699&amp;autoplay=1</v>
      </c>
      <c r="R67" s="39" t="s">
        <v>63</v>
      </c>
      <c r="S67" s="39" t="s">
        <v>63</v>
      </c>
      <c r="T67" s="39" t="s">
        <v>63</v>
      </c>
      <c r="U67" s="40"/>
      <c r="V67" s="54"/>
      <c r="W67" s="69" t="s">
        <v>64</v>
      </c>
      <c r="X67" s="56"/>
      <c r="Y67" s="96"/>
      <c r="Z67" s="96" t="s">
        <v>2281</v>
      </c>
      <c r="AA67" s="88"/>
      <c r="AB67" s="88"/>
    </row>
    <row r="68" spans="1:28" ht="13.5" customHeight="1">
      <c r="A68" s="42">
        <v>751.05</v>
      </c>
      <c r="B68" s="39" t="s">
        <v>136</v>
      </c>
      <c r="C68" s="40"/>
      <c r="D68" s="42" t="s">
        <v>139</v>
      </c>
      <c r="E68" s="38"/>
      <c r="F68" s="43"/>
      <c r="G68" s="63" t="s">
        <v>2283</v>
      </c>
      <c r="H68" s="58" t="s">
        <v>2285</v>
      </c>
      <c r="I68" s="38"/>
      <c r="J68" s="38"/>
      <c r="K68" s="46"/>
      <c r="L68" s="47"/>
      <c r="M68" s="76">
        <v>8.2175925925925923E-3</v>
      </c>
      <c r="N68" s="76">
        <v>9.1898148148148156E-3</v>
      </c>
      <c r="O68" s="77">
        <f t="shared" si="2"/>
        <v>9.7222222222222328E-4</v>
      </c>
      <c r="P68" s="65">
        <v>43052</v>
      </c>
      <c r="Q68" s="59" t="str">
        <f t="shared" ca="1" si="0"/>
        <v>https://www.youtube.com/embed/GtSbmTRia5Y?start=710&amp;end=794&amp;autoplay=1</v>
      </c>
      <c r="R68" s="39" t="s">
        <v>63</v>
      </c>
      <c r="S68" s="39" t="s">
        <v>63</v>
      </c>
      <c r="T68" s="39" t="s">
        <v>63</v>
      </c>
      <c r="U68" s="40"/>
      <c r="V68" s="54"/>
      <c r="W68" s="69" t="s">
        <v>64</v>
      </c>
      <c r="X68" s="56"/>
      <c r="Y68" s="96"/>
      <c r="Z68" s="96" t="s">
        <v>2286</v>
      </c>
      <c r="AA68" s="88"/>
      <c r="AB68" s="88"/>
    </row>
    <row r="69" spans="1:28" ht="13.5" customHeight="1">
      <c r="A69" s="42">
        <v>751.06</v>
      </c>
      <c r="B69" s="39" t="s">
        <v>136</v>
      </c>
      <c r="C69" s="40"/>
      <c r="D69" s="42" t="s">
        <v>139</v>
      </c>
      <c r="E69" s="38"/>
      <c r="F69" s="43"/>
      <c r="G69" s="63" t="s">
        <v>2287</v>
      </c>
      <c r="H69" s="58" t="s">
        <v>2288</v>
      </c>
      <c r="I69" s="38"/>
      <c r="J69" s="38"/>
      <c r="K69" s="46"/>
      <c r="L69" s="47"/>
      <c r="M69" s="76">
        <v>9.2013888888888892E-3</v>
      </c>
      <c r="N69" s="76">
        <v>1.1215277777777777E-2</v>
      </c>
      <c r="O69" s="77">
        <f t="shared" si="2"/>
        <v>2.013888888888888E-3</v>
      </c>
      <c r="P69" s="65">
        <v>43052</v>
      </c>
      <c r="Q69" s="59" t="str">
        <f t="shared" ca="1" si="0"/>
        <v>https://www.youtube.com/embed/GtSbmTRia5Y?start=795&amp;end=969&amp;autoplay=1</v>
      </c>
      <c r="R69" s="39" t="s">
        <v>63</v>
      </c>
      <c r="S69" s="39" t="s">
        <v>63</v>
      </c>
      <c r="T69" s="39" t="s">
        <v>63</v>
      </c>
      <c r="U69" s="40"/>
      <c r="V69" s="54"/>
      <c r="W69" s="69" t="s">
        <v>64</v>
      </c>
      <c r="X69" s="56"/>
      <c r="Y69" s="96"/>
      <c r="Z69" s="96" t="s">
        <v>2291</v>
      </c>
      <c r="AA69" s="88"/>
      <c r="AB69" s="88"/>
    </row>
    <row r="70" spans="1:28" ht="13.5" customHeight="1">
      <c r="A70" s="42">
        <v>751.07</v>
      </c>
      <c r="B70" s="39" t="s">
        <v>136</v>
      </c>
      <c r="C70" s="40"/>
      <c r="D70" s="42" t="s">
        <v>139</v>
      </c>
      <c r="E70" s="38"/>
      <c r="F70" s="43"/>
      <c r="G70" s="63" t="s">
        <v>2292</v>
      </c>
      <c r="H70" s="58" t="s">
        <v>2293</v>
      </c>
      <c r="I70" s="38"/>
      <c r="J70" s="38"/>
      <c r="K70" s="46"/>
      <c r="L70" s="47"/>
      <c r="M70" s="76">
        <v>1.1215277777777777E-2</v>
      </c>
      <c r="N70" s="76">
        <v>1.2731481481481481E-2</v>
      </c>
      <c r="O70" s="77">
        <f t="shared" si="2"/>
        <v>1.5162037037037036E-3</v>
      </c>
      <c r="P70" s="65">
        <v>43052</v>
      </c>
      <c r="Q70" s="59" t="str">
        <f t="shared" ca="1" si="0"/>
        <v>https://www.youtube.com/embed/GtSbmTRia5Y?start=969&amp;end=1100&amp;autoplay=1</v>
      </c>
      <c r="R70" s="39" t="s">
        <v>63</v>
      </c>
      <c r="S70" s="39" t="s">
        <v>63</v>
      </c>
      <c r="T70" s="39" t="s">
        <v>63</v>
      </c>
      <c r="U70" s="40"/>
      <c r="V70" s="54"/>
      <c r="W70" s="69" t="s">
        <v>64</v>
      </c>
      <c r="X70" s="56"/>
      <c r="Y70" s="96"/>
      <c r="Z70" s="96" t="s">
        <v>2296</v>
      </c>
      <c r="AA70" s="88"/>
      <c r="AB70" s="88"/>
    </row>
    <row r="71" spans="1:28" ht="13.5" customHeight="1">
      <c r="A71" s="42">
        <v>751.08</v>
      </c>
      <c r="B71" s="39" t="s">
        <v>136</v>
      </c>
      <c r="C71" s="40"/>
      <c r="D71" s="42" t="s">
        <v>139</v>
      </c>
      <c r="E71" s="38"/>
      <c r="F71" s="43"/>
      <c r="G71" s="63" t="s">
        <v>2297</v>
      </c>
      <c r="H71" s="58"/>
      <c r="I71" s="38"/>
      <c r="J71" s="38"/>
      <c r="K71" s="46"/>
      <c r="L71" s="47"/>
      <c r="M71" s="76">
        <v>1.2731481481481481E-2</v>
      </c>
      <c r="N71" s="76">
        <v>1.4236111111111111E-2</v>
      </c>
      <c r="O71" s="77">
        <f t="shared" si="2"/>
        <v>1.5046296296296301E-3</v>
      </c>
      <c r="P71" s="65">
        <v>43052</v>
      </c>
      <c r="Q71" s="59" t="str">
        <f t="shared" ca="1" si="0"/>
        <v>https://www.youtube.com/embed/GtSbmTRia5Y?start=1100&amp;end=1230&amp;autoplay=1</v>
      </c>
      <c r="R71" s="39" t="s">
        <v>63</v>
      </c>
      <c r="S71" s="39" t="s">
        <v>63</v>
      </c>
      <c r="T71" s="39" t="s">
        <v>63</v>
      </c>
      <c r="U71" s="40"/>
      <c r="V71" s="54"/>
      <c r="W71" s="69" t="s">
        <v>64</v>
      </c>
      <c r="X71" s="56"/>
      <c r="Y71" s="96"/>
      <c r="Z71" s="96" t="s">
        <v>2298</v>
      </c>
      <c r="AA71" s="88"/>
      <c r="AB71" s="88"/>
    </row>
    <row r="72" spans="1:28" ht="13.5" customHeight="1">
      <c r="A72" s="42">
        <v>751.09</v>
      </c>
      <c r="B72" s="39" t="s">
        <v>136</v>
      </c>
      <c r="C72" s="40"/>
      <c r="D72" s="42" t="s">
        <v>139</v>
      </c>
      <c r="E72" s="38"/>
      <c r="F72" s="43"/>
      <c r="G72" s="63"/>
      <c r="H72" s="58"/>
      <c r="I72" s="38"/>
      <c r="J72" s="38"/>
      <c r="K72" s="46"/>
      <c r="L72" s="47"/>
      <c r="M72" s="76">
        <v>1.1793981481481482E-2</v>
      </c>
      <c r="N72" s="76">
        <v>1.4039351851851851E-2</v>
      </c>
      <c r="O72" s="77">
        <f t="shared" si="2"/>
        <v>2.2453703703703698E-3</v>
      </c>
      <c r="P72" s="65">
        <v>43052</v>
      </c>
      <c r="Q72" s="59" t="str">
        <f t="shared" ca="1" si="0"/>
        <v>https://www.youtube.com/embed/GtSbmTRia5Y?start=1019&amp;end=1213&amp;autoplay=1</v>
      </c>
      <c r="R72" s="39"/>
      <c r="S72" s="39"/>
      <c r="T72" s="39"/>
      <c r="U72" s="40"/>
      <c r="V72" s="54"/>
      <c r="W72" s="69"/>
      <c r="X72" s="56"/>
      <c r="Y72" s="96"/>
      <c r="Z72" s="96"/>
      <c r="AA72" s="88"/>
      <c r="AB72" s="88"/>
    </row>
    <row r="73" spans="1:28" ht="13.5" customHeight="1">
      <c r="A73" s="85">
        <v>751.1</v>
      </c>
      <c r="B73" s="39" t="s">
        <v>136</v>
      </c>
      <c r="C73" s="40"/>
      <c r="D73" s="42" t="s">
        <v>139</v>
      </c>
      <c r="E73" s="38"/>
      <c r="F73" s="43"/>
      <c r="G73" s="63"/>
      <c r="H73" s="58"/>
      <c r="I73" s="38"/>
      <c r="J73" s="38"/>
      <c r="K73" s="46"/>
      <c r="L73" s="47"/>
      <c r="M73" s="76"/>
      <c r="N73" s="76"/>
      <c r="O73" s="77">
        <f t="shared" si="2"/>
        <v>0</v>
      </c>
      <c r="P73" s="65">
        <v>43044</v>
      </c>
      <c r="Q73" s="59" t="str">
        <f t="shared" ca="1" si="0"/>
        <v>https://www.youtube.com/embed/GtSbmTRia5Y?start=0&amp;end=0&amp;autoplay=1</v>
      </c>
      <c r="R73" s="39"/>
      <c r="S73" s="39"/>
      <c r="T73" s="39"/>
      <c r="U73" s="40"/>
      <c r="V73" s="54"/>
      <c r="W73" s="69"/>
      <c r="X73" s="56"/>
      <c r="Y73" s="96"/>
      <c r="Z73" s="96"/>
      <c r="AA73" s="88"/>
      <c r="AB73" s="88"/>
    </row>
    <row r="74" spans="1:28" ht="13.5" customHeight="1">
      <c r="A74" s="42">
        <v>751.11</v>
      </c>
      <c r="B74" s="39" t="s">
        <v>136</v>
      </c>
      <c r="C74" s="40"/>
      <c r="D74" s="42" t="s">
        <v>139</v>
      </c>
      <c r="E74" s="38"/>
      <c r="F74" s="43"/>
      <c r="G74" s="63"/>
      <c r="H74" s="58"/>
      <c r="I74" s="38"/>
      <c r="J74" s="38"/>
      <c r="K74" s="46"/>
      <c r="L74" s="47"/>
      <c r="M74" s="76"/>
      <c r="N74" s="76"/>
      <c r="O74" s="77">
        <f t="shared" si="2"/>
        <v>0</v>
      </c>
      <c r="P74" s="65">
        <v>43044</v>
      </c>
      <c r="Q74" s="59" t="str">
        <f t="shared" ca="1" si="0"/>
        <v>https://www.youtube.com/embed/GtSbmTRia5Y?start=0&amp;end=0&amp;autoplay=1</v>
      </c>
      <c r="R74" s="39"/>
      <c r="S74" s="39"/>
      <c r="T74" s="39"/>
      <c r="U74" s="40"/>
      <c r="V74" s="54"/>
      <c r="W74" s="69"/>
      <c r="X74" s="56"/>
      <c r="Y74" s="96"/>
      <c r="Z74" s="96"/>
      <c r="AA74" s="88"/>
      <c r="AB74" s="88"/>
    </row>
    <row r="75" spans="1:28" ht="13.5" customHeight="1">
      <c r="A75" s="42">
        <v>751.12</v>
      </c>
      <c r="B75" s="39" t="s">
        <v>136</v>
      </c>
      <c r="C75" s="40"/>
      <c r="D75" s="42" t="s">
        <v>139</v>
      </c>
      <c r="E75" s="38"/>
      <c r="F75" s="43"/>
      <c r="G75" s="63"/>
      <c r="H75" s="58"/>
      <c r="I75" s="38"/>
      <c r="J75" s="38"/>
      <c r="K75" s="46"/>
      <c r="L75" s="47"/>
      <c r="M75" s="76"/>
      <c r="N75" s="76"/>
      <c r="O75" s="77">
        <f t="shared" si="2"/>
        <v>0</v>
      </c>
      <c r="P75" s="65">
        <v>43044</v>
      </c>
      <c r="Q75" s="59" t="str">
        <f t="shared" ca="1" si="0"/>
        <v>https://www.youtube.com/embed/GtSbmTRia5Y?start=0&amp;end=0&amp;autoplay=1</v>
      </c>
      <c r="R75" s="39"/>
      <c r="S75" s="39"/>
      <c r="T75" s="39"/>
      <c r="U75" s="40"/>
      <c r="V75" s="54"/>
      <c r="W75" s="69"/>
      <c r="X75" s="56"/>
      <c r="Y75" s="96"/>
      <c r="Z75" s="96"/>
      <c r="AA75" s="88"/>
      <c r="AB75" s="88"/>
    </row>
    <row r="76" spans="1:28" ht="13.5" customHeight="1">
      <c r="A76" s="42">
        <v>751.13</v>
      </c>
      <c r="B76" s="39" t="s">
        <v>136</v>
      </c>
      <c r="C76" s="40"/>
      <c r="D76" s="42" t="s">
        <v>139</v>
      </c>
      <c r="E76" s="38"/>
      <c r="F76" s="43"/>
      <c r="G76" s="63"/>
      <c r="H76" s="58"/>
      <c r="I76" s="38"/>
      <c r="J76" s="38"/>
      <c r="K76" s="46"/>
      <c r="L76" s="47"/>
      <c r="M76" s="76"/>
      <c r="N76" s="76"/>
      <c r="O76" s="77">
        <f t="shared" si="2"/>
        <v>0</v>
      </c>
      <c r="P76" s="65">
        <v>43044</v>
      </c>
      <c r="Q76" s="59" t="str">
        <f t="shared" ca="1" si="0"/>
        <v>https://www.youtube.com/embed/GtSbmTRia5Y?start=0&amp;end=0&amp;autoplay=1</v>
      </c>
      <c r="R76" s="39"/>
      <c r="S76" s="39"/>
      <c r="T76" s="39"/>
      <c r="U76" s="40"/>
      <c r="V76" s="54"/>
      <c r="W76" s="69"/>
      <c r="X76" s="56"/>
      <c r="Y76" s="96"/>
      <c r="Z76" s="96"/>
      <c r="AA76" s="88"/>
      <c r="AB76" s="88"/>
    </row>
    <row r="77" spans="1:28" ht="13.5" customHeight="1">
      <c r="A77" s="42">
        <v>751.14</v>
      </c>
      <c r="B77" s="39" t="s">
        <v>136</v>
      </c>
      <c r="C77" s="40"/>
      <c r="D77" s="42" t="s">
        <v>139</v>
      </c>
      <c r="E77" s="38"/>
      <c r="F77" s="43"/>
      <c r="G77" s="63"/>
      <c r="H77" s="58"/>
      <c r="I77" s="38"/>
      <c r="J77" s="38"/>
      <c r="K77" s="46"/>
      <c r="L77" s="47"/>
      <c r="M77" s="76"/>
      <c r="N77" s="76"/>
      <c r="O77" s="77">
        <f t="shared" si="2"/>
        <v>0</v>
      </c>
      <c r="P77" s="65">
        <v>43044</v>
      </c>
      <c r="Q77" s="59" t="str">
        <f t="shared" ca="1" si="0"/>
        <v>https://www.youtube.com/embed/GtSbmTRia5Y?start=0&amp;end=0&amp;autoplay=1</v>
      </c>
      <c r="R77" s="39"/>
      <c r="S77" s="39"/>
      <c r="T77" s="39"/>
      <c r="U77" s="40"/>
      <c r="V77" s="54"/>
      <c r="W77" s="69"/>
      <c r="X77" s="56"/>
      <c r="Y77" s="96"/>
      <c r="Z77" s="96"/>
      <c r="AA77" s="88"/>
      <c r="AB77" s="88"/>
    </row>
    <row r="78" spans="1:28">
      <c r="A78" s="116"/>
      <c r="B78" s="117"/>
      <c r="C78" s="117"/>
      <c r="D78" s="117"/>
      <c r="E78" s="117"/>
      <c r="F78" s="117"/>
      <c r="G78" s="117"/>
      <c r="H78" s="117"/>
      <c r="I78" s="117"/>
      <c r="J78" s="117"/>
      <c r="K78" s="117"/>
      <c r="L78" s="117"/>
      <c r="M78" s="117"/>
      <c r="N78" s="117"/>
      <c r="O78" s="117"/>
      <c r="P78" s="117"/>
      <c r="Q78" s="14" t="str">
        <f t="shared" ca="1" si="0"/>
        <v/>
      </c>
      <c r="R78" s="239"/>
      <c r="S78" s="239"/>
      <c r="T78" s="239"/>
      <c r="U78" s="216"/>
      <c r="V78" s="217"/>
      <c r="W78" s="233"/>
      <c r="X78" s="123"/>
      <c r="Y78" s="117"/>
      <c r="Z78" s="117"/>
    </row>
    <row r="79" spans="1:28">
      <c r="A79" s="117"/>
      <c r="B79" s="117"/>
      <c r="C79" s="117"/>
      <c r="D79" s="117"/>
      <c r="E79" s="117"/>
      <c r="F79" s="117"/>
      <c r="G79" s="117"/>
      <c r="H79" s="117"/>
      <c r="I79" s="117"/>
      <c r="J79" s="117"/>
      <c r="K79" s="117"/>
      <c r="L79" s="117"/>
      <c r="M79" s="117"/>
      <c r="N79" s="117"/>
      <c r="O79" s="117"/>
      <c r="P79" s="117"/>
      <c r="Q79" s="14" t="str">
        <f t="shared" ca="1" si="0"/>
        <v/>
      </c>
      <c r="R79" s="239"/>
      <c r="S79" s="239"/>
      <c r="T79" s="239"/>
      <c r="U79" s="216"/>
      <c r="V79" s="217"/>
      <c r="W79" s="233"/>
      <c r="X79" s="123"/>
      <c r="Y79" s="117"/>
      <c r="Z79" s="117"/>
    </row>
    <row r="80" spans="1:28">
      <c r="A80" s="117"/>
      <c r="B80" s="116" t="s">
        <v>2305</v>
      </c>
      <c r="C80" s="117"/>
      <c r="D80" s="117"/>
      <c r="E80" s="117"/>
      <c r="F80" s="117"/>
      <c r="G80" s="117"/>
      <c r="H80" s="117"/>
      <c r="I80" s="117"/>
      <c r="J80" s="117"/>
      <c r="K80" s="117"/>
      <c r="L80" s="117"/>
      <c r="M80" s="117"/>
      <c r="N80" s="117"/>
      <c r="O80" s="117"/>
      <c r="P80" s="117"/>
      <c r="Q80" s="14" t="str">
        <f t="shared" ca="1" si="0"/>
        <v/>
      </c>
      <c r="R80" s="239"/>
      <c r="S80" s="239"/>
      <c r="T80" s="239"/>
      <c r="U80" s="216"/>
      <c r="V80" s="217"/>
      <c r="W80" s="233"/>
      <c r="X80" s="123"/>
      <c r="Y80" s="117"/>
      <c r="Z80" s="117"/>
    </row>
    <row r="81" spans="1:26">
      <c r="A81" s="117"/>
      <c r="B81" s="116" t="s">
        <v>2306</v>
      </c>
      <c r="C81" s="117"/>
      <c r="D81" s="117"/>
      <c r="E81" s="117"/>
      <c r="F81" s="117"/>
      <c r="G81" s="117"/>
      <c r="H81" s="117"/>
      <c r="I81" s="117"/>
      <c r="J81" s="117"/>
      <c r="K81" s="117"/>
      <c r="L81" s="117"/>
      <c r="M81" s="117"/>
      <c r="N81" s="117"/>
      <c r="O81" s="117"/>
      <c r="P81" s="117"/>
      <c r="Q81" s="14" t="str">
        <f t="shared" ca="1" si="0"/>
        <v/>
      </c>
      <c r="R81" s="239"/>
      <c r="S81" s="239"/>
      <c r="T81" s="239"/>
      <c r="U81" s="216"/>
      <c r="V81" s="217"/>
      <c r="W81" s="233"/>
      <c r="X81" s="123"/>
      <c r="Y81" s="117"/>
      <c r="Z81" s="117"/>
    </row>
    <row r="82" spans="1:26">
      <c r="A82" s="117"/>
      <c r="B82" s="116" t="s">
        <v>2309</v>
      </c>
      <c r="C82" s="117"/>
      <c r="D82" s="117"/>
      <c r="E82" s="117"/>
      <c r="F82" s="117"/>
      <c r="G82" s="117"/>
      <c r="H82" s="117"/>
      <c r="I82" s="117"/>
      <c r="J82" s="117"/>
      <c r="K82" s="117"/>
      <c r="L82" s="117"/>
      <c r="M82" s="117"/>
      <c r="N82" s="117"/>
      <c r="O82" s="117"/>
      <c r="P82" s="117"/>
      <c r="Q82" s="14" t="str">
        <f t="shared" ca="1" si="0"/>
        <v/>
      </c>
      <c r="R82" s="239"/>
      <c r="S82" s="239"/>
      <c r="T82" s="239"/>
      <c r="U82" s="216"/>
      <c r="V82" s="217"/>
      <c r="W82" s="233"/>
      <c r="X82" s="123"/>
      <c r="Y82" s="117"/>
      <c r="Z82" s="117"/>
    </row>
    <row r="83" spans="1:26">
      <c r="A83" s="117"/>
      <c r="B83" s="117"/>
      <c r="C83" s="117"/>
      <c r="D83" s="117"/>
      <c r="E83" s="117"/>
      <c r="F83" s="117"/>
      <c r="G83" s="117"/>
      <c r="H83" s="117"/>
      <c r="I83" s="117"/>
      <c r="J83" s="117"/>
      <c r="K83" s="117"/>
      <c r="L83" s="117"/>
      <c r="M83" s="117"/>
      <c r="N83" s="117"/>
      <c r="O83" s="117"/>
      <c r="P83" s="117"/>
      <c r="Q83" s="14" t="str">
        <f t="shared" ca="1" si="0"/>
        <v/>
      </c>
      <c r="R83" s="239"/>
      <c r="S83" s="239"/>
      <c r="T83" s="239"/>
      <c r="U83" s="216"/>
      <c r="V83" s="217"/>
      <c r="W83" s="233"/>
      <c r="X83" s="123"/>
      <c r="Y83" s="117"/>
      <c r="Z83" s="117"/>
    </row>
    <row r="84" spans="1:26">
      <c r="A84" s="117"/>
      <c r="B84" s="117"/>
      <c r="C84" s="117"/>
      <c r="D84" s="117"/>
      <c r="E84" s="117"/>
      <c r="F84" s="117"/>
      <c r="G84" s="117"/>
      <c r="H84" s="117"/>
      <c r="I84" s="117"/>
      <c r="J84" s="117"/>
      <c r="K84" s="117"/>
      <c r="L84" s="117"/>
      <c r="M84" s="117"/>
      <c r="N84" s="117"/>
      <c r="O84" s="117"/>
      <c r="P84" s="117"/>
      <c r="Q84" s="14" t="str">
        <f t="shared" ca="1" si="0"/>
        <v/>
      </c>
      <c r="R84" s="239"/>
      <c r="S84" s="239"/>
      <c r="T84" s="239"/>
      <c r="U84" s="216"/>
      <c r="V84" s="217"/>
      <c r="W84" s="233"/>
      <c r="X84" s="123"/>
      <c r="Y84" s="117"/>
      <c r="Z84" s="117"/>
    </row>
    <row r="85" spans="1:26">
      <c r="A85" s="117"/>
      <c r="B85" s="117"/>
      <c r="C85" s="117"/>
      <c r="D85" s="117"/>
      <c r="E85" s="117"/>
      <c r="F85" s="117"/>
      <c r="G85" s="117"/>
      <c r="H85" s="117"/>
      <c r="I85" s="117"/>
      <c r="J85" s="117"/>
      <c r="K85" s="117"/>
      <c r="L85" s="117"/>
      <c r="M85" s="117"/>
      <c r="N85" s="117"/>
      <c r="O85" s="117"/>
      <c r="P85" s="117"/>
      <c r="Q85" s="14" t="str">
        <f t="shared" ca="1" si="0"/>
        <v/>
      </c>
      <c r="R85" s="239"/>
      <c r="S85" s="239"/>
      <c r="T85" s="239"/>
      <c r="U85" s="216"/>
      <c r="V85" s="217"/>
      <c r="W85" s="233"/>
      <c r="X85" s="123"/>
      <c r="Y85" s="117"/>
      <c r="Z85" s="117"/>
    </row>
    <row r="86" spans="1:26">
      <c r="A86" s="117"/>
      <c r="B86" s="117"/>
      <c r="C86" s="117"/>
      <c r="D86" s="117"/>
      <c r="E86" s="117"/>
      <c r="F86" s="117"/>
      <c r="G86" s="117"/>
      <c r="H86" s="117"/>
      <c r="I86" s="117"/>
      <c r="J86" s="117"/>
      <c r="K86" s="117"/>
      <c r="L86" s="117"/>
      <c r="M86" s="117"/>
      <c r="N86" s="117"/>
      <c r="O86" s="117"/>
      <c r="P86" s="117"/>
      <c r="Q86" s="14" t="str">
        <f t="shared" ca="1" si="0"/>
        <v/>
      </c>
      <c r="R86" s="239"/>
      <c r="S86" s="239"/>
      <c r="T86" s="239"/>
      <c r="U86" s="216"/>
      <c r="V86" s="217"/>
      <c r="W86" s="233"/>
      <c r="X86" s="123"/>
      <c r="Y86" s="117"/>
      <c r="Z86" s="117"/>
    </row>
    <row r="87" spans="1:26">
      <c r="A87" s="117"/>
      <c r="B87" s="117"/>
      <c r="C87" s="117"/>
      <c r="D87" s="117"/>
      <c r="E87" s="117"/>
      <c r="F87" s="117"/>
      <c r="G87" s="117"/>
      <c r="H87" s="117"/>
      <c r="I87" s="117"/>
      <c r="J87" s="117"/>
      <c r="K87" s="117"/>
      <c r="L87" s="117"/>
      <c r="M87" s="117"/>
      <c r="N87" s="117"/>
      <c r="O87" s="117"/>
      <c r="P87" s="117"/>
      <c r="Q87" s="14" t="str">
        <f t="shared" ca="1" si="0"/>
        <v/>
      </c>
      <c r="R87" s="239"/>
      <c r="S87" s="239"/>
      <c r="T87" s="239"/>
      <c r="U87" s="216"/>
      <c r="V87" s="217"/>
      <c r="W87" s="233"/>
      <c r="X87" s="123"/>
      <c r="Y87" s="117"/>
      <c r="Z87" s="117"/>
    </row>
    <row r="88" spans="1:26">
      <c r="A88" s="117"/>
      <c r="B88" s="117"/>
      <c r="C88" s="117"/>
      <c r="D88" s="117"/>
      <c r="E88" s="117"/>
      <c r="F88" s="117"/>
      <c r="G88" s="117"/>
      <c r="H88" s="117"/>
      <c r="I88" s="117"/>
      <c r="J88" s="117"/>
      <c r="K88" s="117"/>
      <c r="L88" s="117"/>
      <c r="M88" s="117"/>
      <c r="N88" s="117"/>
      <c r="O88" s="117"/>
      <c r="P88" s="117"/>
      <c r="Q88" s="14" t="str">
        <f t="shared" ca="1" si="0"/>
        <v/>
      </c>
      <c r="R88" s="239"/>
      <c r="S88" s="239"/>
      <c r="T88" s="239"/>
      <c r="U88" s="216"/>
      <c r="V88" s="217"/>
      <c r="W88" s="233"/>
      <c r="X88" s="123"/>
      <c r="Y88" s="117"/>
      <c r="Z88" s="117"/>
    </row>
    <row r="89" spans="1:26">
      <c r="A89" s="117"/>
      <c r="B89" s="117"/>
      <c r="C89" s="117"/>
      <c r="D89" s="117"/>
      <c r="E89" s="117"/>
      <c r="F89" s="117"/>
      <c r="G89" s="117"/>
      <c r="H89" s="117"/>
      <c r="I89" s="117"/>
      <c r="J89" s="117"/>
      <c r="K89" s="117"/>
      <c r="L89" s="117"/>
      <c r="M89" s="117"/>
      <c r="N89" s="117"/>
      <c r="O89" s="117"/>
      <c r="P89" s="117"/>
      <c r="Q89" s="14" t="str">
        <f t="shared" ca="1" si="0"/>
        <v/>
      </c>
      <c r="R89" s="239"/>
      <c r="S89" s="239"/>
      <c r="T89" s="239"/>
      <c r="U89" s="216"/>
      <c r="V89" s="217"/>
      <c r="W89" s="233"/>
      <c r="X89" s="123"/>
      <c r="Y89" s="117"/>
      <c r="Z89" s="117"/>
    </row>
    <row r="90" spans="1:26">
      <c r="A90" s="117"/>
      <c r="B90" s="117"/>
      <c r="C90" s="117"/>
      <c r="D90" s="117"/>
      <c r="E90" s="117"/>
      <c r="F90" s="117"/>
      <c r="G90" s="117"/>
      <c r="H90" s="117"/>
      <c r="I90" s="117"/>
      <c r="J90" s="117"/>
      <c r="K90" s="117"/>
      <c r="L90" s="117"/>
      <c r="M90" s="117"/>
      <c r="N90" s="117"/>
      <c r="O90" s="117"/>
      <c r="P90" s="117"/>
      <c r="Q90" s="14" t="str">
        <f t="shared" ca="1" si="0"/>
        <v/>
      </c>
      <c r="R90" s="239"/>
      <c r="S90" s="239"/>
      <c r="T90" s="239"/>
      <c r="U90" s="216"/>
      <c r="V90" s="217"/>
      <c r="W90" s="233"/>
      <c r="X90" s="123"/>
      <c r="Y90" s="117"/>
      <c r="Z90" s="117"/>
    </row>
    <row r="91" spans="1:26">
      <c r="A91" s="117"/>
      <c r="B91" s="117"/>
      <c r="C91" s="117"/>
      <c r="D91" s="117"/>
      <c r="E91" s="117"/>
      <c r="F91" s="117"/>
      <c r="G91" s="117"/>
      <c r="H91" s="117"/>
      <c r="I91" s="117"/>
      <c r="J91" s="117"/>
      <c r="K91" s="117"/>
      <c r="L91" s="117"/>
      <c r="M91" s="117"/>
      <c r="N91" s="117"/>
      <c r="O91" s="117"/>
      <c r="P91" s="117"/>
      <c r="Q91" s="14" t="str">
        <f t="shared" ca="1" si="0"/>
        <v/>
      </c>
      <c r="R91" s="239"/>
      <c r="S91" s="239"/>
      <c r="T91" s="239"/>
      <c r="U91" s="216"/>
      <c r="V91" s="217"/>
      <c r="W91" s="233"/>
      <c r="X91" s="123"/>
      <c r="Y91" s="117"/>
      <c r="Z91" s="117"/>
    </row>
    <row r="92" spans="1:26">
      <c r="A92" s="117"/>
      <c r="B92" s="117"/>
      <c r="C92" s="117"/>
      <c r="D92" s="117"/>
      <c r="E92" s="117"/>
      <c r="F92" s="117"/>
      <c r="G92" s="117"/>
      <c r="H92" s="117"/>
      <c r="I92" s="117"/>
      <c r="J92" s="117"/>
      <c r="K92" s="117"/>
      <c r="L92" s="117"/>
      <c r="M92" s="117"/>
      <c r="N92" s="117"/>
      <c r="O92" s="117"/>
      <c r="P92" s="117"/>
      <c r="Q92" s="14" t="str">
        <f t="shared" ca="1" si="0"/>
        <v/>
      </c>
      <c r="R92" s="239"/>
      <c r="S92" s="239"/>
      <c r="T92" s="239"/>
      <c r="U92" s="216"/>
      <c r="V92" s="217"/>
      <c r="W92" s="233"/>
      <c r="X92" s="123"/>
      <c r="Y92" s="117"/>
      <c r="Z92" s="117"/>
    </row>
    <row r="93" spans="1:26">
      <c r="A93" s="117"/>
      <c r="B93" s="117"/>
      <c r="C93" s="117"/>
      <c r="D93" s="117"/>
      <c r="E93" s="117"/>
      <c r="F93" s="117"/>
      <c r="G93" s="117"/>
      <c r="H93" s="117"/>
      <c r="I93" s="117"/>
      <c r="J93" s="117"/>
      <c r="K93" s="117"/>
      <c r="L93" s="117"/>
      <c r="M93" s="117"/>
      <c r="N93" s="117"/>
      <c r="O93" s="117"/>
      <c r="P93" s="117"/>
      <c r="Q93" s="14" t="str">
        <f t="shared" ca="1" si="0"/>
        <v/>
      </c>
      <c r="R93" s="239"/>
      <c r="S93" s="239"/>
      <c r="T93" s="239"/>
      <c r="U93" s="216"/>
      <c r="V93" s="217"/>
      <c r="W93" s="233"/>
      <c r="X93" s="123"/>
      <c r="Y93" s="117"/>
      <c r="Z93" s="117"/>
    </row>
    <row r="94" spans="1:26">
      <c r="A94" s="117"/>
      <c r="B94" s="117"/>
      <c r="C94" s="117"/>
      <c r="D94" s="117"/>
      <c r="E94" s="117"/>
      <c r="F94" s="117"/>
      <c r="G94" s="117"/>
      <c r="H94" s="117"/>
      <c r="I94" s="117"/>
      <c r="J94" s="117"/>
      <c r="K94" s="117"/>
      <c r="L94" s="117"/>
      <c r="M94" s="117"/>
      <c r="N94" s="117"/>
      <c r="O94" s="117"/>
      <c r="P94" s="117"/>
      <c r="Q94" s="14" t="str">
        <f t="shared" ca="1" si="0"/>
        <v/>
      </c>
      <c r="R94" s="239"/>
      <c r="S94" s="239"/>
      <c r="T94" s="239"/>
      <c r="U94" s="216"/>
      <c r="V94" s="217"/>
      <c r="W94" s="233"/>
      <c r="X94" s="123"/>
      <c r="Y94" s="117"/>
      <c r="Z94" s="117"/>
    </row>
    <row r="95" spans="1:26">
      <c r="A95" s="117"/>
      <c r="B95" s="117"/>
      <c r="C95" s="117"/>
      <c r="D95" s="117"/>
      <c r="E95" s="117"/>
      <c r="F95" s="117"/>
      <c r="G95" s="117"/>
      <c r="H95" s="117"/>
      <c r="I95" s="117"/>
      <c r="J95" s="117"/>
      <c r="K95" s="117"/>
      <c r="L95" s="117"/>
      <c r="M95" s="117"/>
      <c r="N95" s="117"/>
      <c r="O95" s="117"/>
      <c r="P95" s="117"/>
      <c r="Q95" s="14" t="str">
        <f t="shared" ca="1" si="0"/>
        <v/>
      </c>
      <c r="R95" s="239"/>
      <c r="S95" s="239"/>
      <c r="T95" s="239"/>
      <c r="U95" s="216"/>
      <c r="V95" s="217"/>
      <c r="W95" s="233"/>
      <c r="X95" s="123"/>
      <c r="Y95" s="117"/>
      <c r="Z95" s="117"/>
    </row>
    <row r="96" spans="1:26">
      <c r="A96" s="117"/>
      <c r="B96" s="117"/>
      <c r="C96" s="117"/>
      <c r="D96" s="117"/>
      <c r="E96" s="117"/>
      <c r="F96" s="117"/>
      <c r="G96" s="117"/>
      <c r="H96" s="117"/>
      <c r="I96" s="117"/>
      <c r="J96" s="117"/>
      <c r="K96" s="117"/>
      <c r="L96" s="117"/>
      <c r="M96" s="117"/>
      <c r="N96" s="117"/>
      <c r="O96" s="117"/>
      <c r="P96" s="117"/>
      <c r="Q96" s="14" t="str">
        <f t="shared" ca="1" si="0"/>
        <v/>
      </c>
      <c r="R96" s="239"/>
      <c r="S96" s="239"/>
      <c r="T96" s="239"/>
      <c r="U96" s="216"/>
      <c r="V96" s="217"/>
      <c r="W96" s="233"/>
      <c r="X96" s="123"/>
      <c r="Y96" s="117"/>
      <c r="Z96" s="117"/>
    </row>
    <row r="97" spans="1:26">
      <c r="A97" s="117"/>
      <c r="B97" s="117"/>
      <c r="C97" s="117"/>
      <c r="D97" s="117"/>
      <c r="E97" s="117"/>
      <c r="F97" s="117"/>
      <c r="G97" s="117"/>
      <c r="H97" s="117"/>
      <c r="I97" s="117"/>
      <c r="J97" s="117"/>
      <c r="K97" s="117"/>
      <c r="L97" s="117"/>
      <c r="M97" s="117"/>
      <c r="N97" s="117"/>
      <c r="O97" s="117"/>
      <c r="P97" s="117"/>
      <c r="Q97" s="14" t="str">
        <f t="shared" ca="1" si="0"/>
        <v/>
      </c>
      <c r="R97" s="239"/>
      <c r="S97" s="239"/>
      <c r="T97" s="239"/>
      <c r="U97" s="216"/>
      <c r="V97" s="217"/>
      <c r="W97" s="233"/>
      <c r="X97" s="123"/>
      <c r="Y97" s="117"/>
      <c r="Z97" s="117"/>
    </row>
    <row r="98" spans="1:26">
      <c r="A98" s="117"/>
      <c r="B98" s="117"/>
      <c r="C98" s="117"/>
      <c r="D98" s="117"/>
      <c r="E98" s="117"/>
      <c r="F98" s="117"/>
      <c r="G98" s="117"/>
      <c r="H98" s="117"/>
      <c r="I98" s="117"/>
      <c r="J98" s="117"/>
      <c r="K98" s="117"/>
      <c r="L98" s="117"/>
      <c r="M98" s="117"/>
      <c r="N98" s="117"/>
      <c r="O98" s="117"/>
      <c r="P98" s="117"/>
      <c r="Q98" s="14" t="str">
        <f t="shared" ca="1" si="0"/>
        <v/>
      </c>
      <c r="R98" s="239"/>
      <c r="S98" s="239"/>
      <c r="T98" s="239"/>
      <c r="U98" s="216"/>
      <c r="V98" s="217"/>
      <c r="W98" s="233"/>
      <c r="X98" s="123"/>
      <c r="Y98" s="117"/>
      <c r="Z98" s="117"/>
    </row>
    <row r="99" spans="1:26">
      <c r="A99" s="117"/>
      <c r="B99" s="117"/>
      <c r="C99" s="117"/>
      <c r="D99" s="117"/>
      <c r="E99" s="117"/>
      <c r="F99" s="117"/>
      <c r="G99" s="117"/>
      <c r="H99" s="117"/>
      <c r="I99" s="117"/>
      <c r="J99" s="117"/>
      <c r="K99" s="117"/>
      <c r="L99" s="117"/>
      <c r="M99" s="117"/>
      <c r="N99" s="117"/>
      <c r="O99" s="117"/>
      <c r="P99" s="117"/>
      <c r="Q99" s="14" t="str">
        <f t="shared" ca="1" si="0"/>
        <v/>
      </c>
      <c r="R99" s="239"/>
      <c r="S99" s="239"/>
      <c r="T99" s="239"/>
      <c r="U99" s="216"/>
      <c r="V99" s="217"/>
      <c r="W99" s="233"/>
      <c r="X99" s="123"/>
      <c r="Y99" s="117"/>
      <c r="Z99" s="117"/>
    </row>
    <row r="100" spans="1:26">
      <c r="A100" s="117"/>
      <c r="B100" s="117"/>
      <c r="C100" s="117"/>
      <c r="D100" s="117"/>
      <c r="E100" s="117"/>
      <c r="F100" s="117"/>
      <c r="G100" s="117"/>
      <c r="H100" s="117"/>
      <c r="I100" s="117"/>
      <c r="J100" s="117"/>
      <c r="K100" s="117"/>
      <c r="L100" s="117"/>
      <c r="M100" s="117"/>
      <c r="N100" s="117"/>
      <c r="O100" s="117"/>
      <c r="P100" s="117"/>
      <c r="Q100" s="14" t="str">
        <f t="shared" ca="1" si="0"/>
        <v/>
      </c>
      <c r="R100" s="239"/>
      <c r="S100" s="239"/>
      <c r="T100" s="239"/>
      <c r="U100" s="216"/>
      <c r="V100" s="217"/>
      <c r="W100" s="233"/>
      <c r="X100" s="123"/>
      <c r="Y100" s="117"/>
      <c r="Z100" s="117"/>
    </row>
    <row r="101" spans="1:26">
      <c r="A101" s="117"/>
      <c r="B101" s="117"/>
      <c r="C101" s="117"/>
      <c r="D101" s="117"/>
      <c r="E101" s="117"/>
      <c r="F101" s="117"/>
      <c r="G101" s="117"/>
      <c r="H101" s="117"/>
      <c r="I101" s="117"/>
      <c r="J101" s="117"/>
      <c r="K101" s="117"/>
      <c r="L101" s="117"/>
      <c r="M101" s="117"/>
      <c r="N101" s="117"/>
      <c r="O101" s="117"/>
      <c r="P101" s="117"/>
      <c r="Q101" s="14" t="str">
        <f t="shared" ca="1" si="0"/>
        <v/>
      </c>
      <c r="R101" s="239"/>
      <c r="S101" s="239"/>
      <c r="T101" s="239"/>
      <c r="U101" s="216"/>
      <c r="V101" s="217"/>
      <c r="W101" s="233"/>
      <c r="X101" s="123"/>
      <c r="Y101" s="117"/>
      <c r="Z101" s="117"/>
    </row>
    <row r="102" spans="1:26">
      <c r="A102" s="117"/>
      <c r="B102" s="117"/>
      <c r="C102" s="117"/>
      <c r="D102" s="117"/>
      <c r="E102" s="117"/>
      <c r="F102" s="117"/>
      <c r="G102" s="117"/>
      <c r="H102" s="117"/>
      <c r="I102" s="117"/>
      <c r="J102" s="117"/>
      <c r="K102" s="117"/>
      <c r="L102" s="117"/>
      <c r="M102" s="117"/>
      <c r="N102" s="117"/>
      <c r="O102" s="117"/>
      <c r="P102" s="117"/>
      <c r="Q102" s="14" t="str">
        <f t="shared" ca="1" si="0"/>
        <v/>
      </c>
      <c r="R102" s="239"/>
      <c r="S102" s="239"/>
      <c r="T102" s="239"/>
      <c r="U102" s="216"/>
      <c r="V102" s="217"/>
      <c r="W102" s="233"/>
      <c r="X102" s="123"/>
      <c r="Y102" s="117"/>
      <c r="Z102" s="117"/>
    </row>
    <row r="103" spans="1:26">
      <c r="A103" s="117"/>
      <c r="B103" s="117"/>
      <c r="C103" s="117"/>
      <c r="D103" s="117"/>
      <c r="E103" s="117"/>
      <c r="F103" s="117"/>
      <c r="G103" s="117"/>
      <c r="H103" s="117"/>
      <c r="I103" s="117"/>
      <c r="J103" s="117"/>
      <c r="K103" s="117"/>
      <c r="L103" s="117"/>
      <c r="M103" s="117"/>
      <c r="N103" s="117"/>
      <c r="O103" s="117"/>
      <c r="P103" s="117"/>
      <c r="Q103" s="14" t="str">
        <f t="shared" ca="1" si="0"/>
        <v/>
      </c>
      <c r="R103" s="239"/>
      <c r="S103" s="239"/>
      <c r="T103" s="239"/>
      <c r="U103" s="216"/>
      <c r="V103" s="217"/>
      <c r="W103" s="233"/>
      <c r="X103" s="123"/>
      <c r="Y103" s="117"/>
      <c r="Z103" s="117"/>
    </row>
    <row r="104" spans="1:26">
      <c r="A104" s="117"/>
      <c r="B104" s="117"/>
      <c r="C104" s="117"/>
      <c r="D104" s="117"/>
      <c r="E104" s="117"/>
      <c r="F104" s="117"/>
      <c r="G104" s="117"/>
      <c r="H104" s="117"/>
      <c r="I104" s="117"/>
      <c r="J104" s="117"/>
      <c r="K104" s="117"/>
      <c r="L104" s="117"/>
      <c r="M104" s="117"/>
      <c r="N104" s="117"/>
      <c r="O104" s="117"/>
      <c r="P104" s="117"/>
      <c r="Q104" s="14" t="str">
        <f t="shared" ca="1" si="0"/>
        <v/>
      </c>
      <c r="R104" s="239"/>
      <c r="S104" s="239"/>
      <c r="T104" s="239"/>
      <c r="U104" s="216"/>
      <c r="V104" s="217"/>
      <c r="W104" s="233"/>
      <c r="X104" s="123"/>
      <c r="Y104" s="117"/>
      <c r="Z104" s="117"/>
    </row>
    <row r="105" spans="1:26">
      <c r="A105" s="117"/>
      <c r="B105" s="117"/>
      <c r="C105" s="117"/>
      <c r="D105" s="117"/>
      <c r="E105" s="117"/>
      <c r="F105" s="117"/>
      <c r="G105" s="117"/>
      <c r="H105" s="117"/>
      <c r="I105" s="117"/>
      <c r="J105" s="117"/>
      <c r="K105" s="117"/>
      <c r="L105" s="117"/>
      <c r="M105" s="117"/>
      <c r="N105" s="117"/>
      <c r="O105" s="117"/>
      <c r="P105" s="117"/>
      <c r="Q105" s="14" t="str">
        <f t="shared" ca="1" si="0"/>
        <v/>
      </c>
      <c r="R105" s="239"/>
      <c r="S105" s="239"/>
      <c r="T105" s="239"/>
      <c r="U105" s="216"/>
      <c r="V105" s="217"/>
      <c r="W105" s="233"/>
      <c r="X105" s="123"/>
      <c r="Y105" s="117"/>
      <c r="Z105" s="117"/>
    </row>
    <row r="106" spans="1:26">
      <c r="A106" s="117"/>
      <c r="B106" s="117"/>
      <c r="C106" s="117"/>
      <c r="D106" s="117"/>
      <c r="E106" s="117"/>
      <c r="F106" s="117"/>
      <c r="G106" s="117"/>
      <c r="H106" s="117"/>
      <c r="I106" s="117"/>
      <c r="J106" s="117"/>
      <c r="K106" s="117"/>
      <c r="L106" s="117"/>
      <c r="M106" s="117"/>
      <c r="N106" s="117"/>
      <c r="O106" s="117"/>
      <c r="P106" s="117"/>
      <c r="Q106" s="14" t="str">
        <f t="shared" ca="1" si="0"/>
        <v/>
      </c>
      <c r="R106" s="239"/>
      <c r="S106" s="239"/>
      <c r="T106" s="239"/>
      <c r="U106" s="216"/>
      <c r="V106" s="217"/>
      <c r="W106" s="233"/>
      <c r="X106" s="123"/>
      <c r="Y106" s="117"/>
      <c r="Z106" s="117"/>
    </row>
    <row r="107" spans="1:26">
      <c r="A107" s="117"/>
      <c r="B107" s="117"/>
      <c r="C107" s="117"/>
      <c r="D107" s="117"/>
      <c r="E107" s="117"/>
      <c r="F107" s="117"/>
      <c r="G107" s="117"/>
      <c r="H107" s="117"/>
      <c r="I107" s="117"/>
      <c r="J107" s="117"/>
      <c r="K107" s="117"/>
      <c r="L107" s="117"/>
      <c r="M107" s="117"/>
      <c r="N107" s="117"/>
      <c r="O107" s="117"/>
      <c r="P107" s="117"/>
      <c r="Q107" s="14" t="str">
        <f t="shared" ca="1" si="0"/>
        <v/>
      </c>
      <c r="R107" s="239"/>
      <c r="S107" s="239"/>
      <c r="T107" s="239"/>
      <c r="U107" s="216"/>
      <c r="V107" s="217"/>
      <c r="W107" s="233"/>
      <c r="X107" s="123"/>
      <c r="Y107" s="117"/>
      <c r="Z107" s="117"/>
    </row>
    <row r="108" spans="1:26">
      <c r="A108" s="117"/>
      <c r="B108" s="117"/>
      <c r="C108" s="117"/>
      <c r="D108" s="117"/>
      <c r="E108" s="117"/>
      <c r="F108" s="117"/>
      <c r="G108" s="117"/>
      <c r="H108" s="117"/>
      <c r="I108" s="117"/>
      <c r="J108" s="117"/>
      <c r="K108" s="117"/>
      <c r="L108" s="117"/>
      <c r="M108" s="117"/>
      <c r="N108" s="117"/>
      <c r="O108" s="117"/>
      <c r="P108" s="117"/>
      <c r="Q108" s="14" t="str">
        <f t="shared" ca="1" si="0"/>
        <v/>
      </c>
      <c r="R108" s="239"/>
      <c r="S108" s="239"/>
      <c r="T108" s="239"/>
      <c r="U108" s="216"/>
      <c r="V108" s="217"/>
      <c r="W108" s="233"/>
      <c r="X108" s="123"/>
      <c r="Y108" s="117"/>
      <c r="Z108" s="117"/>
    </row>
    <row r="109" spans="1:26">
      <c r="A109" s="117"/>
      <c r="B109" s="117"/>
      <c r="C109" s="117"/>
      <c r="D109" s="117"/>
      <c r="E109" s="117"/>
      <c r="F109" s="117"/>
      <c r="G109" s="117"/>
      <c r="H109" s="117"/>
      <c r="I109" s="117"/>
      <c r="J109" s="117"/>
      <c r="K109" s="117"/>
      <c r="L109" s="117"/>
      <c r="M109" s="117"/>
      <c r="N109" s="117"/>
      <c r="O109" s="117"/>
      <c r="P109" s="117"/>
      <c r="Q109" s="14" t="str">
        <f t="shared" ca="1" si="0"/>
        <v/>
      </c>
      <c r="R109" s="239"/>
      <c r="S109" s="239"/>
      <c r="T109" s="239"/>
      <c r="U109" s="216"/>
      <c r="V109" s="217"/>
      <c r="W109" s="233"/>
      <c r="X109" s="123"/>
      <c r="Y109" s="117"/>
      <c r="Z109" s="117"/>
    </row>
    <row r="110" spans="1:26">
      <c r="A110" s="117"/>
      <c r="B110" s="117"/>
      <c r="C110" s="117"/>
      <c r="D110" s="117"/>
      <c r="E110" s="117"/>
      <c r="F110" s="117"/>
      <c r="G110" s="117"/>
      <c r="H110" s="117"/>
      <c r="I110" s="117"/>
      <c r="J110" s="117"/>
      <c r="K110" s="117"/>
      <c r="L110" s="117"/>
      <c r="M110" s="117"/>
      <c r="N110" s="117"/>
      <c r="O110" s="117"/>
      <c r="P110" s="117"/>
      <c r="Q110" s="14" t="str">
        <f t="shared" ca="1" si="0"/>
        <v/>
      </c>
      <c r="R110" s="239"/>
      <c r="S110" s="239"/>
      <c r="T110" s="239"/>
      <c r="U110" s="216"/>
      <c r="V110" s="217"/>
      <c r="W110" s="233"/>
      <c r="X110" s="123"/>
      <c r="Y110" s="117"/>
      <c r="Z110" s="117"/>
    </row>
    <row r="111" spans="1:26">
      <c r="A111" s="117"/>
      <c r="B111" s="117"/>
      <c r="C111" s="117"/>
      <c r="D111" s="117"/>
      <c r="E111" s="117"/>
      <c r="F111" s="117"/>
      <c r="G111" s="117"/>
      <c r="H111" s="117"/>
      <c r="I111" s="117"/>
      <c r="J111" s="117"/>
      <c r="K111" s="117"/>
      <c r="L111" s="117"/>
      <c r="M111" s="117"/>
      <c r="N111" s="117"/>
      <c r="O111" s="117"/>
      <c r="P111" s="117"/>
      <c r="Q111" s="14" t="str">
        <f t="shared" ca="1" si="0"/>
        <v/>
      </c>
      <c r="R111" s="239"/>
      <c r="S111" s="239"/>
      <c r="T111" s="239"/>
      <c r="U111" s="216"/>
      <c r="V111" s="217"/>
      <c r="W111" s="233"/>
      <c r="X111" s="123"/>
      <c r="Y111" s="117"/>
      <c r="Z111" s="117"/>
    </row>
    <row r="112" spans="1:26">
      <c r="A112" s="117"/>
      <c r="B112" s="117"/>
      <c r="C112" s="117"/>
      <c r="D112" s="117"/>
      <c r="E112" s="117"/>
      <c r="F112" s="117"/>
      <c r="G112" s="117"/>
      <c r="H112" s="117"/>
      <c r="I112" s="117"/>
      <c r="J112" s="117"/>
      <c r="K112" s="117"/>
      <c r="L112" s="117"/>
      <c r="M112" s="117"/>
      <c r="N112" s="117"/>
      <c r="O112" s="117"/>
      <c r="P112" s="117"/>
      <c r="Q112" s="14" t="str">
        <f t="shared" ca="1" si="0"/>
        <v/>
      </c>
      <c r="R112" s="239"/>
      <c r="S112" s="239"/>
      <c r="T112" s="239"/>
      <c r="U112" s="216"/>
      <c r="V112" s="217"/>
      <c r="W112" s="233"/>
      <c r="X112" s="123"/>
      <c r="Y112" s="117"/>
      <c r="Z112" s="117"/>
    </row>
    <row r="113" spans="1:26">
      <c r="A113" s="117"/>
      <c r="B113" s="117"/>
      <c r="C113" s="117"/>
      <c r="D113" s="117"/>
      <c r="E113" s="117"/>
      <c r="F113" s="117"/>
      <c r="G113" s="117"/>
      <c r="H113" s="117"/>
      <c r="I113" s="117"/>
      <c r="J113" s="117"/>
      <c r="K113" s="117"/>
      <c r="L113" s="117"/>
      <c r="M113" s="117"/>
      <c r="N113" s="117"/>
      <c r="O113" s="117"/>
      <c r="P113" s="117"/>
      <c r="Q113" s="14" t="str">
        <f t="shared" ca="1" si="0"/>
        <v/>
      </c>
      <c r="R113" s="239"/>
      <c r="S113" s="239"/>
      <c r="T113" s="239"/>
      <c r="U113" s="216"/>
      <c r="V113" s="217"/>
      <c r="W113" s="233"/>
      <c r="X113" s="123"/>
      <c r="Y113" s="117"/>
      <c r="Z113" s="117"/>
    </row>
    <row r="114" spans="1:26">
      <c r="A114" s="117"/>
      <c r="B114" s="117"/>
      <c r="C114" s="117"/>
      <c r="D114" s="117"/>
      <c r="E114" s="117"/>
      <c r="F114" s="117"/>
      <c r="G114" s="117"/>
      <c r="H114" s="117"/>
      <c r="I114" s="117"/>
      <c r="J114" s="117"/>
      <c r="K114" s="117"/>
      <c r="L114" s="117"/>
      <c r="M114" s="117"/>
      <c r="N114" s="117"/>
      <c r="O114" s="117"/>
      <c r="P114" s="117"/>
      <c r="Q114" s="14" t="str">
        <f t="shared" ca="1" si="0"/>
        <v/>
      </c>
      <c r="R114" s="239"/>
      <c r="S114" s="239"/>
      <c r="T114" s="239"/>
      <c r="U114" s="216"/>
      <c r="V114" s="217"/>
      <c r="W114" s="233"/>
      <c r="X114" s="123"/>
      <c r="Y114" s="117"/>
      <c r="Z114" s="117"/>
    </row>
    <row r="115" spans="1:26">
      <c r="A115" s="117"/>
      <c r="B115" s="117"/>
      <c r="C115" s="117"/>
      <c r="D115" s="117"/>
      <c r="E115" s="117"/>
      <c r="F115" s="117"/>
      <c r="G115" s="117"/>
      <c r="H115" s="117"/>
      <c r="I115" s="117"/>
      <c r="J115" s="117"/>
      <c r="K115" s="117"/>
      <c r="L115" s="117"/>
      <c r="M115" s="117"/>
      <c r="N115" s="117"/>
      <c r="O115" s="117"/>
      <c r="P115" s="117"/>
      <c r="Q115" s="14" t="str">
        <f t="shared" ca="1" si="0"/>
        <v/>
      </c>
      <c r="R115" s="239"/>
      <c r="S115" s="239"/>
      <c r="T115" s="239"/>
      <c r="U115" s="216"/>
      <c r="V115" s="217"/>
      <c r="W115" s="233"/>
      <c r="X115" s="123"/>
      <c r="Y115" s="117"/>
      <c r="Z115" s="117"/>
    </row>
    <row r="116" spans="1:26">
      <c r="A116" s="117"/>
      <c r="B116" s="117"/>
      <c r="C116" s="117"/>
      <c r="D116" s="117"/>
      <c r="E116" s="117"/>
      <c r="F116" s="117"/>
      <c r="G116" s="117"/>
      <c r="H116" s="117"/>
      <c r="I116" s="117"/>
      <c r="J116" s="117"/>
      <c r="K116" s="117"/>
      <c r="L116" s="117"/>
      <c r="M116" s="117"/>
      <c r="N116" s="117"/>
      <c r="O116" s="117"/>
      <c r="P116" s="117"/>
      <c r="Q116" s="14" t="str">
        <f t="shared" ca="1" si="0"/>
        <v/>
      </c>
      <c r="R116" s="239"/>
      <c r="S116" s="239"/>
      <c r="T116" s="239"/>
      <c r="U116" s="216"/>
      <c r="V116" s="217"/>
      <c r="W116" s="233"/>
      <c r="X116" s="123"/>
      <c r="Y116" s="117"/>
      <c r="Z116" s="117"/>
    </row>
    <row r="117" spans="1:26">
      <c r="A117" s="117"/>
      <c r="B117" s="117"/>
      <c r="C117" s="117"/>
      <c r="D117" s="117"/>
      <c r="E117" s="117"/>
      <c r="F117" s="117"/>
      <c r="G117" s="117"/>
      <c r="H117" s="117"/>
      <c r="I117" s="117"/>
      <c r="J117" s="117"/>
      <c r="K117" s="117"/>
      <c r="L117" s="117"/>
      <c r="M117" s="117"/>
      <c r="N117" s="117"/>
      <c r="O117" s="117"/>
      <c r="P117" s="117"/>
      <c r="Q117" s="14" t="str">
        <f t="shared" ca="1" si="0"/>
        <v/>
      </c>
      <c r="R117" s="239"/>
      <c r="S117" s="239"/>
      <c r="T117" s="239"/>
      <c r="U117" s="216"/>
      <c r="V117" s="217"/>
      <c r="W117" s="233"/>
      <c r="X117" s="123"/>
      <c r="Y117" s="117"/>
      <c r="Z117" s="117"/>
    </row>
    <row r="118" spans="1:26">
      <c r="A118" s="117"/>
      <c r="B118" s="117"/>
      <c r="C118" s="117"/>
      <c r="D118" s="117"/>
      <c r="E118" s="117"/>
      <c r="F118" s="117"/>
      <c r="G118" s="117"/>
      <c r="H118" s="117"/>
      <c r="I118" s="117"/>
      <c r="J118" s="117"/>
      <c r="K118" s="117"/>
      <c r="L118" s="117"/>
      <c r="M118" s="117"/>
      <c r="N118" s="117"/>
      <c r="O118" s="117"/>
      <c r="P118" s="117"/>
      <c r="Q118" s="14" t="str">
        <f t="shared" ca="1" si="0"/>
        <v/>
      </c>
      <c r="R118" s="239"/>
      <c r="S118" s="239"/>
      <c r="T118" s="239"/>
      <c r="U118" s="216"/>
      <c r="V118" s="217"/>
      <c r="W118" s="233"/>
      <c r="X118" s="123"/>
      <c r="Y118" s="117"/>
      <c r="Z118" s="117"/>
    </row>
    <row r="119" spans="1:26">
      <c r="A119" s="117"/>
      <c r="B119" s="117"/>
      <c r="C119" s="117"/>
      <c r="D119" s="117"/>
      <c r="E119" s="117"/>
      <c r="F119" s="117"/>
      <c r="G119" s="117"/>
      <c r="H119" s="117"/>
      <c r="I119" s="117"/>
      <c r="J119" s="117"/>
      <c r="K119" s="117"/>
      <c r="L119" s="117"/>
      <c r="M119" s="117"/>
      <c r="N119" s="117"/>
      <c r="O119" s="117"/>
      <c r="P119" s="117"/>
      <c r="Q119" s="14" t="str">
        <f t="shared" ca="1" si="0"/>
        <v/>
      </c>
      <c r="R119" s="239"/>
      <c r="S119" s="239"/>
      <c r="T119" s="239"/>
      <c r="U119" s="216"/>
      <c r="V119" s="217"/>
      <c r="W119" s="233"/>
      <c r="X119" s="123"/>
      <c r="Y119" s="117"/>
      <c r="Z119" s="117"/>
    </row>
    <row r="120" spans="1:26">
      <c r="A120" s="117"/>
      <c r="B120" s="117"/>
      <c r="C120" s="117"/>
      <c r="D120" s="117"/>
      <c r="E120" s="117"/>
      <c r="F120" s="117"/>
      <c r="G120" s="117"/>
      <c r="H120" s="117"/>
      <c r="I120" s="117"/>
      <c r="J120" s="117"/>
      <c r="K120" s="117"/>
      <c r="L120" s="117"/>
      <c r="M120" s="117"/>
      <c r="N120" s="117"/>
      <c r="O120" s="117"/>
      <c r="P120" s="117"/>
      <c r="Q120" s="14" t="str">
        <f t="shared" ca="1" si="0"/>
        <v/>
      </c>
      <c r="R120" s="239"/>
      <c r="S120" s="239"/>
      <c r="T120" s="239"/>
      <c r="U120" s="216"/>
      <c r="V120" s="217"/>
      <c r="W120" s="233"/>
      <c r="X120" s="123"/>
      <c r="Y120" s="117"/>
      <c r="Z120" s="117"/>
    </row>
    <row r="121" spans="1:26">
      <c r="A121" s="117"/>
      <c r="B121" s="117"/>
      <c r="C121" s="117"/>
      <c r="D121" s="117"/>
      <c r="E121" s="117"/>
      <c r="F121" s="117"/>
      <c r="G121" s="117"/>
      <c r="H121" s="117"/>
      <c r="I121" s="117"/>
      <c r="J121" s="117"/>
      <c r="K121" s="117"/>
      <c r="L121" s="117"/>
      <c r="M121" s="117"/>
      <c r="N121" s="117"/>
      <c r="O121" s="117"/>
      <c r="P121" s="117"/>
      <c r="Q121" s="14" t="str">
        <f t="shared" ca="1" si="0"/>
        <v/>
      </c>
      <c r="R121" s="239"/>
      <c r="S121" s="239"/>
      <c r="T121" s="239"/>
      <c r="U121" s="216"/>
      <c r="V121" s="217"/>
      <c r="W121" s="233"/>
      <c r="X121" s="123"/>
      <c r="Y121" s="117"/>
      <c r="Z121" s="117"/>
    </row>
    <row r="122" spans="1:26">
      <c r="A122" s="117"/>
      <c r="B122" s="117"/>
      <c r="C122" s="117"/>
      <c r="D122" s="117"/>
      <c r="E122" s="117"/>
      <c r="F122" s="117"/>
      <c r="G122" s="117"/>
      <c r="H122" s="117"/>
      <c r="I122" s="117"/>
      <c r="J122" s="117"/>
      <c r="K122" s="117"/>
      <c r="L122" s="117"/>
      <c r="M122" s="117"/>
      <c r="N122" s="117"/>
      <c r="O122" s="117"/>
      <c r="P122" s="117"/>
      <c r="Q122" s="14" t="str">
        <f t="shared" ca="1" si="0"/>
        <v/>
      </c>
      <c r="R122" s="239"/>
      <c r="S122" s="239"/>
      <c r="T122" s="239"/>
      <c r="U122" s="216"/>
      <c r="V122" s="217"/>
      <c r="W122" s="233"/>
      <c r="X122" s="123"/>
      <c r="Y122" s="117"/>
      <c r="Z122" s="117"/>
    </row>
    <row r="123" spans="1:26">
      <c r="A123" s="117"/>
      <c r="B123" s="117"/>
      <c r="C123" s="117"/>
      <c r="D123" s="117"/>
      <c r="E123" s="117"/>
      <c r="F123" s="117"/>
      <c r="G123" s="117"/>
      <c r="H123" s="117"/>
      <c r="I123" s="117"/>
      <c r="J123" s="117"/>
      <c r="K123" s="117"/>
      <c r="L123" s="117"/>
      <c r="M123" s="117"/>
      <c r="N123" s="117"/>
      <c r="O123" s="117"/>
      <c r="P123" s="117"/>
      <c r="Q123" s="14" t="str">
        <f t="shared" ca="1" si="0"/>
        <v/>
      </c>
      <c r="R123" s="239"/>
      <c r="S123" s="239"/>
      <c r="T123" s="239"/>
      <c r="U123" s="216"/>
      <c r="V123" s="217"/>
      <c r="W123" s="233"/>
      <c r="X123" s="123"/>
      <c r="Y123" s="117"/>
      <c r="Z123" s="117"/>
    </row>
    <row r="124" spans="1:26">
      <c r="A124" s="117"/>
      <c r="B124" s="117"/>
      <c r="C124" s="117"/>
      <c r="D124" s="117"/>
      <c r="E124" s="117"/>
      <c r="F124" s="117"/>
      <c r="G124" s="117"/>
      <c r="H124" s="117"/>
      <c r="I124" s="117"/>
      <c r="J124" s="117"/>
      <c r="K124" s="117"/>
      <c r="L124" s="117"/>
      <c r="M124" s="117"/>
      <c r="N124" s="117"/>
      <c r="O124" s="117"/>
      <c r="P124" s="117"/>
      <c r="Q124" s="14" t="str">
        <f t="shared" ca="1" si="0"/>
        <v/>
      </c>
      <c r="R124" s="239"/>
      <c r="S124" s="239"/>
      <c r="T124" s="239"/>
      <c r="U124" s="216"/>
      <c r="V124" s="217"/>
      <c r="W124" s="233"/>
      <c r="X124" s="123"/>
      <c r="Y124" s="117"/>
      <c r="Z124" s="117"/>
    </row>
    <row r="125" spans="1:26">
      <c r="A125" s="117"/>
      <c r="B125" s="117"/>
      <c r="C125" s="117"/>
      <c r="D125" s="117"/>
      <c r="E125" s="117"/>
      <c r="F125" s="117"/>
      <c r="G125" s="117"/>
      <c r="H125" s="117"/>
      <c r="I125" s="117"/>
      <c r="J125" s="117"/>
      <c r="K125" s="117"/>
      <c r="L125" s="117"/>
      <c r="M125" s="117"/>
      <c r="N125" s="117"/>
      <c r="O125" s="117"/>
      <c r="P125" s="117"/>
      <c r="Q125" s="14" t="str">
        <f t="shared" ca="1" si="0"/>
        <v/>
      </c>
      <c r="R125" s="239"/>
      <c r="S125" s="239"/>
      <c r="T125" s="239"/>
      <c r="U125" s="216"/>
      <c r="V125" s="217"/>
      <c r="W125" s="233"/>
      <c r="X125" s="123"/>
      <c r="Y125" s="117"/>
      <c r="Z125" s="117"/>
    </row>
    <row r="126" spans="1:26">
      <c r="A126" s="117"/>
      <c r="B126" s="117"/>
      <c r="C126" s="117"/>
      <c r="D126" s="117"/>
      <c r="E126" s="117"/>
      <c r="F126" s="117"/>
      <c r="G126" s="117"/>
      <c r="H126" s="117"/>
      <c r="I126" s="117"/>
      <c r="J126" s="117"/>
      <c r="K126" s="117"/>
      <c r="L126" s="117"/>
      <c r="M126" s="117"/>
      <c r="N126" s="117"/>
      <c r="O126" s="117"/>
      <c r="P126" s="117"/>
      <c r="Q126" s="14" t="str">
        <f t="shared" ca="1" si="0"/>
        <v/>
      </c>
      <c r="R126" s="239"/>
      <c r="S126" s="239"/>
      <c r="T126" s="239"/>
      <c r="U126" s="216"/>
      <c r="V126" s="217"/>
      <c r="W126" s="233"/>
      <c r="X126" s="123"/>
      <c r="Y126" s="117"/>
      <c r="Z126" s="117"/>
    </row>
    <row r="127" spans="1:26">
      <c r="A127" s="117"/>
      <c r="B127" s="117"/>
      <c r="C127" s="117"/>
      <c r="D127" s="117"/>
      <c r="E127" s="117"/>
      <c r="F127" s="117"/>
      <c r="G127" s="117"/>
      <c r="H127" s="117"/>
      <c r="I127" s="117"/>
      <c r="J127" s="117"/>
      <c r="K127" s="117"/>
      <c r="L127" s="117"/>
      <c r="M127" s="117"/>
      <c r="N127" s="117"/>
      <c r="O127" s="117"/>
      <c r="P127" s="117"/>
      <c r="Q127" s="14" t="str">
        <f t="shared" ca="1" si="0"/>
        <v/>
      </c>
      <c r="R127" s="239"/>
      <c r="S127" s="239"/>
      <c r="T127" s="239"/>
      <c r="U127" s="216"/>
      <c r="V127" s="217"/>
      <c r="W127" s="233"/>
      <c r="X127" s="123"/>
      <c r="Y127" s="117"/>
      <c r="Z127" s="117"/>
    </row>
    <row r="128" spans="1:26">
      <c r="A128" s="117"/>
      <c r="B128" s="117"/>
      <c r="C128" s="117"/>
      <c r="D128" s="117"/>
      <c r="E128" s="117"/>
      <c r="F128" s="117"/>
      <c r="G128" s="117"/>
      <c r="H128" s="117"/>
      <c r="I128" s="117"/>
      <c r="J128" s="117"/>
      <c r="K128" s="117"/>
      <c r="L128" s="117"/>
      <c r="M128" s="117"/>
      <c r="N128" s="117"/>
      <c r="O128" s="117"/>
      <c r="P128" s="117"/>
      <c r="Q128" s="14" t="str">
        <f t="shared" ca="1" si="0"/>
        <v/>
      </c>
      <c r="R128" s="239"/>
      <c r="S128" s="239"/>
      <c r="T128" s="239"/>
      <c r="U128" s="216"/>
      <c r="V128" s="217"/>
      <c r="W128" s="233"/>
      <c r="X128" s="123"/>
      <c r="Y128" s="117"/>
      <c r="Z128" s="117"/>
    </row>
    <row r="129" spans="1:26">
      <c r="A129" s="117"/>
      <c r="B129" s="117"/>
      <c r="C129" s="117"/>
      <c r="D129" s="117"/>
      <c r="E129" s="117"/>
      <c r="F129" s="117"/>
      <c r="G129" s="117"/>
      <c r="H129" s="117"/>
      <c r="I129" s="117"/>
      <c r="J129" s="117"/>
      <c r="K129" s="117"/>
      <c r="L129" s="117"/>
      <c r="M129" s="117"/>
      <c r="N129" s="117"/>
      <c r="O129" s="117"/>
      <c r="P129" s="117"/>
      <c r="Q129" s="14" t="str">
        <f t="shared" ca="1" si="0"/>
        <v/>
      </c>
      <c r="R129" s="239"/>
      <c r="S129" s="239"/>
      <c r="T129" s="239"/>
      <c r="U129" s="216"/>
      <c r="V129" s="217"/>
      <c r="W129" s="233"/>
      <c r="X129" s="123"/>
      <c r="Y129" s="117"/>
      <c r="Z129" s="117"/>
    </row>
    <row r="130" spans="1:26">
      <c r="A130" s="117"/>
      <c r="B130" s="117"/>
      <c r="C130" s="117"/>
      <c r="D130" s="117"/>
      <c r="E130" s="117"/>
      <c r="F130" s="117"/>
      <c r="G130" s="117"/>
      <c r="H130" s="117"/>
      <c r="I130" s="117"/>
      <c r="J130" s="117"/>
      <c r="K130" s="117"/>
      <c r="L130" s="117"/>
      <c r="M130" s="117"/>
      <c r="N130" s="117"/>
      <c r="O130" s="117"/>
      <c r="P130" s="117"/>
      <c r="Q130" s="14" t="str">
        <f t="shared" ca="1" si="0"/>
        <v/>
      </c>
      <c r="R130" s="239"/>
      <c r="S130" s="239"/>
      <c r="T130" s="239"/>
      <c r="U130" s="216"/>
      <c r="V130" s="217"/>
      <c r="W130" s="233"/>
      <c r="X130" s="123"/>
      <c r="Y130" s="117"/>
      <c r="Z130" s="117"/>
    </row>
    <row r="131" spans="1:26">
      <c r="A131" s="117"/>
      <c r="B131" s="117"/>
      <c r="C131" s="117"/>
      <c r="D131" s="117"/>
      <c r="E131" s="117"/>
      <c r="F131" s="117"/>
      <c r="G131" s="117"/>
      <c r="H131" s="117"/>
      <c r="I131" s="117"/>
      <c r="J131" s="117"/>
      <c r="K131" s="117"/>
      <c r="L131" s="117"/>
      <c r="M131" s="117"/>
      <c r="N131" s="117"/>
      <c r="O131" s="117"/>
      <c r="P131" s="117"/>
      <c r="Q131" s="14" t="str">
        <f t="shared" ca="1" si="0"/>
        <v/>
      </c>
      <c r="R131" s="239"/>
      <c r="S131" s="239"/>
      <c r="T131" s="239"/>
      <c r="U131" s="216"/>
      <c r="V131" s="217"/>
      <c r="W131" s="233"/>
      <c r="X131" s="123"/>
      <c r="Y131" s="117"/>
      <c r="Z131" s="117"/>
    </row>
    <row r="132" spans="1:26">
      <c r="A132" s="117"/>
      <c r="B132" s="117"/>
      <c r="C132" s="117"/>
      <c r="D132" s="117"/>
      <c r="E132" s="117"/>
      <c r="F132" s="117"/>
      <c r="G132" s="117"/>
      <c r="H132" s="117"/>
      <c r="I132" s="117"/>
      <c r="J132" s="117"/>
      <c r="K132" s="117"/>
      <c r="L132" s="117"/>
      <c r="M132" s="117"/>
      <c r="N132" s="117"/>
      <c r="O132" s="117"/>
      <c r="P132" s="117"/>
      <c r="Q132" s="14" t="str">
        <f t="shared" ca="1" si="0"/>
        <v/>
      </c>
      <c r="R132" s="239"/>
      <c r="S132" s="239"/>
      <c r="T132" s="239"/>
      <c r="U132" s="216"/>
      <c r="V132" s="217"/>
      <c r="W132" s="233"/>
      <c r="X132" s="123"/>
      <c r="Y132" s="117"/>
      <c r="Z132" s="117"/>
    </row>
    <row r="133" spans="1:26">
      <c r="A133" s="117"/>
      <c r="B133" s="117"/>
      <c r="C133" s="117"/>
      <c r="D133" s="117"/>
      <c r="E133" s="117"/>
      <c r="F133" s="117"/>
      <c r="G133" s="117"/>
      <c r="H133" s="117"/>
      <c r="I133" s="117"/>
      <c r="J133" s="117"/>
      <c r="K133" s="117"/>
      <c r="L133" s="117"/>
      <c r="M133" s="117"/>
      <c r="N133" s="117"/>
      <c r="O133" s="117"/>
      <c r="P133" s="117"/>
      <c r="Q133" s="14" t="str">
        <f t="shared" ca="1" si="0"/>
        <v/>
      </c>
      <c r="R133" s="239"/>
      <c r="S133" s="239"/>
      <c r="T133" s="239"/>
      <c r="U133" s="216"/>
      <c r="V133" s="217"/>
      <c r="W133" s="233"/>
      <c r="X133" s="123"/>
      <c r="Y133" s="117"/>
      <c r="Z133" s="117"/>
    </row>
    <row r="134" spans="1:26">
      <c r="A134" s="117"/>
      <c r="B134" s="117"/>
      <c r="C134" s="117"/>
      <c r="D134" s="117"/>
      <c r="E134" s="117"/>
      <c r="F134" s="117"/>
      <c r="G134" s="117"/>
      <c r="H134" s="117"/>
      <c r="I134" s="117"/>
      <c r="J134" s="117"/>
      <c r="K134" s="117"/>
      <c r="L134" s="117"/>
      <c r="M134" s="117"/>
      <c r="N134" s="117"/>
      <c r="O134" s="117"/>
      <c r="P134" s="117"/>
      <c r="Q134" s="14" t="str">
        <f t="shared" ca="1" si="0"/>
        <v/>
      </c>
      <c r="R134" s="239"/>
      <c r="S134" s="239"/>
      <c r="T134" s="239"/>
      <c r="U134" s="216"/>
      <c r="V134" s="217"/>
      <c r="W134" s="233"/>
      <c r="X134" s="123"/>
      <c r="Y134" s="117"/>
      <c r="Z134" s="117"/>
    </row>
    <row r="135" spans="1:26">
      <c r="A135" s="117"/>
      <c r="B135" s="117"/>
      <c r="C135" s="117"/>
      <c r="D135" s="117"/>
      <c r="E135" s="117"/>
      <c r="F135" s="117"/>
      <c r="G135" s="117"/>
      <c r="H135" s="117"/>
      <c r="I135" s="117"/>
      <c r="J135" s="117"/>
      <c r="K135" s="117"/>
      <c r="L135" s="117"/>
      <c r="M135" s="117"/>
      <c r="N135" s="117"/>
      <c r="O135" s="117"/>
      <c r="P135" s="117"/>
      <c r="Q135" s="14" t="str">
        <f t="shared" ca="1" si="0"/>
        <v/>
      </c>
      <c r="R135" s="239"/>
      <c r="S135" s="239"/>
      <c r="T135" s="239"/>
      <c r="U135" s="216"/>
      <c r="V135" s="217"/>
      <c r="W135" s="233"/>
      <c r="X135" s="123"/>
      <c r="Y135" s="117"/>
      <c r="Z135" s="117"/>
    </row>
    <row r="136" spans="1:26">
      <c r="A136" s="117"/>
      <c r="B136" s="117"/>
      <c r="C136" s="117"/>
      <c r="D136" s="117"/>
      <c r="E136" s="117"/>
      <c r="F136" s="117"/>
      <c r="G136" s="117"/>
      <c r="H136" s="117"/>
      <c r="I136" s="117"/>
      <c r="J136" s="117"/>
      <c r="K136" s="117"/>
      <c r="L136" s="117"/>
      <c r="M136" s="117"/>
      <c r="N136" s="117"/>
      <c r="O136" s="117"/>
      <c r="P136" s="117"/>
      <c r="Q136" s="14" t="str">
        <f t="shared" ca="1" si="0"/>
        <v/>
      </c>
      <c r="R136" s="239"/>
      <c r="S136" s="239"/>
      <c r="T136" s="239"/>
      <c r="U136" s="216"/>
      <c r="V136" s="217"/>
      <c r="W136" s="233"/>
      <c r="X136" s="123"/>
      <c r="Y136" s="117"/>
      <c r="Z136" s="117"/>
    </row>
    <row r="137" spans="1:26">
      <c r="A137" s="117"/>
      <c r="B137" s="117"/>
      <c r="C137" s="117"/>
      <c r="D137" s="117"/>
      <c r="E137" s="117"/>
      <c r="F137" s="117"/>
      <c r="G137" s="117"/>
      <c r="H137" s="117"/>
      <c r="I137" s="117"/>
      <c r="J137" s="117"/>
      <c r="K137" s="117"/>
      <c r="L137" s="117"/>
      <c r="M137" s="117"/>
      <c r="N137" s="117"/>
      <c r="O137" s="117"/>
      <c r="P137" s="117"/>
      <c r="Q137" s="14" t="str">
        <f t="shared" ca="1" si="0"/>
        <v/>
      </c>
      <c r="R137" s="239"/>
      <c r="S137" s="239"/>
      <c r="T137" s="239"/>
      <c r="U137" s="216"/>
      <c r="V137" s="217"/>
      <c r="W137" s="233"/>
      <c r="X137" s="123"/>
      <c r="Y137" s="117"/>
      <c r="Z137" s="117"/>
    </row>
    <row r="138" spans="1:26">
      <c r="A138" s="117"/>
      <c r="B138" s="117"/>
      <c r="C138" s="117"/>
      <c r="D138" s="117"/>
      <c r="E138" s="117"/>
      <c r="F138" s="117"/>
      <c r="G138" s="117"/>
      <c r="H138" s="117"/>
      <c r="I138" s="117"/>
      <c r="J138" s="117"/>
      <c r="K138" s="117"/>
      <c r="L138" s="117"/>
      <c r="M138" s="117"/>
      <c r="N138" s="117"/>
      <c r="O138" s="117"/>
      <c r="P138" s="117"/>
      <c r="Q138" s="14" t="str">
        <f t="shared" ca="1" si="0"/>
        <v/>
      </c>
      <c r="R138" s="239"/>
      <c r="S138" s="239"/>
      <c r="T138" s="239"/>
      <c r="U138" s="216"/>
      <c r="V138" s="217"/>
      <c r="W138" s="233"/>
      <c r="X138" s="123"/>
      <c r="Y138" s="117"/>
      <c r="Z138" s="117"/>
    </row>
    <row r="139" spans="1:26">
      <c r="A139" s="117"/>
      <c r="B139" s="117"/>
      <c r="C139" s="117"/>
      <c r="D139" s="117"/>
      <c r="E139" s="117"/>
      <c r="F139" s="117"/>
      <c r="G139" s="117"/>
      <c r="H139" s="117"/>
      <c r="I139" s="117"/>
      <c r="J139" s="117"/>
      <c r="K139" s="117"/>
      <c r="L139" s="117"/>
      <c r="M139" s="117"/>
      <c r="N139" s="117"/>
      <c r="O139" s="117"/>
      <c r="P139" s="117"/>
      <c r="Q139" s="14" t="str">
        <f t="shared" ca="1" si="0"/>
        <v/>
      </c>
      <c r="R139" s="239"/>
      <c r="S139" s="239"/>
      <c r="T139" s="239"/>
      <c r="U139" s="216"/>
      <c r="V139" s="217"/>
      <c r="W139" s="233"/>
      <c r="X139" s="123"/>
      <c r="Y139" s="117"/>
      <c r="Z139" s="117"/>
    </row>
    <row r="140" spans="1:26">
      <c r="A140" s="117"/>
      <c r="B140" s="117"/>
      <c r="C140" s="117"/>
      <c r="D140" s="117"/>
      <c r="E140" s="117"/>
      <c r="F140" s="117"/>
      <c r="G140" s="117"/>
      <c r="H140" s="117"/>
      <c r="I140" s="117"/>
      <c r="J140" s="117"/>
      <c r="K140" s="117"/>
      <c r="L140" s="117"/>
      <c r="M140" s="117"/>
      <c r="N140" s="117"/>
      <c r="O140" s="117"/>
      <c r="P140" s="117"/>
      <c r="Q140" s="14" t="str">
        <f t="shared" ca="1" si="0"/>
        <v/>
      </c>
      <c r="R140" s="239"/>
      <c r="S140" s="239"/>
      <c r="T140" s="239"/>
      <c r="U140" s="216"/>
      <c r="V140" s="217"/>
      <c r="W140" s="233"/>
      <c r="X140" s="123"/>
      <c r="Y140" s="117"/>
      <c r="Z140" s="117"/>
    </row>
    <row r="141" spans="1:26">
      <c r="A141" s="117"/>
      <c r="B141" s="117"/>
      <c r="C141" s="117"/>
      <c r="D141" s="117"/>
      <c r="E141" s="117"/>
      <c r="F141" s="117"/>
      <c r="G141" s="117"/>
      <c r="H141" s="117"/>
      <c r="I141" s="117"/>
      <c r="J141" s="117"/>
      <c r="K141" s="117"/>
      <c r="L141" s="117"/>
      <c r="M141" s="117"/>
      <c r="N141" s="117"/>
      <c r="O141" s="117"/>
      <c r="P141" s="117"/>
      <c r="Q141" s="14" t="str">
        <f t="shared" ca="1" si="0"/>
        <v/>
      </c>
      <c r="R141" s="239"/>
      <c r="S141" s="239"/>
      <c r="T141" s="239"/>
      <c r="U141" s="216"/>
      <c r="V141" s="217"/>
      <c r="W141" s="233"/>
      <c r="X141" s="123"/>
      <c r="Y141" s="117"/>
      <c r="Z141" s="117"/>
    </row>
    <row r="142" spans="1:26">
      <c r="A142" s="117"/>
      <c r="B142" s="117"/>
      <c r="C142" s="117"/>
      <c r="D142" s="117"/>
      <c r="E142" s="117"/>
      <c r="F142" s="117"/>
      <c r="G142" s="117"/>
      <c r="H142" s="117"/>
      <c r="I142" s="117"/>
      <c r="J142" s="117"/>
      <c r="K142" s="117"/>
      <c r="L142" s="117"/>
      <c r="M142" s="117"/>
      <c r="N142" s="117"/>
      <c r="O142" s="117"/>
      <c r="P142" s="117"/>
      <c r="Q142" s="14" t="str">
        <f t="shared" ca="1" si="0"/>
        <v/>
      </c>
      <c r="R142" s="239"/>
      <c r="S142" s="239"/>
      <c r="T142" s="239"/>
      <c r="U142" s="216"/>
      <c r="V142" s="217"/>
      <c r="W142" s="233"/>
      <c r="X142" s="123"/>
      <c r="Y142" s="117"/>
      <c r="Z142" s="117"/>
    </row>
    <row r="143" spans="1:26">
      <c r="A143" s="117"/>
      <c r="B143" s="117"/>
      <c r="C143" s="117"/>
      <c r="D143" s="117"/>
      <c r="E143" s="117"/>
      <c r="F143" s="117"/>
      <c r="G143" s="117"/>
      <c r="H143" s="117"/>
      <c r="I143" s="117"/>
      <c r="J143" s="117"/>
      <c r="K143" s="117"/>
      <c r="L143" s="117"/>
      <c r="M143" s="117"/>
      <c r="N143" s="117"/>
      <c r="O143" s="117"/>
      <c r="P143" s="117"/>
      <c r="Q143" s="14" t="str">
        <f t="shared" ca="1" si="0"/>
        <v/>
      </c>
      <c r="R143" s="239"/>
      <c r="S143" s="239"/>
      <c r="T143" s="239"/>
      <c r="U143" s="216"/>
      <c r="V143" s="217"/>
      <c r="W143" s="233"/>
      <c r="X143" s="123"/>
      <c r="Y143" s="117"/>
      <c r="Z143" s="117"/>
    </row>
    <row r="144" spans="1:26">
      <c r="A144" s="117"/>
      <c r="B144" s="117"/>
      <c r="C144" s="117"/>
      <c r="D144" s="117"/>
      <c r="E144" s="117"/>
      <c r="F144" s="117"/>
      <c r="G144" s="117"/>
      <c r="H144" s="117"/>
      <c r="I144" s="117"/>
      <c r="J144" s="117"/>
      <c r="K144" s="117"/>
      <c r="L144" s="117"/>
      <c r="M144" s="117"/>
      <c r="N144" s="117"/>
      <c r="O144" s="117"/>
      <c r="P144" s="117"/>
      <c r="Q144" s="14" t="str">
        <f t="shared" ca="1" si="0"/>
        <v/>
      </c>
      <c r="R144" s="239"/>
      <c r="S144" s="239"/>
      <c r="T144" s="239"/>
      <c r="U144" s="216"/>
      <c r="V144" s="217"/>
      <c r="W144" s="233"/>
      <c r="X144" s="123"/>
      <c r="Y144" s="117"/>
      <c r="Z144" s="117"/>
    </row>
    <row r="145" spans="1:26">
      <c r="A145" s="117"/>
      <c r="B145" s="117"/>
      <c r="C145" s="117"/>
      <c r="D145" s="117"/>
      <c r="E145" s="117"/>
      <c r="F145" s="117"/>
      <c r="G145" s="117"/>
      <c r="H145" s="117"/>
      <c r="I145" s="117"/>
      <c r="J145" s="117"/>
      <c r="K145" s="117"/>
      <c r="L145" s="117"/>
      <c r="M145" s="117"/>
      <c r="N145" s="117"/>
      <c r="O145" s="117"/>
      <c r="P145" s="117"/>
      <c r="Q145" s="14" t="str">
        <f t="shared" ca="1" si="0"/>
        <v/>
      </c>
      <c r="R145" s="239"/>
      <c r="S145" s="239"/>
      <c r="T145" s="239"/>
      <c r="U145" s="216"/>
      <c r="V145" s="217"/>
      <c r="W145" s="233"/>
      <c r="X145" s="123"/>
      <c r="Y145" s="117"/>
      <c r="Z145" s="117"/>
    </row>
    <row r="146" spans="1:26">
      <c r="A146" s="117"/>
      <c r="B146" s="117"/>
      <c r="C146" s="117"/>
      <c r="D146" s="117"/>
      <c r="E146" s="117"/>
      <c r="F146" s="117"/>
      <c r="G146" s="117"/>
      <c r="H146" s="117"/>
      <c r="I146" s="117"/>
      <c r="J146" s="117"/>
      <c r="K146" s="117"/>
      <c r="L146" s="117"/>
      <c r="M146" s="117"/>
      <c r="N146" s="117"/>
      <c r="O146" s="117"/>
      <c r="P146" s="117"/>
      <c r="Q146" s="14" t="str">
        <f t="shared" ca="1" si="0"/>
        <v/>
      </c>
      <c r="R146" s="239"/>
      <c r="S146" s="239"/>
      <c r="T146" s="239"/>
      <c r="U146" s="216"/>
      <c r="V146" s="217"/>
      <c r="W146" s="233"/>
      <c r="X146" s="123"/>
      <c r="Y146" s="117"/>
      <c r="Z146" s="117"/>
    </row>
    <row r="147" spans="1:26">
      <c r="A147" s="117"/>
      <c r="B147" s="117"/>
      <c r="C147" s="117"/>
      <c r="D147" s="117"/>
      <c r="E147" s="117"/>
      <c r="F147" s="117"/>
      <c r="G147" s="117"/>
      <c r="H147" s="117"/>
      <c r="I147" s="117"/>
      <c r="J147" s="117"/>
      <c r="K147" s="117"/>
      <c r="L147" s="117"/>
      <c r="M147" s="117"/>
      <c r="N147" s="117"/>
      <c r="O147" s="117"/>
      <c r="P147" s="117"/>
      <c r="Q147" s="14" t="str">
        <f t="shared" ca="1" si="0"/>
        <v/>
      </c>
      <c r="R147" s="239"/>
      <c r="S147" s="239"/>
      <c r="T147" s="239"/>
      <c r="U147" s="216"/>
      <c r="V147" s="217"/>
      <c r="W147" s="233"/>
      <c r="X147" s="123"/>
      <c r="Y147" s="117"/>
      <c r="Z147" s="117"/>
    </row>
    <row r="148" spans="1:26">
      <c r="A148" s="117"/>
      <c r="B148" s="117"/>
      <c r="C148" s="117"/>
      <c r="D148" s="117"/>
      <c r="E148" s="117"/>
      <c r="F148" s="117"/>
      <c r="G148" s="117"/>
      <c r="H148" s="117"/>
      <c r="I148" s="117"/>
      <c r="J148" s="117"/>
      <c r="K148" s="117"/>
      <c r="L148" s="117"/>
      <c r="M148" s="117"/>
      <c r="N148" s="117"/>
      <c r="O148" s="117"/>
      <c r="P148" s="117"/>
      <c r="Q148" s="14" t="str">
        <f t="shared" ca="1" si="0"/>
        <v/>
      </c>
      <c r="R148" s="239"/>
      <c r="S148" s="239"/>
      <c r="T148" s="239"/>
      <c r="U148" s="216"/>
      <c r="V148" s="217"/>
      <c r="W148" s="233"/>
      <c r="X148" s="123"/>
      <c r="Y148" s="117"/>
      <c r="Z148" s="117"/>
    </row>
    <row r="149" spans="1:26">
      <c r="A149" s="117"/>
      <c r="B149" s="117"/>
      <c r="C149" s="117"/>
      <c r="D149" s="117"/>
      <c r="E149" s="117"/>
      <c r="F149" s="117"/>
      <c r="G149" s="117"/>
      <c r="H149" s="117"/>
      <c r="I149" s="117"/>
      <c r="J149" s="117"/>
      <c r="K149" s="117"/>
      <c r="L149" s="117"/>
      <c r="M149" s="117"/>
      <c r="N149" s="117"/>
      <c r="O149" s="117"/>
      <c r="P149" s="117"/>
      <c r="Q149" s="14" t="str">
        <f t="shared" ca="1" si="0"/>
        <v/>
      </c>
      <c r="R149" s="239"/>
      <c r="S149" s="239"/>
      <c r="T149" s="239"/>
      <c r="U149" s="216"/>
      <c r="V149" s="217"/>
      <c r="W149" s="233"/>
      <c r="X149" s="123"/>
      <c r="Y149" s="117"/>
      <c r="Z149" s="117"/>
    </row>
  </sheetData>
  <hyperlinks>
    <hyperlink ref="F2" r:id="rId1" xr:uid="{00000000-0004-0000-0600-000000000000}"/>
    <hyperlink ref="F3" r:id="rId2" xr:uid="{00000000-0004-0000-0600-000001000000}"/>
    <hyperlink ref="F4" r:id="rId3" xr:uid="{00000000-0004-0000-0600-000002000000}"/>
    <hyperlink ref="F5" r:id="rId4" xr:uid="{00000000-0004-0000-0600-000003000000}"/>
    <hyperlink ref="F6" r:id="rId5" xr:uid="{00000000-0004-0000-0600-000004000000}"/>
    <hyperlink ref="F7" r:id="rId6" xr:uid="{00000000-0004-0000-0600-000005000000}"/>
    <hyperlink ref="F8" r:id="rId7" xr:uid="{00000000-0004-0000-0600-000006000000}"/>
    <hyperlink ref="F9" r:id="rId8" xr:uid="{00000000-0004-0000-0600-000007000000}"/>
    <hyperlink ref="F10" r:id="rId9" xr:uid="{00000000-0004-0000-0600-000008000000}"/>
    <hyperlink ref="F11" r:id="rId10" xr:uid="{00000000-0004-0000-0600-000009000000}"/>
    <hyperlink ref="F12" r:id="rId11" xr:uid="{00000000-0004-0000-0600-00000A000000}"/>
    <hyperlink ref="F13" r:id="rId12" xr:uid="{00000000-0004-0000-0600-00000B000000}"/>
    <hyperlink ref="F14" r:id="rId13" xr:uid="{00000000-0004-0000-0600-00000C000000}"/>
    <hyperlink ref="F15" r:id="rId14" xr:uid="{00000000-0004-0000-0600-00000D000000}"/>
    <hyperlink ref="F32" r:id="rId15" xr:uid="{00000000-0004-0000-0600-00000E000000}"/>
    <hyperlink ref="F47" r:id="rId16" xr:uid="{00000000-0004-0000-0600-00000F000000}"/>
    <hyperlink ref="F58" r:id="rId17" xr:uid="{00000000-0004-0000-0600-000010000000}"/>
    <hyperlink ref="F59" r:id="rId18" xr:uid="{00000000-0004-0000-0600-000011000000}"/>
    <hyperlink ref="F62" r:id="rId19" xr:uid="{00000000-0004-0000-0600-000012000000}"/>
    <hyperlink ref="F63" r:id="rId20" xr:uid="{00000000-0004-0000-0600-000013000000}"/>
  </hyperlinks>
  <pageMargins left="0.7" right="0.7" top="0.75" bottom="0.75" header="0.3" footer="0.3"/>
  <drawing r:id="rId21"/>
  <legacyDrawing r:id="rId22"/>
  <extLst>
    <ext xmlns:x14="http://schemas.microsoft.com/office/spreadsheetml/2009/9/main" uri="{CCE6A557-97BC-4b89-ADB6-D9C93CAAB3DF}">
      <x14:dataValidations xmlns:xm="http://schemas.microsoft.com/office/excel/2006/main" count="3">
        <x14:dataValidation type="list" allowBlank="1" xr:uid="{00000000-0002-0000-0600-000000000000}">
          <x14:formula1>
            <xm:f>Fields!$D$2:$D$15</xm:f>
          </x14:formula1>
          <xm:sqref>B2:B77</xm:sqref>
        </x14:dataValidation>
        <x14:dataValidation type="list" allowBlank="1" xr:uid="{00000000-0002-0000-0600-000001000000}">
          <x14:formula1>
            <xm:f>Fields!$F$2:$F$12</xm:f>
          </x14:formula1>
          <xm:sqref>C2:C77</xm:sqref>
        </x14:dataValidation>
        <x14:dataValidation type="list" allowBlank="1" xr:uid="{00000000-0002-0000-0600-000002000000}">
          <x14:formula1>
            <xm:f>Fields!$A$2:$A$8</xm:f>
          </x14:formula1>
          <xm:sqref>D2:D77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1023"/>
  <sheetViews>
    <sheetView workbookViewId="0">
      <pane ySplit="1" topLeftCell="A11" activePane="bottomLeft" state="frozen"/>
      <selection pane="bottomLeft" activeCell="B3" sqref="B3"/>
    </sheetView>
  </sheetViews>
  <sheetFormatPr defaultColWidth="14.42578125" defaultRowHeight="15" customHeight="1"/>
  <cols>
    <col min="1" max="1" width="6.140625" customWidth="1"/>
    <col min="2" max="2" width="6.42578125" customWidth="1"/>
    <col min="3" max="3" width="6.28515625" customWidth="1"/>
    <col min="4" max="4" width="11.8554687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8.42578125" customWidth="1"/>
    <col min="14" max="14" width="7.8554687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2" t="s">
        <v>1</v>
      </c>
      <c r="B1" s="5" t="str">
        <f>HYPERLINK("#rangeid=2086300674","Content Owner")</f>
        <v>Content Owner</v>
      </c>
      <c r="C1" s="9" t="str">
        <f>HYPERLINK("#rangeid=632369931","Video Owner")</f>
        <v>Video Owner</v>
      </c>
      <c r="D1" s="13" t="s">
        <v>6</v>
      </c>
      <c r="E1" s="14" t="s">
        <v>12</v>
      </c>
      <c r="F1" s="16" t="s">
        <v>16</v>
      </c>
      <c r="G1" s="2" t="s">
        <v>18</v>
      </c>
      <c r="H1" s="19" t="s">
        <v>20</v>
      </c>
      <c r="I1" s="21" t="s">
        <v>22</v>
      </c>
      <c r="J1" s="2" t="s">
        <v>24</v>
      </c>
      <c r="K1" s="23" t="s">
        <v>25</v>
      </c>
      <c r="L1" s="2" t="s">
        <v>27</v>
      </c>
      <c r="M1" s="25" t="s">
        <v>28</v>
      </c>
      <c r="N1" s="25"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row>
    <row r="2" spans="1:28">
      <c r="A2" s="38">
        <v>63</v>
      </c>
      <c r="B2" s="39" t="s">
        <v>382</v>
      </c>
      <c r="C2" s="40"/>
      <c r="D2" s="42" t="s">
        <v>56</v>
      </c>
      <c r="E2" s="38" t="s">
        <v>384</v>
      </c>
      <c r="F2" s="43" t="s">
        <v>385</v>
      </c>
      <c r="G2" s="63" t="s">
        <v>2355</v>
      </c>
      <c r="H2" s="154" t="s">
        <v>2356</v>
      </c>
      <c r="I2" s="38"/>
      <c r="J2" s="38">
        <f>1.2*1000</f>
        <v>1200</v>
      </c>
      <c r="K2" s="46">
        <v>1.1446759259259261E-2</v>
      </c>
      <c r="L2" s="47" t="s">
        <v>286</v>
      </c>
      <c r="M2" s="48"/>
      <c r="N2" s="48"/>
      <c r="O2" s="48">
        <f t="shared" ref="O2:O14" si="0">N2-M2</f>
        <v>0</v>
      </c>
      <c r="P2" s="65">
        <v>43022</v>
      </c>
      <c r="Q2" s="14" t="str">
        <f t="shared" ref="Q2:Q32" ca="1" si="1">HYPERLINK(IF(INT(A2)-A2=0,"",REPLACE(INDIRECT("MasterList!e"&amp;INT(A2)+1),25,8,"embed/")&amp;"?start="&amp;HOUR(M2)*3600+MINUTE(M2)*60+SECOND(M2)&amp;"&amp;end="&amp;HOUR(N2)*3600+MINUTE(N2)*60+SECOND(N2)&amp;"&amp;autoplay=1"))</f>
        <v/>
      </c>
      <c r="R2" s="39" t="s">
        <v>63</v>
      </c>
      <c r="S2" s="39" t="s">
        <v>63</v>
      </c>
      <c r="T2" s="39" t="s">
        <v>63</v>
      </c>
      <c r="U2" s="40"/>
      <c r="V2" s="54"/>
      <c r="W2" s="55"/>
      <c r="X2" s="56"/>
      <c r="Y2" s="38"/>
      <c r="Z2" s="38"/>
      <c r="AA2" s="38"/>
      <c r="AB2" s="38"/>
    </row>
    <row r="3" spans="1:28">
      <c r="A3" s="38">
        <v>64</v>
      </c>
      <c r="B3" s="39" t="s">
        <v>382</v>
      </c>
      <c r="C3" s="40"/>
      <c r="D3" s="42" t="s">
        <v>56</v>
      </c>
      <c r="E3" s="38" t="s">
        <v>388</v>
      </c>
      <c r="F3" s="43" t="s">
        <v>389</v>
      </c>
      <c r="G3" s="44"/>
      <c r="H3" s="45"/>
      <c r="I3" s="38"/>
      <c r="J3" s="38">
        <f>694</f>
        <v>694</v>
      </c>
      <c r="K3" s="46">
        <v>9.1203703703703707E-3</v>
      </c>
      <c r="L3" s="47" t="s">
        <v>286</v>
      </c>
      <c r="M3" s="48"/>
      <c r="N3" s="48"/>
      <c r="O3" s="48">
        <f t="shared" si="0"/>
        <v>0</v>
      </c>
      <c r="P3" s="65">
        <v>43022</v>
      </c>
      <c r="Q3" s="14" t="str">
        <f t="shared" ca="1" si="1"/>
        <v/>
      </c>
      <c r="R3" s="39" t="s">
        <v>63</v>
      </c>
      <c r="S3" s="39" t="s">
        <v>63</v>
      </c>
      <c r="T3" s="39" t="s">
        <v>63</v>
      </c>
      <c r="U3" s="40"/>
      <c r="V3" s="54"/>
      <c r="W3" s="55"/>
      <c r="X3" s="56"/>
      <c r="Y3" s="38"/>
      <c r="Z3" s="38"/>
      <c r="AA3" s="38"/>
      <c r="AB3" s="38"/>
    </row>
    <row r="4" spans="1:28">
      <c r="A4" s="154">
        <v>64.010000000000005</v>
      </c>
      <c r="B4" s="39" t="s">
        <v>382</v>
      </c>
      <c r="C4" s="40"/>
      <c r="D4" s="42" t="s">
        <v>56</v>
      </c>
      <c r="G4" s="154" t="s">
        <v>2363</v>
      </c>
      <c r="H4" s="154" t="s">
        <v>2364</v>
      </c>
      <c r="I4" s="203"/>
      <c r="J4" s="203"/>
      <c r="K4" s="203"/>
      <c r="L4" s="203"/>
      <c r="M4" s="204">
        <v>4.6296296296296294E-3</v>
      </c>
      <c r="N4" s="204">
        <v>7.7083333333333335E-3</v>
      </c>
      <c r="O4" s="77">
        <f t="shared" si="0"/>
        <v>3.0787037037037042E-3</v>
      </c>
      <c r="P4" s="65">
        <v>43022</v>
      </c>
      <c r="Q4" s="59" t="str">
        <f t="shared" ca="1" si="1"/>
        <v>https://www.youtube.com/embed/ytrFjytVgtk?start=400&amp;end=666&amp;autoplay=1</v>
      </c>
      <c r="R4" s="154" t="s">
        <v>63</v>
      </c>
      <c r="S4" s="154" t="s">
        <v>63</v>
      </c>
      <c r="T4" s="154" t="s">
        <v>63</v>
      </c>
      <c r="U4" s="154" t="s">
        <v>151</v>
      </c>
      <c r="V4" s="203"/>
      <c r="W4" s="154"/>
      <c r="X4" s="154"/>
    </row>
    <row r="5" spans="1:28">
      <c r="A5" s="38">
        <v>65</v>
      </c>
      <c r="B5" s="39" t="s">
        <v>382</v>
      </c>
      <c r="C5" s="40"/>
      <c r="D5" s="42" t="s">
        <v>56</v>
      </c>
      <c r="E5" s="38" t="s">
        <v>393</v>
      </c>
      <c r="F5" s="43" t="s">
        <v>394</v>
      </c>
      <c r="G5" s="44"/>
      <c r="H5" s="45"/>
      <c r="I5" s="38"/>
      <c r="J5" s="38">
        <f>588</f>
        <v>588</v>
      </c>
      <c r="K5" s="46">
        <v>7.1990740740740739E-3</v>
      </c>
      <c r="L5" s="47" t="s">
        <v>286</v>
      </c>
      <c r="M5" s="48"/>
      <c r="N5" s="48"/>
      <c r="O5" s="48">
        <f t="shared" si="0"/>
        <v>0</v>
      </c>
      <c r="P5" s="38"/>
      <c r="Q5" s="14" t="str">
        <f t="shared" ca="1" si="1"/>
        <v/>
      </c>
      <c r="R5" s="51"/>
      <c r="S5" s="51"/>
      <c r="T5" s="51"/>
      <c r="U5" s="40"/>
      <c r="V5" s="54"/>
      <c r="W5" s="55"/>
      <c r="X5" s="56"/>
      <c r="Y5" s="38"/>
      <c r="Z5" s="38"/>
      <c r="AA5" s="38"/>
      <c r="AB5" s="38"/>
    </row>
    <row r="6" spans="1:28">
      <c r="A6" s="154">
        <v>65.010000000000005</v>
      </c>
      <c r="B6" s="39" t="s">
        <v>382</v>
      </c>
      <c r="C6" s="40"/>
      <c r="D6" s="42" t="s">
        <v>56</v>
      </c>
      <c r="E6" s="38"/>
      <c r="F6" s="43"/>
      <c r="G6" s="63" t="s">
        <v>2369</v>
      </c>
      <c r="H6" s="45"/>
      <c r="I6" s="38"/>
      <c r="J6" s="38"/>
      <c r="K6" s="46"/>
      <c r="L6" s="47"/>
      <c r="M6" s="93">
        <v>1.1574074074074075E-4</v>
      </c>
      <c r="N6" s="93">
        <v>2.8935185185185184E-3</v>
      </c>
      <c r="O6" s="48">
        <f t="shared" si="0"/>
        <v>2.7777777777777775E-3</v>
      </c>
      <c r="P6" s="65">
        <v>43023</v>
      </c>
      <c r="Q6" s="59" t="str">
        <f t="shared" ca="1" si="1"/>
        <v>https://www.youtube.com/embed/28dLjjiriJA?start=10&amp;end=250&amp;autoplay=1</v>
      </c>
      <c r="R6" s="39" t="s">
        <v>63</v>
      </c>
      <c r="S6" s="39" t="s">
        <v>63</v>
      </c>
      <c r="T6" s="39" t="s">
        <v>63</v>
      </c>
      <c r="U6" s="40"/>
      <c r="V6" s="54"/>
      <c r="W6" s="55"/>
      <c r="X6" s="56"/>
      <c r="Y6" s="38"/>
      <c r="Z6" s="38"/>
    </row>
    <row r="7" spans="1:28">
      <c r="A7" s="154">
        <v>65.02</v>
      </c>
      <c r="B7" s="39" t="s">
        <v>382</v>
      </c>
      <c r="C7" s="40"/>
      <c r="D7" s="42" t="s">
        <v>56</v>
      </c>
      <c r="E7" s="38"/>
      <c r="F7" s="43"/>
      <c r="G7" s="63" t="s">
        <v>2372</v>
      </c>
      <c r="H7" s="45"/>
      <c r="I7" s="38"/>
      <c r="J7" s="38"/>
      <c r="K7" s="46"/>
      <c r="L7" s="47"/>
      <c r="M7" s="93">
        <v>2.9166666666666668E-3</v>
      </c>
      <c r="N7" s="93">
        <v>6.7129629629629631E-3</v>
      </c>
      <c r="O7" s="48">
        <f t="shared" si="0"/>
        <v>3.7962962962962963E-3</v>
      </c>
      <c r="P7" s="65">
        <v>43023</v>
      </c>
      <c r="Q7" s="59" t="str">
        <f t="shared" ca="1" si="1"/>
        <v>https://www.youtube.com/embed/28dLjjiriJA?start=252&amp;end=580&amp;autoplay=1</v>
      </c>
      <c r="R7" s="39" t="s">
        <v>63</v>
      </c>
      <c r="S7" s="39" t="s">
        <v>63</v>
      </c>
      <c r="T7" s="39" t="s">
        <v>63</v>
      </c>
      <c r="U7" s="40"/>
      <c r="V7" s="54"/>
      <c r="W7" s="55"/>
      <c r="X7" s="56"/>
      <c r="Y7" s="38"/>
      <c r="Z7" s="38"/>
    </row>
    <row r="8" spans="1:28">
      <c r="A8" s="38">
        <v>68</v>
      </c>
      <c r="B8" s="39" t="s">
        <v>382</v>
      </c>
      <c r="C8" s="40"/>
      <c r="D8" s="42" t="s">
        <v>56</v>
      </c>
      <c r="E8" s="38" t="s">
        <v>412</v>
      </c>
      <c r="F8" s="43" t="s">
        <v>414</v>
      </c>
      <c r="G8" s="63" t="s">
        <v>2373</v>
      </c>
      <c r="H8" s="58" t="s">
        <v>2374</v>
      </c>
      <c r="I8" s="38"/>
      <c r="J8" s="38">
        <f t="shared" ref="J8:J9" si="2">2.5*1000</f>
        <v>2500</v>
      </c>
      <c r="K8" s="46">
        <v>2.4166666666666666E-2</v>
      </c>
      <c r="L8" s="47" t="s">
        <v>286</v>
      </c>
      <c r="M8" s="93">
        <v>3.1250000000000001E-4</v>
      </c>
      <c r="N8" s="93">
        <v>2.361111111111111E-2</v>
      </c>
      <c r="O8" s="48">
        <f t="shared" si="0"/>
        <v>2.329861111111111E-2</v>
      </c>
      <c r="P8" s="66">
        <v>43029</v>
      </c>
      <c r="Q8" s="14" t="str">
        <f t="shared" ca="1" si="1"/>
        <v/>
      </c>
      <c r="R8" s="39" t="s">
        <v>63</v>
      </c>
      <c r="S8" s="39" t="s">
        <v>63</v>
      </c>
      <c r="T8" s="39" t="s">
        <v>63</v>
      </c>
      <c r="U8" s="40"/>
      <c r="V8" s="54"/>
      <c r="W8" s="69" t="s">
        <v>64</v>
      </c>
      <c r="X8" s="56"/>
      <c r="Y8" s="38"/>
      <c r="Z8" s="38"/>
      <c r="AA8" s="38"/>
      <c r="AB8" s="38"/>
    </row>
    <row r="9" spans="1:28">
      <c r="A9" s="38">
        <v>69</v>
      </c>
      <c r="B9" s="39" t="s">
        <v>382</v>
      </c>
      <c r="C9" s="40"/>
      <c r="D9" s="42" t="s">
        <v>56</v>
      </c>
      <c r="E9" s="38" t="s">
        <v>418</v>
      </c>
      <c r="F9" s="43" t="s">
        <v>420</v>
      </c>
      <c r="G9" s="44"/>
      <c r="H9" s="45"/>
      <c r="I9" s="38"/>
      <c r="J9" s="38">
        <f t="shared" si="2"/>
        <v>2500</v>
      </c>
      <c r="K9" s="46">
        <v>3.5428240740740739E-2</v>
      </c>
      <c r="L9" s="47" t="s">
        <v>286</v>
      </c>
      <c r="M9" s="48"/>
      <c r="N9" s="48"/>
      <c r="O9" s="48">
        <f t="shared" si="0"/>
        <v>0</v>
      </c>
      <c r="P9" s="66">
        <v>43030</v>
      </c>
      <c r="Q9" s="14" t="str">
        <f t="shared" ca="1" si="1"/>
        <v/>
      </c>
      <c r="R9" s="51"/>
      <c r="S9" s="51"/>
      <c r="T9" s="51"/>
      <c r="U9" s="40"/>
      <c r="V9" s="54"/>
      <c r="W9" s="55"/>
      <c r="X9" s="56"/>
      <c r="Y9" s="38"/>
      <c r="Z9" s="38"/>
      <c r="AA9" s="38"/>
      <c r="AB9" s="38"/>
    </row>
    <row r="10" spans="1:28">
      <c r="A10" s="42">
        <v>69.010000000000005</v>
      </c>
      <c r="B10" s="39" t="s">
        <v>382</v>
      </c>
      <c r="C10" s="40"/>
      <c r="D10" s="42" t="s">
        <v>56</v>
      </c>
      <c r="E10" s="38"/>
      <c r="F10" s="43"/>
      <c r="G10" s="63" t="s">
        <v>2381</v>
      </c>
      <c r="H10" s="58" t="s">
        <v>2374</v>
      </c>
      <c r="I10" s="38"/>
      <c r="J10" s="38"/>
      <c r="K10" s="46"/>
      <c r="L10" s="47"/>
      <c r="M10" s="93">
        <v>9.3171296296296301E-3</v>
      </c>
      <c r="N10" s="93">
        <v>2.1354166666666667E-2</v>
      </c>
      <c r="O10" s="48">
        <f t="shared" si="0"/>
        <v>1.2037037037037037E-2</v>
      </c>
      <c r="P10" s="66">
        <v>43030</v>
      </c>
      <c r="Q10" s="59" t="str">
        <f t="shared" ca="1" si="1"/>
        <v>https://www.youtube.com/embed/M-zdPqtp9Kk?start=805&amp;end=1845&amp;autoplay=1</v>
      </c>
      <c r="R10" s="39" t="s">
        <v>63</v>
      </c>
      <c r="S10" s="39" t="s">
        <v>2382</v>
      </c>
      <c r="T10" s="39" t="s">
        <v>63</v>
      </c>
      <c r="U10" s="40"/>
      <c r="V10" s="54"/>
      <c r="W10" s="55"/>
      <c r="X10" s="71" t="s">
        <v>64</v>
      </c>
      <c r="Y10" s="38"/>
      <c r="Z10" s="38"/>
      <c r="AA10" s="38"/>
      <c r="AB10" s="38"/>
    </row>
    <row r="11" spans="1:28">
      <c r="A11" s="42">
        <v>69.02</v>
      </c>
      <c r="B11" s="39" t="s">
        <v>382</v>
      </c>
      <c r="C11" s="40"/>
      <c r="D11" s="42" t="s">
        <v>56</v>
      </c>
      <c r="E11" s="38"/>
      <c r="F11" s="43"/>
      <c r="G11" s="63" t="s">
        <v>2383</v>
      </c>
      <c r="H11" s="58" t="s">
        <v>2384</v>
      </c>
      <c r="I11" s="38"/>
      <c r="J11" s="38"/>
      <c r="K11" s="46"/>
      <c r="L11" s="47"/>
      <c r="M11" s="93">
        <v>2.1354166666666667E-2</v>
      </c>
      <c r="N11" s="93">
        <v>3.6111111111111108E-2</v>
      </c>
      <c r="O11" s="48">
        <f t="shared" si="0"/>
        <v>1.4756944444444441E-2</v>
      </c>
      <c r="P11" s="66">
        <v>43030</v>
      </c>
      <c r="Q11" s="59" t="str">
        <f t="shared" ca="1" si="1"/>
        <v>https://www.youtube.com/embed/M-zdPqtp9Kk?start=1845&amp;end=3120&amp;autoplay=1</v>
      </c>
      <c r="R11" s="39" t="s">
        <v>63</v>
      </c>
      <c r="S11" s="39" t="s">
        <v>2382</v>
      </c>
      <c r="T11" s="39" t="s">
        <v>63</v>
      </c>
      <c r="U11" s="40"/>
      <c r="V11" s="54"/>
      <c r="W11" s="55"/>
      <c r="X11" s="71" t="s">
        <v>64</v>
      </c>
      <c r="Y11" s="38"/>
      <c r="Z11" s="38"/>
      <c r="AA11" s="38"/>
      <c r="AB11" s="38"/>
    </row>
    <row r="12" spans="1:28">
      <c r="A12" s="38">
        <v>70</v>
      </c>
      <c r="B12" s="39" t="s">
        <v>382</v>
      </c>
      <c r="C12" s="40"/>
      <c r="D12" s="42" t="s">
        <v>56</v>
      </c>
      <c r="E12" s="38" t="s">
        <v>422</v>
      </c>
      <c r="F12" s="43" t="s">
        <v>423</v>
      </c>
      <c r="G12" s="44"/>
      <c r="H12" s="45"/>
      <c r="I12" s="38"/>
      <c r="J12" s="38">
        <f>568</f>
        <v>568</v>
      </c>
      <c r="K12" s="46">
        <v>3.5185185185185185E-3</v>
      </c>
      <c r="L12" s="47" t="s">
        <v>286</v>
      </c>
      <c r="M12" s="48"/>
      <c r="N12" s="48"/>
      <c r="O12" s="48">
        <f t="shared" si="0"/>
        <v>0</v>
      </c>
      <c r="P12" s="65">
        <v>43031</v>
      </c>
      <c r="Q12" s="14" t="str">
        <f t="shared" ca="1" si="1"/>
        <v/>
      </c>
      <c r="R12" s="39" t="s">
        <v>63</v>
      </c>
      <c r="S12" s="39" t="s">
        <v>63</v>
      </c>
      <c r="T12" s="39" t="s">
        <v>63</v>
      </c>
      <c r="U12" s="40"/>
      <c r="V12" s="54"/>
      <c r="W12" s="55"/>
      <c r="X12" s="56"/>
      <c r="Y12" s="38"/>
      <c r="Z12" s="38"/>
      <c r="AA12" s="38"/>
      <c r="AB12" s="38"/>
    </row>
    <row r="13" spans="1:28">
      <c r="A13" s="42">
        <v>70.010000000000005</v>
      </c>
      <c r="B13" s="39" t="s">
        <v>382</v>
      </c>
      <c r="C13" s="40"/>
      <c r="D13" s="42" t="s">
        <v>56</v>
      </c>
      <c r="E13" s="38"/>
      <c r="F13" s="43"/>
      <c r="G13" s="63" t="s">
        <v>2389</v>
      </c>
      <c r="H13" s="45"/>
      <c r="I13" s="38"/>
      <c r="J13" s="38"/>
      <c r="K13" s="46"/>
      <c r="L13" s="47"/>
      <c r="M13" s="93">
        <v>2.1990740740740742E-3</v>
      </c>
      <c r="N13" s="93">
        <v>3.2407407407407406E-3</v>
      </c>
      <c r="O13" s="48">
        <f t="shared" si="0"/>
        <v>1.0416666666666664E-3</v>
      </c>
      <c r="P13" s="65">
        <v>43031</v>
      </c>
      <c r="Q13" s="59" t="str">
        <f t="shared" ca="1" si="1"/>
        <v>https://www.youtube.com/embed/J5mYtIH7Pho?start=190&amp;end=280&amp;autoplay=1</v>
      </c>
      <c r="R13" s="39" t="s">
        <v>63</v>
      </c>
      <c r="S13" s="39" t="s">
        <v>63</v>
      </c>
      <c r="T13" s="39" t="s">
        <v>63</v>
      </c>
      <c r="U13" s="40"/>
      <c r="V13" s="54"/>
      <c r="W13" s="55"/>
      <c r="X13" s="56"/>
      <c r="Y13" s="38"/>
      <c r="Z13" s="38"/>
      <c r="AA13" s="38"/>
      <c r="AB13" s="38"/>
    </row>
    <row r="14" spans="1:28">
      <c r="A14" s="38">
        <v>71</v>
      </c>
      <c r="B14" s="39" t="s">
        <v>382</v>
      </c>
      <c r="C14" s="40"/>
      <c r="D14" s="42" t="s">
        <v>56</v>
      </c>
      <c r="E14" s="38" t="s">
        <v>429</v>
      </c>
      <c r="F14" s="43" t="s">
        <v>430</v>
      </c>
      <c r="G14" s="63" t="s">
        <v>2392</v>
      </c>
      <c r="H14" s="58" t="s">
        <v>2393</v>
      </c>
      <c r="I14" s="38"/>
      <c r="J14" s="38">
        <f>1.1*1000</f>
        <v>1100</v>
      </c>
      <c r="K14" s="46">
        <v>8.5532407407407415E-3</v>
      </c>
      <c r="L14" s="47" t="s">
        <v>286</v>
      </c>
      <c r="M14" s="48"/>
      <c r="N14" s="48"/>
      <c r="O14" s="48">
        <f t="shared" si="0"/>
        <v>0</v>
      </c>
      <c r="P14" s="65">
        <v>43035</v>
      </c>
      <c r="Q14" s="14" t="str">
        <f t="shared" ca="1" si="1"/>
        <v/>
      </c>
      <c r="R14" s="39" t="s">
        <v>63</v>
      </c>
      <c r="S14" s="39" t="s">
        <v>63</v>
      </c>
      <c r="T14" s="39" t="s">
        <v>63</v>
      </c>
      <c r="U14" s="40"/>
      <c r="V14" s="54"/>
      <c r="W14" s="55"/>
      <c r="X14" s="56"/>
      <c r="Y14" s="38"/>
      <c r="Z14" s="38"/>
      <c r="AA14" s="38"/>
      <c r="AB14" s="38"/>
    </row>
    <row r="15" spans="1:28">
      <c r="A15" s="38">
        <v>72</v>
      </c>
      <c r="B15" s="39" t="s">
        <v>382</v>
      </c>
      <c r="C15" s="40"/>
      <c r="D15" s="42" t="s">
        <v>56</v>
      </c>
      <c r="E15" s="38" t="s">
        <v>437</v>
      </c>
      <c r="F15" s="43" t="s">
        <v>438</v>
      </c>
      <c r="G15" s="63"/>
      <c r="H15" s="45"/>
      <c r="I15" s="38"/>
      <c r="J15" s="38">
        <f>868</f>
        <v>868</v>
      </c>
      <c r="K15" s="46">
        <v>1.091435185185185E-2</v>
      </c>
      <c r="L15" s="47" t="s">
        <v>286</v>
      </c>
      <c r="M15" s="48"/>
      <c r="N15" s="48"/>
      <c r="O15" s="38"/>
      <c r="P15" s="65">
        <v>43039</v>
      </c>
      <c r="Q15" s="14" t="str">
        <f t="shared" ca="1" si="1"/>
        <v/>
      </c>
      <c r="R15" s="39" t="s">
        <v>63</v>
      </c>
      <c r="S15" s="39" t="s">
        <v>2382</v>
      </c>
      <c r="T15" s="39" t="s">
        <v>63</v>
      </c>
      <c r="U15" s="40"/>
      <c r="V15" s="54"/>
      <c r="W15" s="55"/>
      <c r="X15" s="56"/>
      <c r="Y15" s="38"/>
      <c r="Z15" s="38"/>
      <c r="AA15" s="38"/>
      <c r="AB15" s="38"/>
    </row>
    <row r="16" spans="1:28">
      <c r="A16" s="85">
        <v>72.010000000000005</v>
      </c>
      <c r="B16" s="39" t="s">
        <v>382</v>
      </c>
      <c r="C16" s="40"/>
      <c r="D16" s="42" t="s">
        <v>56</v>
      </c>
      <c r="E16" s="38" t="s">
        <v>437</v>
      </c>
      <c r="F16" s="43" t="s">
        <v>438</v>
      </c>
      <c r="G16" s="63" t="s">
        <v>2398</v>
      </c>
      <c r="H16" s="58" t="s">
        <v>2399</v>
      </c>
      <c r="I16" s="38"/>
      <c r="J16" s="38"/>
      <c r="K16" s="46"/>
      <c r="L16" s="47"/>
      <c r="M16" s="93">
        <v>5.7291666666666663E-3</v>
      </c>
      <c r="N16" s="93">
        <v>9.5486111111111119E-3</v>
      </c>
      <c r="O16" s="38"/>
      <c r="P16" s="65">
        <v>43039</v>
      </c>
      <c r="Q16" s="59" t="str">
        <f t="shared" ca="1" si="1"/>
        <v>https://www.youtube.com/embed/MlTxtaiX1xI?start=495&amp;end=825&amp;autoplay=1</v>
      </c>
      <c r="R16" s="39" t="s">
        <v>63</v>
      </c>
      <c r="S16" s="39" t="s">
        <v>2382</v>
      </c>
      <c r="T16" s="39" t="s">
        <v>63</v>
      </c>
      <c r="U16" s="40"/>
      <c r="V16" s="54"/>
      <c r="W16" s="55"/>
      <c r="X16" s="56"/>
      <c r="Y16" s="38"/>
      <c r="Z16" s="38"/>
      <c r="AA16" s="38"/>
      <c r="AB16" s="38"/>
    </row>
    <row r="17" spans="1:28">
      <c r="A17" s="38">
        <v>75</v>
      </c>
      <c r="B17" s="39" t="s">
        <v>382</v>
      </c>
      <c r="C17" s="40"/>
      <c r="D17" s="42" t="s">
        <v>56</v>
      </c>
      <c r="E17" s="38" t="s">
        <v>450</v>
      </c>
      <c r="F17" s="43" t="s">
        <v>451</v>
      </c>
      <c r="G17" s="44"/>
      <c r="H17" s="45"/>
      <c r="I17" s="38"/>
      <c r="J17" s="38">
        <f>7.3*1000</f>
        <v>7300</v>
      </c>
      <c r="K17" s="46">
        <v>4.8854166666666664E-2</v>
      </c>
      <c r="L17" s="47" t="s">
        <v>286</v>
      </c>
      <c r="M17" s="48"/>
      <c r="N17" s="48"/>
      <c r="O17" s="48">
        <f t="shared" ref="O17:O32" si="3">N17-M17</f>
        <v>0</v>
      </c>
      <c r="P17" s="38"/>
      <c r="Q17" s="14" t="str">
        <f t="shared" ca="1" si="1"/>
        <v/>
      </c>
      <c r="R17" s="39" t="s">
        <v>63</v>
      </c>
      <c r="S17" s="39" t="s">
        <v>63</v>
      </c>
      <c r="T17" s="39" t="s">
        <v>63</v>
      </c>
      <c r="U17" s="40"/>
      <c r="V17" s="54"/>
      <c r="W17" s="55"/>
      <c r="X17" s="56"/>
      <c r="Y17" s="38"/>
      <c r="Z17" s="38"/>
      <c r="AA17" s="38"/>
      <c r="AB17" s="38"/>
    </row>
    <row r="18" spans="1:28">
      <c r="A18" s="42">
        <v>75.010000000000005</v>
      </c>
      <c r="B18" s="39" t="s">
        <v>382</v>
      </c>
      <c r="C18" s="40"/>
      <c r="D18" s="42" t="s">
        <v>56</v>
      </c>
      <c r="E18" s="38"/>
      <c r="F18" s="43"/>
      <c r="G18" s="63" t="s">
        <v>2405</v>
      </c>
      <c r="H18" s="58" t="s">
        <v>2407</v>
      </c>
      <c r="I18" s="38"/>
      <c r="J18" s="38"/>
      <c r="K18" s="46"/>
      <c r="L18" s="47"/>
      <c r="M18" s="76">
        <v>1.0300925925925925E-2</v>
      </c>
      <c r="N18" s="93">
        <v>1.9965277777777776E-2</v>
      </c>
      <c r="O18" s="48">
        <f t="shared" si="3"/>
        <v>9.6643518518518511E-3</v>
      </c>
      <c r="P18" s="38"/>
      <c r="Q18" s="59" t="str">
        <f t="shared" ca="1" si="1"/>
        <v>https://www.youtube.com/embed/29-xoooHPaw?start=890&amp;end=1725&amp;autoplay=1</v>
      </c>
      <c r="R18" s="39" t="s">
        <v>63</v>
      </c>
      <c r="S18" s="39" t="s">
        <v>63</v>
      </c>
      <c r="T18" s="39" t="s">
        <v>63</v>
      </c>
      <c r="U18" s="40"/>
      <c r="V18" s="54"/>
      <c r="W18" s="55"/>
      <c r="X18" s="56"/>
      <c r="Y18" s="38"/>
      <c r="Z18" s="38"/>
      <c r="AA18" s="38"/>
      <c r="AB18" s="38"/>
    </row>
    <row r="19" spans="1:28">
      <c r="A19" s="42">
        <v>75.02</v>
      </c>
      <c r="B19" s="39" t="s">
        <v>382</v>
      </c>
      <c r="C19" s="40"/>
      <c r="D19" s="42" t="s">
        <v>56</v>
      </c>
      <c r="E19" s="38"/>
      <c r="F19" s="43"/>
      <c r="G19" s="63" t="s">
        <v>2408</v>
      </c>
      <c r="H19" s="45"/>
      <c r="I19" s="38"/>
      <c r="J19" s="38"/>
      <c r="K19" s="46"/>
      <c r="L19" s="47"/>
      <c r="M19" s="93">
        <v>2.0833333333333332E-2</v>
      </c>
      <c r="N19" s="93">
        <v>2.6562499999999999E-2</v>
      </c>
      <c r="O19" s="48">
        <f t="shared" si="3"/>
        <v>5.7291666666666671E-3</v>
      </c>
      <c r="P19" s="38"/>
      <c r="Q19" s="59" t="str">
        <f t="shared" ca="1" si="1"/>
        <v>https://www.youtube.com/embed/29-xoooHPaw?start=1800&amp;end=2295&amp;autoplay=1</v>
      </c>
      <c r="R19" s="39" t="s">
        <v>63</v>
      </c>
      <c r="S19" s="39" t="s">
        <v>63</v>
      </c>
      <c r="T19" s="39" t="s">
        <v>63</v>
      </c>
      <c r="U19" s="40"/>
      <c r="V19" s="54"/>
      <c r="W19" s="55"/>
      <c r="X19" s="56"/>
      <c r="Y19" s="38"/>
      <c r="Z19" s="38"/>
      <c r="AA19" s="38"/>
      <c r="AB19" s="38"/>
    </row>
    <row r="20" spans="1:28">
      <c r="A20" s="42">
        <v>75.03</v>
      </c>
      <c r="B20" s="39" t="s">
        <v>382</v>
      </c>
      <c r="C20" s="40"/>
      <c r="D20" s="42" t="s">
        <v>56</v>
      </c>
      <c r="E20" s="38"/>
      <c r="F20" s="43"/>
      <c r="G20" s="63" t="s">
        <v>2411</v>
      </c>
      <c r="H20" s="58" t="s">
        <v>2412</v>
      </c>
      <c r="I20" s="38"/>
      <c r="J20" s="38"/>
      <c r="K20" s="46"/>
      <c r="L20" s="47"/>
      <c r="M20" s="93">
        <v>2.7858796296296295E-2</v>
      </c>
      <c r="N20" s="93">
        <v>3.321759259259259E-2</v>
      </c>
      <c r="O20" s="48">
        <f t="shared" si="3"/>
        <v>5.3587962962962955E-3</v>
      </c>
      <c r="P20" s="38"/>
      <c r="Q20" s="59" t="str">
        <f t="shared" ca="1" si="1"/>
        <v>https://www.youtube.com/embed/29-xoooHPaw?start=2407&amp;end=2870&amp;autoplay=1</v>
      </c>
      <c r="R20" s="39" t="s">
        <v>63</v>
      </c>
      <c r="S20" s="39" t="s">
        <v>63</v>
      </c>
      <c r="T20" s="39" t="s">
        <v>63</v>
      </c>
      <c r="U20" s="40"/>
      <c r="V20" s="54"/>
      <c r="W20" s="55"/>
      <c r="X20" s="56"/>
      <c r="Y20" s="38"/>
      <c r="Z20" s="38"/>
      <c r="AA20" s="38"/>
      <c r="AB20" s="38"/>
    </row>
    <row r="21" spans="1:28">
      <c r="A21" s="42">
        <v>75.040000000000006</v>
      </c>
      <c r="B21" s="39" t="s">
        <v>382</v>
      </c>
      <c r="C21" s="40"/>
      <c r="D21" s="42" t="s">
        <v>56</v>
      </c>
      <c r="E21" s="38"/>
      <c r="F21" s="43"/>
      <c r="G21" s="63" t="s">
        <v>2415</v>
      </c>
      <c r="H21" s="58" t="s">
        <v>2416</v>
      </c>
      <c r="I21" s="38"/>
      <c r="J21" s="38"/>
      <c r="K21" s="46"/>
      <c r="L21" s="47"/>
      <c r="M21" s="93">
        <v>3.3275462962962965E-2</v>
      </c>
      <c r="N21" s="93">
        <v>3.7037037037037035E-2</v>
      </c>
      <c r="O21" s="48">
        <f t="shared" si="3"/>
        <v>3.76157407407407E-3</v>
      </c>
      <c r="P21" s="38"/>
      <c r="Q21" s="59" t="str">
        <f t="shared" ca="1" si="1"/>
        <v>https://www.youtube.com/embed/29-xoooHPaw?start=2875&amp;end=3200&amp;autoplay=1</v>
      </c>
      <c r="R21" s="39" t="s">
        <v>63</v>
      </c>
      <c r="S21" s="39" t="s">
        <v>2382</v>
      </c>
      <c r="T21" s="39" t="s">
        <v>63</v>
      </c>
      <c r="U21" s="40"/>
      <c r="V21" s="54"/>
      <c r="W21" s="55"/>
      <c r="X21" s="56"/>
      <c r="Y21" s="38"/>
      <c r="Z21" s="38"/>
      <c r="AA21" s="38"/>
      <c r="AB21" s="38"/>
    </row>
    <row r="22" spans="1:28">
      <c r="A22" s="42">
        <v>75.040000000000006</v>
      </c>
      <c r="B22" s="39" t="s">
        <v>382</v>
      </c>
      <c r="C22" s="40"/>
      <c r="D22" s="42" t="s">
        <v>56</v>
      </c>
      <c r="E22" s="38"/>
      <c r="F22" s="43"/>
      <c r="G22" s="63" t="s">
        <v>2419</v>
      </c>
      <c r="H22" s="58" t="s">
        <v>2420</v>
      </c>
      <c r="I22" s="38"/>
      <c r="J22" s="38"/>
      <c r="K22" s="46"/>
      <c r="L22" s="47"/>
      <c r="M22" s="93">
        <v>3.7037037037037035E-2</v>
      </c>
      <c r="N22" s="93">
        <v>4.4965277777777778E-2</v>
      </c>
      <c r="O22" s="48">
        <f t="shared" si="3"/>
        <v>7.9282407407407426E-3</v>
      </c>
      <c r="P22" s="38"/>
      <c r="Q22" s="59" t="str">
        <f t="shared" ca="1" si="1"/>
        <v>https://www.youtube.com/embed/29-xoooHPaw?start=3200&amp;end=3885&amp;autoplay=1</v>
      </c>
      <c r="R22" s="39" t="s">
        <v>63</v>
      </c>
      <c r="S22" s="39" t="s">
        <v>63</v>
      </c>
      <c r="T22" s="39" t="s">
        <v>63</v>
      </c>
      <c r="U22" s="40"/>
      <c r="V22" s="54"/>
      <c r="W22" s="55"/>
      <c r="X22" s="56"/>
      <c r="Y22" s="38"/>
      <c r="Z22" s="38"/>
      <c r="AA22" s="38"/>
      <c r="AB22" s="38"/>
    </row>
    <row r="23" spans="1:28">
      <c r="A23" s="42">
        <v>75.05</v>
      </c>
      <c r="B23" s="39" t="s">
        <v>382</v>
      </c>
      <c r="C23" s="40"/>
      <c r="D23" s="42" t="s">
        <v>56</v>
      </c>
      <c r="E23" s="38"/>
      <c r="F23" s="43"/>
      <c r="G23" s="63" t="s">
        <v>2423</v>
      </c>
      <c r="H23" s="58" t="s">
        <v>2424</v>
      </c>
      <c r="I23" s="38"/>
      <c r="J23" s="38"/>
      <c r="K23" s="46"/>
      <c r="L23" s="47"/>
      <c r="M23" s="93">
        <v>4.4965277777777778E-2</v>
      </c>
      <c r="N23" s="93">
        <v>4.884259259259259E-2</v>
      </c>
      <c r="O23" s="48">
        <f t="shared" si="3"/>
        <v>3.8773148148148126E-3</v>
      </c>
      <c r="P23" s="38"/>
      <c r="Q23" s="59" t="str">
        <f t="shared" ca="1" si="1"/>
        <v>https://www.youtube.com/embed/29-xoooHPaw?start=3885&amp;end=4220&amp;autoplay=1</v>
      </c>
      <c r="R23" s="39" t="s">
        <v>63</v>
      </c>
      <c r="S23" s="39" t="s">
        <v>63</v>
      </c>
      <c r="T23" s="39" t="s">
        <v>63</v>
      </c>
      <c r="U23" s="40"/>
      <c r="V23" s="54"/>
      <c r="W23" s="55"/>
      <c r="X23" s="56"/>
      <c r="Y23" s="38"/>
      <c r="Z23" s="38"/>
      <c r="AA23" s="38"/>
      <c r="AB23" s="38"/>
    </row>
    <row r="24" spans="1:28">
      <c r="A24" s="38">
        <v>101</v>
      </c>
      <c r="B24" s="39" t="s">
        <v>382</v>
      </c>
      <c r="C24" s="40"/>
      <c r="D24" s="42" t="s">
        <v>56</v>
      </c>
      <c r="E24" s="38" t="s">
        <v>576</v>
      </c>
      <c r="F24" s="43" t="s">
        <v>577</v>
      </c>
      <c r="G24" s="44"/>
      <c r="H24" s="45"/>
      <c r="I24" s="38"/>
      <c r="J24" s="38">
        <f>22*1000</f>
        <v>22000</v>
      </c>
      <c r="K24" s="46">
        <v>4.5879629629629631E-2</v>
      </c>
      <c r="L24" s="47" t="s">
        <v>286</v>
      </c>
      <c r="M24" s="48"/>
      <c r="N24" s="48"/>
      <c r="O24" s="48">
        <f t="shared" si="3"/>
        <v>0</v>
      </c>
      <c r="P24" s="38"/>
      <c r="Q24" s="14" t="str">
        <f t="shared" ca="1" si="1"/>
        <v/>
      </c>
      <c r="R24" s="51"/>
      <c r="S24" s="51"/>
      <c r="T24" s="51"/>
      <c r="U24" s="40"/>
      <c r="V24" s="54"/>
      <c r="W24" s="55"/>
      <c r="X24" s="56"/>
      <c r="Y24" s="88"/>
      <c r="Z24" s="88"/>
      <c r="AA24" s="88"/>
      <c r="AB24" s="88"/>
    </row>
    <row r="25" spans="1:28">
      <c r="A25" s="42">
        <v>101.01</v>
      </c>
      <c r="B25" s="39" t="s">
        <v>382</v>
      </c>
      <c r="C25" s="40"/>
      <c r="D25" s="42" t="s">
        <v>56</v>
      </c>
      <c r="E25" s="38"/>
      <c r="F25" s="43"/>
      <c r="G25" s="63" t="s">
        <v>2429</v>
      </c>
      <c r="H25" s="58" t="s">
        <v>2430</v>
      </c>
      <c r="I25" s="38"/>
      <c r="J25" s="38"/>
      <c r="K25" s="46"/>
      <c r="L25" s="47"/>
      <c r="M25" s="93">
        <v>8.7037037037037031E-3</v>
      </c>
      <c r="N25" s="93">
        <v>1.4351851851851852E-2</v>
      </c>
      <c r="O25" s="48">
        <f t="shared" si="3"/>
        <v>5.6481481481481487E-3</v>
      </c>
      <c r="P25" s="38"/>
      <c r="Q25" s="59" t="str">
        <f t="shared" ca="1" si="1"/>
        <v>https://www.youtube.com/embed/nmbYnYYpa6g?start=752&amp;end=1240&amp;autoplay=1</v>
      </c>
      <c r="R25" s="39" t="s">
        <v>63</v>
      </c>
      <c r="S25" s="39" t="s">
        <v>63</v>
      </c>
      <c r="T25" s="39" t="s">
        <v>63</v>
      </c>
      <c r="U25" s="40"/>
      <c r="V25" s="54"/>
      <c r="W25" s="55"/>
      <c r="X25" s="56"/>
      <c r="Y25" s="88"/>
      <c r="Z25" s="88"/>
      <c r="AA25" s="88"/>
      <c r="AB25" s="88"/>
    </row>
    <row r="26" spans="1:28">
      <c r="A26" s="42">
        <v>101.02</v>
      </c>
      <c r="B26" s="39" t="s">
        <v>382</v>
      </c>
      <c r="C26" s="40"/>
      <c r="D26" s="42" t="s">
        <v>56</v>
      </c>
      <c r="E26" s="38"/>
      <c r="F26" s="43"/>
      <c r="G26" s="63" t="s">
        <v>2433</v>
      </c>
      <c r="H26" s="58" t="s">
        <v>2434</v>
      </c>
      <c r="I26" s="38"/>
      <c r="J26" s="38"/>
      <c r="K26" s="46"/>
      <c r="L26" s="47"/>
      <c r="M26" s="93">
        <v>1.4467592592592593E-2</v>
      </c>
      <c r="N26" s="93">
        <v>1.8310185185185186E-2</v>
      </c>
      <c r="O26" s="48">
        <f t="shared" si="3"/>
        <v>3.8425925925925936E-3</v>
      </c>
      <c r="P26" s="38"/>
      <c r="Q26" s="59" t="str">
        <f t="shared" ca="1" si="1"/>
        <v>https://www.youtube.com/embed/nmbYnYYpa6g?start=1250&amp;end=1582&amp;autoplay=1</v>
      </c>
      <c r="R26" s="39" t="s">
        <v>63</v>
      </c>
      <c r="S26" s="39" t="s">
        <v>63</v>
      </c>
      <c r="T26" s="39" t="s">
        <v>63</v>
      </c>
      <c r="U26" s="40"/>
      <c r="V26" s="54"/>
      <c r="W26" s="55"/>
      <c r="X26" s="56"/>
      <c r="Y26" s="88"/>
      <c r="Z26" s="88"/>
      <c r="AA26" s="88"/>
      <c r="AB26" s="88"/>
    </row>
    <row r="27" spans="1:28">
      <c r="A27" s="42">
        <v>101.03</v>
      </c>
      <c r="B27" s="39" t="s">
        <v>382</v>
      </c>
      <c r="C27" s="40"/>
      <c r="D27" s="42" t="s">
        <v>56</v>
      </c>
      <c r="E27" s="38"/>
      <c r="F27" s="43"/>
      <c r="G27" s="63" t="s">
        <v>2435</v>
      </c>
      <c r="H27" s="58" t="s">
        <v>2437</v>
      </c>
      <c r="I27" s="38"/>
      <c r="J27" s="38"/>
      <c r="K27" s="46"/>
      <c r="L27" s="47"/>
      <c r="M27" s="93">
        <v>1.8344907407407407E-2</v>
      </c>
      <c r="N27" s="93">
        <v>2.3090277777777779E-2</v>
      </c>
      <c r="O27" s="48">
        <f t="shared" si="3"/>
        <v>4.745370370370372E-3</v>
      </c>
      <c r="P27" s="38"/>
      <c r="Q27" s="59" t="str">
        <f t="shared" ca="1" si="1"/>
        <v>https://www.youtube.com/embed/nmbYnYYpa6g?start=1585&amp;end=1995&amp;autoplay=1</v>
      </c>
      <c r="R27" s="39" t="s">
        <v>63</v>
      </c>
      <c r="S27" s="39" t="s">
        <v>63</v>
      </c>
      <c r="T27" s="39" t="s">
        <v>63</v>
      </c>
      <c r="U27" s="40"/>
      <c r="V27" s="54"/>
      <c r="W27" s="55"/>
      <c r="X27" s="56"/>
      <c r="Y27" s="88"/>
      <c r="Z27" s="88"/>
      <c r="AA27" s="88"/>
      <c r="AB27" s="88"/>
    </row>
    <row r="28" spans="1:28">
      <c r="A28" s="42">
        <v>101.04</v>
      </c>
      <c r="B28" s="39" t="s">
        <v>382</v>
      </c>
      <c r="C28" s="40"/>
      <c r="D28" s="42" t="s">
        <v>56</v>
      </c>
      <c r="E28" s="38"/>
      <c r="F28" s="43"/>
      <c r="G28" s="63" t="s">
        <v>2439</v>
      </c>
      <c r="H28" s="58" t="s">
        <v>2440</v>
      </c>
      <c r="I28" s="38"/>
      <c r="J28" s="38"/>
      <c r="K28" s="46"/>
      <c r="L28" s="47"/>
      <c r="M28" s="93">
        <v>2.6041666666666668E-2</v>
      </c>
      <c r="N28" s="93">
        <v>3.3773148148148149E-2</v>
      </c>
      <c r="O28" s="48">
        <f t="shared" si="3"/>
        <v>7.7314814814814815E-3</v>
      </c>
      <c r="P28" s="38"/>
      <c r="Q28" s="59" t="str">
        <f t="shared" ca="1" si="1"/>
        <v>https://www.youtube.com/embed/nmbYnYYpa6g?start=2250&amp;end=2918&amp;autoplay=1</v>
      </c>
      <c r="R28" s="39" t="s">
        <v>63</v>
      </c>
      <c r="S28" s="39" t="s">
        <v>63</v>
      </c>
      <c r="T28" s="39" t="s">
        <v>63</v>
      </c>
      <c r="U28" s="40"/>
      <c r="V28" s="54"/>
      <c r="W28" s="55"/>
      <c r="X28" s="56"/>
      <c r="Y28" s="88"/>
      <c r="Z28" s="88"/>
      <c r="AA28" s="88"/>
      <c r="AB28" s="88"/>
    </row>
    <row r="29" spans="1:28">
      <c r="A29" s="42">
        <v>101.05</v>
      </c>
      <c r="B29" s="39" t="s">
        <v>382</v>
      </c>
      <c r="C29" s="40"/>
      <c r="D29" s="42" t="s">
        <v>56</v>
      </c>
      <c r="E29" s="38"/>
      <c r="F29" s="43"/>
      <c r="G29" s="63" t="s">
        <v>2441</v>
      </c>
      <c r="H29" s="58" t="s">
        <v>2442</v>
      </c>
      <c r="I29" s="38"/>
      <c r="J29" s="38"/>
      <c r="K29" s="46"/>
      <c r="L29" s="47"/>
      <c r="M29" s="93">
        <v>3.3773148148148149E-2</v>
      </c>
      <c r="N29" s="93">
        <v>3.7060185185185182E-2</v>
      </c>
      <c r="O29" s="48">
        <f t="shared" si="3"/>
        <v>3.2870370370370328E-3</v>
      </c>
      <c r="P29" s="38"/>
      <c r="Q29" s="59" t="str">
        <f t="shared" ca="1" si="1"/>
        <v>https://www.youtube.com/embed/nmbYnYYpa6g?start=2918&amp;end=3202&amp;autoplay=1</v>
      </c>
      <c r="R29" s="39" t="s">
        <v>63</v>
      </c>
      <c r="S29" s="39" t="s">
        <v>63</v>
      </c>
      <c r="T29" s="39" t="s">
        <v>63</v>
      </c>
      <c r="U29" s="40"/>
      <c r="V29" s="54"/>
      <c r="W29" s="55"/>
      <c r="X29" s="56"/>
      <c r="Y29" s="88"/>
      <c r="Z29" s="88"/>
      <c r="AA29" s="88"/>
      <c r="AB29" s="88"/>
    </row>
    <row r="30" spans="1:28">
      <c r="A30" s="42">
        <v>101.06</v>
      </c>
      <c r="B30" s="39" t="s">
        <v>382</v>
      </c>
      <c r="C30" s="40"/>
      <c r="D30" s="42" t="s">
        <v>56</v>
      </c>
      <c r="E30" s="38"/>
      <c r="F30" s="43"/>
      <c r="G30" s="63" t="s">
        <v>2445</v>
      </c>
      <c r="H30" s="58" t="s">
        <v>2446</v>
      </c>
      <c r="I30" s="38"/>
      <c r="J30" s="38"/>
      <c r="K30" s="46"/>
      <c r="L30" s="47"/>
      <c r="M30" s="93">
        <v>3.7499999999999999E-2</v>
      </c>
      <c r="N30" s="93">
        <v>3.9930555555555552E-2</v>
      </c>
      <c r="O30" s="48">
        <f t="shared" si="3"/>
        <v>2.4305555555555539E-3</v>
      </c>
      <c r="P30" s="38"/>
      <c r="Q30" s="59" t="str">
        <f t="shared" ca="1" si="1"/>
        <v>https://www.youtube.com/embed/nmbYnYYpa6g?start=3240&amp;end=3450&amp;autoplay=1</v>
      </c>
      <c r="R30" s="39" t="s">
        <v>63</v>
      </c>
      <c r="S30" s="39" t="s">
        <v>63</v>
      </c>
      <c r="T30" s="39" t="s">
        <v>63</v>
      </c>
      <c r="U30" s="40"/>
      <c r="V30" s="54"/>
      <c r="W30" s="55"/>
      <c r="X30" s="56"/>
      <c r="Y30" s="88"/>
      <c r="Z30" s="88"/>
      <c r="AA30" s="88"/>
      <c r="AB30" s="88"/>
    </row>
    <row r="31" spans="1:28">
      <c r="A31" s="42">
        <v>101.07</v>
      </c>
      <c r="B31" s="39" t="s">
        <v>382</v>
      </c>
      <c r="C31" s="40"/>
      <c r="D31" s="42" t="s">
        <v>56</v>
      </c>
      <c r="E31" s="38"/>
      <c r="F31" s="43"/>
      <c r="G31" s="63" t="s">
        <v>2449</v>
      </c>
      <c r="H31" s="58"/>
      <c r="I31" s="38"/>
      <c r="J31" s="38"/>
      <c r="K31" s="46"/>
      <c r="L31" s="47"/>
      <c r="M31" s="93">
        <v>4.0740740740740744E-2</v>
      </c>
      <c r="N31" s="93">
        <v>4.1863425925925929E-2</v>
      </c>
      <c r="O31" s="48">
        <f t="shared" si="3"/>
        <v>1.1226851851851849E-3</v>
      </c>
      <c r="P31" s="38"/>
      <c r="Q31" s="59" t="str">
        <f t="shared" ca="1" si="1"/>
        <v>https://www.youtube.com/embed/nmbYnYYpa6g?start=3520&amp;end=3617&amp;autoplay=1</v>
      </c>
      <c r="R31" s="39" t="s">
        <v>63</v>
      </c>
      <c r="S31" s="39" t="s">
        <v>63</v>
      </c>
      <c r="T31" s="39" t="s">
        <v>63</v>
      </c>
      <c r="U31" s="40"/>
      <c r="V31" s="54"/>
      <c r="W31" s="55"/>
      <c r="X31" s="56"/>
      <c r="Y31" s="88"/>
      <c r="Z31" s="88"/>
      <c r="AA31" s="88"/>
      <c r="AB31" s="88"/>
    </row>
    <row r="32" spans="1:28">
      <c r="A32" s="42">
        <v>101.08</v>
      </c>
      <c r="B32" s="39" t="s">
        <v>382</v>
      </c>
      <c r="C32" s="40"/>
      <c r="D32" s="42" t="s">
        <v>56</v>
      </c>
      <c r="E32" s="38"/>
      <c r="F32" s="43"/>
      <c r="G32" s="63" t="s">
        <v>2452</v>
      </c>
      <c r="H32" s="58"/>
      <c r="I32" s="38"/>
      <c r="J32" s="38"/>
      <c r="K32" s="46"/>
      <c r="L32" s="47"/>
      <c r="M32" s="93">
        <v>4.1863425925925929E-2</v>
      </c>
      <c r="N32" s="93">
        <v>4.5868055555555558E-2</v>
      </c>
      <c r="O32" s="48">
        <f t="shared" si="3"/>
        <v>4.0046296296296288E-3</v>
      </c>
      <c r="P32" s="38"/>
      <c r="Q32" s="59" t="str">
        <f t="shared" ca="1" si="1"/>
        <v>https://www.youtube.com/embed/nmbYnYYpa6g?start=3617&amp;end=3963&amp;autoplay=1</v>
      </c>
      <c r="R32" s="39" t="s">
        <v>63</v>
      </c>
      <c r="S32" s="39" t="s">
        <v>63</v>
      </c>
      <c r="T32" s="39" t="s">
        <v>63</v>
      </c>
      <c r="U32" s="40"/>
      <c r="V32" s="54"/>
      <c r="W32" s="55"/>
      <c r="X32" s="56"/>
      <c r="Y32" s="88"/>
      <c r="Z32" s="88"/>
      <c r="AA32" s="88"/>
      <c r="AB32" s="88"/>
    </row>
    <row r="33" spans="1:28">
      <c r="A33" s="42"/>
      <c r="B33" s="39"/>
      <c r="C33" s="40"/>
      <c r="D33" s="42"/>
      <c r="E33" s="38"/>
      <c r="F33" s="43"/>
      <c r="G33" s="63"/>
      <c r="H33" s="58"/>
      <c r="I33" s="38"/>
      <c r="J33" s="38"/>
      <c r="K33" s="46"/>
      <c r="L33" s="47"/>
      <c r="M33" s="93"/>
      <c r="N33" s="93"/>
      <c r="O33" s="38"/>
      <c r="P33" s="38"/>
      <c r="Q33" s="14"/>
      <c r="R33" s="39"/>
      <c r="S33" s="39"/>
      <c r="T33" s="39"/>
      <c r="U33" s="40"/>
      <c r="V33" s="54"/>
      <c r="W33" s="55"/>
      <c r="X33" s="56"/>
      <c r="Y33" s="38"/>
      <c r="Z33" s="38"/>
      <c r="AA33" s="38"/>
      <c r="AB33" s="38"/>
    </row>
    <row r="34" spans="1:28">
      <c r="A34" s="42"/>
      <c r="B34" s="39"/>
      <c r="C34" s="40"/>
      <c r="D34" s="42"/>
      <c r="E34" s="38"/>
      <c r="F34" s="43"/>
      <c r="G34" s="63" t="s">
        <v>2455</v>
      </c>
      <c r="H34" s="58"/>
      <c r="I34" s="38"/>
      <c r="J34" s="38"/>
      <c r="K34" s="46"/>
      <c r="L34" s="47"/>
      <c r="M34" s="93"/>
      <c r="N34" s="93"/>
      <c r="O34" s="38"/>
      <c r="P34" s="38"/>
      <c r="Q34" s="14"/>
      <c r="R34" s="39"/>
      <c r="S34" s="39"/>
      <c r="T34" s="39"/>
      <c r="U34" s="40"/>
      <c r="V34" s="54"/>
      <c r="W34" s="55"/>
      <c r="X34" s="56"/>
      <c r="Y34" s="38"/>
      <c r="Z34" s="38"/>
      <c r="AA34" s="38"/>
      <c r="AB34" s="38"/>
    </row>
    <row r="35" spans="1:28">
      <c r="A35" s="42"/>
      <c r="B35" s="39"/>
      <c r="C35" s="40"/>
      <c r="D35" s="42"/>
      <c r="E35" s="38"/>
      <c r="F35" s="43"/>
      <c r="G35" s="63"/>
      <c r="H35" s="58"/>
      <c r="I35" s="38"/>
      <c r="J35" s="38"/>
      <c r="K35" s="46"/>
      <c r="L35" s="47"/>
      <c r="M35" s="93"/>
      <c r="N35" s="93"/>
      <c r="O35" s="38"/>
      <c r="P35" s="38"/>
      <c r="Q35" s="14"/>
      <c r="R35" s="39"/>
      <c r="S35" s="39"/>
      <c r="T35" s="39"/>
      <c r="U35" s="40"/>
      <c r="V35" s="54"/>
      <c r="W35" s="55"/>
      <c r="X35" s="56"/>
      <c r="Y35" s="38"/>
      <c r="Z35" s="38"/>
      <c r="AA35" s="38"/>
      <c r="AB35" s="38"/>
    </row>
    <row r="36" spans="1:28">
      <c r="A36" s="42"/>
      <c r="B36" s="39"/>
      <c r="C36" s="40"/>
      <c r="D36" s="42"/>
      <c r="E36" s="38"/>
      <c r="F36" s="43"/>
      <c r="G36" s="63"/>
      <c r="H36" s="58"/>
      <c r="I36" s="38"/>
      <c r="J36" s="38"/>
      <c r="K36" s="46"/>
      <c r="L36" s="47"/>
      <c r="M36" s="93"/>
      <c r="N36" s="93"/>
      <c r="O36" s="38"/>
      <c r="P36" s="38"/>
      <c r="Q36" s="14"/>
      <c r="R36" s="39"/>
      <c r="S36" s="39"/>
      <c r="T36" s="39"/>
      <c r="U36" s="40"/>
      <c r="V36" s="54"/>
      <c r="W36" s="55"/>
      <c r="X36" s="56"/>
      <c r="Y36" s="38"/>
      <c r="Z36" s="38"/>
      <c r="AA36" s="38"/>
      <c r="AB36" s="38"/>
    </row>
    <row r="37" spans="1:28">
      <c r="A37" s="42"/>
      <c r="B37" s="39"/>
      <c r="C37" s="40"/>
      <c r="D37" s="42"/>
      <c r="E37" s="38"/>
      <c r="F37" s="188" t="s">
        <v>2458</v>
      </c>
      <c r="G37" s="63"/>
      <c r="H37" s="58"/>
      <c r="I37" s="38"/>
      <c r="J37" s="38"/>
      <c r="K37" s="46"/>
      <c r="L37" s="47"/>
      <c r="M37" s="93"/>
      <c r="N37" s="93"/>
      <c r="O37" s="38"/>
      <c r="P37" s="38"/>
      <c r="Q37" s="14"/>
      <c r="R37" s="39"/>
      <c r="S37" s="39"/>
      <c r="T37" s="39"/>
      <c r="U37" s="40"/>
      <c r="V37" s="54"/>
      <c r="W37" s="55"/>
      <c r="X37" s="56"/>
      <c r="Y37" s="38"/>
      <c r="Z37" s="38"/>
      <c r="AA37" s="38"/>
      <c r="AB37" s="38"/>
    </row>
    <row r="38" spans="1:28">
      <c r="A38" s="42"/>
      <c r="B38" s="39"/>
      <c r="C38" s="40"/>
      <c r="D38" s="42"/>
      <c r="E38" s="38"/>
      <c r="F38" s="43"/>
      <c r="G38" s="63"/>
      <c r="H38" s="58"/>
      <c r="I38" s="38"/>
      <c r="J38" s="38"/>
      <c r="K38" s="46"/>
      <c r="L38" s="47"/>
      <c r="M38" s="93"/>
      <c r="N38" s="93"/>
      <c r="O38" s="38"/>
      <c r="P38" s="38"/>
      <c r="Q38" s="14"/>
      <c r="R38" s="39"/>
      <c r="S38" s="39"/>
      <c r="T38" s="39"/>
      <c r="U38" s="40"/>
      <c r="V38" s="54"/>
      <c r="W38" s="55"/>
      <c r="X38" s="56"/>
      <c r="Y38" s="38"/>
      <c r="Z38" s="38"/>
      <c r="AA38" s="38"/>
      <c r="AB38" s="38"/>
    </row>
    <row r="39" spans="1:28">
      <c r="A39" s="42"/>
      <c r="B39" s="39"/>
      <c r="C39" s="40"/>
      <c r="D39" s="42"/>
      <c r="E39" s="38"/>
      <c r="F39" s="43"/>
      <c r="G39" s="63"/>
      <c r="H39" s="58"/>
      <c r="I39" s="38"/>
      <c r="J39" s="38"/>
      <c r="K39" s="46"/>
      <c r="L39" s="47"/>
      <c r="M39" s="93"/>
      <c r="N39" s="93"/>
      <c r="O39" s="38"/>
      <c r="P39" s="38"/>
      <c r="Q39" s="14"/>
      <c r="R39" s="39"/>
      <c r="S39" s="39"/>
      <c r="T39" s="39"/>
      <c r="U39" s="40"/>
      <c r="V39" s="54"/>
      <c r="W39" s="55"/>
      <c r="X39" s="56"/>
      <c r="Y39" s="38"/>
      <c r="Z39" s="38"/>
      <c r="AA39" s="38"/>
      <c r="AB39" s="38"/>
    </row>
    <row r="40" spans="1:28">
      <c r="A40" s="42"/>
      <c r="B40" s="39"/>
      <c r="C40" s="40"/>
      <c r="D40" s="42"/>
      <c r="E40" s="38"/>
      <c r="F40" s="43"/>
      <c r="G40" s="63"/>
      <c r="H40" s="58"/>
      <c r="I40" s="38"/>
      <c r="J40" s="38"/>
      <c r="K40" s="46"/>
      <c r="L40" s="47"/>
      <c r="M40" s="93"/>
      <c r="N40" s="93"/>
      <c r="O40" s="38"/>
      <c r="P40" s="38"/>
      <c r="Q40" s="14"/>
      <c r="R40" s="39"/>
      <c r="S40" s="39"/>
      <c r="T40" s="39"/>
      <c r="U40" s="40"/>
      <c r="V40" s="54"/>
      <c r="W40" s="55"/>
      <c r="X40" s="56"/>
      <c r="Y40" s="38"/>
      <c r="Z40" s="38"/>
      <c r="AA40" s="38"/>
      <c r="AB40" s="38"/>
    </row>
    <row r="41" spans="1:28">
      <c r="A41" s="42"/>
      <c r="B41" s="39"/>
      <c r="C41" s="40"/>
      <c r="D41" s="42"/>
      <c r="E41" s="38"/>
      <c r="F41" s="43"/>
      <c r="G41" s="63"/>
      <c r="H41" s="58"/>
      <c r="I41" s="38"/>
      <c r="J41" s="38"/>
      <c r="K41" s="46"/>
      <c r="L41" s="47"/>
      <c r="M41" s="93"/>
      <c r="N41" s="93"/>
      <c r="O41" s="38"/>
      <c r="P41" s="38"/>
      <c r="Q41" s="14"/>
      <c r="R41" s="39"/>
      <c r="S41" s="39"/>
      <c r="T41" s="39"/>
      <c r="U41" s="40"/>
      <c r="V41" s="54"/>
      <c r="W41" s="55"/>
      <c r="X41" s="56"/>
      <c r="Y41" s="38"/>
      <c r="Z41" s="38"/>
      <c r="AA41" s="38"/>
      <c r="AB41" s="38"/>
    </row>
    <row r="42" spans="1:28">
      <c r="A42" s="42"/>
      <c r="B42" s="39"/>
      <c r="C42" s="40"/>
      <c r="D42" s="42"/>
      <c r="E42" s="38"/>
      <c r="F42" s="43"/>
      <c r="G42" s="63"/>
      <c r="H42" s="58"/>
      <c r="I42" s="38"/>
      <c r="J42" s="38"/>
      <c r="K42" s="46"/>
      <c r="L42" s="47"/>
      <c r="M42" s="93"/>
      <c r="N42" s="93"/>
      <c r="O42" s="38"/>
      <c r="P42" s="38"/>
      <c r="Q42" s="14"/>
      <c r="R42" s="39"/>
      <c r="S42" s="39"/>
      <c r="T42" s="39"/>
      <c r="U42" s="40"/>
      <c r="V42" s="54"/>
      <c r="W42" s="55"/>
      <c r="X42" s="56"/>
      <c r="Y42" s="38"/>
      <c r="Z42" s="38"/>
      <c r="AA42" s="38"/>
      <c r="AB42" s="38"/>
    </row>
    <row r="43" spans="1:28">
      <c r="A43" s="42"/>
      <c r="B43" s="39"/>
      <c r="C43" s="40"/>
      <c r="D43" s="42"/>
      <c r="E43" s="38"/>
      <c r="F43" s="43"/>
      <c r="G43" s="63"/>
      <c r="H43" s="58"/>
      <c r="I43" s="38"/>
      <c r="J43" s="38"/>
      <c r="K43" s="46"/>
      <c r="L43" s="47"/>
      <c r="M43" s="93"/>
      <c r="N43" s="93"/>
      <c r="O43" s="38"/>
      <c r="P43" s="38"/>
      <c r="Q43" s="14"/>
      <c r="R43" s="39"/>
      <c r="S43" s="39"/>
      <c r="T43" s="39"/>
      <c r="U43" s="40"/>
      <c r="V43" s="54"/>
      <c r="W43" s="55"/>
      <c r="X43" s="56"/>
      <c r="Y43" s="38"/>
      <c r="Z43" s="38"/>
      <c r="AA43" s="38"/>
      <c r="AB43" s="38"/>
    </row>
    <row r="44" spans="1:28">
      <c r="A44" s="42"/>
      <c r="B44" s="39"/>
      <c r="C44" s="40"/>
      <c r="D44" s="42"/>
      <c r="E44" s="38"/>
      <c r="F44" s="43"/>
      <c r="G44" s="63"/>
      <c r="H44" s="58"/>
      <c r="I44" s="38"/>
      <c r="J44" s="38"/>
      <c r="K44" s="46"/>
      <c r="L44" s="47"/>
      <c r="M44" s="93"/>
      <c r="N44" s="93"/>
      <c r="O44" s="38"/>
      <c r="P44" s="38"/>
      <c r="Q44" s="14"/>
      <c r="R44" s="39"/>
      <c r="S44" s="39"/>
      <c r="T44" s="39"/>
      <c r="U44" s="40"/>
      <c r="V44" s="54"/>
      <c r="W44" s="55"/>
      <c r="X44" s="56"/>
      <c r="Y44" s="38"/>
      <c r="Z44" s="38"/>
      <c r="AA44" s="38"/>
      <c r="AB44" s="38"/>
    </row>
    <row r="45" spans="1:28">
      <c r="A45" s="42"/>
      <c r="B45" s="39"/>
      <c r="C45" s="40"/>
      <c r="D45" s="42"/>
      <c r="E45" s="38"/>
      <c r="F45" s="43"/>
      <c r="G45" s="63"/>
      <c r="H45" s="58"/>
      <c r="I45" s="38"/>
      <c r="J45" s="38"/>
      <c r="K45" s="46"/>
      <c r="L45" s="47"/>
      <c r="M45" s="93"/>
      <c r="N45" s="93"/>
      <c r="O45" s="38"/>
      <c r="P45" s="38"/>
      <c r="Q45" s="14"/>
      <c r="R45" s="39"/>
      <c r="S45" s="39"/>
      <c r="T45" s="39"/>
      <c r="U45" s="40"/>
      <c r="V45" s="54"/>
      <c r="W45" s="55"/>
      <c r="X45" s="56"/>
      <c r="Y45" s="38"/>
      <c r="Z45" s="38"/>
      <c r="AA45" s="38"/>
      <c r="AB45" s="38"/>
    </row>
    <row r="46" spans="1:28">
      <c r="A46" s="42"/>
      <c r="B46" s="39"/>
      <c r="C46" s="40"/>
      <c r="D46" s="42"/>
      <c r="E46" s="38"/>
      <c r="F46" s="43"/>
      <c r="G46" s="63"/>
      <c r="H46" s="58"/>
      <c r="I46" s="38"/>
      <c r="J46" s="38"/>
      <c r="K46" s="46"/>
      <c r="L46" s="47"/>
      <c r="M46" s="93"/>
      <c r="N46" s="93"/>
      <c r="O46" s="38"/>
      <c r="P46" s="38"/>
      <c r="Q46" s="14"/>
      <c r="R46" s="39"/>
      <c r="S46" s="39"/>
      <c r="T46" s="39"/>
      <c r="U46" s="40"/>
      <c r="V46" s="54"/>
      <c r="W46" s="55"/>
      <c r="X46" s="56"/>
      <c r="Y46" s="38"/>
      <c r="Z46" s="38"/>
      <c r="AA46" s="38"/>
      <c r="AB46" s="38"/>
    </row>
    <row r="47" spans="1:28">
      <c r="A47" s="42"/>
      <c r="B47" s="39"/>
      <c r="C47" s="40"/>
      <c r="D47" s="42"/>
      <c r="E47" s="38"/>
      <c r="F47" s="43"/>
      <c r="G47" s="63"/>
      <c r="H47" s="58"/>
      <c r="I47" s="38"/>
      <c r="J47" s="38"/>
      <c r="K47" s="46"/>
      <c r="L47" s="47"/>
      <c r="M47" s="93"/>
      <c r="N47" s="93"/>
      <c r="O47" s="38"/>
      <c r="P47" s="38"/>
      <c r="Q47" s="14"/>
      <c r="R47" s="39"/>
      <c r="S47" s="39"/>
      <c r="T47" s="39"/>
      <c r="U47" s="40"/>
      <c r="V47" s="54"/>
      <c r="W47" s="55"/>
      <c r="X47" s="56"/>
      <c r="Y47" s="38"/>
      <c r="Z47" s="38"/>
      <c r="AA47" s="38"/>
      <c r="AB47" s="38"/>
    </row>
    <row r="48" spans="1:28">
      <c r="A48" s="42"/>
      <c r="B48" s="39"/>
      <c r="C48" s="40"/>
      <c r="D48" s="42"/>
      <c r="E48" s="38"/>
      <c r="F48" s="43"/>
      <c r="G48" s="63"/>
      <c r="H48" s="58"/>
      <c r="I48" s="38"/>
      <c r="J48" s="38"/>
      <c r="K48" s="46"/>
      <c r="L48" s="47"/>
      <c r="M48" s="93"/>
      <c r="N48" s="93"/>
      <c r="O48" s="38"/>
      <c r="P48" s="38"/>
      <c r="Q48" s="14"/>
      <c r="R48" s="39"/>
      <c r="S48" s="39"/>
      <c r="T48" s="39"/>
      <c r="U48" s="40"/>
      <c r="V48" s="54"/>
      <c r="W48" s="55"/>
      <c r="X48" s="56"/>
      <c r="Y48" s="38"/>
      <c r="Z48" s="38"/>
      <c r="AA48" s="38"/>
      <c r="AB48" s="38"/>
    </row>
    <row r="49" spans="1:28">
      <c r="A49" s="42"/>
      <c r="B49" s="39"/>
      <c r="C49" s="40"/>
      <c r="D49" s="42"/>
      <c r="E49" s="38"/>
      <c r="F49" s="43"/>
      <c r="G49" s="63"/>
      <c r="H49" s="58"/>
      <c r="I49" s="38"/>
      <c r="J49" s="38"/>
      <c r="K49" s="46"/>
      <c r="L49" s="47"/>
      <c r="M49" s="93"/>
      <c r="N49" s="93"/>
      <c r="O49" s="38"/>
      <c r="P49" s="38"/>
      <c r="Q49" s="14"/>
      <c r="R49" s="39"/>
      <c r="S49" s="39"/>
      <c r="T49" s="39"/>
      <c r="U49" s="40"/>
      <c r="V49" s="54"/>
      <c r="W49" s="55"/>
      <c r="X49" s="56"/>
      <c r="Y49" s="38"/>
      <c r="Z49" s="38"/>
      <c r="AA49" s="38"/>
      <c r="AB49" s="38"/>
    </row>
    <row r="50" spans="1:28">
      <c r="A50" s="42"/>
      <c r="B50" s="39"/>
      <c r="C50" s="40"/>
      <c r="D50" s="42"/>
      <c r="E50" s="38"/>
      <c r="F50" s="43"/>
      <c r="G50" s="63"/>
      <c r="H50" s="58"/>
      <c r="I50" s="38"/>
      <c r="J50" s="38"/>
      <c r="K50" s="46"/>
      <c r="L50" s="47"/>
      <c r="M50" s="93"/>
      <c r="N50" s="93"/>
      <c r="O50" s="38"/>
      <c r="P50" s="38"/>
      <c r="Q50" s="14"/>
      <c r="R50" s="39"/>
      <c r="S50" s="39"/>
      <c r="T50" s="39"/>
      <c r="U50" s="40"/>
      <c r="V50" s="54"/>
      <c r="W50" s="55"/>
      <c r="X50" s="56"/>
      <c r="Y50" s="38"/>
      <c r="Z50" s="38"/>
      <c r="AA50" s="38"/>
      <c r="AB50" s="38"/>
    </row>
    <row r="51" spans="1:28">
      <c r="A51" s="42"/>
      <c r="B51" s="39"/>
      <c r="C51" s="40"/>
      <c r="D51" s="42"/>
      <c r="E51" s="38"/>
      <c r="F51" s="43"/>
      <c r="G51" s="63"/>
      <c r="H51" s="58"/>
      <c r="I51" s="38"/>
      <c r="J51" s="38"/>
      <c r="K51" s="46"/>
      <c r="L51" s="47"/>
      <c r="M51" s="93"/>
      <c r="N51" s="93"/>
      <c r="O51" s="38"/>
      <c r="P51" s="38"/>
      <c r="Q51" s="14"/>
      <c r="R51" s="39"/>
      <c r="S51" s="39"/>
      <c r="T51" s="39"/>
      <c r="U51" s="40"/>
      <c r="V51" s="54"/>
      <c r="W51" s="55"/>
      <c r="X51" s="56"/>
      <c r="Y51" s="38"/>
      <c r="Z51" s="38"/>
      <c r="AA51" s="38"/>
      <c r="AB51" s="38"/>
    </row>
    <row r="52" spans="1:28">
      <c r="A52" s="42"/>
      <c r="B52" s="39"/>
      <c r="C52" s="40"/>
      <c r="D52" s="42"/>
      <c r="E52" s="38"/>
      <c r="F52" s="43"/>
      <c r="G52" s="63"/>
      <c r="H52" s="58"/>
      <c r="I52" s="38"/>
      <c r="J52" s="38"/>
      <c r="K52" s="46"/>
      <c r="L52" s="47"/>
      <c r="M52" s="93"/>
      <c r="N52" s="93"/>
      <c r="O52" s="38"/>
      <c r="P52" s="38"/>
      <c r="Q52" s="14"/>
      <c r="R52" s="39"/>
      <c r="S52" s="39"/>
      <c r="T52" s="39"/>
      <c r="U52" s="40"/>
      <c r="V52" s="54"/>
      <c r="W52" s="55"/>
      <c r="X52" s="56"/>
      <c r="Y52" s="38"/>
      <c r="Z52" s="38"/>
      <c r="AA52" s="38"/>
      <c r="AB52" s="38"/>
    </row>
    <row r="53" spans="1:28">
      <c r="A53" s="42"/>
      <c r="B53" s="39"/>
      <c r="C53" s="40"/>
      <c r="D53" s="42"/>
      <c r="E53" s="38"/>
      <c r="F53" s="43"/>
      <c r="G53" s="63"/>
      <c r="H53" s="58"/>
      <c r="I53" s="38"/>
      <c r="J53" s="38"/>
      <c r="K53" s="46"/>
      <c r="L53" s="47"/>
      <c r="M53" s="93"/>
      <c r="N53" s="93"/>
      <c r="O53" s="38"/>
      <c r="P53" s="38"/>
      <c r="Q53" s="14"/>
      <c r="R53" s="39"/>
      <c r="S53" s="39"/>
      <c r="T53" s="39"/>
      <c r="U53" s="40"/>
      <c r="V53" s="54"/>
      <c r="W53" s="55"/>
      <c r="X53" s="56"/>
      <c r="Y53" s="38"/>
      <c r="Z53" s="38"/>
      <c r="AA53" s="38"/>
      <c r="AB53" s="38"/>
    </row>
    <row r="54" spans="1:28">
      <c r="A54" s="42"/>
      <c r="B54" s="39"/>
      <c r="C54" s="40"/>
      <c r="D54" s="42"/>
      <c r="E54" s="38"/>
      <c r="F54" s="43"/>
      <c r="G54" s="63"/>
      <c r="H54" s="58"/>
      <c r="I54" s="38"/>
      <c r="J54" s="38"/>
      <c r="K54" s="46"/>
      <c r="L54" s="47"/>
      <c r="M54" s="93"/>
      <c r="N54" s="93"/>
      <c r="O54" s="38"/>
      <c r="P54" s="38"/>
      <c r="Q54" s="14"/>
      <c r="R54" s="39"/>
      <c r="S54" s="39"/>
      <c r="T54" s="39"/>
      <c r="U54" s="40"/>
      <c r="V54" s="54"/>
      <c r="W54" s="55"/>
      <c r="X54" s="56"/>
      <c r="Y54" s="38"/>
      <c r="Z54" s="38"/>
      <c r="AA54" s="38"/>
      <c r="AB54" s="38"/>
    </row>
    <row r="55" spans="1:28">
      <c r="A55" s="42"/>
      <c r="B55" s="39"/>
      <c r="C55" s="40"/>
      <c r="D55" s="42"/>
      <c r="E55" s="38"/>
      <c r="F55" s="43"/>
      <c r="G55" s="63"/>
      <c r="H55" s="58"/>
      <c r="I55" s="38"/>
      <c r="J55" s="38"/>
      <c r="K55" s="46"/>
      <c r="L55" s="47"/>
      <c r="M55" s="93"/>
      <c r="N55" s="93"/>
      <c r="O55" s="38"/>
      <c r="P55" s="38"/>
      <c r="Q55" s="14"/>
      <c r="R55" s="39"/>
      <c r="S55" s="39"/>
      <c r="T55" s="39"/>
      <c r="U55" s="40"/>
      <c r="V55" s="54"/>
      <c r="W55" s="55"/>
      <c r="X55" s="56"/>
      <c r="Y55" s="38"/>
      <c r="Z55" s="38"/>
      <c r="AA55" s="38"/>
      <c r="AB55" s="38"/>
    </row>
    <row r="56" spans="1:28">
      <c r="A56" s="42"/>
      <c r="B56" s="39"/>
      <c r="C56" s="40"/>
      <c r="D56" s="42"/>
      <c r="E56" s="38"/>
      <c r="F56" s="43"/>
      <c r="G56" s="63"/>
      <c r="H56" s="58"/>
      <c r="I56" s="38"/>
      <c r="J56" s="38"/>
      <c r="K56" s="46"/>
      <c r="L56" s="47"/>
      <c r="M56" s="93"/>
      <c r="N56" s="93"/>
      <c r="O56" s="38"/>
      <c r="P56" s="38"/>
      <c r="Q56" s="14"/>
      <c r="R56" s="39"/>
      <c r="S56" s="39"/>
      <c r="T56" s="39"/>
      <c r="U56" s="40"/>
      <c r="V56" s="54"/>
      <c r="W56" s="55"/>
      <c r="X56" s="56"/>
      <c r="Y56" s="38"/>
      <c r="Z56" s="38"/>
      <c r="AA56" s="38"/>
      <c r="AB56" s="38"/>
    </row>
    <row r="57" spans="1:28">
      <c r="A57" s="42"/>
      <c r="B57" s="39"/>
      <c r="C57" s="40"/>
      <c r="D57" s="42"/>
      <c r="E57" s="38"/>
      <c r="F57" s="43"/>
      <c r="G57" s="63"/>
      <c r="H57" s="58"/>
      <c r="I57" s="38"/>
      <c r="J57" s="38"/>
      <c r="K57" s="46"/>
      <c r="L57" s="47"/>
      <c r="M57" s="93"/>
      <c r="N57" s="93"/>
      <c r="O57" s="38"/>
      <c r="P57" s="38"/>
      <c r="Q57" s="14"/>
      <c r="R57" s="39"/>
      <c r="S57" s="39"/>
      <c r="T57" s="39"/>
      <c r="U57" s="40"/>
      <c r="V57" s="54"/>
      <c r="W57" s="55"/>
      <c r="X57" s="56"/>
      <c r="Y57" s="38"/>
      <c r="Z57" s="38"/>
      <c r="AA57" s="38"/>
      <c r="AB57" s="38"/>
    </row>
    <row r="58" spans="1:28">
      <c r="A58" s="42"/>
      <c r="B58" s="39"/>
      <c r="C58" s="40"/>
      <c r="D58" s="42"/>
      <c r="E58" s="38"/>
      <c r="F58" s="43"/>
      <c r="G58" s="63"/>
      <c r="H58" s="58"/>
      <c r="I58" s="38"/>
      <c r="J58" s="38"/>
      <c r="K58" s="46"/>
      <c r="L58" s="47"/>
      <c r="M58" s="93"/>
      <c r="N58" s="93"/>
      <c r="O58" s="38"/>
      <c r="P58" s="38"/>
      <c r="Q58" s="14"/>
      <c r="R58" s="39"/>
      <c r="S58" s="39"/>
      <c r="T58" s="39"/>
      <c r="U58" s="40"/>
      <c r="V58" s="54"/>
      <c r="W58" s="55"/>
      <c r="X58" s="56"/>
      <c r="Y58" s="38"/>
      <c r="Z58" s="38"/>
      <c r="AA58" s="38"/>
      <c r="AB58" s="38"/>
    </row>
    <row r="59" spans="1:28">
      <c r="A59" s="42"/>
      <c r="B59" s="39"/>
      <c r="C59" s="40"/>
      <c r="D59" s="42"/>
      <c r="E59" s="38"/>
      <c r="F59" s="43"/>
      <c r="G59" s="63"/>
      <c r="H59" s="58"/>
      <c r="I59" s="38"/>
      <c r="J59" s="38"/>
      <c r="K59" s="46"/>
      <c r="L59" s="47"/>
      <c r="M59" s="93"/>
      <c r="N59" s="93"/>
      <c r="O59" s="38"/>
      <c r="P59" s="38"/>
      <c r="Q59" s="14"/>
      <c r="R59" s="39"/>
      <c r="S59" s="39"/>
      <c r="T59" s="39"/>
      <c r="U59" s="40"/>
      <c r="V59" s="54"/>
      <c r="W59" s="55"/>
      <c r="X59" s="56"/>
      <c r="Y59" s="38"/>
      <c r="Z59" s="38"/>
      <c r="AA59" s="38"/>
      <c r="AB59" s="38"/>
    </row>
    <row r="60" spans="1:28">
      <c r="A60" s="42"/>
      <c r="B60" s="39"/>
      <c r="C60" s="40"/>
      <c r="D60" s="42"/>
      <c r="E60" s="38"/>
      <c r="F60" s="43"/>
      <c r="G60" s="63"/>
      <c r="H60" s="58"/>
      <c r="I60" s="38"/>
      <c r="J60" s="38"/>
      <c r="K60" s="46"/>
      <c r="L60" s="47"/>
      <c r="M60" s="93"/>
      <c r="N60" s="93"/>
      <c r="O60" s="38"/>
      <c r="P60" s="38"/>
      <c r="Q60" s="14"/>
      <c r="R60" s="39"/>
      <c r="S60" s="39"/>
      <c r="T60" s="39"/>
      <c r="U60" s="40"/>
      <c r="V60" s="54"/>
      <c r="W60" s="55"/>
      <c r="X60" s="56"/>
      <c r="Y60" s="38"/>
      <c r="Z60" s="38"/>
      <c r="AA60" s="38"/>
      <c r="AB60" s="38"/>
    </row>
    <row r="61" spans="1:28">
      <c r="A61" s="42"/>
      <c r="B61" s="39"/>
      <c r="C61" s="40"/>
      <c r="D61" s="42"/>
      <c r="E61" s="38"/>
      <c r="F61" s="43"/>
      <c r="G61" s="63"/>
      <c r="H61" s="58"/>
      <c r="I61" s="38"/>
      <c r="J61" s="38"/>
      <c r="K61" s="46"/>
      <c r="L61" s="47"/>
      <c r="M61" s="93"/>
      <c r="N61" s="93"/>
      <c r="O61" s="38"/>
      <c r="P61" s="38"/>
      <c r="Q61" s="14"/>
      <c r="R61" s="39"/>
      <c r="S61" s="39"/>
      <c r="T61" s="39"/>
      <c r="U61" s="40"/>
      <c r="V61" s="54"/>
      <c r="W61" s="55"/>
      <c r="X61" s="56"/>
      <c r="Y61" s="38"/>
      <c r="Z61" s="38"/>
      <c r="AA61" s="38"/>
      <c r="AB61" s="38"/>
    </row>
    <row r="62" spans="1:28">
      <c r="A62" s="42"/>
      <c r="B62" s="39"/>
      <c r="C62" s="40"/>
      <c r="D62" s="42"/>
      <c r="E62" s="38"/>
      <c r="F62" s="43"/>
      <c r="G62" s="63"/>
      <c r="H62" s="58"/>
      <c r="I62" s="38"/>
      <c r="J62" s="38"/>
      <c r="K62" s="46"/>
      <c r="L62" s="47"/>
      <c r="M62" s="93"/>
      <c r="N62" s="93"/>
      <c r="O62" s="38"/>
      <c r="P62" s="38"/>
      <c r="Q62" s="14"/>
      <c r="R62" s="39"/>
      <c r="S62" s="39"/>
      <c r="T62" s="39"/>
      <c r="U62" s="40"/>
      <c r="V62" s="54"/>
      <c r="W62" s="55"/>
      <c r="X62" s="56"/>
      <c r="Y62" s="38"/>
      <c r="Z62" s="38"/>
      <c r="AA62" s="38"/>
      <c r="AB62" s="38"/>
    </row>
    <row r="63" spans="1:28">
      <c r="A63" s="42"/>
      <c r="B63" s="39"/>
      <c r="C63" s="40"/>
      <c r="D63" s="42"/>
      <c r="E63" s="38"/>
      <c r="F63" s="43"/>
      <c r="G63" s="63"/>
      <c r="H63" s="58"/>
      <c r="I63" s="38"/>
      <c r="J63" s="38"/>
      <c r="K63" s="46"/>
      <c r="L63" s="47"/>
      <c r="M63" s="93"/>
      <c r="N63" s="93"/>
      <c r="O63" s="38"/>
      <c r="P63" s="38"/>
      <c r="Q63" s="14"/>
      <c r="R63" s="39"/>
      <c r="S63" s="39"/>
      <c r="T63" s="39"/>
      <c r="U63" s="40"/>
      <c r="V63" s="54"/>
      <c r="W63" s="55"/>
      <c r="X63" s="56"/>
      <c r="Y63" s="38"/>
      <c r="Z63" s="38"/>
      <c r="AA63" s="38"/>
      <c r="AB63" s="38"/>
    </row>
    <row r="64" spans="1:28">
      <c r="A64" s="42"/>
      <c r="B64" s="39"/>
      <c r="C64" s="40"/>
      <c r="D64" s="42"/>
      <c r="E64" s="38"/>
      <c r="F64" s="43"/>
      <c r="G64" s="63"/>
      <c r="H64" s="58"/>
      <c r="I64" s="38"/>
      <c r="J64" s="38"/>
      <c r="K64" s="46"/>
      <c r="L64" s="47"/>
      <c r="M64" s="93"/>
      <c r="N64" s="93"/>
      <c r="O64" s="38"/>
      <c r="P64" s="38"/>
      <c r="Q64" s="14"/>
      <c r="R64" s="39"/>
      <c r="S64" s="39"/>
      <c r="T64" s="39"/>
      <c r="U64" s="40"/>
      <c r="V64" s="54"/>
      <c r="W64" s="55"/>
      <c r="X64" s="56"/>
      <c r="Y64" s="38"/>
      <c r="Z64" s="38"/>
      <c r="AA64" s="38"/>
      <c r="AB64" s="38"/>
    </row>
    <row r="65" spans="1:28">
      <c r="A65" s="42"/>
      <c r="B65" s="39"/>
      <c r="C65" s="40"/>
      <c r="D65" s="42"/>
      <c r="E65" s="38"/>
      <c r="F65" s="43"/>
      <c r="G65" s="63"/>
      <c r="H65" s="58"/>
      <c r="I65" s="38"/>
      <c r="J65" s="38"/>
      <c r="K65" s="46"/>
      <c r="L65" s="47"/>
      <c r="M65" s="93"/>
      <c r="N65" s="93"/>
      <c r="O65" s="38"/>
      <c r="P65" s="38"/>
      <c r="Q65" s="14"/>
      <c r="R65" s="39"/>
      <c r="S65" s="39"/>
      <c r="T65" s="39"/>
      <c r="U65" s="40"/>
      <c r="V65" s="54"/>
      <c r="W65" s="55"/>
      <c r="X65" s="56"/>
      <c r="Y65" s="38"/>
      <c r="Z65" s="38"/>
      <c r="AA65" s="38"/>
      <c r="AB65" s="38"/>
    </row>
    <row r="66" spans="1:28">
      <c r="A66" s="42"/>
      <c r="B66" s="39"/>
      <c r="C66" s="40"/>
      <c r="D66" s="42"/>
      <c r="E66" s="38"/>
      <c r="F66" s="43"/>
      <c r="G66" s="63"/>
      <c r="H66" s="58"/>
      <c r="I66" s="38"/>
      <c r="J66" s="38"/>
      <c r="K66" s="46"/>
      <c r="L66" s="47"/>
      <c r="M66" s="93"/>
      <c r="N66" s="93"/>
      <c r="O66" s="38"/>
      <c r="P66" s="38"/>
      <c r="Q66" s="14"/>
      <c r="R66" s="39"/>
      <c r="S66" s="39"/>
      <c r="T66" s="39"/>
      <c r="U66" s="40"/>
      <c r="V66" s="54"/>
      <c r="W66" s="55"/>
      <c r="X66" s="56"/>
      <c r="Y66" s="38"/>
      <c r="Z66" s="38"/>
      <c r="AA66" s="38"/>
      <c r="AB66" s="38"/>
    </row>
    <row r="67" spans="1:28">
      <c r="A67" s="42"/>
      <c r="B67" s="39"/>
      <c r="C67" s="40"/>
      <c r="D67" s="42"/>
      <c r="E67" s="38"/>
      <c r="F67" s="43"/>
      <c r="G67" s="63"/>
      <c r="H67" s="58"/>
      <c r="I67" s="38"/>
      <c r="J67" s="38"/>
      <c r="K67" s="46"/>
      <c r="L67" s="47"/>
      <c r="M67" s="93"/>
      <c r="N67" s="93"/>
      <c r="O67" s="38"/>
      <c r="P67" s="38"/>
      <c r="Q67" s="14"/>
      <c r="R67" s="39"/>
      <c r="S67" s="39"/>
      <c r="T67" s="39"/>
      <c r="U67" s="40"/>
      <c r="V67" s="54"/>
      <c r="W67" s="55"/>
      <c r="X67" s="56"/>
      <c r="Y67" s="38"/>
      <c r="Z67" s="38"/>
      <c r="AA67" s="38"/>
      <c r="AB67" s="38"/>
    </row>
    <row r="68" spans="1:28">
      <c r="A68" s="42"/>
      <c r="B68" s="39"/>
      <c r="C68" s="40"/>
      <c r="D68" s="42"/>
      <c r="E68" s="38"/>
      <c r="F68" s="43"/>
      <c r="G68" s="63"/>
      <c r="H68" s="58"/>
      <c r="I68" s="38"/>
      <c r="J68" s="38"/>
      <c r="K68" s="46"/>
      <c r="L68" s="47"/>
      <c r="M68" s="93"/>
      <c r="N68" s="93"/>
      <c r="O68" s="38"/>
      <c r="P68" s="38"/>
      <c r="Q68" s="14"/>
      <c r="R68" s="39"/>
      <c r="S68" s="39"/>
      <c r="T68" s="39"/>
      <c r="U68" s="40"/>
      <c r="V68" s="54"/>
      <c r="W68" s="55"/>
      <c r="X68" s="56"/>
      <c r="Y68" s="38"/>
      <c r="Z68" s="38"/>
      <c r="AA68" s="38"/>
      <c r="AB68" s="38"/>
    </row>
    <row r="69" spans="1:28">
      <c r="A69" s="42"/>
      <c r="B69" s="39"/>
      <c r="C69" s="40"/>
      <c r="D69" s="42"/>
      <c r="E69" s="38"/>
      <c r="F69" s="43"/>
      <c r="G69" s="63"/>
      <c r="H69" s="58"/>
      <c r="I69" s="38"/>
      <c r="J69" s="38"/>
      <c r="K69" s="46"/>
      <c r="L69" s="47"/>
      <c r="M69" s="93"/>
      <c r="N69" s="93"/>
      <c r="O69" s="38"/>
      <c r="P69" s="38"/>
      <c r="Q69" s="14"/>
      <c r="R69" s="39"/>
      <c r="S69" s="39"/>
      <c r="T69" s="39"/>
      <c r="U69" s="40"/>
      <c r="V69" s="54"/>
      <c r="W69" s="55"/>
      <c r="X69" s="56"/>
      <c r="Y69" s="38"/>
      <c r="Z69" s="38"/>
      <c r="AA69" s="38"/>
      <c r="AB69" s="38"/>
    </row>
    <row r="70" spans="1:28">
      <c r="A70" s="42"/>
      <c r="B70" s="39"/>
      <c r="C70" s="40"/>
      <c r="D70" s="42"/>
      <c r="E70" s="38"/>
      <c r="F70" s="43"/>
      <c r="G70" s="63"/>
      <c r="H70" s="58"/>
      <c r="I70" s="38"/>
      <c r="J70" s="38"/>
      <c r="K70" s="46"/>
      <c r="L70" s="47"/>
      <c r="M70" s="93"/>
      <c r="N70" s="93"/>
      <c r="O70" s="38"/>
      <c r="P70" s="38"/>
      <c r="Q70" s="14"/>
      <c r="R70" s="39"/>
      <c r="S70" s="39"/>
      <c r="T70" s="39"/>
      <c r="U70" s="40"/>
      <c r="V70" s="54"/>
      <c r="W70" s="55"/>
      <c r="X70" s="56"/>
      <c r="Y70" s="38"/>
      <c r="Z70" s="38"/>
      <c r="AA70" s="38"/>
      <c r="AB70" s="38"/>
    </row>
    <row r="71" spans="1:28">
      <c r="A71" s="42"/>
      <c r="B71" s="39"/>
      <c r="C71" s="40"/>
      <c r="D71" s="42"/>
      <c r="E71" s="38"/>
      <c r="F71" s="43"/>
      <c r="G71" s="63"/>
      <c r="H71" s="58"/>
      <c r="I71" s="38"/>
      <c r="J71" s="38"/>
      <c r="K71" s="46"/>
      <c r="L71" s="47"/>
      <c r="M71" s="93"/>
      <c r="N71" s="93"/>
      <c r="O71" s="38"/>
      <c r="P71" s="38"/>
      <c r="Q71" s="14"/>
      <c r="R71" s="39"/>
      <c r="S71" s="39"/>
      <c r="T71" s="39"/>
      <c r="U71" s="40"/>
      <c r="V71" s="54"/>
      <c r="W71" s="55"/>
      <c r="X71" s="56"/>
      <c r="Y71" s="38"/>
      <c r="Z71" s="38"/>
      <c r="AA71" s="38"/>
      <c r="AB71" s="38"/>
    </row>
    <row r="72" spans="1:28">
      <c r="A72" s="42"/>
      <c r="B72" s="39"/>
      <c r="C72" s="40"/>
      <c r="D72" s="42"/>
      <c r="E72" s="38"/>
      <c r="F72" s="43"/>
      <c r="G72" s="63"/>
      <c r="H72" s="58"/>
      <c r="I72" s="38"/>
      <c r="J72" s="38"/>
      <c r="K72" s="46"/>
      <c r="L72" s="47"/>
      <c r="M72" s="93"/>
      <c r="N72" s="93"/>
      <c r="O72" s="38"/>
      <c r="P72" s="38"/>
      <c r="Q72" s="14"/>
      <c r="R72" s="39"/>
      <c r="S72" s="39"/>
      <c r="T72" s="39"/>
      <c r="U72" s="40"/>
      <c r="V72" s="54"/>
      <c r="W72" s="55"/>
      <c r="X72" s="56"/>
      <c r="Y72" s="38"/>
      <c r="Z72" s="38"/>
      <c r="AA72" s="38"/>
      <c r="AB72" s="38"/>
    </row>
    <row r="73" spans="1:28">
      <c r="A73" s="42"/>
      <c r="B73" s="39"/>
      <c r="C73" s="40"/>
      <c r="D73" s="42"/>
      <c r="E73" s="38"/>
      <c r="F73" s="43"/>
      <c r="G73" s="63"/>
      <c r="H73" s="58"/>
      <c r="I73" s="38"/>
      <c r="J73" s="38"/>
      <c r="K73" s="46"/>
      <c r="L73" s="47"/>
      <c r="M73" s="93"/>
      <c r="N73" s="93"/>
      <c r="O73" s="38"/>
      <c r="P73" s="38"/>
      <c r="Q73" s="14"/>
      <c r="R73" s="39"/>
      <c r="S73" s="39"/>
      <c r="T73" s="39"/>
      <c r="U73" s="40"/>
      <c r="V73" s="54"/>
      <c r="W73" s="55"/>
      <c r="X73" s="56"/>
      <c r="Y73" s="38"/>
      <c r="Z73" s="38"/>
      <c r="AA73" s="38"/>
      <c r="AB73" s="38"/>
    </row>
    <row r="74" spans="1:28">
      <c r="A74" s="42"/>
      <c r="B74" s="39"/>
      <c r="C74" s="40"/>
      <c r="D74" s="42"/>
      <c r="E74" s="38"/>
      <c r="F74" s="43"/>
      <c r="G74" s="63"/>
      <c r="H74" s="58"/>
      <c r="I74" s="38"/>
      <c r="J74" s="38"/>
      <c r="K74" s="46"/>
      <c r="L74" s="47"/>
      <c r="M74" s="93"/>
      <c r="N74" s="93"/>
      <c r="O74" s="38"/>
      <c r="P74" s="38"/>
      <c r="Q74" s="14"/>
      <c r="R74" s="39"/>
      <c r="S74" s="39"/>
      <c r="T74" s="39"/>
      <c r="U74" s="40"/>
      <c r="V74" s="54"/>
      <c r="W74" s="55"/>
      <c r="X74" s="56"/>
      <c r="Y74" s="38"/>
      <c r="Z74" s="38"/>
      <c r="AA74" s="38"/>
      <c r="AB74" s="38"/>
    </row>
    <row r="75" spans="1:28">
      <c r="A75" s="42"/>
      <c r="B75" s="39"/>
      <c r="C75" s="40"/>
      <c r="D75" s="42"/>
      <c r="E75" s="38"/>
      <c r="F75" s="43"/>
      <c r="G75" s="63"/>
      <c r="H75" s="58"/>
      <c r="I75" s="38"/>
      <c r="J75" s="38"/>
      <c r="K75" s="46"/>
      <c r="L75" s="47"/>
      <c r="M75" s="93"/>
      <c r="N75" s="93"/>
      <c r="O75" s="38"/>
      <c r="P75" s="38"/>
      <c r="Q75" s="14"/>
      <c r="R75" s="39"/>
      <c r="S75" s="39"/>
      <c r="T75" s="39"/>
      <c r="U75" s="40"/>
      <c r="V75" s="54"/>
      <c r="W75" s="55"/>
      <c r="X75" s="56"/>
      <c r="Y75" s="38"/>
      <c r="Z75" s="38"/>
      <c r="AA75" s="38"/>
      <c r="AB75" s="38"/>
    </row>
    <row r="76" spans="1:28">
      <c r="A76" s="42"/>
      <c r="B76" s="39"/>
      <c r="C76" s="40"/>
      <c r="D76" s="42"/>
      <c r="E76" s="38"/>
      <c r="F76" s="43"/>
      <c r="G76" s="63"/>
      <c r="H76" s="58"/>
      <c r="I76" s="38"/>
      <c r="J76" s="38"/>
      <c r="K76" s="46"/>
      <c r="L76" s="47"/>
      <c r="M76" s="93"/>
      <c r="N76" s="93"/>
      <c r="O76" s="38"/>
      <c r="P76" s="38"/>
      <c r="Q76" s="14"/>
      <c r="R76" s="39"/>
      <c r="S76" s="39"/>
      <c r="T76" s="39"/>
      <c r="U76" s="40"/>
      <c r="V76" s="54"/>
      <c r="W76" s="55"/>
      <c r="X76" s="56"/>
      <c r="Y76" s="38"/>
      <c r="Z76" s="38"/>
      <c r="AA76" s="38"/>
      <c r="AB76" s="38"/>
    </row>
    <row r="77" spans="1:28">
      <c r="A77" s="42"/>
      <c r="B77" s="39"/>
      <c r="C77" s="40"/>
      <c r="D77" s="42"/>
      <c r="E77" s="38"/>
      <c r="F77" s="43"/>
      <c r="G77" s="63"/>
      <c r="H77" s="58"/>
      <c r="I77" s="38"/>
      <c r="J77" s="38"/>
      <c r="K77" s="46"/>
      <c r="L77" s="47"/>
      <c r="M77" s="93"/>
      <c r="N77" s="93"/>
      <c r="O77" s="38"/>
      <c r="P77" s="38"/>
      <c r="Q77" s="14"/>
      <c r="R77" s="39"/>
      <c r="S77" s="39"/>
      <c r="T77" s="39"/>
      <c r="U77" s="40"/>
      <c r="V77" s="54"/>
      <c r="W77" s="55"/>
      <c r="X77" s="56"/>
      <c r="Y77" s="38"/>
      <c r="Z77" s="38"/>
      <c r="AA77" s="38"/>
      <c r="AB77" s="38"/>
    </row>
    <row r="78" spans="1:28">
      <c r="A78" s="42"/>
      <c r="B78" s="39"/>
      <c r="C78" s="40"/>
      <c r="D78" s="42"/>
      <c r="E78" s="38"/>
      <c r="F78" s="43"/>
      <c r="G78" s="63"/>
      <c r="H78" s="58"/>
      <c r="I78" s="38"/>
      <c r="J78" s="38"/>
      <c r="K78" s="46"/>
      <c r="L78" s="47"/>
      <c r="M78" s="93"/>
      <c r="N78" s="93"/>
      <c r="O78" s="38"/>
      <c r="P78" s="38"/>
      <c r="Q78" s="14"/>
      <c r="R78" s="39"/>
      <c r="S78" s="39"/>
      <c r="T78" s="39"/>
      <c r="U78" s="40"/>
      <c r="V78" s="54"/>
      <c r="W78" s="55"/>
      <c r="X78" s="56"/>
      <c r="Y78" s="38"/>
      <c r="Z78" s="38"/>
      <c r="AA78" s="38"/>
      <c r="AB78" s="38"/>
    </row>
    <row r="79" spans="1:28">
      <c r="A79" s="42"/>
      <c r="B79" s="39"/>
      <c r="C79" s="40"/>
      <c r="D79" s="42"/>
      <c r="E79" s="38"/>
      <c r="F79" s="43"/>
      <c r="G79" s="63"/>
      <c r="H79" s="58"/>
      <c r="I79" s="38"/>
      <c r="J79" s="38"/>
      <c r="K79" s="46"/>
      <c r="L79" s="47"/>
      <c r="M79" s="93"/>
      <c r="N79" s="93"/>
      <c r="O79" s="38"/>
      <c r="P79" s="38"/>
      <c r="Q79" s="14"/>
      <c r="R79" s="39"/>
      <c r="S79" s="39"/>
      <c r="T79" s="39"/>
      <c r="U79" s="40"/>
      <c r="V79" s="54"/>
      <c r="W79" s="55"/>
      <c r="X79" s="56"/>
      <c r="Y79" s="38"/>
      <c r="Z79" s="38"/>
      <c r="AA79" s="38"/>
      <c r="AB79" s="38"/>
    </row>
    <row r="80" spans="1:28">
      <c r="A80" s="42"/>
      <c r="B80" s="39"/>
      <c r="C80" s="40"/>
      <c r="D80" s="42"/>
      <c r="E80" s="38"/>
      <c r="F80" s="43"/>
      <c r="G80" s="63"/>
      <c r="H80" s="58"/>
      <c r="I80" s="38"/>
      <c r="J80" s="38"/>
      <c r="K80" s="46"/>
      <c r="L80" s="47"/>
      <c r="M80" s="93"/>
      <c r="N80" s="93"/>
      <c r="O80" s="38"/>
      <c r="P80" s="38"/>
      <c r="Q80" s="14"/>
      <c r="R80" s="39"/>
      <c r="S80" s="39"/>
      <c r="T80" s="39"/>
      <c r="U80" s="40"/>
      <c r="V80" s="54"/>
      <c r="W80" s="55"/>
      <c r="X80" s="56"/>
      <c r="Y80" s="38"/>
      <c r="Z80" s="38"/>
      <c r="AA80" s="38"/>
      <c r="AB80" s="38"/>
    </row>
    <row r="81" spans="1:28">
      <c r="A81" s="42"/>
      <c r="B81" s="39"/>
      <c r="C81" s="40"/>
      <c r="D81" s="42"/>
      <c r="E81" s="38"/>
      <c r="F81" s="43"/>
      <c r="G81" s="63"/>
      <c r="H81" s="58"/>
      <c r="I81" s="38"/>
      <c r="J81" s="38"/>
      <c r="K81" s="46"/>
      <c r="L81" s="47"/>
      <c r="M81" s="93"/>
      <c r="N81" s="93"/>
      <c r="O81" s="38"/>
      <c r="P81" s="38"/>
      <c r="Q81" s="14"/>
      <c r="R81" s="39"/>
      <c r="S81" s="39"/>
      <c r="T81" s="39"/>
      <c r="U81" s="40"/>
      <c r="V81" s="54"/>
      <c r="W81" s="55"/>
      <c r="X81" s="56"/>
      <c r="Y81" s="38"/>
      <c r="Z81" s="38"/>
      <c r="AA81" s="38"/>
      <c r="AB81" s="38"/>
    </row>
    <row r="82" spans="1:28">
      <c r="A82" s="42"/>
      <c r="B82" s="39"/>
      <c r="C82" s="40"/>
      <c r="D82" s="42"/>
      <c r="E82" s="38"/>
      <c r="F82" s="43"/>
      <c r="G82" s="63"/>
      <c r="H82" s="58"/>
      <c r="I82" s="38"/>
      <c r="J82" s="38"/>
      <c r="K82" s="46"/>
      <c r="L82" s="47"/>
      <c r="M82" s="93"/>
      <c r="N82" s="93"/>
      <c r="O82" s="38"/>
      <c r="P82" s="38"/>
      <c r="Q82" s="14"/>
      <c r="R82" s="39"/>
      <c r="S82" s="39"/>
      <c r="T82" s="39"/>
      <c r="U82" s="40"/>
      <c r="V82" s="54"/>
      <c r="W82" s="55"/>
      <c r="X82" s="56"/>
      <c r="Y82" s="38"/>
      <c r="Z82" s="38"/>
      <c r="AA82" s="38"/>
      <c r="AB82" s="38"/>
    </row>
    <row r="83" spans="1:28">
      <c r="A83" s="42"/>
      <c r="B83" s="39"/>
      <c r="C83" s="40"/>
      <c r="D83" s="42"/>
      <c r="E83" s="38"/>
      <c r="F83" s="43"/>
      <c r="G83" s="63"/>
      <c r="H83" s="58"/>
      <c r="I83" s="38"/>
      <c r="J83" s="38"/>
      <c r="K83" s="46"/>
      <c r="L83" s="47"/>
      <c r="M83" s="93"/>
      <c r="N83" s="93"/>
      <c r="O83" s="38"/>
      <c r="P83" s="38"/>
      <c r="Q83" s="14"/>
      <c r="R83" s="39"/>
      <c r="S83" s="39"/>
      <c r="T83" s="39"/>
      <c r="U83" s="40"/>
      <c r="V83" s="54"/>
      <c r="W83" s="55"/>
      <c r="X83" s="56"/>
      <c r="Y83" s="38"/>
      <c r="Z83" s="38"/>
      <c r="AA83" s="38"/>
      <c r="AB83" s="38"/>
    </row>
    <row r="84" spans="1:28">
      <c r="A84" s="42"/>
      <c r="B84" s="39"/>
      <c r="C84" s="40"/>
      <c r="D84" s="42"/>
      <c r="E84" s="38"/>
      <c r="F84" s="43"/>
      <c r="G84" s="63"/>
      <c r="H84" s="58"/>
      <c r="I84" s="38"/>
      <c r="J84" s="38"/>
      <c r="K84" s="46"/>
      <c r="L84" s="47"/>
      <c r="M84" s="93"/>
      <c r="N84" s="93"/>
      <c r="O84" s="38"/>
      <c r="P84" s="38"/>
      <c r="Q84" s="14"/>
      <c r="R84" s="39"/>
      <c r="S84" s="39"/>
      <c r="T84" s="39"/>
      <c r="U84" s="40"/>
      <c r="V84" s="54"/>
      <c r="W84" s="55"/>
      <c r="X84" s="56"/>
      <c r="Y84" s="38"/>
      <c r="Z84" s="38"/>
      <c r="AA84" s="38"/>
      <c r="AB84" s="38"/>
    </row>
    <row r="85" spans="1:28">
      <c r="A85" s="42"/>
      <c r="B85" s="39"/>
      <c r="C85" s="40"/>
      <c r="D85" s="42"/>
      <c r="E85" s="38"/>
      <c r="F85" s="43"/>
      <c r="G85" s="63"/>
      <c r="H85" s="58"/>
      <c r="I85" s="38"/>
      <c r="J85" s="38"/>
      <c r="K85" s="46"/>
      <c r="L85" s="47"/>
      <c r="M85" s="93"/>
      <c r="N85" s="93"/>
      <c r="O85" s="38"/>
      <c r="P85" s="38"/>
      <c r="Q85" s="14"/>
      <c r="R85" s="39"/>
      <c r="S85" s="39"/>
      <c r="T85" s="39"/>
      <c r="U85" s="40"/>
      <c r="V85" s="54"/>
      <c r="W85" s="55"/>
      <c r="X85" s="56"/>
      <c r="Y85" s="38"/>
      <c r="Z85" s="38"/>
      <c r="AA85" s="38"/>
      <c r="AB85" s="38"/>
    </row>
    <row r="86" spans="1:28">
      <c r="A86" s="42"/>
      <c r="B86" s="39"/>
      <c r="C86" s="40"/>
      <c r="D86" s="42"/>
      <c r="E86" s="38"/>
      <c r="F86" s="43"/>
      <c r="G86" s="63"/>
      <c r="H86" s="58"/>
      <c r="I86" s="38"/>
      <c r="J86" s="38"/>
      <c r="K86" s="46"/>
      <c r="L86" s="47"/>
      <c r="M86" s="93"/>
      <c r="N86" s="93"/>
      <c r="O86" s="38"/>
      <c r="P86" s="38"/>
      <c r="Q86" s="14"/>
      <c r="R86" s="39"/>
      <c r="S86" s="39"/>
      <c r="T86" s="39"/>
      <c r="U86" s="40"/>
      <c r="V86" s="54"/>
      <c r="W86" s="55"/>
      <c r="X86" s="56"/>
      <c r="Y86" s="38"/>
      <c r="Z86" s="38"/>
      <c r="AA86" s="38"/>
      <c r="AB86" s="38"/>
    </row>
    <row r="87" spans="1:28">
      <c r="A87" s="42"/>
      <c r="B87" s="39"/>
      <c r="C87" s="40"/>
      <c r="D87" s="42"/>
      <c r="E87" s="38"/>
      <c r="F87" s="43"/>
      <c r="G87" s="63"/>
      <c r="H87" s="58"/>
      <c r="I87" s="38"/>
      <c r="J87" s="38"/>
      <c r="K87" s="46"/>
      <c r="L87" s="47"/>
      <c r="M87" s="93"/>
      <c r="N87" s="93"/>
      <c r="O87" s="38"/>
      <c r="P87" s="38"/>
      <c r="Q87" s="14"/>
      <c r="R87" s="39"/>
      <c r="S87" s="39"/>
      <c r="T87" s="39"/>
      <c r="U87" s="40"/>
      <c r="V87" s="54"/>
      <c r="W87" s="55"/>
      <c r="X87" s="56"/>
      <c r="Y87" s="38"/>
      <c r="Z87" s="38"/>
      <c r="AA87" s="38"/>
      <c r="AB87" s="38"/>
    </row>
    <row r="88" spans="1:28">
      <c r="A88" s="42"/>
      <c r="B88" s="39"/>
      <c r="C88" s="40"/>
      <c r="D88" s="42"/>
      <c r="E88" s="38"/>
      <c r="F88" s="43"/>
      <c r="G88" s="63"/>
      <c r="H88" s="58"/>
      <c r="I88" s="38"/>
      <c r="J88" s="38"/>
      <c r="K88" s="46"/>
      <c r="L88" s="47"/>
      <c r="M88" s="93"/>
      <c r="N88" s="93"/>
      <c r="O88" s="38"/>
      <c r="P88" s="38"/>
      <c r="Q88" s="14"/>
      <c r="R88" s="39"/>
      <c r="S88" s="39"/>
      <c r="T88" s="39"/>
      <c r="U88" s="40"/>
      <c r="V88" s="54"/>
      <c r="W88" s="55"/>
      <c r="X88" s="56"/>
      <c r="Y88" s="38"/>
      <c r="Z88" s="38"/>
      <c r="AA88" s="38"/>
      <c r="AB88" s="38"/>
    </row>
    <row r="89" spans="1:28">
      <c r="A89" s="42"/>
      <c r="B89" s="39"/>
      <c r="C89" s="40"/>
      <c r="D89" s="42"/>
      <c r="E89" s="38"/>
      <c r="F89" s="43"/>
      <c r="G89" s="63"/>
      <c r="H89" s="58"/>
      <c r="I89" s="38"/>
      <c r="J89" s="38"/>
      <c r="K89" s="46"/>
      <c r="L89" s="47"/>
      <c r="M89" s="93"/>
      <c r="N89" s="93"/>
      <c r="O89" s="38"/>
      <c r="P89" s="38"/>
      <c r="Q89" s="14"/>
      <c r="R89" s="39"/>
      <c r="S89" s="39"/>
      <c r="T89" s="39"/>
      <c r="U89" s="40"/>
      <c r="V89" s="54"/>
      <c r="W89" s="55"/>
      <c r="X89" s="56"/>
      <c r="Y89" s="38"/>
      <c r="Z89" s="38"/>
      <c r="AA89" s="38"/>
      <c r="AB89" s="38"/>
    </row>
    <row r="90" spans="1:28">
      <c r="A90" s="42"/>
      <c r="B90" s="39"/>
      <c r="C90" s="40"/>
      <c r="D90" s="42"/>
      <c r="E90" s="38"/>
      <c r="F90" s="43"/>
      <c r="G90" s="63"/>
      <c r="H90" s="58"/>
      <c r="I90" s="38"/>
      <c r="J90" s="38"/>
      <c r="K90" s="46"/>
      <c r="L90" s="47"/>
      <c r="M90" s="93"/>
      <c r="N90" s="93"/>
      <c r="O90" s="38"/>
      <c r="P90" s="38"/>
      <c r="Q90" s="14"/>
      <c r="R90" s="39"/>
      <c r="S90" s="39"/>
      <c r="T90" s="39"/>
      <c r="U90" s="40"/>
      <c r="V90" s="54"/>
      <c r="W90" s="55"/>
      <c r="X90" s="56"/>
      <c r="Y90" s="38"/>
      <c r="Z90" s="38"/>
      <c r="AA90" s="38"/>
      <c r="AB90" s="38"/>
    </row>
    <row r="91" spans="1:28">
      <c r="A91" s="42"/>
      <c r="B91" s="39"/>
      <c r="C91" s="40"/>
      <c r="D91" s="42"/>
      <c r="E91" s="38"/>
      <c r="F91" s="43"/>
      <c r="G91" s="63"/>
      <c r="H91" s="58"/>
      <c r="I91" s="38"/>
      <c r="J91" s="38"/>
      <c r="K91" s="46"/>
      <c r="L91" s="47"/>
      <c r="M91" s="93"/>
      <c r="N91" s="93"/>
      <c r="O91" s="38"/>
      <c r="P91" s="38"/>
      <c r="Q91" s="14"/>
      <c r="R91" s="39"/>
      <c r="S91" s="39"/>
      <c r="T91" s="39"/>
      <c r="U91" s="40"/>
      <c r="V91" s="54"/>
      <c r="W91" s="55"/>
      <c r="X91" s="56"/>
      <c r="Y91" s="38"/>
      <c r="Z91" s="38"/>
      <c r="AA91" s="38"/>
      <c r="AB91" s="38"/>
    </row>
    <row r="92" spans="1:28">
      <c r="A92" s="42"/>
      <c r="B92" s="39"/>
      <c r="C92" s="40"/>
      <c r="D92" s="42"/>
      <c r="E92" s="38"/>
      <c r="F92" s="43"/>
      <c r="G92" s="63"/>
      <c r="H92" s="58"/>
      <c r="I92" s="38"/>
      <c r="J92" s="38"/>
      <c r="K92" s="46"/>
      <c r="L92" s="47"/>
      <c r="M92" s="93"/>
      <c r="N92" s="93"/>
      <c r="O92" s="38"/>
      <c r="P92" s="38"/>
      <c r="Q92" s="14"/>
      <c r="R92" s="39"/>
      <c r="S92" s="39"/>
      <c r="T92" s="39"/>
      <c r="U92" s="40"/>
      <c r="V92" s="54"/>
      <c r="W92" s="55"/>
      <c r="X92" s="56"/>
      <c r="Y92" s="38"/>
      <c r="Z92" s="38"/>
      <c r="AA92" s="38"/>
      <c r="AB92" s="38"/>
    </row>
    <row r="93" spans="1:28">
      <c r="A93" s="42"/>
      <c r="B93" s="39"/>
      <c r="C93" s="40"/>
      <c r="D93" s="42"/>
      <c r="E93" s="38"/>
      <c r="F93" s="43"/>
      <c r="G93" s="63"/>
      <c r="H93" s="58"/>
      <c r="I93" s="38"/>
      <c r="J93" s="38"/>
      <c r="K93" s="46"/>
      <c r="L93" s="47"/>
      <c r="M93" s="93"/>
      <c r="N93" s="93"/>
      <c r="O93" s="38"/>
      <c r="P93" s="38"/>
      <c r="Q93" s="14"/>
      <c r="R93" s="39"/>
      <c r="S93" s="39"/>
      <c r="T93" s="39"/>
      <c r="U93" s="40"/>
      <c r="V93" s="54"/>
      <c r="W93" s="55"/>
      <c r="X93" s="56"/>
      <c r="Y93" s="38"/>
      <c r="Z93" s="38"/>
      <c r="AA93" s="38"/>
      <c r="AB93" s="38"/>
    </row>
    <row r="94" spans="1:28">
      <c r="A94" s="42"/>
      <c r="B94" s="39"/>
      <c r="C94" s="40"/>
      <c r="D94" s="42"/>
      <c r="E94" s="38"/>
      <c r="F94" s="43"/>
      <c r="G94" s="63"/>
      <c r="H94" s="58"/>
      <c r="I94" s="38"/>
      <c r="J94" s="38"/>
      <c r="K94" s="46"/>
      <c r="L94" s="47"/>
      <c r="M94" s="93"/>
      <c r="N94" s="93"/>
      <c r="O94" s="38"/>
      <c r="P94" s="38"/>
      <c r="Q94" s="14"/>
      <c r="R94" s="39"/>
      <c r="S94" s="39"/>
      <c r="T94" s="39"/>
      <c r="U94" s="40"/>
      <c r="V94" s="54"/>
      <c r="W94" s="55"/>
      <c r="X94" s="56"/>
      <c r="Y94" s="38"/>
      <c r="Z94" s="38"/>
      <c r="AA94" s="38"/>
      <c r="AB94" s="38"/>
    </row>
    <row r="95" spans="1:28">
      <c r="A95" s="42"/>
      <c r="B95" s="39"/>
      <c r="C95" s="40"/>
      <c r="D95" s="42"/>
      <c r="E95" s="38"/>
      <c r="F95" s="43"/>
      <c r="G95" s="63"/>
      <c r="H95" s="58"/>
      <c r="I95" s="38"/>
      <c r="J95" s="38"/>
      <c r="K95" s="46"/>
      <c r="L95" s="47"/>
      <c r="M95" s="93"/>
      <c r="N95" s="93"/>
      <c r="O95" s="38"/>
      <c r="P95" s="38"/>
      <c r="Q95" s="14"/>
      <c r="R95" s="39"/>
      <c r="S95" s="39"/>
      <c r="T95" s="39"/>
      <c r="U95" s="40"/>
      <c r="V95" s="54"/>
      <c r="W95" s="55"/>
      <c r="X95" s="56"/>
      <c r="Y95" s="38"/>
      <c r="Z95" s="38"/>
      <c r="AA95" s="38"/>
      <c r="AB95" s="38"/>
    </row>
    <row r="96" spans="1:28">
      <c r="A96" s="42"/>
      <c r="B96" s="39"/>
      <c r="C96" s="40"/>
      <c r="D96" s="42"/>
      <c r="E96" s="38"/>
      <c r="F96" s="43"/>
      <c r="G96" s="63"/>
      <c r="H96" s="58"/>
      <c r="I96" s="38"/>
      <c r="J96" s="38"/>
      <c r="K96" s="46"/>
      <c r="L96" s="47"/>
      <c r="M96" s="93"/>
      <c r="N96" s="93"/>
      <c r="O96" s="38"/>
      <c r="P96" s="38"/>
      <c r="Q96" s="14"/>
      <c r="R96" s="39"/>
      <c r="S96" s="39"/>
      <c r="T96" s="39"/>
      <c r="U96" s="40"/>
      <c r="V96" s="54"/>
      <c r="W96" s="55"/>
      <c r="X96" s="56"/>
      <c r="Y96" s="38"/>
      <c r="Z96" s="38"/>
      <c r="AA96" s="38"/>
      <c r="AB96" s="38"/>
    </row>
    <row r="97" spans="1:28">
      <c r="A97" s="42"/>
      <c r="B97" s="39"/>
      <c r="C97" s="40"/>
      <c r="D97" s="42"/>
      <c r="E97" s="38"/>
      <c r="F97" s="43"/>
      <c r="G97" s="63"/>
      <c r="H97" s="58"/>
      <c r="I97" s="38"/>
      <c r="J97" s="38"/>
      <c r="K97" s="46"/>
      <c r="L97" s="47"/>
      <c r="M97" s="93"/>
      <c r="N97" s="93"/>
      <c r="O97" s="38"/>
      <c r="P97" s="38"/>
      <c r="Q97" s="14"/>
      <c r="R97" s="39"/>
      <c r="S97" s="39"/>
      <c r="T97" s="39"/>
      <c r="U97" s="40"/>
      <c r="V97" s="54"/>
      <c r="W97" s="55"/>
      <c r="X97" s="56"/>
      <c r="Y97" s="38"/>
      <c r="Z97" s="38"/>
      <c r="AA97" s="38"/>
      <c r="AB97" s="38"/>
    </row>
    <row r="98" spans="1:28">
      <c r="A98" s="42"/>
      <c r="B98" s="39"/>
      <c r="C98" s="40"/>
      <c r="D98" s="42"/>
      <c r="E98" s="38"/>
      <c r="F98" s="43"/>
      <c r="G98" s="63"/>
      <c r="H98" s="58"/>
      <c r="I98" s="38"/>
      <c r="J98" s="38"/>
      <c r="K98" s="46"/>
      <c r="L98" s="47"/>
      <c r="M98" s="93"/>
      <c r="N98" s="93"/>
      <c r="O98" s="38"/>
      <c r="P98" s="38"/>
      <c r="Q98" s="14"/>
      <c r="R98" s="39"/>
      <c r="S98" s="39"/>
      <c r="T98" s="39"/>
      <c r="U98" s="40"/>
      <c r="V98" s="54"/>
      <c r="W98" s="55"/>
      <c r="X98" s="56"/>
      <c r="Y98" s="38"/>
      <c r="Z98" s="38"/>
      <c r="AA98" s="38"/>
      <c r="AB98" s="38"/>
    </row>
    <row r="99" spans="1:28">
      <c r="A99" s="42"/>
      <c r="B99" s="39"/>
      <c r="C99" s="40"/>
      <c r="D99" s="42"/>
      <c r="E99" s="38"/>
      <c r="F99" s="43"/>
      <c r="G99" s="63"/>
      <c r="H99" s="58"/>
      <c r="I99" s="38"/>
      <c r="J99" s="38"/>
      <c r="K99" s="46"/>
      <c r="L99" s="47"/>
      <c r="M99" s="93"/>
      <c r="N99" s="93"/>
      <c r="O99" s="38"/>
      <c r="P99" s="38"/>
      <c r="Q99" s="14"/>
      <c r="R99" s="39"/>
      <c r="S99" s="39"/>
      <c r="T99" s="39"/>
      <c r="U99" s="40"/>
      <c r="V99" s="54"/>
      <c r="W99" s="55"/>
      <c r="X99" s="56"/>
      <c r="Y99" s="38"/>
      <c r="Z99" s="38"/>
      <c r="AA99" s="38"/>
      <c r="AB99" s="38"/>
    </row>
    <row r="100" spans="1:28">
      <c r="A100" s="42"/>
      <c r="B100" s="39"/>
      <c r="C100" s="40"/>
      <c r="D100" s="42"/>
      <c r="E100" s="38"/>
      <c r="F100" s="43"/>
      <c r="G100" s="63"/>
      <c r="H100" s="58"/>
      <c r="I100" s="38"/>
      <c r="J100" s="38"/>
      <c r="K100" s="46"/>
      <c r="L100" s="47"/>
      <c r="M100" s="93"/>
      <c r="N100" s="93"/>
      <c r="O100" s="38"/>
      <c r="P100" s="38"/>
      <c r="Q100" s="14"/>
      <c r="R100" s="39"/>
      <c r="S100" s="39"/>
      <c r="T100" s="39"/>
      <c r="U100" s="40"/>
      <c r="V100" s="54"/>
      <c r="W100" s="55"/>
      <c r="X100" s="56"/>
      <c r="Y100" s="38"/>
      <c r="Z100" s="38"/>
      <c r="AA100" s="38"/>
      <c r="AB100" s="38"/>
    </row>
    <row r="101" spans="1:28">
      <c r="A101" s="42"/>
      <c r="B101" s="39"/>
      <c r="C101" s="40"/>
      <c r="D101" s="42"/>
      <c r="E101" s="38"/>
      <c r="F101" s="43"/>
      <c r="G101" s="63"/>
      <c r="H101" s="58"/>
      <c r="I101" s="38"/>
      <c r="J101" s="38"/>
      <c r="K101" s="46"/>
      <c r="L101" s="47"/>
      <c r="M101" s="93"/>
      <c r="N101" s="93"/>
      <c r="O101" s="38"/>
      <c r="P101" s="38"/>
      <c r="Q101" s="14"/>
      <c r="R101" s="39"/>
      <c r="S101" s="39"/>
      <c r="T101" s="39"/>
      <c r="U101" s="40"/>
      <c r="V101" s="54"/>
      <c r="W101" s="55"/>
      <c r="X101" s="56"/>
      <c r="Y101" s="38"/>
      <c r="Z101" s="38"/>
      <c r="AA101" s="38"/>
      <c r="AB101" s="38"/>
    </row>
    <row r="102" spans="1:28">
      <c r="A102" s="42"/>
      <c r="B102" s="39"/>
      <c r="C102" s="40"/>
      <c r="D102" s="42"/>
      <c r="E102" s="38"/>
      <c r="F102" s="43"/>
      <c r="G102" s="63"/>
      <c r="H102" s="58"/>
      <c r="I102" s="38"/>
      <c r="J102" s="38"/>
      <c r="K102" s="46"/>
      <c r="L102" s="47"/>
      <c r="M102" s="93"/>
      <c r="N102" s="93"/>
      <c r="O102" s="38"/>
      <c r="P102" s="38"/>
      <c r="Q102" s="14"/>
      <c r="R102" s="39"/>
      <c r="S102" s="39"/>
      <c r="T102" s="39"/>
      <c r="U102" s="40"/>
      <c r="V102" s="54"/>
      <c r="W102" s="55"/>
      <c r="X102" s="56"/>
      <c r="Y102" s="38"/>
      <c r="Z102" s="38"/>
      <c r="AA102" s="38"/>
      <c r="AB102" s="38"/>
    </row>
    <row r="103" spans="1:28">
      <c r="A103" s="42"/>
      <c r="B103" s="39"/>
      <c r="C103" s="40"/>
      <c r="D103" s="42"/>
      <c r="E103" s="38"/>
      <c r="F103" s="43"/>
      <c r="G103" s="63"/>
      <c r="H103" s="58"/>
      <c r="I103" s="38"/>
      <c r="J103" s="38"/>
      <c r="K103" s="46"/>
      <c r="L103" s="47"/>
      <c r="M103" s="93"/>
      <c r="N103" s="93"/>
      <c r="O103" s="38"/>
      <c r="P103" s="38"/>
      <c r="Q103" s="14"/>
      <c r="R103" s="39"/>
      <c r="S103" s="39"/>
      <c r="T103" s="39"/>
      <c r="U103" s="40"/>
      <c r="V103" s="54"/>
      <c r="W103" s="55"/>
      <c r="X103" s="56"/>
      <c r="Y103" s="38"/>
      <c r="Z103" s="38"/>
      <c r="AA103" s="38"/>
      <c r="AB103" s="38"/>
    </row>
    <row r="104" spans="1:28">
      <c r="A104" s="42"/>
      <c r="B104" s="39"/>
      <c r="C104" s="40"/>
      <c r="D104" s="42"/>
      <c r="E104" s="38"/>
      <c r="F104" s="43"/>
      <c r="G104" s="63"/>
      <c r="H104" s="58"/>
      <c r="I104" s="38"/>
      <c r="J104" s="38"/>
      <c r="K104" s="46"/>
      <c r="L104" s="47"/>
      <c r="M104" s="93"/>
      <c r="N104" s="93"/>
      <c r="O104" s="38"/>
      <c r="P104" s="38"/>
      <c r="Q104" s="14"/>
      <c r="R104" s="39"/>
      <c r="S104" s="39"/>
      <c r="T104" s="39"/>
      <c r="U104" s="40"/>
      <c r="V104" s="54"/>
      <c r="W104" s="55"/>
      <c r="X104" s="56"/>
      <c r="Y104" s="38"/>
      <c r="Z104" s="38"/>
      <c r="AA104" s="38"/>
      <c r="AB104" s="38"/>
    </row>
    <row r="105" spans="1:28">
      <c r="A105" s="42"/>
      <c r="B105" s="39"/>
      <c r="C105" s="40"/>
      <c r="D105" s="42"/>
      <c r="E105" s="38"/>
      <c r="F105" s="43"/>
      <c r="G105" s="63"/>
      <c r="H105" s="58"/>
      <c r="I105" s="38"/>
      <c r="J105" s="38"/>
      <c r="K105" s="46"/>
      <c r="L105" s="47"/>
      <c r="M105" s="93"/>
      <c r="N105" s="93"/>
      <c r="O105" s="38"/>
      <c r="P105" s="38"/>
      <c r="Q105" s="14"/>
      <c r="R105" s="39"/>
      <c r="S105" s="39"/>
      <c r="T105" s="39"/>
      <c r="U105" s="40"/>
      <c r="V105" s="54"/>
      <c r="W105" s="55"/>
      <c r="X105" s="56"/>
      <c r="Y105" s="38"/>
      <c r="Z105" s="38"/>
      <c r="AA105" s="38"/>
      <c r="AB105" s="38"/>
    </row>
    <row r="106" spans="1:28">
      <c r="A106" s="42"/>
      <c r="B106" s="39"/>
      <c r="C106" s="40"/>
      <c r="D106" s="42"/>
      <c r="E106" s="38"/>
      <c r="F106" s="43"/>
      <c r="G106" s="63"/>
      <c r="H106" s="58"/>
      <c r="I106" s="38"/>
      <c r="J106" s="38"/>
      <c r="K106" s="46"/>
      <c r="L106" s="47"/>
      <c r="M106" s="93"/>
      <c r="N106" s="93"/>
      <c r="O106" s="38"/>
      <c r="P106" s="38"/>
      <c r="Q106" s="14"/>
      <c r="R106" s="39"/>
      <c r="S106" s="39"/>
      <c r="T106" s="39"/>
      <c r="U106" s="40"/>
      <c r="V106" s="54"/>
      <c r="W106" s="55"/>
      <c r="X106" s="56"/>
      <c r="Y106" s="38"/>
      <c r="Z106" s="38"/>
      <c r="AA106" s="38"/>
      <c r="AB106" s="38"/>
    </row>
    <row r="107" spans="1:28">
      <c r="A107" s="42"/>
      <c r="B107" s="39"/>
      <c r="C107" s="40"/>
      <c r="D107" s="42"/>
      <c r="E107" s="38"/>
      <c r="F107" s="43"/>
      <c r="G107" s="63"/>
      <c r="H107" s="58"/>
      <c r="I107" s="38"/>
      <c r="J107" s="38"/>
      <c r="K107" s="46"/>
      <c r="L107" s="47"/>
      <c r="M107" s="93"/>
      <c r="N107" s="93"/>
      <c r="O107" s="38"/>
      <c r="P107" s="38"/>
      <c r="Q107" s="14"/>
      <c r="R107" s="39"/>
      <c r="S107" s="39"/>
      <c r="T107" s="39"/>
      <c r="U107" s="40"/>
      <c r="V107" s="54"/>
      <c r="W107" s="55"/>
      <c r="X107" s="56"/>
      <c r="Y107" s="38"/>
      <c r="Z107" s="38"/>
      <c r="AA107" s="38"/>
      <c r="AB107" s="38"/>
    </row>
    <row r="108" spans="1:28">
      <c r="A108" s="42"/>
      <c r="B108" s="39"/>
      <c r="C108" s="40"/>
      <c r="D108" s="42"/>
      <c r="E108" s="38"/>
      <c r="F108" s="43"/>
      <c r="G108" s="63"/>
      <c r="H108" s="58"/>
      <c r="I108" s="38"/>
      <c r="J108" s="38"/>
      <c r="K108" s="46"/>
      <c r="L108" s="47"/>
      <c r="M108" s="93"/>
      <c r="N108" s="93"/>
      <c r="O108" s="38"/>
      <c r="P108" s="38"/>
      <c r="Q108" s="14"/>
      <c r="R108" s="39"/>
      <c r="S108" s="39"/>
      <c r="T108" s="39"/>
      <c r="U108" s="40"/>
      <c r="V108" s="54"/>
      <c r="W108" s="55"/>
      <c r="X108" s="56"/>
      <c r="Y108" s="38"/>
      <c r="Z108" s="38"/>
      <c r="AA108" s="38"/>
      <c r="AB108" s="38"/>
    </row>
    <row r="109" spans="1:28">
      <c r="A109" s="42"/>
      <c r="B109" s="39"/>
      <c r="C109" s="40"/>
      <c r="D109" s="42"/>
      <c r="E109" s="38"/>
      <c r="F109" s="43"/>
      <c r="G109" s="63"/>
      <c r="H109" s="58"/>
      <c r="I109" s="38"/>
      <c r="J109" s="38"/>
      <c r="K109" s="46"/>
      <c r="L109" s="47"/>
      <c r="M109" s="93"/>
      <c r="N109" s="93"/>
      <c r="O109" s="38"/>
      <c r="P109" s="38"/>
      <c r="Q109" s="14"/>
      <c r="R109" s="39"/>
      <c r="S109" s="39"/>
      <c r="T109" s="39"/>
      <c r="U109" s="40"/>
      <c r="V109" s="54"/>
      <c r="W109" s="55"/>
      <c r="X109" s="56"/>
      <c r="Y109" s="38"/>
      <c r="Z109" s="38"/>
      <c r="AA109" s="38"/>
      <c r="AB109" s="38"/>
    </row>
    <row r="110" spans="1:28">
      <c r="A110" s="42"/>
      <c r="B110" s="39"/>
      <c r="C110" s="40"/>
      <c r="D110" s="42"/>
      <c r="E110" s="38"/>
      <c r="F110" s="43"/>
      <c r="G110" s="63"/>
      <c r="H110" s="58"/>
      <c r="I110" s="38"/>
      <c r="J110" s="38"/>
      <c r="K110" s="46"/>
      <c r="L110" s="47"/>
      <c r="M110" s="93"/>
      <c r="N110" s="93"/>
      <c r="O110" s="38"/>
      <c r="P110" s="38"/>
      <c r="Q110" s="14"/>
      <c r="R110" s="39"/>
      <c r="S110" s="39"/>
      <c r="T110" s="39"/>
      <c r="U110" s="40"/>
      <c r="V110" s="54"/>
      <c r="W110" s="55"/>
      <c r="X110" s="56"/>
      <c r="Y110" s="38"/>
      <c r="Z110" s="38"/>
      <c r="AA110" s="38"/>
      <c r="AB110" s="38"/>
    </row>
    <row r="111" spans="1:28">
      <c r="A111" s="42"/>
      <c r="B111" s="39"/>
      <c r="C111" s="40"/>
      <c r="D111" s="42"/>
      <c r="E111" s="38"/>
      <c r="F111" s="43"/>
      <c r="G111" s="63"/>
      <c r="H111" s="58"/>
      <c r="I111" s="38"/>
      <c r="J111" s="38"/>
      <c r="K111" s="46"/>
      <c r="L111" s="47"/>
      <c r="M111" s="93"/>
      <c r="N111" s="93"/>
      <c r="O111" s="38"/>
      <c r="P111" s="38"/>
      <c r="Q111" s="14"/>
      <c r="R111" s="39"/>
      <c r="S111" s="39"/>
      <c r="T111" s="39"/>
      <c r="U111" s="40"/>
      <c r="V111" s="54"/>
      <c r="W111" s="55"/>
      <c r="X111" s="56"/>
      <c r="Y111" s="38"/>
      <c r="Z111" s="38"/>
      <c r="AA111" s="38"/>
      <c r="AB111" s="38"/>
    </row>
    <row r="112" spans="1:28">
      <c r="A112" s="42"/>
      <c r="B112" s="39"/>
      <c r="C112" s="40"/>
      <c r="D112" s="42"/>
      <c r="E112" s="38"/>
      <c r="F112" s="43"/>
      <c r="G112" s="63"/>
      <c r="H112" s="58"/>
      <c r="I112" s="38"/>
      <c r="J112" s="38"/>
      <c r="K112" s="46"/>
      <c r="L112" s="47"/>
      <c r="M112" s="93"/>
      <c r="N112" s="93"/>
      <c r="O112" s="38"/>
      <c r="P112" s="38"/>
      <c r="Q112" s="14"/>
      <c r="R112" s="39"/>
      <c r="S112" s="39"/>
      <c r="T112" s="39"/>
      <c r="U112" s="40"/>
      <c r="V112" s="54"/>
      <c r="W112" s="55"/>
      <c r="X112" s="56"/>
      <c r="Y112" s="38"/>
      <c r="Z112" s="38"/>
      <c r="AA112" s="38"/>
      <c r="AB112" s="38"/>
    </row>
    <row r="113" spans="1:28">
      <c r="A113" s="42"/>
      <c r="B113" s="39"/>
      <c r="C113" s="40"/>
      <c r="D113" s="42"/>
      <c r="E113" s="38"/>
      <c r="F113" s="43"/>
      <c r="G113" s="63"/>
      <c r="H113" s="58"/>
      <c r="I113" s="38"/>
      <c r="J113" s="38"/>
      <c r="K113" s="46"/>
      <c r="L113" s="47"/>
      <c r="M113" s="93"/>
      <c r="N113" s="93"/>
      <c r="O113" s="38"/>
      <c r="P113" s="38"/>
      <c r="Q113" s="14"/>
      <c r="R113" s="39"/>
      <c r="S113" s="39"/>
      <c r="T113" s="39"/>
      <c r="U113" s="40"/>
      <c r="V113" s="54"/>
      <c r="W113" s="55"/>
      <c r="X113" s="56"/>
      <c r="Y113" s="38"/>
      <c r="Z113" s="38"/>
      <c r="AA113" s="38"/>
      <c r="AB113" s="38"/>
    </row>
    <row r="114" spans="1:28">
      <c r="A114" s="42"/>
      <c r="B114" s="39"/>
      <c r="C114" s="40"/>
      <c r="D114" s="42"/>
      <c r="E114" s="38"/>
      <c r="F114" s="43"/>
      <c r="G114" s="63"/>
      <c r="H114" s="58"/>
      <c r="I114" s="38"/>
      <c r="J114" s="38"/>
      <c r="K114" s="46"/>
      <c r="L114" s="47"/>
      <c r="M114" s="93"/>
      <c r="N114" s="93"/>
      <c r="O114" s="38"/>
      <c r="P114" s="38"/>
      <c r="Q114" s="14"/>
      <c r="R114" s="39"/>
      <c r="S114" s="39"/>
      <c r="T114" s="39"/>
      <c r="U114" s="40"/>
      <c r="V114" s="54"/>
      <c r="W114" s="55"/>
      <c r="X114" s="56"/>
      <c r="Y114" s="38"/>
      <c r="Z114" s="38"/>
      <c r="AA114" s="38"/>
      <c r="AB114" s="38"/>
    </row>
    <row r="115" spans="1:28">
      <c r="A115" s="42"/>
      <c r="B115" s="39"/>
      <c r="C115" s="40"/>
      <c r="D115" s="42"/>
      <c r="E115" s="38"/>
      <c r="F115" s="43"/>
      <c r="G115" s="63"/>
      <c r="H115" s="58"/>
      <c r="I115" s="38"/>
      <c r="J115" s="38"/>
      <c r="K115" s="46"/>
      <c r="L115" s="47"/>
      <c r="M115" s="93"/>
      <c r="N115" s="93"/>
      <c r="O115" s="38"/>
      <c r="P115" s="38"/>
      <c r="Q115" s="14"/>
      <c r="R115" s="39"/>
      <c r="S115" s="39"/>
      <c r="T115" s="39"/>
      <c r="U115" s="40"/>
      <c r="V115" s="54"/>
      <c r="W115" s="55"/>
      <c r="X115" s="56"/>
      <c r="Y115" s="38"/>
      <c r="Z115" s="38"/>
      <c r="AA115" s="38"/>
      <c r="AB115" s="38"/>
    </row>
    <row r="116" spans="1:28">
      <c r="A116" s="42"/>
      <c r="B116" s="39"/>
      <c r="C116" s="40"/>
      <c r="D116" s="42"/>
      <c r="E116" s="38"/>
      <c r="F116" s="43"/>
      <c r="G116" s="63"/>
      <c r="H116" s="58"/>
      <c r="I116" s="38"/>
      <c r="J116" s="38"/>
      <c r="K116" s="46"/>
      <c r="L116" s="47"/>
      <c r="M116" s="93"/>
      <c r="N116" s="93"/>
      <c r="O116" s="38"/>
      <c r="P116" s="38"/>
      <c r="Q116" s="14"/>
      <c r="R116" s="39"/>
      <c r="S116" s="39"/>
      <c r="T116" s="39"/>
      <c r="U116" s="40"/>
      <c r="V116" s="54"/>
      <c r="W116" s="55"/>
      <c r="X116" s="56"/>
      <c r="Y116" s="38"/>
      <c r="Z116" s="38"/>
      <c r="AA116" s="38"/>
      <c r="AB116" s="38"/>
    </row>
    <row r="117" spans="1:28">
      <c r="A117" s="42"/>
      <c r="B117" s="39"/>
      <c r="C117" s="40"/>
      <c r="D117" s="42"/>
      <c r="E117" s="38"/>
      <c r="F117" s="43"/>
      <c r="G117" s="63"/>
      <c r="H117" s="58"/>
      <c r="I117" s="38"/>
      <c r="J117" s="38"/>
      <c r="K117" s="46"/>
      <c r="L117" s="47"/>
      <c r="M117" s="93"/>
      <c r="N117" s="93"/>
      <c r="O117" s="38"/>
      <c r="P117" s="38"/>
      <c r="Q117" s="14"/>
      <c r="R117" s="39"/>
      <c r="S117" s="39"/>
      <c r="T117" s="39"/>
      <c r="U117" s="40"/>
      <c r="V117" s="54"/>
      <c r="W117" s="55"/>
      <c r="X117" s="56"/>
      <c r="Y117" s="38"/>
      <c r="Z117" s="38"/>
      <c r="AA117" s="38"/>
      <c r="AB117" s="38"/>
    </row>
    <row r="118" spans="1:28">
      <c r="A118" s="42"/>
      <c r="B118" s="39"/>
      <c r="C118" s="40"/>
      <c r="D118" s="42"/>
      <c r="E118" s="38"/>
      <c r="F118" s="43"/>
      <c r="G118" s="63"/>
      <c r="H118" s="58"/>
      <c r="I118" s="38"/>
      <c r="J118" s="38"/>
      <c r="K118" s="46"/>
      <c r="L118" s="47"/>
      <c r="M118" s="93"/>
      <c r="N118" s="93"/>
      <c r="O118" s="38"/>
      <c r="P118" s="38"/>
      <c r="Q118" s="14"/>
      <c r="R118" s="39"/>
      <c r="S118" s="39"/>
      <c r="T118" s="39"/>
      <c r="U118" s="40"/>
      <c r="V118" s="54"/>
      <c r="W118" s="55"/>
      <c r="X118" s="56"/>
      <c r="Y118" s="38"/>
      <c r="Z118" s="38"/>
      <c r="AA118" s="38"/>
      <c r="AB118" s="38"/>
    </row>
    <row r="119" spans="1:28">
      <c r="A119" s="42"/>
      <c r="B119" s="39"/>
      <c r="C119" s="40"/>
      <c r="D119" s="42"/>
      <c r="E119" s="38"/>
      <c r="F119" s="43"/>
      <c r="G119" s="63"/>
      <c r="H119" s="58"/>
      <c r="I119" s="38"/>
      <c r="J119" s="38"/>
      <c r="K119" s="46"/>
      <c r="L119" s="47"/>
      <c r="M119" s="93"/>
      <c r="N119" s="93"/>
      <c r="O119" s="38"/>
      <c r="P119" s="38"/>
      <c r="Q119" s="14"/>
      <c r="R119" s="39"/>
      <c r="S119" s="39"/>
      <c r="T119" s="39"/>
      <c r="U119" s="40"/>
      <c r="V119" s="54"/>
      <c r="W119" s="55"/>
      <c r="X119" s="56"/>
      <c r="Y119" s="38"/>
      <c r="Z119" s="38"/>
      <c r="AA119" s="38"/>
      <c r="AB119" s="38"/>
    </row>
    <row r="120" spans="1:28">
      <c r="A120" s="42"/>
      <c r="B120" s="39"/>
      <c r="C120" s="40"/>
      <c r="D120" s="42"/>
      <c r="E120" s="38"/>
      <c r="F120" s="43"/>
      <c r="G120" s="63"/>
      <c r="H120" s="58"/>
      <c r="I120" s="38"/>
      <c r="J120" s="38"/>
      <c r="K120" s="46"/>
      <c r="L120" s="47"/>
      <c r="M120" s="93"/>
      <c r="N120" s="93"/>
      <c r="O120" s="38"/>
      <c r="P120" s="38"/>
      <c r="Q120" s="14"/>
      <c r="R120" s="39"/>
      <c r="S120" s="39"/>
      <c r="T120" s="39"/>
      <c r="U120" s="40"/>
      <c r="V120" s="54"/>
      <c r="W120" s="55"/>
      <c r="X120" s="56"/>
      <c r="Y120" s="38"/>
      <c r="Z120" s="38"/>
      <c r="AA120" s="38"/>
      <c r="AB120" s="38"/>
    </row>
    <row r="121" spans="1:28">
      <c r="A121" s="42"/>
      <c r="B121" s="39"/>
      <c r="C121" s="40"/>
      <c r="D121" s="42"/>
      <c r="E121" s="38"/>
      <c r="F121" s="43"/>
      <c r="G121" s="63"/>
      <c r="H121" s="58"/>
      <c r="I121" s="38"/>
      <c r="J121" s="38"/>
      <c r="K121" s="46"/>
      <c r="L121" s="47"/>
      <c r="M121" s="93"/>
      <c r="N121" s="93"/>
      <c r="O121" s="38"/>
      <c r="P121" s="38"/>
      <c r="Q121" s="14"/>
      <c r="R121" s="39"/>
      <c r="S121" s="39"/>
      <c r="T121" s="39"/>
      <c r="U121" s="40"/>
      <c r="V121" s="54"/>
      <c r="W121" s="55"/>
      <c r="X121" s="56"/>
      <c r="Y121" s="38"/>
      <c r="Z121" s="38"/>
      <c r="AA121" s="38"/>
      <c r="AB121" s="38"/>
    </row>
    <row r="122" spans="1:28">
      <c r="A122" s="42"/>
      <c r="B122" s="39"/>
      <c r="C122" s="40"/>
      <c r="D122" s="42"/>
      <c r="E122" s="38"/>
      <c r="F122" s="43"/>
      <c r="G122" s="63"/>
      <c r="H122" s="58"/>
      <c r="I122" s="38"/>
      <c r="J122" s="38"/>
      <c r="K122" s="46"/>
      <c r="L122" s="47"/>
      <c r="M122" s="93"/>
      <c r="N122" s="93"/>
      <c r="O122" s="38"/>
      <c r="P122" s="38"/>
      <c r="Q122" s="14"/>
      <c r="R122" s="39"/>
      <c r="S122" s="39"/>
      <c r="T122" s="39"/>
      <c r="U122" s="40"/>
      <c r="V122" s="54"/>
      <c r="W122" s="55"/>
      <c r="X122" s="56"/>
      <c r="Y122" s="38"/>
      <c r="Z122" s="38"/>
      <c r="AA122" s="38"/>
      <c r="AB122" s="38"/>
    </row>
    <row r="123" spans="1:28">
      <c r="A123" s="42"/>
      <c r="B123" s="39"/>
      <c r="C123" s="40"/>
      <c r="D123" s="42"/>
      <c r="E123" s="38"/>
      <c r="F123" s="43"/>
      <c r="G123" s="63"/>
      <c r="H123" s="58"/>
      <c r="I123" s="38"/>
      <c r="J123" s="38"/>
      <c r="K123" s="46"/>
      <c r="L123" s="47"/>
      <c r="M123" s="93"/>
      <c r="N123" s="93"/>
      <c r="O123" s="38"/>
      <c r="P123" s="38"/>
      <c r="Q123" s="14"/>
      <c r="R123" s="39"/>
      <c r="S123" s="39"/>
      <c r="T123" s="39"/>
      <c r="U123" s="40"/>
      <c r="V123" s="54"/>
      <c r="W123" s="55"/>
      <c r="X123" s="56"/>
      <c r="Y123" s="38"/>
      <c r="Z123" s="38"/>
      <c r="AA123" s="38"/>
      <c r="AB123" s="38"/>
    </row>
    <row r="124" spans="1:28">
      <c r="A124" s="42"/>
      <c r="B124" s="39"/>
      <c r="C124" s="40"/>
      <c r="D124" s="42"/>
      <c r="E124" s="38"/>
      <c r="F124" s="43"/>
      <c r="G124" s="63"/>
      <c r="H124" s="58"/>
      <c r="I124" s="38"/>
      <c r="J124" s="38"/>
      <c r="K124" s="46"/>
      <c r="L124" s="47"/>
      <c r="M124" s="93"/>
      <c r="N124" s="93"/>
      <c r="O124" s="38"/>
      <c r="P124" s="38"/>
      <c r="Q124" s="14"/>
      <c r="R124" s="39"/>
      <c r="S124" s="39"/>
      <c r="T124" s="39"/>
      <c r="U124" s="40"/>
      <c r="V124" s="54"/>
      <c r="W124" s="55"/>
      <c r="X124" s="56"/>
      <c r="Y124" s="38"/>
      <c r="Z124" s="38"/>
      <c r="AA124" s="38"/>
      <c r="AB124" s="38"/>
    </row>
    <row r="125" spans="1:28">
      <c r="A125" s="42"/>
      <c r="B125" s="39"/>
      <c r="C125" s="40"/>
      <c r="D125" s="42"/>
      <c r="E125" s="38"/>
      <c r="F125" s="43"/>
      <c r="G125" s="63"/>
      <c r="H125" s="58"/>
      <c r="I125" s="38"/>
      <c r="J125" s="38"/>
      <c r="K125" s="46"/>
      <c r="L125" s="47"/>
      <c r="M125" s="93"/>
      <c r="N125" s="93"/>
      <c r="O125" s="38"/>
      <c r="P125" s="38"/>
      <c r="Q125" s="14"/>
      <c r="R125" s="39"/>
      <c r="S125" s="39"/>
      <c r="T125" s="39"/>
      <c r="U125" s="40"/>
      <c r="V125" s="54"/>
      <c r="W125" s="55"/>
      <c r="X125" s="56"/>
      <c r="Y125" s="38"/>
      <c r="Z125" s="38"/>
      <c r="AA125" s="38"/>
      <c r="AB125" s="38"/>
    </row>
    <row r="126" spans="1:28">
      <c r="A126" s="42"/>
      <c r="B126" s="39"/>
      <c r="C126" s="40"/>
      <c r="D126" s="42"/>
      <c r="E126" s="38"/>
      <c r="F126" s="43"/>
      <c r="G126" s="63"/>
      <c r="H126" s="58"/>
      <c r="I126" s="38"/>
      <c r="J126" s="38"/>
      <c r="K126" s="46"/>
      <c r="L126" s="47"/>
      <c r="M126" s="93"/>
      <c r="N126" s="93"/>
      <c r="O126" s="38"/>
      <c r="P126" s="38"/>
      <c r="Q126" s="14"/>
      <c r="R126" s="39"/>
      <c r="S126" s="39"/>
      <c r="T126" s="39"/>
      <c r="U126" s="40"/>
      <c r="V126" s="54"/>
      <c r="W126" s="55"/>
      <c r="X126" s="56"/>
      <c r="Y126" s="38"/>
      <c r="Z126" s="38"/>
      <c r="AA126" s="38"/>
      <c r="AB126" s="38"/>
    </row>
    <row r="127" spans="1:28">
      <c r="A127" s="42"/>
      <c r="B127" s="39"/>
      <c r="C127" s="40"/>
      <c r="D127" s="42"/>
      <c r="E127" s="38"/>
      <c r="F127" s="43"/>
      <c r="G127" s="63"/>
      <c r="H127" s="58"/>
      <c r="I127" s="38"/>
      <c r="J127" s="38"/>
      <c r="K127" s="46"/>
      <c r="L127" s="47"/>
      <c r="M127" s="93"/>
      <c r="N127" s="93"/>
      <c r="O127" s="38"/>
      <c r="P127" s="38"/>
      <c r="Q127" s="14"/>
      <c r="R127" s="39"/>
      <c r="S127" s="39"/>
      <c r="T127" s="39"/>
      <c r="U127" s="40"/>
      <c r="V127" s="54"/>
      <c r="W127" s="55"/>
      <c r="X127" s="56"/>
      <c r="Y127" s="38"/>
      <c r="Z127" s="38"/>
      <c r="AA127" s="38"/>
      <c r="AB127" s="38"/>
    </row>
    <row r="128" spans="1:28">
      <c r="A128" s="42"/>
      <c r="B128" s="39"/>
      <c r="C128" s="40"/>
      <c r="D128" s="42"/>
      <c r="E128" s="38"/>
      <c r="F128" s="43"/>
      <c r="G128" s="63"/>
      <c r="H128" s="58"/>
      <c r="I128" s="38"/>
      <c r="J128" s="38"/>
      <c r="K128" s="46"/>
      <c r="L128" s="47"/>
      <c r="M128" s="93"/>
      <c r="N128" s="93"/>
      <c r="O128" s="38"/>
      <c r="P128" s="38"/>
      <c r="Q128" s="14"/>
      <c r="R128" s="39"/>
      <c r="S128" s="39"/>
      <c r="T128" s="39"/>
      <c r="U128" s="40"/>
      <c r="V128" s="54"/>
      <c r="W128" s="55"/>
      <c r="X128" s="56"/>
      <c r="Y128" s="38"/>
      <c r="Z128" s="38"/>
      <c r="AA128" s="38"/>
      <c r="AB128" s="38"/>
    </row>
    <row r="129" spans="1:28">
      <c r="A129" s="42"/>
      <c r="B129" s="39"/>
      <c r="C129" s="40"/>
      <c r="D129" s="42"/>
      <c r="E129" s="38"/>
      <c r="F129" s="43"/>
      <c r="G129" s="63"/>
      <c r="H129" s="58"/>
      <c r="I129" s="38"/>
      <c r="J129" s="38"/>
      <c r="K129" s="46"/>
      <c r="L129" s="47"/>
      <c r="M129" s="93"/>
      <c r="N129" s="93"/>
      <c r="O129" s="38"/>
      <c r="P129" s="38"/>
      <c r="Q129" s="14"/>
      <c r="R129" s="39"/>
      <c r="S129" s="39"/>
      <c r="T129" s="39"/>
      <c r="U129" s="40"/>
      <c r="V129" s="54"/>
      <c r="W129" s="55"/>
      <c r="X129" s="56"/>
      <c r="Y129" s="38"/>
      <c r="Z129" s="38"/>
      <c r="AA129" s="38"/>
      <c r="AB129" s="38"/>
    </row>
    <row r="130" spans="1:28">
      <c r="A130" s="42"/>
      <c r="B130" s="39"/>
      <c r="C130" s="40"/>
      <c r="D130" s="42"/>
      <c r="E130" s="38"/>
      <c r="F130" s="43"/>
      <c r="G130" s="63"/>
      <c r="H130" s="58"/>
      <c r="I130" s="38"/>
      <c r="J130" s="38"/>
      <c r="K130" s="46"/>
      <c r="L130" s="47"/>
      <c r="M130" s="93"/>
      <c r="N130" s="93"/>
      <c r="O130" s="38"/>
      <c r="P130" s="38"/>
      <c r="Q130" s="14"/>
      <c r="R130" s="39"/>
      <c r="S130" s="39"/>
      <c r="T130" s="39"/>
      <c r="U130" s="40"/>
      <c r="V130" s="54"/>
      <c r="W130" s="55"/>
      <c r="X130" s="56"/>
      <c r="Y130" s="38"/>
      <c r="Z130" s="38"/>
      <c r="AA130" s="38"/>
      <c r="AB130" s="38"/>
    </row>
    <row r="131" spans="1:28">
      <c r="A131" s="42"/>
      <c r="B131" s="39"/>
      <c r="C131" s="40"/>
      <c r="D131" s="42"/>
      <c r="E131" s="38"/>
      <c r="F131" s="43"/>
      <c r="G131" s="63"/>
      <c r="H131" s="58"/>
      <c r="I131" s="38"/>
      <c r="J131" s="38"/>
      <c r="K131" s="46"/>
      <c r="L131" s="47"/>
      <c r="M131" s="93"/>
      <c r="N131" s="93"/>
      <c r="O131" s="38"/>
      <c r="P131" s="38"/>
      <c r="Q131" s="14"/>
      <c r="R131" s="39"/>
      <c r="S131" s="39"/>
      <c r="T131" s="39"/>
      <c r="U131" s="40"/>
      <c r="V131" s="54"/>
      <c r="W131" s="55"/>
      <c r="X131" s="56"/>
      <c r="Y131" s="38"/>
      <c r="Z131" s="38"/>
      <c r="AA131" s="38"/>
      <c r="AB131" s="38"/>
    </row>
    <row r="132" spans="1:28">
      <c r="A132" s="42"/>
      <c r="B132" s="39"/>
      <c r="C132" s="40"/>
      <c r="D132" s="42"/>
      <c r="E132" s="38"/>
      <c r="F132" s="43"/>
      <c r="G132" s="63"/>
      <c r="H132" s="58"/>
      <c r="I132" s="38"/>
      <c r="J132" s="38"/>
      <c r="K132" s="46"/>
      <c r="L132" s="47"/>
      <c r="M132" s="93"/>
      <c r="N132" s="93"/>
      <c r="O132" s="38"/>
      <c r="P132" s="38"/>
      <c r="Q132" s="14"/>
      <c r="R132" s="39"/>
      <c r="S132" s="39"/>
      <c r="T132" s="39"/>
      <c r="U132" s="40"/>
      <c r="V132" s="54"/>
      <c r="W132" s="55"/>
      <c r="X132" s="56"/>
      <c r="Y132" s="38"/>
      <c r="Z132" s="38"/>
      <c r="AA132" s="38"/>
      <c r="AB132" s="38"/>
    </row>
    <row r="133" spans="1:28">
      <c r="A133" s="42"/>
      <c r="B133" s="39"/>
      <c r="C133" s="40"/>
      <c r="D133" s="42"/>
      <c r="E133" s="38"/>
      <c r="F133" s="43"/>
      <c r="G133" s="63"/>
      <c r="H133" s="58"/>
      <c r="I133" s="38"/>
      <c r="J133" s="38"/>
      <c r="K133" s="46"/>
      <c r="L133" s="47"/>
      <c r="M133" s="93"/>
      <c r="N133" s="93"/>
      <c r="O133" s="38"/>
      <c r="P133" s="38"/>
      <c r="Q133" s="14"/>
      <c r="R133" s="39"/>
      <c r="S133" s="39"/>
      <c r="T133" s="39"/>
      <c r="U133" s="40"/>
      <c r="V133" s="54"/>
      <c r="W133" s="55"/>
      <c r="X133" s="56"/>
      <c r="Y133" s="38"/>
      <c r="Z133" s="38"/>
      <c r="AA133" s="38"/>
      <c r="AB133" s="38"/>
    </row>
    <row r="134" spans="1:28">
      <c r="A134" s="42"/>
      <c r="B134" s="39"/>
      <c r="C134" s="40"/>
      <c r="D134" s="42"/>
      <c r="E134" s="38"/>
      <c r="F134" s="43"/>
      <c r="G134" s="63"/>
      <c r="H134" s="58"/>
      <c r="I134" s="38"/>
      <c r="J134" s="38"/>
      <c r="K134" s="46"/>
      <c r="L134" s="47"/>
      <c r="M134" s="93"/>
      <c r="N134" s="93"/>
      <c r="O134" s="38"/>
      <c r="P134" s="38"/>
      <c r="Q134" s="14"/>
      <c r="R134" s="39"/>
      <c r="S134" s="39"/>
      <c r="T134" s="39"/>
      <c r="U134" s="40"/>
      <c r="V134" s="54"/>
      <c r="W134" s="55"/>
      <c r="X134" s="56"/>
      <c r="Y134" s="38"/>
      <c r="Z134" s="38"/>
      <c r="AA134" s="38"/>
      <c r="AB134" s="38"/>
    </row>
    <row r="135" spans="1:28">
      <c r="A135" s="42"/>
      <c r="B135" s="39"/>
      <c r="C135" s="40"/>
      <c r="D135" s="42"/>
      <c r="E135" s="38"/>
      <c r="F135" s="43"/>
      <c r="G135" s="63"/>
      <c r="H135" s="58"/>
      <c r="I135" s="38"/>
      <c r="J135" s="38"/>
      <c r="K135" s="46"/>
      <c r="L135" s="47"/>
      <c r="M135" s="93"/>
      <c r="N135" s="93"/>
      <c r="O135" s="38"/>
      <c r="P135" s="38"/>
      <c r="Q135" s="14"/>
      <c r="R135" s="39"/>
      <c r="S135" s="39"/>
      <c r="T135" s="39"/>
      <c r="U135" s="40"/>
      <c r="V135" s="54"/>
      <c r="W135" s="55"/>
      <c r="X135" s="56"/>
      <c r="Y135" s="38"/>
      <c r="Z135" s="38"/>
      <c r="AA135" s="38"/>
      <c r="AB135" s="38"/>
    </row>
    <row r="136" spans="1:28">
      <c r="A136" s="42"/>
      <c r="B136" s="39"/>
      <c r="C136" s="40"/>
      <c r="D136" s="42"/>
      <c r="E136" s="38"/>
      <c r="F136" s="43"/>
      <c r="G136" s="63"/>
      <c r="H136" s="58"/>
      <c r="I136" s="38"/>
      <c r="J136" s="38"/>
      <c r="K136" s="46"/>
      <c r="L136" s="47"/>
      <c r="M136" s="93"/>
      <c r="N136" s="93"/>
      <c r="O136" s="38"/>
      <c r="P136" s="38"/>
      <c r="Q136" s="14"/>
      <c r="R136" s="39"/>
      <c r="S136" s="39"/>
      <c r="T136" s="39"/>
      <c r="U136" s="40"/>
      <c r="V136" s="54"/>
      <c r="W136" s="55"/>
      <c r="X136" s="56"/>
      <c r="Y136" s="38"/>
      <c r="Z136" s="38"/>
      <c r="AA136" s="38"/>
      <c r="AB136" s="38"/>
    </row>
    <row r="137" spans="1:28">
      <c r="A137" s="42"/>
      <c r="B137" s="39"/>
      <c r="C137" s="40"/>
      <c r="D137" s="42"/>
      <c r="E137" s="38"/>
      <c r="F137" s="43"/>
      <c r="G137" s="63"/>
      <c r="H137" s="58"/>
      <c r="I137" s="38"/>
      <c r="J137" s="38"/>
      <c r="K137" s="46"/>
      <c r="L137" s="47"/>
      <c r="M137" s="93"/>
      <c r="N137" s="93"/>
      <c r="O137" s="38"/>
      <c r="P137" s="38"/>
      <c r="Q137" s="14"/>
      <c r="R137" s="39"/>
      <c r="S137" s="39"/>
      <c r="T137" s="39"/>
      <c r="U137" s="40"/>
      <c r="V137" s="54"/>
      <c r="W137" s="55"/>
      <c r="X137" s="56"/>
      <c r="Y137" s="38"/>
      <c r="Z137" s="38"/>
      <c r="AA137" s="38"/>
      <c r="AB137" s="38"/>
    </row>
    <row r="138" spans="1:28">
      <c r="A138" s="42"/>
      <c r="B138" s="39"/>
      <c r="C138" s="40"/>
      <c r="D138" s="42"/>
      <c r="E138" s="38"/>
      <c r="F138" s="43"/>
      <c r="G138" s="63"/>
      <c r="H138" s="58"/>
      <c r="I138" s="38"/>
      <c r="J138" s="38"/>
      <c r="K138" s="46"/>
      <c r="L138" s="47"/>
      <c r="M138" s="93"/>
      <c r="N138" s="93"/>
      <c r="O138" s="38"/>
      <c r="P138" s="38"/>
      <c r="Q138" s="14"/>
      <c r="R138" s="39"/>
      <c r="S138" s="39"/>
      <c r="T138" s="39"/>
      <c r="U138" s="40"/>
      <c r="V138" s="54"/>
      <c r="W138" s="55"/>
      <c r="X138" s="56"/>
      <c r="Y138" s="38"/>
      <c r="Z138" s="38"/>
      <c r="AA138" s="38"/>
      <c r="AB138" s="38"/>
    </row>
    <row r="139" spans="1:28">
      <c r="A139" s="42"/>
      <c r="B139" s="39"/>
      <c r="C139" s="40"/>
      <c r="D139" s="42"/>
      <c r="E139" s="38"/>
      <c r="F139" s="43"/>
      <c r="G139" s="63"/>
      <c r="H139" s="58"/>
      <c r="I139" s="38"/>
      <c r="J139" s="38"/>
      <c r="K139" s="46"/>
      <c r="L139" s="47"/>
      <c r="M139" s="93"/>
      <c r="N139" s="93"/>
      <c r="O139" s="38"/>
      <c r="P139" s="38"/>
      <c r="Q139" s="14"/>
      <c r="R139" s="39"/>
      <c r="S139" s="39"/>
      <c r="T139" s="39"/>
      <c r="U139" s="40"/>
      <c r="V139" s="54"/>
      <c r="W139" s="55"/>
      <c r="X139" s="56"/>
      <c r="Y139" s="38"/>
      <c r="Z139" s="38"/>
      <c r="AA139" s="38"/>
      <c r="AB139" s="38"/>
    </row>
    <row r="140" spans="1:28">
      <c r="A140" s="42"/>
      <c r="B140" s="39"/>
      <c r="C140" s="40"/>
      <c r="D140" s="42"/>
      <c r="E140" s="38"/>
      <c r="F140" s="43"/>
      <c r="G140" s="63"/>
      <c r="H140" s="58"/>
      <c r="I140" s="38"/>
      <c r="J140" s="38"/>
      <c r="K140" s="46"/>
      <c r="L140" s="47"/>
      <c r="M140" s="93"/>
      <c r="N140" s="93"/>
      <c r="O140" s="38"/>
      <c r="P140" s="38"/>
      <c r="Q140" s="14"/>
      <c r="R140" s="39"/>
      <c r="S140" s="39"/>
      <c r="T140" s="39"/>
      <c r="U140" s="40"/>
      <c r="V140" s="54"/>
      <c r="W140" s="55"/>
      <c r="X140" s="56"/>
      <c r="Y140" s="38"/>
      <c r="Z140" s="38"/>
      <c r="AA140" s="38"/>
      <c r="AB140" s="38"/>
    </row>
    <row r="141" spans="1:28">
      <c r="A141" s="42"/>
      <c r="B141" s="39"/>
      <c r="C141" s="40"/>
      <c r="D141" s="42"/>
      <c r="E141" s="38"/>
      <c r="F141" s="43"/>
      <c r="G141" s="63"/>
      <c r="H141" s="58"/>
      <c r="I141" s="38"/>
      <c r="J141" s="38"/>
      <c r="K141" s="46"/>
      <c r="L141" s="47"/>
      <c r="M141" s="93"/>
      <c r="N141" s="93"/>
      <c r="O141" s="38"/>
      <c r="P141" s="38"/>
      <c r="Q141" s="14"/>
      <c r="R141" s="39"/>
      <c r="S141" s="39"/>
      <c r="T141" s="39"/>
      <c r="U141" s="40"/>
      <c r="V141" s="54"/>
      <c r="W141" s="55"/>
      <c r="X141" s="56"/>
      <c r="Y141" s="38"/>
      <c r="Z141" s="38"/>
      <c r="AA141" s="38"/>
      <c r="AB141" s="38"/>
    </row>
    <row r="142" spans="1:28">
      <c r="A142" s="42"/>
      <c r="B142" s="39"/>
      <c r="C142" s="40"/>
      <c r="D142" s="42"/>
      <c r="E142" s="38"/>
      <c r="F142" s="43"/>
      <c r="G142" s="63"/>
      <c r="H142" s="58"/>
      <c r="I142" s="38"/>
      <c r="J142" s="38"/>
      <c r="K142" s="46"/>
      <c r="L142" s="47"/>
      <c r="M142" s="93"/>
      <c r="N142" s="93"/>
      <c r="O142" s="38"/>
      <c r="P142" s="38"/>
      <c r="Q142" s="14"/>
      <c r="R142" s="39"/>
      <c r="S142" s="39"/>
      <c r="T142" s="39"/>
      <c r="U142" s="40"/>
      <c r="V142" s="54"/>
      <c r="W142" s="55"/>
      <c r="X142" s="56"/>
      <c r="Y142" s="38"/>
      <c r="Z142" s="38"/>
      <c r="AA142" s="38"/>
      <c r="AB142" s="38"/>
    </row>
    <row r="143" spans="1:28">
      <c r="A143" s="42"/>
      <c r="B143" s="39"/>
      <c r="C143" s="40"/>
      <c r="D143" s="42"/>
      <c r="E143" s="38"/>
      <c r="F143" s="43"/>
      <c r="G143" s="63"/>
      <c r="H143" s="58"/>
      <c r="I143" s="38"/>
      <c r="J143" s="38"/>
      <c r="K143" s="46"/>
      <c r="L143" s="47"/>
      <c r="M143" s="93"/>
      <c r="N143" s="93"/>
      <c r="O143" s="38"/>
      <c r="P143" s="38"/>
      <c r="Q143" s="14"/>
      <c r="R143" s="39"/>
      <c r="S143" s="39"/>
      <c r="T143" s="39"/>
      <c r="U143" s="40"/>
      <c r="V143" s="54"/>
      <c r="W143" s="55"/>
      <c r="X143" s="56"/>
      <c r="Y143" s="38"/>
      <c r="Z143" s="38"/>
      <c r="AA143" s="38"/>
      <c r="AB143" s="38"/>
    </row>
    <row r="144" spans="1:28">
      <c r="A144" s="42"/>
      <c r="B144" s="39"/>
      <c r="C144" s="40"/>
      <c r="D144" s="42"/>
      <c r="E144" s="38"/>
      <c r="F144" s="43"/>
      <c r="G144" s="63"/>
      <c r="H144" s="58"/>
      <c r="I144" s="38"/>
      <c r="J144" s="38"/>
      <c r="K144" s="46"/>
      <c r="L144" s="47"/>
      <c r="M144" s="93"/>
      <c r="N144" s="93"/>
      <c r="O144" s="38"/>
      <c r="P144" s="38"/>
      <c r="Q144" s="14"/>
      <c r="R144" s="39"/>
      <c r="S144" s="39"/>
      <c r="T144" s="39"/>
      <c r="U144" s="40"/>
      <c r="V144" s="54"/>
      <c r="W144" s="55"/>
      <c r="X144" s="56"/>
      <c r="Y144" s="38"/>
      <c r="Z144" s="38"/>
      <c r="AA144" s="38"/>
      <c r="AB144" s="38"/>
    </row>
    <row r="145" spans="1:28">
      <c r="A145" s="42"/>
      <c r="B145" s="39"/>
      <c r="C145" s="40"/>
      <c r="D145" s="42"/>
      <c r="E145" s="38"/>
      <c r="F145" s="43"/>
      <c r="G145" s="63"/>
      <c r="H145" s="58"/>
      <c r="I145" s="38"/>
      <c r="J145" s="38"/>
      <c r="K145" s="46"/>
      <c r="L145" s="47"/>
      <c r="M145" s="93"/>
      <c r="N145" s="93"/>
      <c r="O145" s="38"/>
      <c r="P145" s="38"/>
      <c r="Q145" s="14"/>
      <c r="R145" s="39"/>
      <c r="S145" s="39"/>
      <c r="T145" s="39"/>
      <c r="U145" s="40"/>
      <c r="V145" s="54"/>
      <c r="W145" s="55"/>
      <c r="X145" s="56"/>
      <c r="Y145" s="38"/>
      <c r="Z145" s="38"/>
      <c r="AA145" s="38"/>
      <c r="AB145" s="38"/>
    </row>
    <row r="146" spans="1:28">
      <c r="A146" s="42"/>
      <c r="B146" s="39"/>
      <c r="C146" s="40"/>
      <c r="D146" s="42"/>
      <c r="E146" s="38"/>
      <c r="F146" s="43"/>
      <c r="G146" s="63"/>
      <c r="H146" s="58"/>
      <c r="I146" s="38"/>
      <c r="J146" s="38"/>
      <c r="K146" s="46"/>
      <c r="L146" s="47"/>
      <c r="M146" s="93"/>
      <c r="N146" s="93"/>
      <c r="O146" s="38"/>
      <c r="P146" s="38"/>
      <c r="Q146" s="14"/>
      <c r="R146" s="39"/>
      <c r="S146" s="39"/>
      <c r="T146" s="39"/>
      <c r="U146" s="40"/>
      <c r="V146" s="54"/>
      <c r="W146" s="55"/>
      <c r="X146" s="56"/>
      <c r="Y146" s="38"/>
      <c r="Z146" s="38"/>
      <c r="AA146" s="38"/>
      <c r="AB146" s="38"/>
    </row>
    <row r="147" spans="1:28">
      <c r="A147" s="42"/>
      <c r="B147" s="39"/>
      <c r="C147" s="40"/>
      <c r="D147" s="42"/>
      <c r="E147" s="38"/>
      <c r="F147" s="43"/>
      <c r="G147" s="63"/>
      <c r="H147" s="58"/>
      <c r="I147" s="38"/>
      <c r="J147" s="38"/>
      <c r="K147" s="46"/>
      <c r="L147" s="47"/>
      <c r="M147" s="93"/>
      <c r="N147" s="93"/>
      <c r="O147" s="38"/>
      <c r="P147" s="38"/>
      <c r="Q147" s="14"/>
      <c r="R147" s="39"/>
      <c r="S147" s="39"/>
      <c r="T147" s="39"/>
      <c r="U147" s="40"/>
      <c r="V147" s="54"/>
      <c r="W147" s="55"/>
      <c r="X147" s="56"/>
      <c r="Y147" s="38"/>
      <c r="Z147" s="38"/>
      <c r="AA147" s="38"/>
      <c r="AB147" s="38"/>
    </row>
    <row r="148" spans="1:28">
      <c r="A148" s="42"/>
      <c r="B148" s="39"/>
      <c r="C148" s="40"/>
      <c r="D148" s="42"/>
      <c r="E148" s="38"/>
      <c r="F148" s="43"/>
      <c r="G148" s="63"/>
      <c r="H148" s="58"/>
      <c r="I148" s="38"/>
      <c r="J148" s="38"/>
      <c r="K148" s="46"/>
      <c r="L148" s="47"/>
      <c r="M148" s="93"/>
      <c r="N148" s="93"/>
      <c r="O148" s="38"/>
      <c r="P148" s="38"/>
      <c r="Q148" s="14"/>
      <c r="R148" s="39"/>
      <c r="S148" s="39"/>
      <c r="T148" s="39"/>
      <c r="U148" s="40"/>
      <c r="V148" s="54"/>
      <c r="W148" s="55"/>
      <c r="X148" s="56"/>
      <c r="Y148" s="38"/>
      <c r="Z148" s="38"/>
      <c r="AA148" s="38"/>
      <c r="AB148" s="38"/>
    </row>
    <row r="149" spans="1:28">
      <c r="A149" s="42"/>
      <c r="B149" s="39"/>
      <c r="C149" s="40"/>
      <c r="D149" s="42"/>
      <c r="E149" s="38"/>
      <c r="F149" s="43"/>
      <c r="G149" s="63"/>
      <c r="H149" s="58"/>
      <c r="I149" s="38"/>
      <c r="J149" s="38"/>
      <c r="K149" s="46"/>
      <c r="L149" s="47"/>
      <c r="M149" s="93"/>
      <c r="N149" s="93"/>
      <c r="O149" s="38"/>
      <c r="P149" s="38"/>
      <c r="Q149" s="14"/>
      <c r="R149" s="39"/>
      <c r="S149" s="39"/>
      <c r="T149" s="39"/>
      <c r="U149" s="40"/>
      <c r="V149" s="54"/>
      <c r="W149" s="55"/>
      <c r="X149" s="56"/>
      <c r="Y149" s="38"/>
      <c r="Z149" s="38"/>
      <c r="AA149" s="38"/>
      <c r="AB149" s="38"/>
    </row>
    <row r="150" spans="1:28">
      <c r="A150" s="42"/>
      <c r="B150" s="39"/>
      <c r="C150" s="40"/>
      <c r="D150" s="42"/>
      <c r="E150" s="38"/>
      <c r="F150" s="43"/>
      <c r="G150" s="63"/>
      <c r="H150" s="58"/>
      <c r="I150" s="38"/>
      <c r="J150" s="38"/>
      <c r="K150" s="46"/>
      <c r="L150" s="47"/>
      <c r="M150" s="93"/>
      <c r="N150" s="93"/>
      <c r="O150" s="38"/>
      <c r="P150" s="38"/>
      <c r="Q150" s="14"/>
      <c r="R150" s="39"/>
      <c r="S150" s="39"/>
      <c r="T150" s="39"/>
      <c r="U150" s="40"/>
      <c r="V150" s="54"/>
      <c r="W150" s="55"/>
      <c r="X150" s="56"/>
      <c r="Y150" s="38"/>
      <c r="Z150" s="38"/>
      <c r="AA150" s="38"/>
      <c r="AB150" s="38"/>
    </row>
    <row r="151" spans="1:28">
      <c r="A151" s="42"/>
      <c r="B151" s="39"/>
      <c r="C151" s="40"/>
      <c r="D151" s="42"/>
      <c r="E151" s="38"/>
      <c r="F151" s="43"/>
      <c r="G151" s="63"/>
      <c r="H151" s="58"/>
      <c r="I151" s="38"/>
      <c r="J151" s="38"/>
      <c r="K151" s="46"/>
      <c r="L151" s="47"/>
      <c r="M151" s="93"/>
      <c r="N151" s="93"/>
      <c r="O151" s="38"/>
      <c r="P151" s="38"/>
      <c r="Q151" s="14"/>
      <c r="R151" s="39"/>
      <c r="S151" s="39"/>
      <c r="T151" s="39"/>
      <c r="U151" s="40"/>
      <c r="V151" s="54"/>
      <c r="W151" s="55"/>
      <c r="X151" s="56"/>
      <c r="Y151" s="38"/>
      <c r="Z151" s="38"/>
      <c r="AA151" s="38"/>
      <c r="AB151" s="38"/>
    </row>
    <row r="152" spans="1:28">
      <c r="A152" s="42"/>
      <c r="B152" s="39"/>
      <c r="C152" s="40"/>
      <c r="D152" s="42"/>
      <c r="E152" s="38"/>
      <c r="F152" s="43"/>
      <c r="G152" s="63"/>
      <c r="H152" s="58"/>
      <c r="I152" s="38"/>
      <c r="J152" s="38"/>
      <c r="K152" s="46"/>
      <c r="L152" s="47"/>
      <c r="M152" s="93"/>
      <c r="N152" s="93"/>
      <c r="O152" s="38"/>
      <c r="P152" s="38"/>
      <c r="Q152" s="14"/>
      <c r="R152" s="39"/>
      <c r="S152" s="39"/>
      <c r="T152" s="39"/>
      <c r="U152" s="40"/>
      <c r="V152" s="54"/>
      <c r="W152" s="55"/>
      <c r="X152" s="56"/>
      <c r="Y152" s="38"/>
      <c r="Z152" s="38"/>
      <c r="AA152" s="38"/>
      <c r="AB152" s="38"/>
    </row>
    <row r="153" spans="1:28">
      <c r="A153" s="42"/>
      <c r="B153" s="39"/>
      <c r="C153" s="40"/>
      <c r="D153" s="42"/>
      <c r="E153" s="38"/>
      <c r="F153" s="43"/>
      <c r="G153" s="63"/>
      <c r="H153" s="58"/>
      <c r="I153" s="38"/>
      <c r="J153" s="38"/>
      <c r="K153" s="46"/>
      <c r="L153" s="47"/>
      <c r="M153" s="93"/>
      <c r="N153" s="93"/>
      <c r="O153" s="38"/>
      <c r="P153" s="38"/>
      <c r="Q153" s="14"/>
      <c r="R153" s="39"/>
      <c r="S153" s="39"/>
      <c r="T153" s="39"/>
      <c r="U153" s="40"/>
      <c r="V153" s="54"/>
      <c r="W153" s="55"/>
      <c r="X153" s="56"/>
      <c r="Y153" s="38"/>
      <c r="Z153" s="38"/>
      <c r="AA153" s="38"/>
      <c r="AB153" s="38"/>
    </row>
    <row r="154" spans="1:28">
      <c r="A154" s="42"/>
      <c r="B154" s="39"/>
      <c r="C154" s="40"/>
      <c r="D154" s="42"/>
      <c r="E154" s="38"/>
      <c r="F154" s="43"/>
      <c r="G154" s="63"/>
      <c r="H154" s="58"/>
      <c r="I154" s="38"/>
      <c r="J154" s="38"/>
      <c r="K154" s="46"/>
      <c r="L154" s="47"/>
      <c r="M154" s="93"/>
      <c r="N154" s="93"/>
      <c r="O154" s="38"/>
      <c r="P154" s="38"/>
      <c r="Q154" s="14"/>
      <c r="R154" s="39"/>
      <c r="S154" s="39"/>
      <c r="T154" s="39"/>
      <c r="U154" s="40"/>
      <c r="V154" s="54"/>
      <c r="W154" s="55"/>
      <c r="X154" s="56"/>
      <c r="Y154" s="38"/>
      <c r="Z154" s="38"/>
      <c r="AA154" s="38"/>
      <c r="AB154" s="38"/>
    </row>
    <row r="155" spans="1:28">
      <c r="A155" s="42"/>
      <c r="B155" s="39"/>
      <c r="C155" s="40"/>
      <c r="D155" s="42"/>
      <c r="E155" s="38"/>
      <c r="F155" s="43"/>
      <c r="G155" s="63"/>
      <c r="H155" s="58"/>
      <c r="I155" s="38"/>
      <c r="J155" s="38"/>
      <c r="K155" s="46"/>
      <c r="L155" s="47"/>
      <c r="M155" s="93"/>
      <c r="N155" s="93"/>
      <c r="O155" s="38"/>
      <c r="P155" s="38"/>
      <c r="Q155" s="14"/>
      <c r="R155" s="39"/>
      <c r="S155" s="39"/>
      <c r="T155" s="39"/>
      <c r="U155" s="40"/>
      <c r="V155" s="54"/>
      <c r="W155" s="55"/>
      <c r="X155" s="56"/>
      <c r="Y155" s="38"/>
      <c r="Z155" s="38"/>
      <c r="AA155" s="38"/>
      <c r="AB155" s="38"/>
    </row>
    <row r="156" spans="1:28">
      <c r="A156" s="42"/>
      <c r="B156" s="39"/>
      <c r="C156" s="40"/>
      <c r="D156" s="42"/>
      <c r="E156" s="38"/>
      <c r="F156" s="43"/>
      <c r="G156" s="63"/>
      <c r="H156" s="58"/>
      <c r="I156" s="38"/>
      <c r="J156" s="38"/>
      <c r="K156" s="46"/>
      <c r="L156" s="47"/>
      <c r="M156" s="93"/>
      <c r="N156" s="93"/>
      <c r="O156" s="38"/>
      <c r="P156" s="38"/>
      <c r="Q156" s="14"/>
      <c r="R156" s="39"/>
      <c r="S156" s="39"/>
      <c r="T156" s="39"/>
      <c r="U156" s="40"/>
      <c r="V156" s="54"/>
      <c r="W156" s="55"/>
      <c r="X156" s="56"/>
      <c r="Y156" s="38"/>
      <c r="Z156" s="38"/>
      <c r="AA156" s="38"/>
      <c r="AB156" s="38"/>
    </row>
    <row r="157" spans="1:28">
      <c r="A157" s="42"/>
      <c r="B157" s="39"/>
      <c r="C157" s="40"/>
      <c r="D157" s="42"/>
      <c r="E157" s="38"/>
      <c r="F157" s="43"/>
      <c r="G157" s="63"/>
      <c r="H157" s="58"/>
      <c r="I157" s="38"/>
      <c r="J157" s="38"/>
      <c r="K157" s="46"/>
      <c r="L157" s="47"/>
      <c r="M157" s="93"/>
      <c r="N157" s="93"/>
      <c r="O157" s="38"/>
      <c r="P157" s="38"/>
      <c r="Q157" s="14"/>
      <c r="R157" s="39"/>
      <c r="S157" s="39"/>
      <c r="T157" s="39"/>
      <c r="U157" s="40"/>
      <c r="V157" s="54"/>
      <c r="W157" s="55"/>
      <c r="X157" s="56"/>
      <c r="Y157" s="38"/>
      <c r="Z157" s="38"/>
      <c r="AA157" s="38"/>
      <c r="AB157" s="38"/>
    </row>
    <row r="158" spans="1:28">
      <c r="A158" s="42"/>
      <c r="B158" s="39"/>
      <c r="C158" s="40"/>
      <c r="D158" s="42"/>
      <c r="E158" s="38"/>
      <c r="F158" s="43"/>
      <c r="G158" s="63"/>
      <c r="H158" s="58"/>
      <c r="I158" s="38"/>
      <c r="J158" s="38"/>
      <c r="K158" s="46"/>
      <c r="L158" s="47"/>
      <c r="M158" s="93"/>
      <c r="N158" s="93"/>
      <c r="O158" s="38"/>
      <c r="P158" s="38"/>
      <c r="Q158" s="14"/>
      <c r="R158" s="39"/>
      <c r="S158" s="39"/>
      <c r="T158" s="39"/>
      <c r="U158" s="40"/>
      <c r="V158" s="54"/>
      <c r="W158" s="55"/>
      <c r="X158" s="56"/>
      <c r="Y158" s="38"/>
      <c r="Z158" s="38"/>
      <c r="AA158" s="38"/>
      <c r="AB158" s="38"/>
    </row>
    <row r="159" spans="1:28">
      <c r="A159" s="42"/>
      <c r="B159" s="39"/>
      <c r="C159" s="40"/>
      <c r="D159" s="42"/>
      <c r="E159" s="38"/>
      <c r="F159" s="43"/>
      <c r="G159" s="63"/>
      <c r="H159" s="58"/>
      <c r="I159" s="38"/>
      <c r="J159" s="38"/>
      <c r="K159" s="46"/>
      <c r="L159" s="47"/>
      <c r="M159" s="93"/>
      <c r="N159" s="93"/>
      <c r="O159" s="38"/>
      <c r="P159" s="38"/>
      <c r="Q159" s="14"/>
      <c r="R159" s="39"/>
      <c r="S159" s="39"/>
      <c r="T159" s="39"/>
      <c r="U159" s="40"/>
      <c r="V159" s="54"/>
      <c r="W159" s="55"/>
      <c r="X159" s="56"/>
      <c r="Y159" s="38"/>
      <c r="Z159" s="38"/>
      <c r="AA159" s="38"/>
      <c r="AB159" s="38"/>
    </row>
    <row r="160" spans="1:28">
      <c r="A160" s="42"/>
      <c r="B160" s="39"/>
      <c r="C160" s="40"/>
      <c r="D160" s="42"/>
      <c r="E160" s="38"/>
      <c r="F160" s="43"/>
      <c r="G160" s="63"/>
      <c r="H160" s="58"/>
      <c r="I160" s="38"/>
      <c r="J160" s="38"/>
      <c r="K160" s="46"/>
      <c r="L160" s="47"/>
      <c r="M160" s="93"/>
      <c r="N160" s="93"/>
      <c r="O160" s="38"/>
      <c r="P160" s="38"/>
      <c r="Q160" s="14"/>
      <c r="R160" s="39"/>
      <c r="S160" s="39"/>
      <c r="T160" s="39"/>
      <c r="U160" s="40"/>
      <c r="V160" s="54"/>
      <c r="W160" s="55"/>
      <c r="X160" s="56"/>
      <c r="Y160" s="38"/>
      <c r="Z160" s="38"/>
      <c r="AA160" s="38"/>
      <c r="AB160" s="38"/>
    </row>
    <row r="161" spans="1:28">
      <c r="A161" s="42"/>
      <c r="B161" s="39"/>
      <c r="C161" s="40"/>
      <c r="D161" s="42"/>
      <c r="E161" s="38"/>
      <c r="F161" s="43"/>
      <c r="G161" s="63"/>
      <c r="H161" s="58"/>
      <c r="I161" s="38"/>
      <c r="J161" s="38"/>
      <c r="K161" s="46"/>
      <c r="L161" s="47"/>
      <c r="M161" s="93"/>
      <c r="N161" s="93"/>
      <c r="O161" s="38"/>
      <c r="P161" s="38"/>
      <c r="Q161" s="14"/>
      <c r="R161" s="39"/>
      <c r="S161" s="39"/>
      <c r="T161" s="39"/>
      <c r="U161" s="40"/>
      <c r="V161" s="54"/>
      <c r="W161" s="55"/>
      <c r="X161" s="56"/>
      <c r="Y161" s="38"/>
      <c r="Z161" s="38"/>
      <c r="AA161" s="38"/>
      <c r="AB161" s="38"/>
    </row>
    <row r="162" spans="1:28">
      <c r="A162" s="42"/>
      <c r="B162" s="39"/>
      <c r="C162" s="40"/>
      <c r="D162" s="42"/>
      <c r="E162" s="38"/>
      <c r="F162" s="43"/>
      <c r="G162" s="63"/>
      <c r="H162" s="58"/>
      <c r="I162" s="38"/>
      <c r="J162" s="38"/>
      <c r="K162" s="46"/>
      <c r="L162" s="47"/>
      <c r="M162" s="93"/>
      <c r="N162" s="93"/>
      <c r="O162" s="38"/>
      <c r="P162" s="38"/>
      <c r="Q162" s="14"/>
      <c r="R162" s="39"/>
      <c r="S162" s="39"/>
      <c r="T162" s="39"/>
      <c r="U162" s="40"/>
      <c r="V162" s="54"/>
      <c r="W162" s="55"/>
      <c r="X162" s="56"/>
      <c r="Y162" s="38"/>
      <c r="Z162" s="38"/>
      <c r="AA162" s="38"/>
      <c r="AB162" s="38"/>
    </row>
    <row r="163" spans="1:28">
      <c r="A163" s="42"/>
      <c r="B163" s="39"/>
      <c r="C163" s="40"/>
      <c r="D163" s="42"/>
      <c r="E163" s="38"/>
      <c r="F163" s="43"/>
      <c r="G163" s="63"/>
      <c r="H163" s="58"/>
      <c r="I163" s="38"/>
      <c r="J163" s="38"/>
      <c r="K163" s="46"/>
      <c r="L163" s="47"/>
      <c r="M163" s="93"/>
      <c r="N163" s="93"/>
      <c r="O163" s="38"/>
      <c r="P163" s="38"/>
      <c r="Q163" s="14"/>
      <c r="R163" s="39"/>
      <c r="S163" s="39"/>
      <c r="T163" s="39"/>
      <c r="U163" s="40"/>
      <c r="V163" s="54"/>
      <c r="W163" s="55"/>
      <c r="X163" s="56"/>
      <c r="Y163" s="38"/>
      <c r="Z163" s="38"/>
      <c r="AA163" s="38"/>
      <c r="AB163" s="38"/>
    </row>
    <row r="164" spans="1:28">
      <c r="A164" s="42"/>
      <c r="B164" s="39"/>
      <c r="C164" s="40"/>
      <c r="D164" s="42"/>
      <c r="E164" s="38"/>
      <c r="F164" s="43"/>
      <c r="G164" s="63"/>
      <c r="H164" s="58"/>
      <c r="I164" s="38"/>
      <c r="J164" s="38"/>
      <c r="K164" s="46"/>
      <c r="L164" s="47"/>
      <c r="M164" s="93"/>
      <c r="N164" s="93"/>
      <c r="O164" s="38"/>
      <c r="P164" s="38"/>
      <c r="Q164" s="14"/>
      <c r="R164" s="39"/>
      <c r="S164" s="39"/>
      <c r="T164" s="39"/>
      <c r="U164" s="40"/>
      <c r="V164" s="54"/>
      <c r="W164" s="55"/>
      <c r="X164" s="56"/>
      <c r="Y164" s="38"/>
      <c r="Z164" s="38"/>
      <c r="AA164" s="38"/>
      <c r="AB164" s="38"/>
    </row>
    <row r="165" spans="1:28">
      <c r="A165" s="42"/>
      <c r="B165" s="39"/>
      <c r="C165" s="40"/>
      <c r="D165" s="42"/>
      <c r="E165" s="38"/>
      <c r="F165" s="43"/>
      <c r="G165" s="63"/>
      <c r="H165" s="58"/>
      <c r="I165" s="38"/>
      <c r="J165" s="38"/>
      <c r="K165" s="46"/>
      <c r="L165" s="47"/>
      <c r="M165" s="93"/>
      <c r="N165" s="93"/>
      <c r="O165" s="38"/>
      <c r="P165" s="38"/>
      <c r="Q165" s="14"/>
      <c r="R165" s="39"/>
      <c r="S165" s="39"/>
      <c r="T165" s="39"/>
      <c r="U165" s="40"/>
      <c r="V165" s="54"/>
      <c r="W165" s="55"/>
      <c r="X165" s="56"/>
      <c r="Y165" s="38"/>
      <c r="Z165" s="38"/>
      <c r="AA165" s="38"/>
      <c r="AB165" s="38"/>
    </row>
    <row r="166" spans="1:28">
      <c r="A166" s="42"/>
      <c r="B166" s="39"/>
      <c r="C166" s="40"/>
      <c r="D166" s="42"/>
      <c r="E166" s="38"/>
      <c r="F166" s="43"/>
      <c r="G166" s="63"/>
      <c r="H166" s="58"/>
      <c r="I166" s="38"/>
      <c r="J166" s="38"/>
      <c r="K166" s="46"/>
      <c r="L166" s="47"/>
      <c r="M166" s="93"/>
      <c r="N166" s="93"/>
      <c r="O166" s="38"/>
      <c r="P166" s="38"/>
      <c r="Q166" s="14"/>
      <c r="R166" s="39"/>
      <c r="S166" s="39"/>
      <c r="T166" s="39"/>
      <c r="U166" s="40"/>
      <c r="V166" s="54"/>
      <c r="W166" s="55"/>
      <c r="X166" s="56"/>
      <c r="Y166" s="38"/>
      <c r="Z166" s="38"/>
      <c r="AA166" s="38"/>
      <c r="AB166" s="38"/>
    </row>
    <row r="167" spans="1:28">
      <c r="A167" s="42"/>
      <c r="B167" s="39"/>
      <c r="C167" s="40"/>
      <c r="D167" s="42"/>
      <c r="E167" s="38"/>
      <c r="F167" s="43"/>
      <c r="G167" s="63"/>
      <c r="H167" s="58"/>
      <c r="I167" s="38"/>
      <c r="J167" s="38"/>
      <c r="K167" s="46"/>
      <c r="L167" s="47"/>
      <c r="M167" s="93"/>
      <c r="N167" s="93"/>
      <c r="O167" s="38"/>
      <c r="P167" s="38"/>
      <c r="Q167" s="14"/>
      <c r="R167" s="39"/>
      <c r="S167" s="39"/>
      <c r="T167" s="39"/>
      <c r="U167" s="40"/>
      <c r="V167" s="54"/>
      <c r="W167" s="55"/>
      <c r="X167" s="56"/>
      <c r="Y167" s="38"/>
      <c r="Z167" s="38"/>
      <c r="AA167" s="38"/>
      <c r="AB167" s="38"/>
    </row>
    <row r="168" spans="1:28">
      <c r="A168" s="42"/>
      <c r="B168" s="39"/>
      <c r="C168" s="40"/>
      <c r="D168" s="42"/>
      <c r="E168" s="38"/>
      <c r="F168" s="43"/>
      <c r="G168" s="63"/>
      <c r="H168" s="58"/>
      <c r="I168" s="38"/>
      <c r="J168" s="38"/>
      <c r="K168" s="46"/>
      <c r="L168" s="47"/>
      <c r="M168" s="93"/>
      <c r="N168" s="93"/>
      <c r="O168" s="38"/>
      <c r="P168" s="38"/>
      <c r="Q168" s="14"/>
      <c r="R168" s="39"/>
      <c r="S168" s="39"/>
      <c r="T168" s="39"/>
      <c r="U168" s="40"/>
      <c r="V168" s="54"/>
      <c r="W168" s="55"/>
      <c r="X168" s="56"/>
      <c r="Y168" s="38"/>
      <c r="Z168" s="38"/>
      <c r="AA168" s="38"/>
      <c r="AB168" s="38"/>
    </row>
    <row r="169" spans="1:28">
      <c r="A169" s="42"/>
      <c r="B169" s="39"/>
      <c r="C169" s="40"/>
      <c r="D169" s="42"/>
      <c r="E169" s="38"/>
      <c r="F169" s="43"/>
      <c r="G169" s="63"/>
      <c r="H169" s="58"/>
      <c r="I169" s="38"/>
      <c r="J169" s="38"/>
      <c r="K169" s="46"/>
      <c r="L169" s="47"/>
      <c r="M169" s="93"/>
      <c r="N169" s="93"/>
      <c r="O169" s="38"/>
      <c r="P169" s="38"/>
      <c r="Q169" s="14"/>
      <c r="R169" s="39"/>
      <c r="S169" s="39"/>
      <c r="T169" s="39"/>
      <c r="U169" s="40"/>
      <c r="V169" s="54"/>
      <c r="W169" s="55"/>
      <c r="X169" s="56"/>
      <c r="Y169" s="38"/>
      <c r="Z169" s="38"/>
      <c r="AA169" s="38"/>
      <c r="AB169" s="38"/>
    </row>
    <row r="170" spans="1:28">
      <c r="A170" s="42"/>
      <c r="B170" s="39"/>
      <c r="C170" s="40"/>
      <c r="D170" s="42"/>
      <c r="E170" s="38"/>
      <c r="F170" s="43"/>
      <c r="G170" s="63"/>
      <c r="H170" s="58"/>
      <c r="I170" s="38"/>
      <c r="J170" s="38"/>
      <c r="K170" s="46"/>
      <c r="L170" s="47"/>
      <c r="M170" s="93"/>
      <c r="N170" s="93"/>
      <c r="O170" s="38"/>
      <c r="P170" s="38"/>
      <c r="Q170" s="14"/>
      <c r="R170" s="39"/>
      <c r="S170" s="39"/>
      <c r="T170" s="39"/>
      <c r="U170" s="40"/>
      <c r="V170" s="54"/>
      <c r="W170" s="55"/>
      <c r="X170" s="56"/>
      <c r="Y170" s="38"/>
      <c r="Z170" s="38"/>
      <c r="AA170" s="38"/>
      <c r="AB170" s="38"/>
    </row>
    <row r="171" spans="1:28">
      <c r="A171" s="42"/>
      <c r="B171" s="39"/>
      <c r="C171" s="40"/>
      <c r="D171" s="42"/>
      <c r="E171" s="38"/>
      <c r="F171" s="43"/>
      <c r="G171" s="63"/>
      <c r="H171" s="58"/>
      <c r="I171" s="38"/>
      <c r="J171" s="38"/>
      <c r="K171" s="46"/>
      <c r="L171" s="47"/>
      <c r="M171" s="93"/>
      <c r="N171" s="93"/>
      <c r="O171" s="38"/>
      <c r="P171" s="38"/>
      <c r="Q171" s="14"/>
      <c r="R171" s="39"/>
      <c r="S171" s="39"/>
      <c r="T171" s="39"/>
      <c r="U171" s="40"/>
      <c r="V171" s="54"/>
      <c r="W171" s="55"/>
      <c r="X171" s="56"/>
      <c r="Y171" s="38"/>
      <c r="Z171" s="38"/>
      <c r="AA171" s="38"/>
      <c r="AB171" s="38"/>
    </row>
    <row r="172" spans="1:28">
      <c r="A172" s="42"/>
      <c r="B172" s="39"/>
      <c r="C172" s="40"/>
      <c r="D172" s="42"/>
      <c r="E172" s="38"/>
      <c r="F172" s="43"/>
      <c r="G172" s="63"/>
      <c r="H172" s="58"/>
      <c r="I172" s="38"/>
      <c r="J172" s="38"/>
      <c r="K172" s="46"/>
      <c r="L172" s="47"/>
      <c r="M172" s="93"/>
      <c r="N172" s="93"/>
      <c r="O172" s="38"/>
      <c r="P172" s="38"/>
      <c r="Q172" s="14"/>
      <c r="R172" s="39"/>
      <c r="S172" s="39"/>
      <c r="T172" s="39"/>
      <c r="U172" s="40"/>
      <c r="V172" s="54"/>
      <c r="W172" s="55"/>
      <c r="X172" s="56"/>
      <c r="Y172" s="38"/>
      <c r="Z172" s="38"/>
      <c r="AA172" s="38"/>
      <c r="AB172" s="38"/>
    </row>
    <row r="173" spans="1:28">
      <c r="A173" s="42"/>
      <c r="B173" s="39"/>
      <c r="C173" s="40"/>
      <c r="D173" s="42"/>
      <c r="E173" s="38"/>
      <c r="F173" s="43"/>
      <c r="G173" s="63"/>
      <c r="H173" s="58"/>
      <c r="I173" s="38"/>
      <c r="J173" s="38"/>
      <c r="K173" s="46"/>
      <c r="L173" s="47"/>
      <c r="M173" s="93"/>
      <c r="N173" s="93"/>
      <c r="O173" s="38"/>
      <c r="P173" s="38"/>
      <c r="Q173" s="14"/>
      <c r="R173" s="39"/>
      <c r="S173" s="39"/>
      <c r="T173" s="39"/>
      <c r="U173" s="40"/>
      <c r="V173" s="54"/>
      <c r="W173" s="55"/>
      <c r="X173" s="56"/>
      <c r="Y173" s="38"/>
      <c r="Z173" s="38"/>
      <c r="AA173" s="38"/>
      <c r="AB173" s="38"/>
    </row>
    <row r="174" spans="1:28">
      <c r="A174" s="42"/>
      <c r="B174" s="39"/>
      <c r="C174" s="40"/>
      <c r="D174" s="42"/>
      <c r="E174" s="38"/>
      <c r="F174" s="43"/>
      <c r="G174" s="63"/>
      <c r="H174" s="58"/>
      <c r="I174" s="38"/>
      <c r="J174" s="38"/>
      <c r="K174" s="46"/>
      <c r="L174" s="47"/>
      <c r="M174" s="93"/>
      <c r="N174" s="93"/>
      <c r="O174" s="38"/>
      <c r="P174" s="38"/>
      <c r="Q174" s="14"/>
      <c r="R174" s="39"/>
      <c r="S174" s="39"/>
      <c r="T174" s="39"/>
      <c r="U174" s="40"/>
      <c r="V174" s="54"/>
      <c r="W174" s="55"/>
      <c r="X174" s="56"/>
      <c r="Y174" s="38"/>
      <c r="Z174" s="38"/>
      <c r="AA174" s="38"/>
      <c r="AB174" s="38"/>
    </row>
    <row r="175" spans="1:28">
      <c r="A175" s="42"/>
      <c r="B175" s="39"/>
      <c r="C175" s="40"/>
      <c r="D175" s="42"/>
      <c r="E175" s="38"/>
      <c r="F175" s="43"/>
      <c r="G175" s="63"/>
      <c r="H175" s="58"/>
      <c r="I175" s="38"/>
      <c r="J175" s="38"/>
      <c r="K175" s="46"/>
      <c r="L175" s="47"/>
      <c r="M175" s="93"/>
      <c r="N175" s="93"/>
      <c r="O175" s="38"/>
      <c r="P175" s="38"/>
      <c r="Q175" s="14"/>
      <c r="R175" s="39"/>
      <c r="S175" s="39"/>
      <c r="T175" s="39"/>
      <c r="U175" s="40"/>
      <c r="V175" s="54"/>
      <c r="W175" s="55"/>
      <c r="X175" s="56"/>
      <c r="Y175" s="38"/>
      <c r="Z175" s="38"/>
      <c r="AA175" s="38"/>
      <c r="AB175" s="38"/>
    </row>
    <row r="176" spans="1:28">
      <c r="A176" s="42"/>
      <c r="B176" s="39"/>
      <c r="C176" s="40"/>
      <c r="D176" s="42"/>
      <c r="E176" s="38"/>
      <c r="F176" s="43"/>
      <c r="G176" s="63"/>
      <c r="H176" s="58"/>
      <c r="I176" s="38"/>
      <c r="J176" s="38"/>
      <c r="K176" s="46"/>
      <c r="L176" s="47"/>
      <c r="M176" s="93"/>
      <c r="N176" s="93"/>
      <c r="O176" s="38"/>
      <c r="P176" s="38"/>
      <c r="Q176" s="14"/>
      <c r="R176" s="39"/>
      <c r="S176" s="39"/>
      <c r="T176" s="39"/>
      <c r="U176" s="40"/>
      <c r="V176" s="54"/>
      <c r="W176" s="55"/>
      <c r="X176" s="56"/>
      <c r="Y176" s="38"/>
      <c r="Z176" s="38"/>
      <c r="AA176" s="38"/>
      <c r="AB176" s="38"/>
    </row>
    <row r="177" spans="1:28">
      <c r="A177" s="42"/>
      <c r="B177" s="39"/>
      <c r="C177" s="40"/>
      <c r="D177" s="42"/>
      <c r="E177" s="38"/>
      <c r="F177" s="43"/>
      <c r="G177" s="63"/>
      <c r="H177" s="58"/>
      <c r="I177" s="38"/>
      <c r="J177" s="38"/>
      <c r="K177" s="46"/>
      <c r="L177" s="47"/>
      <c r="M177" s="93"/>
      <c r="N177" s="93"/>
      <c r="O177" s="38"/>
      <c r="P177" s="38"/>
      <c r="Q177" s="14"/>
      <c r="R177" s="39"/>
      <c r="S177" s="39"/>
      <c r="T177" s="39"/>
      <c r="U177" s="40"/>
      <c r="V177" s="54"/>
      <c r="W177" s="55"/>
      <c r="X177" s="56"/>
      <c r="Y177" s="38"/>
      <c r="Z177" s="38"/>
      <c r="AA177" s="38"/>
      <c r="AB177" s="38"/>
    </row>
    <row r="178" spans="1:28">
      <c r="A178" s="42"/>
      <c r="B178" s="39"/>
      <c r="C178" s="40"/>
      <c r="D178" s="42"/>
      <c r="E178" s="38"/>
      <c r="F178" s="43"/>
      <c r="G178" s="63"/>
      <c r="H178" s="58"/>
      <c r="I178" s="38"/>
      <c r="J178" s="38"/>
      <c r="K178" s="46"/>
      <c r="L178" s="47"/>
      <c r="M178" s="93"/>
      <c r="N178" s="93"/>
      <c r="O178" s="38"/>
      <c r="P178" s="38"/>
      <c r="Q178" s="14"/>
      <c r="R178" s="39"/>
      <c r="S178" s="39"/>
      <c r="T178" s="39"/>
      <c r="U178" s="40"/>
      <c r="V178" s="54"/>
      <c r="W178" s="55"/>
      <c r="X178" s="56"/>
      <c r="Y178" s="38"/>
      <c r="Z178" s="38"/>
      <c r="AA178" s="38"/>
      <c r="AB178" s="38"/>
    </row>
    <row r="179" spans="1:28">
      <c r="A179" s="42"/>
      <c r="B179" s="39"/>
      <c r="C179" s="40"/>
      <c r="D179" s="42"/>
      <c r="E179" s="38"/>
      <c r="F179" s="43"/>
      <c r="G179" s="63"/>
      <c r="H179" s="58"/>
      <c r="I179" s="38"/>
      <c r="J179" s="38"/>
      <c r="K179" s="46"/>
      <c r="L179" s="47"/>
      <c r="M179" s="93"/>
      <c r="N179" s="93"/>
      <c r="O179" s="38"/>
      <c r="P179" s="38"/>
      <c r="Q179" s="14"/>
      <c r="R179" s="39"/>
      <c r="S179" s="39"/>
      <c r="T179" s="39"/>
      <c r="U179" s="40"/>
      <c r="V179" s="54"/>
      <c r="W179" s="55"/>
      <c r="X179" s="56"/>
      <c r="Y179" s="38"/>
      <c r="Z179" s="38"/>
      <c r="AA179" s="38"/>
      <c r="AB179" s="38"/>
    </row>
    <row r="180" spans="1:28">
      <c r="A180" s="42"/>
      <c r="B180" s="39"/>
      <c r="C180" s="40"/>
      <c r="D180" s="42"/>
      <c r="E180" s="38"/>
      <c r="F180" s="43"/>
      <c r="G180" s="63"/>
      <c r="H180" s="58"/>
      <c r="I180" s="38"/>
      <c r="J180" s="38"/>
      <c r="K180" s="46"/>
      <c r="L180" s="47"/>
      <c r="M180" s="93"/>
      <c r="N180" s="93"/>
      <c r="O180" s="38"/>
      <c r="P180" s="38"/>
      <c r="Q180" s="14"/>
      <c r="R180" s="39"/>
      <c r="S180" s="39"/>
      <c r="T180" s="39"/>
      <c r="U180" s="40"/>
      <c r="V180" s="54"/>
      <c r="W180" s="55"/>
      <c r="X180" s="56"/>
      <c r="Y180" s="38"/>
      <c r="Z180" s="38"/>
      <c r="AA180" s="38"/>
      <c r="AB180" s="38"/>
    </row>
    <row r="181" spans="1:28">
      <c r="A181" s="42"/>
      <c r="B181" s="39"/>
      <c r="C181" s="40"/>
      <c r="D181" s="42"/>
      <c r="E181" s="38"/>
      <c r="F181" s="43"/>
      <c r="G181" s="63"/>
      <c r="H181" s="58"/>
      <c r="I181" s="38"/>
      <c r="J181" s="38"/>
      <c r="K181" s="46"/>
      <c r="L181" s="47"/>
      <c r="M181" s="93"/>
      <c r="N181" s="93"/>
      <c r="O181" s="38"/>
      <c r="P181" s="38"/>
      <c r="Q181" s="14"/>
      <c r="R181" s="39"/>
      <c r="S181" s="39"/>
      <c r="T181" s="39"/>
      <c r="U181" s="40"/>
      <c r="V181" s="54"/>
      <c r="W181" s="55"/>
      <c r="X181" s="56"/>
      <c r="Y181" s="38"/>
      <c r="Z181" s="38"/>
      <c r="AA181" s="38"/>
      <c r="AB181" s="38"/>
    </row>
    <row r="182" spans="1:28">
      <c r="A182" s="42"/>
      <c r="B182" s="39"/>
      <c r="C182" s="40"/>
      <c r="D182" s="42"/>
      <c r="E182" s="38"/>
      <c r="F182" s="43"/>
      <c r="G182" s="63"/>
      <c r="H182" s="58"/>
      <c r="I182" s="38"/>
      <c r="J182" s="38"/>
      <c r="K182" s="46"/>
      <c r="L182" s="47"/>
      <c r="M182" s="93"/>
      <c r="N182" s="93"/>
      <c r="O182" s="38"/>
      <c r="P182" s="38"/>
      <c r="Q182" s="14"/>
      <c r="R182" s="39"/>
      <c r="S182" s="39"/>
      <c r="T182" s="39"/>
      <c r="U182" s="40"/>
      <c r="V182" s="54"/>
      <c r="W182" s="55"/>
      <c r="X182" s="56"/>
      <c r="Y182" s="38"/>
      <c r="Z182" s="38"/>
      <c r="AA182" s="38"/>
      <c r="AB182" s="38"/>
    </row>
    <row r="183" spans="1:28">
      <c r="A183" s="42"/>
      <c r="B183" s="39"/>
      <c r="C183" s="40"/>
      <c r="D183" s="42"/>
      <c r="E183" s="38"/>
      <c r="F183" s="43"/>
      <c r="G183" s="63"/>
      <c r="H183" s="58"/>
      <c r="I183" s="38"/>
      <c r="J183" s="38"/>
      <c r="K183" s="46"/>
      <c r="L183" s="47"/>
      <c r="M183" s="93"/>
      <c r="N183" s="93"/>
      <c r="O183" s="38"/>
      <c r="P183" s="38"/>
      <c r="Q183" s="14"/>
      <c r="R183" s="39"/>
      <c r="S183" s="39"/>
      <c r="T183" s="39"/>
      <c r="U183" s="40"/>
      <c r="V183" s="54"/>
      <c r="W183" s="55"/>
      <c r="X183" s="56"/>
      <c r="Y183" s="38"/>
      <c r="Z183" s="38"/>
      <c r="AA183" s="38"/>
      <c r="AB183" s="38"/>
    </row>
    <row r="184" spans="1:28">
      <c r="A184" s="42"/>
      <c r="B184" s="39"/>
      <c r="C184" s="40"/>
      <c r="D184" s="42"/>
      <c r="E184" s="38"/>
      <c r="F184" s="43"/>
      <c r="G184" s="63"/>
      <c r="H184" s="58"/>
      <c r="I184" s="38"/>
      <c r="J184" s="38"/>
      <c r="K184" s="46"/>
      <c r="L184" s="47"/>
      <c r="M184" s="93"/>
      <c r="N184" s="93"/>
      <c r="O184" s="38"/>
      <c r="P184" s="38"/>
      <c r="Q184" s="14"/>
      <c r="R184" s="39"/>
      <c r="S184" s="39"/>
      <c r="T184" s="39"/>
      <c r="U184" s="40"/>
      <c r="V184" s="54"/>
      <c r="W184" s="55"/>
      <c r="X184" s="56"/>
      <c r="Y184" s="38"/>
      <c r="Z184" s="38"/>
      <c r="AA184" s="38"/>
      <c r="AB184" s="38"/>
    </row>
    <row r="185" spans="1:28">
      <c r="A185" s="42"/>
      <c r="B185" s="39"/>
      <c r="C185" s="40"/>
      <c r="D185" s="42"/>
      <c r="E185" s="38"/>
      <c r="F185" s="43"/>
      <c r="G185" s="63"/>
      <c r="H185" s="58"/>
      <c r="I185" s="38"/>
      <c r="J185" s="38"/>
      <c r="K185" s="46"/>
      <c r="L185" s="47"/>
      <c r="M185" s="93"/>
      <c r="N185" s="93"/>
      <c r="O185" s="38"/>
      <c r="P185" s="38"/>
      <c r="Q185" s="14"/>
      <c r="R185" s="39"/>
      <c r="S185" s="39"/>
      <c r="T185" s="39"/>
      <c r="U185" s="40"/>
      <c r="V185" s="54"/>
      <c r="W185" s="55"/>
      <c r="X185" s="56"/>
      <c r="Y185" s="38"/>
      <c r="Z185" s="38"/>
      <c r="AA185" s="38"/>
      <c r="AB185" s="38"/>
    </row>
    <row r="186" spans="1:28">
      <c r="A186" s="42"/>
      <c r="B186" s="39"/>
      <c r="C186" s="40"/>
      <c r="D186" s="42"/>
      <c r="E186" s="38"/>
      <c r="F186" s="43"/>
      <c r="G186" s="63"/>
      <c r="H186" s="58"/>
      <c r="I186" s="38"/>
      <c r="J186" s="38"/>
      <c r="K186" s="46"/>
      <c r="L186" s="47"/>
      <c r="M186" s="93"/>
      <c r="N186" s="93"/>
      <c r="O186" s="38"/>
      <c r="P186" s="38"/>
      <c r="Q186" s="14"/>
      <c r="R186" s="39"/>
      <c r="S186" s="39"/>
      <c r="T186" s="39"/>
      <c r="U186" s="40"/>
      <c r="V186" s="54"/>
      <c r="W186" s="55"/>
      <c r="X186" s="56"/>
      <c r="Y186" s="38"/>
      <c r="Z186" s="38"/>
      <c r="AA186" s="38"/>
      <c r="AB186" s="38"/>
    </row>
    <row r="187" spans="1:28">
      <c r="A187" s="42"/>
      <c r="B187" s="39"/>
      <c r="C187" s="40"/>
      <c r="D187" s="42"/>
      <c r="E187" s="38"/>
      <c r="F187" s="43"/>
      <c r="G187" s="63"/>
      <c r="H187" s="58"/>
      <c r="I187" s="38"/>
      <c r="J187" s="38"/>
      <c r="K187" s="46"/>
      <c r="L187" s="47"/>
      <c r="M187" s="93"/>
      <c r="N187" s="93"/>
      <c r="O187" s="38"/>
      <c r="P187" s="38"/>
      <c r="Q187" s="14"/>
      <c r="R187" s="39"/>
      <c r="S187" s="39"/>
      <c r="T187" s="39"/>
      <c r="U187" s="40"/>
      <c r="V187" s="54"/>
      <c r="W187" s="55"/>
      <c r="X187" s="56"/>
      <c r="Y187" s="38"/>
      <c r="Z187" s="38"/>
      <c r="AA187" s="38"/>
      <c r="AB187" s="38"/>
    </row>
    <row r="188" spans="1:28">
      <c r="A188" s="42"/>
      <c r="B188" s="39"/>
      <c r="C188" s="40"/>
      <c r="D188" s="42"/>
      <c r="E188" s="38"/>
      <c r="F188" s="43"/>
      <c r="G188" s="63"/>
      <c r="H188" s="58"/>
      <c r="I188" s="38"/>
      <c r="J188" s="38"/>
      <c r="K188" s="46"/>
      <c r="L188" s="47"/>
      <c r="M188" s="93"/>
      <c r="N188" s="93"/>
      <c r="O188" s="38"/>
      <c r="P188" s="38"/>
      <c r="Q188" s="14"/>
      <c r="R188" s="39"/>
      <c r="S188" s="39"/>
      <c r="T188" s="39"/>
      <c r="U188" s="40"/>
      <c r="V188" s="54"/>
      <c r="W188" s="55"/>
      <c r="X188" s="56"/>
      <c r="Y188" s="38"/>
      <c r="Z188" s="38"/>
      <c r="AA188" s="38"/>
      <c r="AB188" s="38"/>
    </row>
    <row r="189" spans="1:28">
      <c r="A189" s="42"/>
      <c r="B189" s="39"/>
      <c r="C189" s="40"/>
      <c r="D189" s="42"/>
      <c r="E189" s="38"/>
      <c r="F189" s="43"/>
      <c r="G189" s="63"/>
      <c r="H189" s="58"/>
      <c r="I189" s="38"/>
      <c r="J189" s="38"/>
      <c r="K189" s="46"/>
      <c r="L189" s="47"/>
      <c r="M189" s="93"/>
      <c r="N189" s="93"/>
      <c r="O189" s="38"/>
      <c r="P189" s="38"/>
      <c r="Q189" s="14"/>
      <c r="R189" s="39"/>
      <c r="S189" s="39"/>
      <c r="T189" s="39"/>
      <c r="U189" s="40"/>
      <c r="V189" s="54"/>
      <c r="W189" s="55"/>
      <c r="X189" s="56"/>
      <c r="Y189" s="38"/>
      <c r="Z189" s="38"/>
      <c r="AA189" s="38"/>
      <c r="AB189" s="38"/>
    </row>
    <row r="190" spans="1:28">
      <c r="A190" s="42"/>
      <c r="B190" s="39"/>
      <c r="C190" s="40"/>
      <c r="D190" s="42"/>
      <c r="E190" s="38"/>
      <c r="F190" s="43"/>
      <c r="G190" s="63"/>
      <c r="H190" s="58"/>
      <c r="I190" s="38"/>
      <c r="J190" s="38"/>
      <c r="K190" s="46"/>
      <c r="L190" s="47"/>
      <c r="M190" s="93"/>
      <c r="N190" s="93"/>
      <c r="O190" s="38"/>
      <c r="P190" s="38"/>
      <c r="Q190" s="14"/>
      <c r="R190" s="39"/>
      <c r="S190" s="39"/>
      <c r="T190" s="39"/>
      <c r="U190" s="40"/>
      <c r="V190" s="54"/>
      <c r="W190" s="55"/>
      <c r="X190" s="56"/>
      <c r="Y190" s="38"/>
      <c r="Z190" s="38"/>
      <c r="AA190" s="38"/>
      <c r="AB190" s="38"/>
    </row>
    <row r="191" spans="1:28">
      <c r="A191" s="42"/>
      <c r="B191" s="39"/>
      <c r="C191" s="40"/>
      <c r="D191" s="42"/>
      <c r="E191" s="38"/>
      <c r="F191" s="43"/>
      <c r="G191" s="63"/>
      <c r="H191" s="58"/>
      <c r="I191" s="38"/>
      <c r="J191" s="38"/>
      <c r="K191" s="46"/>
      <c r="L191" s="47"/>
      <c r="M191" s="93"/>
      <c r="N191" s="93"/>
      <c r="O191" s="38"/>
      <c r="P191" s="38"/>
      <c r="Q191" s="14"/>
      <c r="R191" s="39"/>
      <c r="S191" s="39"/>
      <c r="T191" s="39"/>
      <c r="U191" s="40"/>
      <c r="V191" s="54"/>
      <c r="W191" s="55"/>
      <c r="X191" s="56"/>
      <c r="Y191" s="38"/>
      <c r="Z191" s="38"/>
      <c r="AA191" s="38"/>
      <c r="AB191" s="38"/>
    </row>
    <row r="192" spans="1:28">
      <c r="A192" s="42"/>
      <c r="B192" s="39"/>
      <c r="C192" s="40"/>
      <c r="D192" s="42"/>
      <c r="E192" s="38"/>
      <c r="F192" s="43"/>
      <c r="G192" s="63"/>
      <c r="H192" s="58"/>
      <c r="I192" s="38"/>
      <c r="J192" s="38"/>
      <c r="K192" s="46"/>
      <c r="L192" s="47"/>
      <c r="M192" s="93"/>
      <c r="N192" s="93"/>
      <c r="O192" s="38"/>
      <c r="P192" s="38"/>
      <c r="Q192" s="14"/>
      <c r="R192" s="39"/>
      <c r="S192" s="39"/>
      <c r="T192" s="39"/>
      <c r="U192" s="40"/>
      <c r="V192" s="54"/>
      <c r="W192" s="55"/>
      <c r="X192" s="56"/>
      <c r="Y192" s="38"/>
      <c r="Z192" s="38"/>
      <c r="AA192" s="38"/>
      <c r="AB192" s="38"/>
    </row>
    <row r="193" spans="1:28">
      <c r="A193" s="42"/>
      <c r="B193" s="39"/>
      <c r="C193" s="40"/>
      <c r="D193" s="42"/>
      <c r="E193" s="38"/>
      <c r="F193" s="43"/>
      <c r="G193" s="63"/>
      <c r="H193" s="58"/>
      <c r="I193" s="38"/>
      <c r="J193" s="38"/>
      <c r="K193" s="46"/>
      <c r="L193" s="47"/>
      <c r="M193" s="93"/>
      <c r="N193" s="93"/>
      <c r="O193" s="38"/>
      <c r="P193" s="38"/>
      <c r="Q193" s="14"/>
      <c r="R193" s="39"/>
      <c r="S193" s="39"/>
      <c r="T193" s="39"/>
      <c r="U193" s="40"/>
      <c r="V193" s="54"/>
      <c r="W193" s="55"/>
      <c r="X193" s="56"/>
      <c r="Y193" s="38"/>
      <c r="Z193" s="38"/>
      <c r="AA193" s="38"/>
      <c r="AB193" s="38"/>
    </row>
    <row r="194" spans="1:28">
      <c r="A194" s="42"/>
      <c r="B194" s="39"/>
      <c r="C194" s="40"/>
      <c r="D194" s="42"/>
      <c r="E194" s="38"/>
      <c r="F194" s="43"/>
      <c r="G194" s="63"/>
      <c r="H194" s="58"/>
      <c r="I194" s="38"/>
      <c r="J194" s="38"/>
      <c r="K194" s="46"/>
      <c r="L194" s="47"/>
      <c r="M194" s="93"/>
      <c r="N194" s="93"/>
      <c r="O194" s="38"/>
      <c r="P194" s="38"/>
      <c r="Q194" s="14"/>
      <c r="R194" s="39"/>
      <c r="S194" s="39"/>
      <c r="T194" s="39"/>
      <c r="U194" s="40"/>
      <c r="V194" s="54"/>
      <c r="W194" s="55"/>
      <c r="X194" s="56"/>
      <c r="Y194" s="38"/>
      <c r="Z194" s="38"/>
      <c r="AA194" s="38"/>
      <c r="AB194" s="38"/>
    </row>
    <row r="195" spans="1:28">
      <c r="A195" s="42"/>
      <c r="B195" s="39"/>
      <c r="C195" s="40"/>
      <c r="D195" s="42"/>
      <c r="E195" s="38"/>
      <c r="F195" s="43"/>
      <c r="G195" s="63"/>
      <c r="H195" s="58"/>
      <c r="I195" s="38"/>
      <c r="J195" s="38"/>
      <c r="K195" s="46"/>
      <c r="L195" s="47"/>
      <c r="M195" s="93"/>
      <c r="N195" s="93"/>
      <c r="O195" s="38"/>
      <c r="P195" s="38"/>
      <c r="Q195" s="14"/>
      <c r="R195" s="39"/>
      <c r="S195" s="39"/>
      <c r="T195" s="39"/>
      <c r="U195" s="40"/>
      <c r="V195" s="54"/>
      <c r="W195" s="55"/>
      <c r="X195" s="56"/>
      <c r="Y195" s="38"/>
      <c r="Z195" s="38"/>
      <c r="AA195" s="38"/>
      <c r="AB195" s="38"/>
    </row>
    <row r="196" spans="1:28">
      <c r="A196" s="42"/>
      <c r="B196" s="39"/>
      <c r="C196" s="40"/>
      <c r="D196" s="42"/>
      <c r="E196" s="38"/>
      <c r="F196" s="43"/>
      <c r="G196" s="63"/>
      <c r="H196" s="58"/>
      <c r="I196" s="38"/>
      <c r="J196" s="38"/>
      <c r="K196" s="46"/>
      <c r="L196" s="47"/>
      <c r="M196" s="93"/>
      <c r="N196" s="93"/>
      <c r="O196" s="38"/>
      <c r="P196" s="38"/>
      <c r="Q196" s="14"/>
      <c r="R196" s="39"/>
      <c r="S196" s="39"/>
      <c r="T196" s="39"/>
      <c r="U196" s="40"/>
      <c r="V196" s="54"/>
      <c r="W196" s="55"/>
      <c r="X196" s="56"/>
      <c r="Y196" s="38"/>
      <c r="Z196" s="38"/>
      <c r="AA196" s="38"/>
      <c r="AB196" s="38"/>
    </row>
    <row r="197" spans="1:28">
      <c r="A197" s="42"/>
      <c r="B197" s="39"/>
      <c r="C197" s="40"/>
      <c r="D197" s="42"/>
      <c r="E197" s="38"/>
      <c r="F197" s="43"/>
      <c r="G197" s="63"/>
      <c r="H197" s="58"/>
      <c r="I197" s="38"/>
      <c r="J197" s="38"/>
      <c r="K197" s="46"/>
      <c r="L197" s="47"/>
      <c r="M197" s="93"/>
      <c r="N197" s="93"/>
      <c r="O197" s="38"/>
      <c r="P197" s="38"/>
      <c r="Q197" s="14"/>
      <c r="R197" s="39"/>
      <c r="S197" s="39"/>
      <c r="T197" s="39"/>
      <c r="U197" s="40"/>
      <c r="V197" s="54"/>
      <c r="W197" s="55"/>
      <c r="X197" s="56"/>
      <c r="Y197" s="38"/>
      <c r="Z197" s="38"/>
      <c r="AA197" s="38"/>
      <c r="AB197" s="38"/>
    </row>
    <row r="198" spans="1:28">
      <c r="A198" s="42"/>
      <c r="B198" s="39"/>
      <c r="C198" s="40"/>
      <c r="D198" s="42"/>
      <c r="E198" s="38"/>
      <c r="F198" s="43"/>
      <c r="G198" s="63"/>
      <c r="H198" s="58"/>
      <c r="I198" s="38"/>
      <c r="J198" s="38"/>
      <c r="K198" s="46"/>
      <c r="L198" s="47"/>
      <c r="M198" s="93"/>
      <c r="N198" s="93"/>
      <c r="O198" s="38"/>
      <c r="P198" s="38"/>
      <c r="Q198" s="14"/>
      <c r="R198" s="39"/>
      <c r="S198" s="39"/>
      <c r="T198" s="39"/>
      <c r="U198" s="40"/>
      <c r="V198" s="54"/>
      <c r="W198" s="55"/>
      <c r="X198" s="56"/>
      <c r="Y198" s="38"/>
      <c r="Z198" s="38"/>
      <c r="AA198" s="38"/>
      <c r="AB198" s="38"/>
    </row>
    <row r="199" spans="1:28">
      <c r="A199" s="42"/>
      <c r="B199" s="39"/>
      <c r="C199" s="40"/>
      <c r="D199" s="42"/>
      <c r="E199" s="38"/>
      <c r="F199" s="43"/>
      <c r="G199" s="63"/>
      <c r="H199" s="58"/>
      <c r="I199" s="38"/>
      <c r="J199" s="38"/>
      <c r="K199" s="46"/>
      <c r="L199" s="47"/>
      <c r="M199" s="93"/>
      <c r="N199" s="93"/>
      <c r="O199" s="38"/>
      <c r="P199" s="38"/>
      <c r="Q199" s="14"/>
      <c r="R199" s="39"/>
      <c r="S199" s="39"/>
      <c r="T199" s="39"/>
      <c r="U199" s="40"/>
      <c r="V199" s="54"/>
      <c r="W199" s="55"/>
      <c r="X199" s="56"/>
      <c r="Y199" s="38"/>
      <c r="Z199" s="38"/>
      <c r="AA199" s="38"/>
      <c r="AB199" s="38"/>
    </row>
    <row r="200" spans="1:28">
      <c r="A200" s="42"/>
      <c r="B200" s="39"/>
      <c r="C200" s="40"/>
      <c r="D200" s="42"/>
      <c r="E200" s="38"/>
      <c r="F200" s="43"/>
      <c r="G200" s="63"/>
      <c r="H200" s="58"/>
      <c r="I200" s="38"/>
      <c r="J200" s="38"/>
      <c r="K200" s="46"/>
      <c r="L200" s="47"/>
      <c r="M200" s="93"/>
      <c r="N200" s="93"/>
      <c r="O200" s="38"/>
      <c r="P200" s="38"/>
      <c r="Q200" s="14"/>
      <c r="R200" s="39"/>
      <c r="S200" s="39"/>
      <c r="T200" s="39"/>
      <c r="U200" s="40"/>
      <c r="V200" s="54"/>
      <c r="W200" s="55"/>
      <c r="X200" s="56"/>
      <c r="Y200" s="38"/>
      <c r="Z200" s="38"/>
      <c r="AA200" s="38"/>
      <c r="AB200" s="38"/>
    </row>
    <row r="201" spans="1:28">
      <c r="A201" s="42"/>
      <c r="B201" s="39"/>
      <c r="C201" s="40"/>
      <c r="D201" s="42"/>
      <c r="E201" s="38"/>
      <c r="F201" s="43"/>
      <c r="G201" s="63"/>
      <c r="H201" s="58"/>
      <c r="I201" s="38"/>
      <c r="J201" s="38"/>
      <c r="K201" s="46"/>
      <c r="L201" s="47"/>
      <c r="M201" s="93"/>
      <c r="N201" s="93"/>
      <c r="O201" s="38"/>
      <c r="P201" s="38"/>
      <c r="Q201" s="14"/>
      <c r="R201" s="39"/>
      <c r="S201" s="39"/>
      <c r="T201" s="39"/>
      <c r="U201" s="40"/>
      <c r="V201" s="54"/>
      <c r="W201" s="55"/>
      <c r="X201" s="56"/>
      <c r="Y201" s="38"/>
      <c r="Z201" s="38"/>
      <c r="AA201" s="38"/>
      <c r="AB201" s="38"/>
    </row>
    <row r="202" spans="1:28">
      <c r="A202" s="42"/>
      <c r="B202" s="39"/>
      <c r="C202" s="40"/>
      <c r="D202" s="42"/>
      <c r="E202" s="38"/>
      <c r="F202" s="43"/>
      <c r="G202" s="63"/>
      <c r="H202" s="58"/>
      <c r="I202" s="38"/>
      <c r="J202" s="38"/>
      <c r="K202" s="46"/>
      <c r="L202" s="47"/>
      <c r="M202" s="93"/>
      <c r="N202" s="93"/>
      <c r="O202" s="38"/>
      <c r="P202" s="38"/>
      <c r="Q202" s="14"/>
      <c r="R202" s="39"/>
      <c r="S202" s="39"/>
      <c r="T202" s="39"/>
      <c r="U202" s="40"/>
      <c r="V202" s="54"/>
      <c r="W202" s="55"/>
      <c r="X202" s="56"/>
      <c r="Y202" s="38"/>
      <c r="Z202" s="38"/>
      <c r="AA202" s="38"/>
      <c r="AB202" s="38"/>
    </row>
    <row r="203" spans="1:28">
      <c r="A203" s="42"/>
      <c r="B203" s="39"/>
      <c r="C203" s="40"/>
      <c r="D203" s="42"/>
      <c r="E203" s="38"/>
      <c r="F203" s="43"/>
      <c r="G203" s="63"/>
      <c r="H203" s="58"/>
      <c r="I203" s="38"/>
      <c r="J203" s="38"/>
      <c r="K203" s="46"/>
      <c r="L203" s="47"/>
      <c r="M203" s="93"/>
      <c r="N203" s="93"/>
      <c r="O203" s="38"/>
      <c r="P203" s="38"/>
      <c r="Q203" s="14"/>
      <c r="R203" s="39"/>
      <c r="S203" s="39"/>
      <c r="T203" s="39"/>
      <c r="U203" s="40"/>
      <c r="V203" s="54"/>
      <c r="W203" s="55"/>
      <c r="X203" s="56"/>
      <c r="Y203" s="38"/>
      <c r="Z203" s="38"/>
      <c r="AA203" s="38"/>
      <c r="AB203" s="38"/>
    </row>
    <row r="204" spans="1:28">
      <c r="A204" s="42"/>
      <c r="B204" s="39"/>
      <c r="C204" s="40"/>
      <c r="D204" s="42"/>
      <c r="E204" s="38"/>
      <c r="F204" s="43"/>
      <c r="G204" s="63"/>
      <c r="H204" s="58"/>
      <c r="I204" s="38"/>
      <c r="J204" s="38"/>
      <c r="K204" s="46"/>
      <c r="L204" s="47"/>
      <c r="M204" s="93"/>
      <c r="N204" s="93"/>
      <c r="O204" s="38"/>
      <c r="P204" s="38"/>
      <c r="Q204" s="14"/>
      <c r="R204" s="39"/>
      <c r="S204" s="39"/>
      <c r="T204" s="39"/>
      <c r="U204" s="40"/>
      <c r="V204" s="54"/>
      <c r="W204" s="55"/>
      <c r="X204" s="56"/>
      <c r="Y204" s="38"/>
      <c r="Z204" s="38"/>
      <c r="AA204" s="38"/>
      <c r="AB204" s="38"/>
    </row>
    <row r="205" spans="1:28">
      <c r="A205" s="42"/>
      <c r="B205" s="39"/>
      <c r="C205" s="40"/>
      <c r="D205" s="42"/>
      <c r="E205" s="38"/>
      <c r="F205" s="43"/>
      <c r="G205" s="63"/>
      <c r="H205" s="58"/>
      <c r="I205" s="38"/>
      <c r="J205" s="38"/>
      <c r="K205" s="46"/>
      <c r="L205" s="47"/>
      <c r="M205" s="93"/>
      <c r="N205" s="93"/>
      <c r="O205" s="38"/>
      <c r="P205" s="38"/>
      <c r="Q205" s="14"/>
      <c r="R205" s="39"/>
      <c r="S205" s="39"/>
      <c r="T205" s="39"/>
      <c r="U205" s="40"/>
      <c r="V205" s="54"/>
      <c r="W205" s="55"/>
      <c r="X205" s="56"/>
      <c r="Y205" s="38"/>
      <c r="Z205" s="38"/>
      <c r="AA205" s="38"/>
      <c r="AB205" s="38"/>
    </row>
    <row r="206" spans="1:28">
      <c r="A206" s="42"/>
      <c r="B206" s="39"/>
      <c r="C206" s="40"/>
      <c r="D206" s="42"/>
      <c r="E206" s="38"/>
      <c r="F206" s="43"/>
      <c r="G206" s="63"/>
      <c r="H206" s="58"/>
      <c r="I206" s="38"/>
      <c r="J206" s="38"/>
      <c r="K206" s="46"/>
      <c r="L206" s="47"/>
      <c r="M206" s="93"/>
      <c r="N206" s="93"/>
      <c r="O206" s="38"/>
      <c r="P206" s="38"/>
      <c r="Q206" s="14"/>
      <c r="R206" s="39"/>
      <c r="S206" s="39"/>
      <c r="T206" s="39"/>
      <c r="U206" s="40"/>
      <c r="V206" s="54"/>
      <c r="W206" s="55"/>
      <c r="X206" s="56"/>
      <c r="Y206" s="38"/>
      <c r="Z206" s="38"/>
      <c r="AA206" s="38"/>
      <c r="AB206" s="38"/>
    </row>
    <row r="207" spans="1:28">
      <c r="A207" s="42"/>
      <c r="B207" s="39"/>
      <c r="C207" s="40"/>
      <c r="D207" s="42"/>
      <c r="E207" s="38"/>
      <c r="F207" s="43"/>
      <c r="G207" s="63"/>
      <c r="H207" s="58"/>
      <c r="I207" s="38"/>
      <c r="J207" s="38"/>
      <c r="K207" s="46"/>
      <c r="L207" s="47"/>
      <c r="M207" s="93"/>
      <c r="N207" s="93"/>
      <c r="O207" s="38"/>
      <c r="P207" s="38"/>
      <c r="Q207" s="14"/>
      <c r="R207" s="39"/>
      <c r="S207" s="39"/>
      <c r="T207" s="39"/>
      <c r="U207" s="40"/>
      <c r="V207" s="54"/>
      <c r="W207" s="55"/>
      <c r="X207" s="56"/>
      <c r="Y207" s="38"/>
      <c r="Z207" s="38"/>
      <c r="AA207" s="38"/>
      <c r="AB207" s="38"/>
    </row>
    <row r="208" spans="1:28">
      <c r="A208" s="42"/>
      <c r="B208" s="39"/>
      <c r="C208" s="40"/>
      <c r="D208" s="42"/>
      <c r="E208" s="38"/>
      <c r="F208" s="43"/>
      <c r="G208" s="63"/>
      <c r="H208" s="58"/>
      <c r="I208" s="38"/>
      <c r="J208" s="38"/>
      <c r="K208" s="46"/>
      <c r="L208" s="47"/>
      <c r="M208" s="93"/>
      <c r="N208" s="93"/>
      <c r="O208" s="38"/>
      <c r="P208" s="38"/>
      <c r="Q208" s="14"/>
      <c r="R208" s="39"/>
      <c r="S208" s="39"/>
      <c r="T208" s="39"/>
      <c r="U208" s="40"/>
      <c r="V208" s="54"/>
      <c r="W208" s="55"/>
      <c r="X208" s="56"/>
      <c r="Y208" s="38"/>
      <c r="Z208" s="38"/>
      <c r="AA208" s="38"/>
      <c r="AB208" s="38"/>
    </row>
    <row r="209" spans="1:28">
      <c r="A209" s="42"/>
      <c r="B209" s="39"/>
      <c r="C209" s="40"/>
      <c r="D209" s="42"/>
      <c r="E209" s="38"/>
      <c r="F209" s="43"/>
      <c r="G209" s="63"/>
      <c r="H209" s="58"/>
      <c r="I209" s="38"/>
      <c r="J209" s="38"/>
      <c r="K209" s="46"/>
      <c r="L209" s="47"/>
      <c r="M209" s="93"/>
      <c r="N209" s="93"/>
      <c r="O209" s="38"/>
      <c r="P209" s="38"/>
      <c r="Q209" s="14"/>
      <c r="R209" s="39"/>
      <c r="S209" s="39"/>
      <c r="T209" s="39"/>
      <c r="U209" s="40"/>
      <c r="V209" s="54"/>
      <c r="W209" s="55"/>
      <c r="X209" s="56"/>
      <c r="Y209" s="38"/>
      <c r="Z209" s="38"/>
      <c r="AA209" s="38"/>
      <c r="AB209" s="38"/>
    </row>
    <row r="210" spans="1:28">
      <c r="A210" s="42"/>
      <c r="B210" s="39"/>
      <c r="C210" s="40"/>
      <c r="D210" s="42"/>
      <c r="E210" s="38"/>
      <c r="F210" s="43"/>
      <c r="G210" s="63"/>
      <c r="H210" s="58"/>
      <c r="I210" s="38"/>
      <c r="J210" s="38"/>
      <c r="K210" s="46"/>
      <c r="L210" s="47"/>
      <c r="M210" s="93"/>
      <c r="N210" s="93"/>
      <c r="O210" s="38"/>
      <c r="P210" s="38"/>
      <c r="Q210" s="14"/>
      <c r="R210" s="39"/>
      <c r="S210" s="39"/>
      <c r="T210" s="39"/>
      <c r="U210" s="40"/>
      <c r="V210" s="54"/>
      <c r="W210" s="55"/>
      <c r="X210" s="56"/>
      <c r="Y210" s="38"/>
      <c r="Z210" s="38"/>
      <c r="AA210" s="38"/>
      <c r="AB210" s="38"/>
    </row>
    <row r="211" spans="1:28">
      <c r="A211" s="42"/>
      <c r="B211" s="39"/>
      <c r="C211" s="40"/>
      <c r="D211" s="42"/>
      <c r="E211" s="38"/>
      <c r="F211" s="43"/>
      <c r="G211" s="63"/>
      <c r="H211" s="58"/>
      <c r="I211" s="38"/>
      <c r="J211" s="38"/>
      <c r="K211" s="46"/>
      <c r="L211" s="47"/>
      <c r="M211" s="93"/>
      <c r="N211" s="93"/>
      <c r="O211" s="38"/>
      <c r="P211" s="38"/>
      <c r="Q211" s="14"/>
      <c r="R211" s="39"/>
      <c r="S211" s="39"/>
      <c r="T211" s="39"/>
      <c r="U211" s="40"/>
      <c r="V211" s="54"/>
      <c r="W211" s="55"/>
      <c r="X211" s="56"/>
      <c r="Y211" s="38"/>
      <c r="Z211" s="38"/>
      <c r="AA211" s="38"/>
      <c r="AB211" s="38"/>
    </row>
    <row r="212" spans="1:28">
      <c r="A212" s="42"/>
      <c r="B212" s="39"/>
      <c r="C212" s="40"/>
      <c r="D212" s="42"/>
      <c r="E212" s="38"/>
      <c r="F212" s="43"/>
      <c r="G212" s="63"/>
      <c r="H212" s="58"/>
      <c r="I212" s="38"/>
      <c r="J212" s="38"/>
      <c r="K212" s="46"/>
      <c r="L212" s="47"/>
      <c r="M212" s="93"/>
      <c r="N212" s="93"/>
      <c r="O212" s="38"/>
      <c r="P212" s="38"/>
      <c r="Q212" s="14"/>
      <c r="R212" s="39"/>
      <c r="S212" s="39"/>
      <c r="T212" s="39"/>
      <c r="U212" s="40"/>
      <c r="V212" s="54"/>
      <c r="W212" s="55"/>
      <c r="X212" s="56"/>
      <c r="Y212" s="38"/>
      <c r="Z212" s="38"/>
      <c r="AA212" s="38"/>
      <c r="AB212" s="38"/>
    </row>
    <row r="213" spans="1:28">
      <c r="A213" s="42"/>
      <c r="B213" s="39"/>
      <c r="C213" s="40"/>
      <c r="D213" s="42"/>
      <c r="E213" s="38"/>
      <c r="F213" s="43"/>
      <c r="G213" s="63"/>
      <c r="H213" s="58"/>
      <c r="I213" s="38"/>
      <c r="J213" s="38"/>
      <c r="K213" s="46"/>
      <c r="L213" s="47"/>
      <c r="M213" s="93"/>
      <c r="N213" s="93"/>
      <c r="O213" s="38"/>
      <c r="P213" s="38"/>
      <c r="Q213" s="14"/>
      <c r="R213" s="39"/>
      <c r="S213" s="39"/>
      <c r="T213" s="39"/>
      <c r="U213" s="40"/>
      <c r="V213" s="54"/>
      <c r="W213" s="55"/>
      <c r="X213" s="56"/>
      <c r="Y213" s="38"/>
      <c r="Z213" s="38"/>
      <c r="AA213" s="38"/>
      <c r="AB213" s="38"/>
    </row>
    <row r="214" spans="1:28">
      <c r="A214" s="42"/>
      <c r="B214" s="39"/>
      <c r="C214" s="40"/>
      <c r="D214" s="42"/>
      <c r="E214" s="38"/>
      <c r="F214" s="43"/>
      <c r="G214" s="63"/>
      <c r="H214" s="58"/>
      <c r="I214" s="38"/>
      <c r="J214" s="38"/>
      <c r="K214" s="46"/>
      <c r="L214" s="47"/>
      <c r="M214" s="93"/>
      <c r="N214" s="93"/>
      <c r="O214" s="38"/>
      <c r="P214" s="38"/>
      <c r="Q214" s="14"/>
      <c r="R214" s="39"/>
      <c r="S214" s="39"/>
      <c r="T214" s="39"/>
      <c r="U214" s="40"/>
      <c r="V214" s="54"/>
      <c r="W214" s="55"/>
      <c r="X214" s="56"/>
      <c r="Y214" s="38"/>
      <c r="Z214" s="38"/>
      <c r="AA214" s="38"/>
      <c r="AB214" s="38"/>
    </row>
    <row r="215" spans="1:28">
      <c r="A215" s="42"/>
      <c r="B215" s="39"/>
      <c r="C215" s="40"/>
      <c r="D215" s="42"/>
      <c r="E215" s="38"/>
      <c r="F215" s="43"/>
      <c r="G215" s="63"/>
      <c r="H215" s="58"/>
      <c r="I215" s="38"/>
      <c r="J215" s="38"/>
      <c r="K215" s="46"/>
      <c r="L215" s="47"/>
      <c r="M215" s="93"/>
      <c r="N215" s="93"/>
      <c r="O215" s="38"/>
      <c r="P215" s="38"/>
      <c r="Q215" s="14"/>
      <c r="R215" s="39"/>
      <c r="S215" s="39"/>
      <c r="T215" s="39"/>
      <c r="U215" s="40"/>
      <c r="V215" s="54"/>
      <c r="W215" s="55"/>
      <c r="X215" s="56"/>
      <c r="Y215" s="38"/>
      <c r="Z215" s="38"/>
      <c r="AA215" s="38"/>
      <c r="AB215" s="38"/>
    </row>
    <row r="216" spans="1:28">
      <c r="A216" s="42"/>
      <c r="B216" s="39"/>
      <c r="C216" s="40"/>
      <c r="D216" s="42"/>
      <c r="E216" s="38"/>
      <c r="F216" s="43"/>
      <c r="G216" s="63"/>
      <c r="H216" s="58"/>
      <c r="I216" s="38"/>
      <c r="J216" s="38"/>
      <c r="K216" s="46"/>
      <c r="L216" s="47"/>
      <c r="M216" s="93"/>
      <c r="N216" s="93"/>
      <c r="O216" s="38"/>
      <c r="P216" s="38"/>
      <c r="Q216" s="14"/>
      <c r="R216" s="39"/>
      <c r="S216" s="39"/>
      <c r="T216" s="39"/>
      <c r="U216" s="40"/>
      <c r="V216" s="54"/>
      <c r="W216" s="55"/>
      <c r="X216" s="56"/>
      <c r="Y216" s="38"/>
      <c r="Z216" s="38"/>
      <c r="AA216" s="38"/>
      <c r="AB216" s="38"/>
    </row>
    <row r="217" spans="1:28">
      <c r="A217" s="42"/>
      <c r="B217" s="39"/>
      <c r="C217" s="40"/>
      <c r="D217" s="42"/>
      <c r="E217" s="38"/>
      <c r="F217" s="43"/>
      <c r="G217" s="63"/>
      <c r="H217" s="58"/>
      <c r="I217" s="38"/>
      <c r="J217" s="38"/>
      <c r="K217" s="46"/>
      <c r="L217" s="47"/>
      <c r="M217" s="93"/>
      <c r="N217" s="93"/>
      <c r="O217" s="38"/>
      <c r="P217" s="38"/>
      <c r="Q217" s="14"/>
      <c r="R217" s="39"/>
      <c r="S217" s="39"/>
      <c r="T217" s="39"/>
      <c r="U217" s="40"/>
      <c r="V217" s="54"/>
      <c r="W217" s="55"/>
      <c r="X217" s="56"/>
      <c r="Y217" s="38"/>
      <c r="Z217" s="38"/>
      <c r="AA217" s="38"/>
      <c r="AB217" s="38"/>
    </row>
    <row r="218" spans="1:28">
      <c r="A218" s="42"/>
      <c r="B218" s="39"/>
      <c r="C218" s="40"/>
      <c r="D218" s="42"/>
      <c r="E218" s="38"/>
      <c r="F218" s="43"/>
      <c r="G218" s="63"/>
      <c r="H218" s="58"/>
      <c r="I218" s="38"/>
      <c r="J218" s="38"/>
      <c r="K218" s="46"/>
      <c r="L218" s="47"/>
      <c r="M218" s="93"/>
      <c r="N218" s="93"/>
      <c r="O218" s="38"/>
      <c r="P218" s="38"/>
      <c r="Q218" s="14"/>
      <c r="R218" s="39"/>
      <c r="S218" s="39"/>
      <c r="T218" s="39"/>
      <c r="U218" s="40"/>
      <c r="V218" s="54"/>
      <c r="W218" s="55"/>
      <c r="X218" s="56"/>
      <c r="Y218" s="38"/>
      <c r="Z218" s="38"/>
      <c r="AA218" s="38"/>
      <c r="AB218" s="38"/>
    </row>
    <row r="219" spans="1:28">
      <c r="A219" s="42"/>
      <c r="B219" s="39"/>
      <c r="C219" s="40"/>
      <c r="D219" s="42"/>
      <c r="E219" s="38"/>
      <c r="F219" s="43"/>
      <c r="G219" s="63"/>
      <c r="H219" s="58"/>
      <c r="I219" s="38"/>
      <c r="J219" s="38"/>
      <c r="K219" s="46"/>
      <c r="L219" s="47"/>
      <c r="M219" s="93"/>
      <c r="N219" s="93"/>
      <c r="O219" s="38"/>
      <c r="P219" s="38"/>
      <c r="Q219" s="14"/>
      <c r="R219" s="39"/>
      <c r="S219" s="39"/>
      <c r="T219" s="39"/>
      <c r="U219" s="40"/>
      <c r="V219" s="54"/>
      <c r="W219" s="55"/>
      <c r="X219" s="56"/>
      <c r="Y219" s="38"/>
      <c r="Z219" s="38"/>
      <c r="AA219" s="38"/>
      <c r="AB219" s="38"/>
    </row>
    <row r="220" spans="1:28">
      <c r="A220" s="42"/>
      <c r="B220" s="39"/>
      <c r="C220" s="40"/>
      <c r="D220" s="42"/>
      <c r="E220" s="38"/>
      <c r="F220" s="43"/>
      <c r="G220" s="63"/>
      <c r="H220" s="58"/>
      <c r="I220" s="38"/>
      <c r="J220" s="38"/>
      <c r="K220" s="46"/>
      <c r="L220" s="47"/>
      <c r="M220" s="93"/>
      <c r="N220" s="93"/>
      <c r="O220" s="38"/>
      <c r="P220" s="38"/>
      <c r="Q220" s="14"/>
      <c r="R220" s="39"/>
      <c r="S220" s="39"/>
      <c r="T220" s="39"/>
      <c r="U220" s="40"/>
      <c r="V220" s="54"/>
      <c r="W220" s="55"/>
      <c r="X220" s="56"/>
      <c r="Y220" s="38"/>
      <c r="Z220" s="38"/>
      <c r="AA220" s="38"/>
      <c r="AB220" s="38"/>
    </row>
    <row r="221" spans="1:28">
      <c r="A221" s="42"/>
      <c r="B221" s="39"/>
      <c r="C221" s="40"/>
      <c r="D221" s="42"/>
      <c r="E221" s="38"/>
      <c r="F221" s="43"/>
      <c r="G221" s="63"/>
      <c r="H221" s="58"/>
      <c r="I221" s="38"/>
      <c r="J221" s="38"/>
      <c r="K221" s="46"/>
      <c r="L221" s="47"/>
      <c r="M221" s="93"/>
      <c r="N221" s="93"/>
      <c r="O221" s="38"/>
      <c r="P221" s="38"/>
      <c r="Q221" s="14"/>
      <c r="R221" s="39"/>
      <c r="S221" s="39"/>
      <c r="T221" s="39"/>
      <c r="U221" s="40"/>
      <c r="V221" s="54"/>
      <c r="W221" s="55"/>
      <c r="X221" s="56"/>
      <c r="Y221" s="38"/>
      <c r="Z221" s="38"/>
      <c r="AA221" s="38"/>
      <c r="AB221" s="38"/>
    </row>
    <row r="222" spans="1:28">
      <c r="A222" s="42"/>
      <c r="B222" s="39"/>
      <c r="C222" s="40"/>
      <c r="D222" s="42"/>
      <c r="E222" s="38"/>
      <c r="F222" s="43"/>
      <c r="G222" s="63"/>
      <c r="H222" s="58"/>
      <c r="I222" s="38"/>
      <c r="J222" s="38"/>
      <c r="K222" s="46"/>
      <c r="L222" s="47"/>
      <c r="M222" s="93"/>
      <c r="N222" s="93"/>
      <c r="O222" s="38"/>
      <c r="P222" s="38"/>
      <c r="Q222" s="14"/>
      <c r="R222" s="39"/>
      <c r="S222" s="39"/>
      <c r="T222" s="39"/>
      <c r="U222" s="40"/>
      <c r="V222" s="54"/>
      <c r="W222" s="55"/>
      <c r="X222" s="56"/>
      <c r="Y222" s="38"/>
      <c r="Z222" s="38"/>
      <c r="AA222" s="38"/>
      <c r="AB222" s="38"/>
    </row>
    <row r="223" spans="1:28">
      <c r="A223" s="42"/>
      <c r="B223" s="39"/>
      <c r="C223" s="40"/>
      <c r="D223" s="42"/>
      <c r="E223" s="38"/>
      <c r="F223" s="43"/>
      <c r="G223" s="63"/>
      <c r="H223" s="58"/>
      <c r="I223" s="38"/>
      <c r="J223" s="38"/>
      <c r="K223" s="46"/>
      <c r="L223" s="47"/>
      <c r="M223" s="93"/>
      <c r="N223" s="93"/>
      <c r="O223" s="38"/>
      <c r="P223" s="38"/>
      <c r="Q223" s="14"/>
      <c r="R223" s="39"/>
      <c r="S223" s="39"/>
      <c r="T223" s="39"/>
      <c r="U223" s="40"/>
      <c r="V223" s="54"/>
      <c r="W223" s="55"/>
      <c r="X223" s="56"/>
      <c r="Y223" s="38"/>
      <c r="Z223" s="38"/>
      <c r="AA223" s="38"/>
      <c r="AB223" s="38"/>
    </row>
    <row r="224" spans="1:28">
      <c r="A224" s="42"/>
      <c r="B224" s="39"/>
      <c r="C224" s="40"/>
      <c r="D224" s="42"/>
      <c r="E224" s="38"/>
      <c r="F224" s="43"/>
      <c r="G224" s="63"/>
      <c r="H224" s="58"/>
      <c r="I224" s="38"/>
      <c r="J224" s="38"/>
      <c r="K224" s="46"/>
      <c r="L224" s="47"/>
      <c r="M224" s="93"/>
      <c r="N224" s="93"/>
      <c r="O224" s="38"/>
      <c r="P224" s="38"/>
      <c r="Q224" s="14"/>
      <c r="R224" s="39"/>
      <c r="S224" s="39"/>
      <c r="T224" s="39"/>
      <c r="U224" s="40"/>
      <c r="V224" s="54"/>
      <c r="W224" s="55"/>
      <c r="X224" s="56"/>
      <c r="Y224" s="38"/>
      <c r="Z224" s="38"/>
      <c r="AA224" s="38"/>
      <c r="AB224" s="38"/>
    </row>
    <row r="225" spans="1:28">
      <c r="A225" s="42"/>
      <c r="B225" s="39"/>
      <c r="C225" s="40"/>
      <c r="D225" s="42"/>
      <c r="E225" s="38"/>
      <c r="F225" s="43"/>
      <c r="G225" s="63"/>
      <c r="H225" s="58"/>
      <c r="I225" s="38"/>
      <c r="J225" s="38"/>
      <c r="K225" s="46"/>
      <c r="L225" s="47"/>
      <c r="M225" s="93"/>
      <c r="N225" s="93"/>
      <c r="O225" s="38"/>
      <c r="P225" s="38"/>
      <c r="Q225" s="14"/>
      <c r="R225" s="39"/>
      <c r="S225" s="39"/>
      <c r="T225" s="39"/>
      <c r="U225" s="40"/>
      <c r="V225" s="54"/>
      <c r="W225" s="55"/>
      <c r="X225" s="56"/>
      <c r="Y225" s="38"/>
      <c r="Z225" s="38"/>
      <c r="AA225" s="38"/>
      <c r="AB225" s="38"/>
    </row>
    <row r="226" spans="1:28">
      <c r="A226" s="42"/>
      <c r="B226" s="39"/>
      <c r="C226" s="40"/>
      <c r="D226" s="42"/>
      <c r="E226" s="38"/>
      <c r="F226" s="43"/>
      <c r="G226" s="63"/>
      <c r="H226" s="58"/>
      <c r="I226" s="38"/>
      <c r="J226" s="38"/>
      <c r="K226" s="46"/>
      <c r="L226" s="47"/>
      <c r="M226" s="93"/>
      <c r="N226" s="93"/>
      <c r="O226" s="38"/>
      <c r="P226" s="38"/>
      <c r="Q226" s="14"/>
      <c r="R226" s="39"/>
      <c r="S226" s="39"/>
      <c r="T226" s="39"/>
      <c r="U226" s="40"/>
      <c r="V226" s="54"/>
      <c r="W226" s="55"/>
      <c r="X226" s="56"/>
      <c r="Y226" s="38"/>
      <c r="Z226" s="38"/>
      <c r="AA226" s="38"/>
      <c r="AB226" s="38"/>
    </row>
    <row r="227" spans="1:28">
      <c r="A227" s="42"/>
      <c r="B227" s="39"/>
      <c r="C227" s="40"/>
      <c r="D227" s="42"/>
      <c r="E227" s="38"/>
      <c r="F227" s="43"/>
      <c r="G227" s="63"/>
      <c r="H227" s="58"/>
      <c r="I227" s="38"/>
      <c r="J227" s="38"/>
      <c r="K227" s="46"/>
      <c r="L227" s="47"/>
      <c r="M227" s="93"/>
      <c r="N227" s="93"/>
      <c r="O227" s="38"/>
      <c r="P227" s="38"/>
      <c r="Q227" s="14"/>
      <c r="R227" s="39"/>
      <c r="S227" s="39"/>
      <c r="T227" s="39"/>
      <c r="U227" s="40"/>
      <c r="V227" s="54"/>
      <c r="W227" s="55"/>
      <c r="X227" s="56"/>
      <c r="Y227" s="38"/>
      <c r="Z227" s="38"/>
      <c r="AA227" s="38"/>
      <c r="AB227" s="38"/>
    </row>
    <row r="228" spans="1:28">
      <c r="A228" s="42"/>
      <c r="B228" s="39"/>
      <c r="C228" s="40"/>
      <c r="D228" s="42"/>
      <c r="E228" s="38"/>
      <c r="F228" s="43"/>
      <c r="G228" s="63"/>
      <c r="H228" s="58"/>
      <c r="I228" s="38"/>
      <c r="J228" s="38"/>
      <c r="K228" s="46"/>
      <c r="L228" s="47"/>
      <c r="M228" s="93"/>
      <c r="N228" s="93"/>
      <c r="O228" s="38"/>
      <c r="P228" s="38"/>
      <c r="Q228" s="14"/>
      <c r="R228" s="39"/>
      <c r="S228" s="39"/>
      <c r="T228" s="39"/>
      <c r="U228" s="40"/>
      <c r="V228" s="54"/>
      <c r="W228" s="55"/>
      <c r="X228" s="56"/>
      <c r="Y228" s="38"/>
      <c r="Z228" s="38"/>
      <c r="AA228" s="38"/>
      <c r="AB228" s="38"/>
    </row>
    <row r="229" spans="1:28">
      <c r="A229" s="42"/>
      <c r="B229" s="39"/>
      <c r="C229" s="40"/>
      <c r="D229" s="42"/>
      <c r="E229" s="38"/>
      <c r="F229" s="43"/>
      <c r="G229" s="63"/>
      <c r="H229" s="58"/>
      <c r="I229" s="38"/>
      <c r="J229" s="38"/>
      <c r="K229" s="46"/>
      <c r="L229" s="47"/>
      <c r="M229" s="93"/>
      <c r="N229" s="93"/>
      <c r="O229" s="38"/>
      <c r="P229" s="38"/>
      <c r="Q229" s="14"/>
      <c r="R229" s="39"/>
      <c r="S229" s="39"/>
      <c r="T229" s="39"/>
      <c r="U229" s="40"/>
      <c r="V229" s="54"/>
      <c r="W229" s="55"/>
      <c r="X229" s="56"/>
      <c r="Y229" s="38"/>
      <c r="Z229" s="38"/>
      <c r="AA229" s="38"/>
      <c r="AB229" s="38"/>
    </row>
    <row r="230" spans="1:28">
      <c r="A230" s="42"/>
      <c r="B230" s="39"/>
      <c r="C230" s="40"/>
      <c r="D230" s="42"/>
      <c r="E230" s="38"/>
      <c r="F230" s="43"/>
      <c r="G230" s="63"/>
      <c r="H230" s="58"/>
      <c r="I230" s="38"/>
      <c r="J230" s="38"/>
      <c r="K230" s="46"/>
      <c r="L230" s="47"/>
      <c r="M230" s="93"/>
      <c r="N230" s="93"/>
      <c r="O230" s="38"/>
      <c r="P230" s="38"/>
      <c r="Q230" s="14"/>
      <c r="R230" s="39"/>
      <c r="S230" s="39"/>
      <c r="T230" s="39"/>
      <c r="U230" s="40"/>
      <c r="V230" s="54"/>
      <c r="W230" s="55"/>
      <c r="X230" s="56"/>
      <c r="Y230" s="38"/>
      <c r="Z230" s="38"/>
      <c r="AA230" s="38"/>
      <c r="AB230" s="38"/>
    </row>
    <row r="231" spans="1:28">
      <c r="A231" s="42"/>
      <c r="B231" s="39"/>
      <c r="C231" s="40"/>
      <c r="D231" s="42"/>
      <c r="E231" s="38"/>
      <c r="F231" s="43"/>
      <c r="G231" s="63"/>
      <c r="H231" s="58"/>
      <c r="I231" s="38"/>
      <c r="J231" s="38"/>
      <c r="K231" s="46"/>
      <c r="L231" s="47"/>
      <c r="M231" s="93"/>
      <c r="N231" s="93"/>
      <c r="O231" s="38"/>
      <c r="P231" s="38"/>
      <c r="Q231" s="14"/>
      <c r="R231" s="39"/>
      <c r="S231" s="39"/>
      <c r="T231" s="39"/>
      <c r="U231" s="40"/>
      <c r="V231" s="54"/>
      <c r="W231" s="55"/>
      <c r="X231" s="56"/>
      <c r="Y231" s="38"/>
      <c r="Z231" s="38"/>
      <c r="AA231" s="38"/>
      <c r="AB231" s="38"/>
    </row>
    <row r="232" spans="1:28">
      <c r="A232" s="42"/>
      <c r="B232" s="39"/>
      <c r="C232" s="40"/>
      <c r="D232" s="42"/>
      <c r="E232" s="38"/>
      <c r="F232" s="43"/>
      <c r="G232" s="63"/>
      <c r="H232" s="58"/>
      <c r="I232" s="38"/>
      <c r="J232" s="38"/>
      <c r="K232" s="46"/>
      <c r="L232" s="47"/>
      <c r="M232" s="93"/>
      <c r="N232" s="93"/>
      <c r="O232" s="38"/>
      <c r="P232" s="38"/>
      <c r="Q232" s="14"/>
      <c r="R232" s="39"/>
      <c r="S232" s="39"/>
      <c r="T232" s="39"/>
      <c r="U232" s="40"/>
      <c r="V232" s="54"/>
      <c r="W232" s="55"/>
      <c r="X232" s="56"/>
      <c r="Y232" s="38"/>
      <c r="Z232" s="38"/>
      <c r="AA232" s="38"/>
      <c r="AB232" s="38"/>
    </row>
    <row r="233" spans="1:28">
      <c r="A233" s="42"/>
      <c r="B233" s="39"/>
      <c r="C233" s="40"/>
      <c r="D233" s="42"/>
      <c r="E233" s="38"/>
      <c r="F233" s="43"/>
      <c r="G233" s="63"/>
      <c r="H233" s="58"/>
      <c r="I233" s="38"/>
      <c r="J233" s="38"/>
      <c r="K233" s="46"/>
      <c r="L233" s="47"/>
      <c r="M233" s="93"/>
      <c r="N233" s="93"/>
      <c r="O233" s="38"/>
      <c r="P233" s="38"/>
      <c r="Q233" s="14"/>
      <c r="R233" s="39"/>
      <c r="S233" s="39"/>
      <c r="T233" s="39"/>
      <c r="U233" s="40"/>
      <c r="V233" s="54"/>
      <c r="W233" s="55"/>
      <c r="X233" s="56"/>
      <c r="Y233" s="38"/>
      <c r="Z233" s="38"/>
      <c r="AA233" s="38"/>
      <c r="AB233" s="38"/>
    </row>
    <row r="234" spans="1:28">
      <c r="A234" s="42"/>
      <c r="B234" s="39"/>
      <c r="C234" s="40"/>
      <c r="D234" s="42"/>
      <c r="E234" s="38"/>
      <c r="F234" s="43"/>
      <c r="G234" s="63"/>
      <c r="H234" s="58"/>
      <c r="I234" s="38"/>
      <c r="J234" s="38"/>
      <c r="K234" s="46"/>
      <c r="L234" s="47"/>
      <c r="M234" s="93"/>
      <c r="N234" s="93"/>
      <c r="O234" s="38"/>
      <c r="P234" s="38"/>
      <c r="Q234" s="14"/>
      <c r="R234" s="39"/>
      <c r="S234" s="39"/>
      <c r="T234" s="39"/>
      <c r="U234" s="40"/>
      <c r="V234" s="54"/>
      <c r="W234" s="55"/>
      <c r="X234" s="56"/>
      <c r="Y234" s="38"/>
      <c r="Z234" s="38"/>
      <c r="AA234" s="38"/>
      <c r="AB234" s="38"/>
    </row>
    <row r="235" spans="1:28">
      <c r="A235" s="42"/>
      <c r="B235" s="39"/>
      <c r="C235" s="40"/>
      <c r="D235" s="42"/>
      <c r="E235" s="38"/>
      <c r="F235" s="43"/>
      <c r="G235" s="63"/>
      <c r="H235" s="58"/>
      <c r="I235" s="38"/>
      <c r="J235" s="38"/>
      <c r="K235" s="46"/>
      <c r="L235" s="47"/>
      <c r="M235" s="93"/>
      <c r="N235" s="93"/>
      <c r="O235" s="38"/>
      <c r="P235" s="38"/>
      <c r="Q235" s="14"/>
      <c r="R235" s="39"/>
      <c r="S235" s="39"/>
      <c r="T235" s="39"/>
      <c r="U235" s="40"/>
      <c r="V235" s="54"/>
      <c r="W235" s="55"/>
      <c r="X235" s="56"/>
      <c r="Y235" s="38"/>
      <c r="Z235" s="38"/>
      <c r="AA235" s="38"/>
      <c r="AB235" s="38"/>
    </row>
    <row r="236" spans="1:28">
      <c r="A236" s="42"/>
      <c r="B236" s="39"/>
      <c r="C236" s="40"/>
      <c r="D236" s="42"/>
      <c r="E236" s="38"/>
      <c r="F236" s="43"/>
      <c r="G236" s="63"/>
      <c r="H236" s="58"/>
      <c r="I236" s="38"/>
      <c r="J236" s="38"/>
      <c r="K236" s="46"/>
      <c r="L236" s="47"/>
      <c r="M236" s="93"/>
      <c r="N236" s="93"/>
      <c r="O236" s="38"/>
      <c r="P236" s="38"/>
      <c r="Q236" s="14"/>
      <c r="R236" s="39"/>
      <c r="S236" s="39"/>
      <c r="T236" s="39"/>
      <c r="U236" s="40"/>
      <c r="V236" s="54"/>
      <c r="W236" s="55"/>
      <c r="X236" s="56"/>
      <c r="Y236" s="38"/>
      <c r="Z236" s="38"/>
      <c r="AA236" s="38"/>
      <c r="AB236" s="38"/>
    </row>
    <row r="237" spans="1:28">
      <c r="A237" s="42"/>
      <c r="B237" s="39"/>
      <c r="C237" s="40"/>
      <c r="D237" s="42"/>
      <c r="E237" s="38"/>
      <c r="F237" s="43"/>
      <c r="G237" s="63"/>
      <c r="H237" s="58"/>
      <c r="I237" s="38"/>
      <c r="J237" s="38"/>
      <c r="K237" s="46"/>
      <c r="L237" s="47"/>
      <c r="M237" s="93"/>
      <c r="N237" s="93"/>
      <c r="O237" s="38"/>
      <c r="P237" s="38"/>
      <c r="Q237" s="14"/>
      <c r="R237" s="39"/>
      <c r="S237" s="39"/>
      <c r="T237" s="39"/>
      <c r="U237" s="40"/>
      <c r="V237" s="54"/>
      <c r="W237" s="55"/>
      <c r="X237" s="56"/>
      <c r="Y237" s="38"/>
      <c r="Z237" s="38"/>
      <c r="AA237" s="38"/>
      <c r="AB237" s="38"/>
    </row>
    <row r="238" spans="1:28">
      <c r="A238" s="42"/>
      <c r="B238" s="39"/>
      <c r="C238" s="40"/>
      <c r="D238" s="42"/>
      <c r="E238" s="38"/>
      <c r="F238" s="43"/>
      <c r="G238" s="63"/>
      <c r="H238" s="58"/>
      <c r="I238" s="38"/>
      <c r="J238" s="38"/>
      <c r="K238" s="46"/>
      <c r="L238" s="47"/>
      <c r="M238" s="93"/>
      <c r="N238" s="93"/>
      <c r="O238" s="38"/>
      <c r="P238" s="38"/>
      <c r="Q238" s="14"/>
      <c r="R238" s="39"/>
      <c r="S238" s="39"/>
      <c r="T238" s="39"/>
      <c r="U238" s="40"/>
      <c r="V238" s="54"/>
      <c r="W238" s="55"/>
      <c r="X238" s="56"/>
      <c r="Y238" s="38"/>
      <c r="Z238" s="38"/>
      <c r="AA238" s="38"/>
      <c r="AB238" s="38"/>
    </row>
    <row r="239" spans="1:28">
      <c r="A239" s="42"/>
      <c r="B239" s="39"/>
      <c r="C239" s="40"/>
      <c r="D239" s="42"/>
      <c r="E239" s="38"/>
      <c r="F239" s="43"/>
      <c r="G239" s="63"/>
      <c r="H239" s="58"/>
      <c r="I239" s="38"/>
      <c r="J239" s="38"/>
      <c r="K239" s="46"/>
      <c r="L239" s="47"/>
      <c r="M239" s="93"/>
      <c r="N239" s="93"/>
      <c r="O239" s="38"/>
      <c r="P239" s="38"/>
      <c r="Q239" s="14"/>
      <c r="R239" s="39"/>
      <c r="S239" s="39"/>
      <c r="T239" s="39"/>
      <c r="U239" s="40"/>
      <c r="V239" s="54"/>
      <c r="W239" s="55"/>
      <c r="X239" s="56"/>
      <c r="Y239" s="38"/>
      <c r="Z239" s="38"/>
      <c r="AA239" s="38"/>
      <c r="AB239" s="38"/>
    </row>
    <row r="240" spans="1:28">
      <c r="A240" s="42"/>
      <c r="B240" s="39"/>
      <c r="C240" s="40"/>
      <c r="D240" s="42"/>
      <c r="E240" s="38"/>
      <c r="F240" s="43"/>
      <c r="G240" s="63"/>
      <c r="H240" s="58"/>
      <c r="I240" s="38"/>
      <c r="J240" s="38"/>
      <c r="K240" s="46"/>
      <c r="L240" s="47"/>
      <c r="M240" s="93"/>
      <c r="N240" s="93"/>
      <c r="O240" s="38"/>
      <c r="P240" s="38"/>
      <c r="Q240" s="14"/>
      <c r="R240" s="39"/>
      <c r="S240" s="39"/>
      <c r="T240" s="39"/>
      <c r="U240" s="40"/>
      <c r="V240" s="54"/>
      <c r="W240" s="55"/>
      <c r="X240" s="56"/>
      <c r="Y240" s="38"/>
      <c r="Z240" s="38"/>
      <c r="AA240" s="38"/>
      <c r="AB240" s="38"/>
    </row>
    <row r="241" spans="1:28">
      <c r="A241" s="42"/>
      <c r="B241" s="39"/>
      <c r="C241" s="40"/>
      <c r="D241" s="42"/>
      <c r="E241" s="38"/>
      <c r="F241" s="43"/>
      <c r="G241" s="63"/>
      <c r="H241" s="58"/>
      <c r="I241" s="38"/>
      <c r="J241" s="38"/>
      <c r="K241" s="46"/>
      <c r="L241" s="47"/>
      <c r="M241" s="93"/>
      <c r="N241" s="93"/>
      <c r="O241" s="38"/>
      <c r="P241" s="38"/>
      <c r="Q241" s="14"/>
      <c r="R241" s="39"/>
      <c r="S241" s="39"/>
      <c r="T241" s="39"/>
      <c r="U241" s="40"/>
      <c r="V241" s="54"/>
      <c r="W241" s="55"/>
      <c r="X241" s="56"/>
      <c r="Y241" s="38"/>
      <c r="Z241" s="38"/>
      <c r="AA241" s="38"/>
      <c r="AB241" s="38"/>
    </row>
    <row r="242" spans="1:28">
      <c r="A242" s="42"/>
      <c r="B242" s="39"/>
      <c r="C242" s="40"/>
      <c r="D242" s="42"/>
      <c r="E242" s="38"/>
      <c r="F242" s="43"/>
      <c r="G242" s="63"/>
      <c r="H242" s="58"/>
      <c r="I242" s="38"/>
      <c r="J242" s="38"/>
      <c r="K242" s="46"/>
      <c r="L242" s="47"/>
      <c r="M242" s="93"/>
      <c r="N242" s="93"/>
      <c r="O242" s="38"/>
      <c r="P242" s="38"/>
      <c r="Q242" s="14"/>
      <c r="R242" s="39"/>
      <c r="S242" s="39"/>
      <c r="T242" s="39"/>
      <c r="U242" s="40"/>
      <c r="V242" s="54"/>
      <c r="W242" s="55"/>
      <c r="X242" s="56"/>
      <c r="Y242" s="38"/>
      <c r="Z242" s="38"/>
      <c r="AA242" s="38"/>
      <c r="AB242" s="38"/>
    </row>
    <row r="243" spans="1:28">
      <c r="A243" s="42"/>
      <c r="B243" s="39"/>
      <c r="C243" s="40"/>
      <c r="D243" s="42"/>
      <c r="E243" s="38"/>
      <c r="F243" s="43"/>
      <c r="G243" s="63"/>
      <c r="H243" s="58"/>
      <c r="I243" s="38"/>
      <c r="J243" s="38"/>
      <c r="K243" s="46"/>
      <c r="L243" s="47"/>
      <c r="M243" s="93"/>
      <c r="N243" s="93"/>
      <c r="O243" s="38"/>
      <c r="P243" s="38"/>
      <c r="Q243" s="14"/>
      <c r="R243" s="39"/>
      <c r="S243" s="39"/>
      <c r="T243" s="39"/>
      <c r="U243" s="40"/>
      <c r="V243" s="54"/>
      <c r="W243" s="55"/>
      <c r="X243" s="56"/>
      <c r="Y243" s="38"/>
      <c r="Z243" s="38"/>
      <c r="AA243" s="38"/>
      <c r="AB243" s="38"/>
    </row>
    <row r="244" spans="1:28">
      <c r="A244" s="42"/>
      <c r="B244" s="39"/>
      <c r="C244" s="40"/>
      <c r="D244" s="42"/>
      <c r="E244" s="38"/>
      <c r="F244" s="43"/>
      <c r="G244" s="63"/>
      <c r="H244" s="58"/>
      <c r="I244" s="38"/>
      <c r="J244" s="38"/>
      <c r="K244" s="46"/>
      <c r="L244" s="47"/>
      <c r="M244" s="93"/>
      <c r="N244" s="93"/>
      <c r="O244" s="38"/>
      <c r="P244" s="38"/>
      <c r="Q244" s="14"/>
      <c r="R244" s="39"/>
      <c r="S244" s="39"/>
      <c r="T244" s="39"/>
      <c r="U244" s="40"/>
      <c r="V244" s="54"/>
      <c r="W244" s="55"/>
      <c r="X244" s="56"/>
      <c r="Y244" s="38"/>
      <c r="Z244" s="38"/>
      <c r="AA244" s="38"/>
      <c r="AB244" s="38"/>
    </row>
    <row r="245" spans="1:28">
      <c r="A245" s="42"/>
      <c r="B245" s="39"/>
      <c r="C245" s="40"/>
      <c r="D245" s="42"/>
      <c r="E245" s="38"/>
      <c r="F245" s="43"/>
      <c r="G245" s="63"/>
      <c r="H245" s="58"/>
      <c r="I245" s="38"/>
      <c r="J245" s="38"/>
      <c r="K245" s="46"/>
      <c r="L245" s="47"/>
      <c r="M245" s="93"/>
      <c r="N245" s="93"/>
      <c r="O245" s="38"/>
      <c r="P245" s="38"/>
      <c r="Q245" s="14"/>
      <c r="R245" s="39"/>
      <c r="S245" s="39"/>
      <c r="T245" s="39"/>
      <c r="U245" s="40"/>
      <c r="V245" s="54"/>
      <c r="W245" s="55"/>
      <c r="X245" s="56"/>
      <c r="Y245" s="38"/>
      <c r="Z245" s="38"/>
      <c r="AA245" s="38"/>
      <c r="AB245" s="38"/>
    </row>
    <row r="246" spans="1:28">
      <c r="A246" s="42"/>
      <c r="B246" s="39"/>
      <c r="C246" s="40"/>
      <c r="D246" s="42"/>
      <c r="E246" s="38"/>
      <c r="F246" s="43"/>
      <c r="G246" s="63"/>
      <c r="H246" s="58"/>
      <c r="I246" s="38"/>
      <c r="J246" s="38"/>
      <c r="K246" s="46"/>
      <c r="L246" s="47"/>
      <c r="M246" s="93"/>
      <c r="N246" s="93"/>
      <c r="O246" s="38"/>
      <c r="P246" s="38"/>
      <c r="Q246" s="14"/>
      <c r="R246" s="39"/>
      <c r="S246" s="39"/>
      <c r="T246" s="39"/>
      <c r="U246" s="40"/>
      <c r="V246" s="54"/>
      <c r="W246" s="55"/>
      <c r="X246" s="56"/>
      <c r="Y246" s="38"/>
      <c r="Z246" s="38"/>
      <c r="AA246" s="38"/>
      <c r="AB246" s="38"/>
    </row>
    <row r="247" spans="1:28">
      <c r="A247" s="42"/>
      <c r="B247" s="39"/>
      <c r="C247" s="40"/>
      <c r="D247" s="42"/>
      <c r="E247" s="38"/>
      <c r="F247" s="43"/>
      <c r="G247" s="63"/>
      <c r="H247" s="58"/>
      <c r="I247" s="38"/>
      <c r="J247" s="38"/>
      <c r="K247" s="46"/>
      <c r="L247" s="47"/>
      <c r="M247" s="93"/>
      <c r="N247" s="93"/>
      <c r="O247" s="38"/>
      <c r="P247" s="38"/>
      <c r="Q247" s="14"/>
      <c r="R247" s="39"/>
      <c r="S247" s="39"/>
      <c r="T247" s="39"/>
      <c r="U247" s="40"/>
      <c r="V247" s="54"/>
      <c r="W247" s="55"/>
      <c r="X247" s="56"/>
      <c r="Y247" s="38"/>
      <c r="Z247" s="38"/>
      <c r="AA247" s="38"/>
      <c r="AB247" s="38"/>
    </row>
    <row r="248" spans="1:28">
      <c r="A248" s="42"/>
      <c r="B248" s="39"/>
      <c r="C248" s="40"/>
      <c r="D248" s="42"/>
      <c r="E248" s="38"/>
      <c r="F248" s="43"/>
      <c r="G248" s="63"/>
      <c r="H248" s="58"/>
      <c r="I248" s="38"/>
      <c r="J248" s="38"/>
      <c r="K248" s="46"/>
      <c r="L248" s="47"/>
      <c r="M248" s="93"/>
      <c r="N248" s="93"/>
      <c r="O248" s="38"/>
      <c r="P248" s="38"/>
      <c r="Q248" s="14"/>
      <c r="R248" s="39"/>
      <c r="S248" s="39"/>
      <c r="T248" s="39"/>
      <c r="U248" s="40"/>
      <c r="V248" s="54"/>
      <c r="W248" s="55"/>
      <c r="X248" s="56"/>
      <c r="Y248" s="38"/>
      <c r="Z248" s="38"/>
      <c r="AA248" s="38"/>
      <c r="AB248" s="38"/>
    </row>
    <row r="249" spans="1:28">
      <c r="A249" s="42"/>
      <c r="B249" s="39"/>
      <c r="C249" s="40"/>
      <c r="D249" s="42"/>
      <c r="E249" s="38"/>
      <c r="F249" s="43"/>
      <c r="G249" s="63"/>
      <c r="H249" s="58"/>
      <c r="I249" s="38"/>
      <c r="J249" s="38"/>
      <c r="K249" s="46"/>
      <c r="L249" s="47"/>
      <c r="M249" s="93"/>
      <c r="N249" s="93"/>
      <c r="O249" s="38"/>
      <c r="P249" s="38"/>
      <c r="Q249" s="14"/>
      <c r="R249" s="39"/>
      <c r="S249" s="39"/>
      <c r="T249" s="39"/>
      <c r="U249" s="40"/>
      <c r="V249" s="54"/>
      <c r="W249" s="55"/>
      <c r="X249" s="56"/>
      <c r="Y249" s="38"/>
      <c r="Z249" s="38"/>
      <c r="AA249" s="38"/>
      <c r="AB249" s="38"/>
    </row>
    <row r="250" spans="1:28">
      <c r="A250" s="42"/>
      <c r="B250" s="39"/>
      <c r="C250" s="40"/>
      <c r="D250" s="42"/>
      <c r="E250" s="38"/>
      <c r="F250" s="43"/>
      <c r="G250" s="63"/>
      <c r="H250" s="58"/>
      <c r="I250" s="38"/>
      <c r="J250" s="38"/>
      <c r="K250" s="46"/>
      <c r="L250" s="47"/>
      <c r="M250" s="93"/>
      <c r="N250" s="93"/>
      <c r="O250" s="38"/>
      <c r="P250" s="38"/>
      <c r="Q250" s="14"/>
      <c r="R250" s="39"/>
      <c r="S250" s="39"/>
      <c r="T250" s="39"/>
      <c r="U250" s="40"/>
      <c r="V250" s="54"/>
      <c r="W250" s="55"/>
      <c r="X250" s="56"/>
      <c r="Y250" s="38"/>
      <c r="Z250" s="38"/>
      <c r="AA250" s="38"/>
      <c r="AB250" s="38"/>
    </row>
    <row r="251" spans="1:28">
      <c r="A251" s="42"/>
      <c r="B251" s="39"/>
      <c r="C251" s="40"/>
      <c r="D251" s="42"/>
      <c r="E251" s="38"/>
      <c r="F251" s="43"/>
      <c r="G251" s="63"/>
      <c r="H251" s="58"/>
      <c r="I251" s="38"/>
      <c r="J251" s="38"/>
      <c r="K251" s="46"/>
      <c r="L251" s="47"/>
      <c r="M251" s="93"/>
      <c r="N251" s="93"/>
      <c r="O251" s="38"/>
      <c r="P251" s="38"/>
      <c r="Q251" s="14"/>
      <c r="R251" s="39"/>
      <c r="S251" s="39"/>
      <c r="T251" s="39"/>
      <c r="U251" s="40"/>
      <c r="V251" s="54"/>
      <c r="W251" s="55"/>
      <c r="X251" s="56"/>
      <c r="Y251" s="38"/>
      <c r="Z251" s="38"/>
      <c r="AA251" s="38"/>
      <c r="AB251" s="38"/>
    </row>
    <row r="252" spans="1:28">
      <c r="A252" s="42"/>
      <c r="B252" s="39"/>
      <c r="C252" s="40"/>
      <c r="D252" s="42"/>
      <c r="E252" s="38"/>
      <c r="F252" s="43"/>
      <c r="G252" s="63"/>
      <c r="H252" s="58"/>
      <c r="I252" s="38"/>
      <c r="J252" s="38"/>
      <c r="K252" s="46"/>
      <c r="L252" s="47"/>
      <c r="M252" s="93"/>
      <c r="N252" s="93"/>
      <c r="O252" s="38"/>
      <c r="P252" s="38"/>
      <c r="Q252" s="14"/>
      <c r="R252" s="39"/>
      <c r="S252" s="39"/>
      <c r="T252" s="39"/>
      <c r="U252" s="40"/>
      <c r="V252" s="54"/>
      <c r="W252" s="55"/>
      <c r="X252" s="56"/>
      <c r="Y252" s="38"/>
      <c r="Z252" s="38"/>
      <c r="AA252" s="38"/>
      <c r="AB252" s="38"/>
    </row>
    <row r="253" spans="1:28">
      <c r="A253" s="42"/>
      <c r="B253" s="39"/>
      <c r="C253" s="40"/>
      <c r="D253" s="42"/>
      <c r="E253" s="38"/>
      <c r="F253" s="43"/>
      <c r="G253" s="63"/>
      <c r="H253" s="58"/>
      <c r="I253" s="38"/>
      <c r="J253" s="38"/>
      <c r="K253" s="46"/>
      <c r="L253" s="47"/>
      <c r="M253" s="93"/>
      <c r="N253" s="93"/>
      <c r="O253" s="38"/>
      <c r="P253" s="38"/>
      <c r="Q253" s="14"/>
      <c r="R253" s="39"/>
      <c r="S253" s="39"/>
      <c r="T253" s="39"/>
      <c r="U253" s="40"/>
      <c r="V253" s="54"/>
      <c r="W253" s="55"/>
      <c r="X253" s="56"/>
      <c r="Y253" s="38"/>
      <c r="Z253" s="38"/>
      <c r="AA253" s="38"/>
      <c r="AB253" s="38"/>
    </row>
    <row r="254" spans="1:28">
      <c r="A254" s="42"/>
      <c r="B254" s="39"/>
      <c r="C254" s="40"/>
      <c r="D254" s="42"/>
      <c r="E254" s="38"/>
      <c r="F254" s="43"/>
      <c r="G254" s="63"/>
      <c r="H254" s="58"/>
      <c r="I254" s="38"/>
      <c r="J254" s="38"/>
      <c r="K254" s="46"/>
      <c r="L254" s="47"/>
      <c r="M254" s="93"/>
      <c r="N254" s="93"/>
      <c r="O254" s="38"/>
      <c r="P254" s="38"/>
      <c r="Q254" s="14"/>
      <c r="R254" s="39"/>
      <c r="S254" s="39"/>
      <c r="T254" s="39"/>
      <c r="U254" s="40"/>
      <c r="V254" s="54"/>
      <c r="W254" s="55"/>
      <c r="X254" s="56"/>
      <c r="Y254" s="38"/>
      <c r="Z254" s="38"/>
      <c r="AA254" s="38"/>
      <c r="AB254" s="38"/>
    </row>
    <row r="255" spans="1:28">
      <c r="A255" s="42"/>
      <c r="B255" s="39"/>
      <c r="C255" s="40"/>
      <c r="D255" s="42"/>
      <c r="E255" s="38"/>
      <c r="F255" s="43"/>
      <c r="G255" s="63"/>
      <c r="H255" s="58"/>
      <c r="I255" s="38"/>
      <c r="J255" s="38"/>
      <c r="K255" s="46"/>
      <c r="L255" s="47"/>
      <c r="M255" s="93"/>
      <c r="N255" s="93"/>
      <c r="O255" s="38"/>
      <c r="P255" s="38"/>
      <c r="Q255" s="14"/>
      <c r="R255" s="39"/>
      <c r="S255" s="39"/>
      <c r="T255" s="39"/>
      <c r="U255" s="40"/>
      <c r="V255" s="54"/>
      <c r="W255" s="55"/>
      <c r="X255" s="56"/>
      <c r="Y255" s="38"/>
      <c r="Z255" s="38"/>
      <c r="AA255" s="38"/>
      <c r="AB255" s="38"/>
    </row>
    <row r="256" spans="1:28">
      <c r="A256" s="42"/>
      <c r="B256" s="39"/>
      <c r="C256" s="40"/>
      <c r="D256" s="42"/>
      <c r="E256" s="38"/>
      <c r="F256" s="43"/>
      <c r="G256" s="63"/>
      <c r="H256" s="58"/>
      <c r="I256" s="38"/>
      <c r="J256" s="38"/>
      <c r="K256" s="46"/>
      <c r="L256" s="47"/>
      <c r="M256" s="93"/>
      <c r="N256" s="93"/>
      <c r="O256" s="38"/>
      <c r="P256" s="38"/>
      <c r="Q256" s="14"/>
      <c r="R256" s="39"/>
      <c r="S256" s="39"/>
      <c r="T256" s="39"/>
      <c r="U256" s="40"/>
      <c r="V256" s="54"/>
      <c r="W256" s="55"/>
      <c r="X256" s="56"/>
      <c r="Y256" s="38"/>
      <c r="Z256" s="38"/>
      <c r="AA256" s="38"/>
      <c r="AB256" s="38"/>
    </row>
    <row r="257" spans="1:28">
      <c r="A257" s="42"/>
      <c r="B257" s="39"/>
      <c r="C257" s="40"/>
      <c r="D257" s="42"/>
      <c r="E257" s="38"/>
      <c r="F257" s="43"/>
      <c r="G257" s="63"/>
      <c r="H257" s="58"/>
      <c r="I257" s="38"/>
      <c r="J257" s="38"/>
      <c r="K257" s="46"/>
      <c r="L257" s="47"/>
      <c r="M257" s="93"/>
      <c r="N257" s="93"/>
      <c r="O257" s="38"/>
      <c r="P257" s="38"/>
      <c r="Q257" s="14"/>
      <c r="R257" s="39"/>
      <c r="S257" s="39"/>
      <c r="T257" s="39"/>
      <c r="U257" s="40"/>
      <c r="V257" s="54"/>
      <c r="W257" s="55"/>
      <c r="X257" s="56"/>
      <c r="Y257" s="38"/>
      <c r="Z257" s="38"/>
      <c r="AA257" s="38"/>
      <c r="AB257" s="38"/>
    </row>
    <row r="258" spans="1:28">
      <c r="A258" s="42"/>
      <c r="B258" s="39"/>
      <c r="C258" s="40"/>
      <c r="D258" s="42"/>
      <c r="E258" s="38"/>
      <c r="F258" s="43"/>
      <c r="G258" s="63"/>
      <c r="H258" s="58"/>
      <c r="I258" s="38"/>
      <c r="J258" s="38"/>
      <c r="K258" s="46"/>
      <c r="L258" s="47"/>
      <c r="M258" s="93"/>
      <c r="N258" s="93"/>
      <c r="O258" s="38"/>
      <c r="P258" s="38"/>
      <c r="Q258" s="14"/>
      <c r="R258" s="39"/>
      <c r="S258" s="39"/>
      <c r="T258" s="39"/>
      <c r="U258" s="40"/>
      <c r="V258" s="54"/>
      <c r="W258" s="55"/>
      <c r="X258" s="56"/>
      <c r="Y258" s="38"/>
      <c r="Z258" s="38"/>
      <c r="AA258" s="38"/>
      <c r="AB258" s="38"/>
    </row>
    <row r="259" spans="1:28">
      <c r="A259" s="42"/>
      <c r="B259" s="39"/>
      <c r="C259" s="40"/>
      <c r="D259" s="42"/>
      <c r="E259" s="38"/>
      <c r="F259" s="43"/>
      <c r="G259" s="63"/>
      <c r="H259" s="58"/>
      <c r="I259" s="38"/>
      <c r="J259" s="38"/>
      <c r="K259" s="46"/>
      <c r="L259" s="47"/>
      <c r="M259" s="93"/>
      <c r="N259" s="93"/>
      <c r="O259" s="38"/>
      <c r="P259" s="38"/>
      <c r="Q259" s="14"/>
      <c r="R259" s="39"/>
      <c r="S259" s="39"/>
      <c r="T259" s="39"/>
      <c r="U259" s="40"/>
      <c r="V259" s="54"/>
      <c r="W259" s="55"/>
      <c r="X259" s="56"/>
      <c r="Y259" s="38"/>
      <c r="Z259" s="38"/>
      <c r="AA259" s="38"/>
      <c r="AB259" s="38"/>
    </row>
    <row r="260" spans="1:28">
      <c r="A260" s="42"/>
      <c r="B260" s="39"/>
      <c r="C260" s="40"/>
      <c r="D260" s="42"/>
      <c r="E260" s="38"/>
      <c r="F260" s="43"/>
      <c r="G260" s="63"/>
      <c r="H260" s="58"/>
      <c r="I260" s="38"/>
      <c r="J260" s="38"/>
      <c r="K260" s="46"/>
      <c r="L260" s="47"/>
      <c r="M260" s="93"/>
      <c r="N260" s="93"/>
      <c r="O260" s="38"/>
      <c r="P260" s="38"/>
      <c r="Q260" s="14"/>
      <c r="R260" s="39"/>
      <c r="S260" s="39"/>
      <c r="T260" s="39"/>
      <c r="U260" s="40"/>
      <c r="V260" s="54"/>
      <c r="W260" s="55"/>
      <c r="X260" s="56"/>
      <c r="Y260" s="38"/>
      <c r="Z260" s="38"/>
      <c r="AA260" s="38"/>
      <c r="AB260" s="38"/>
    </row>
    <row r="261" spans="1:28">
      <c r="A261" s="42"/>
      <c r="B261" s="39"/>
      <c r="C261" s="40"/>
      <c r="D261" s="42"/>
      <c r="E261" s="38"/>
      <c r="F261" s="43"/>
      <c r="G261" s="63"/>
      <c r="H261" s="58"/>
      <c r="I261" s="38"/>
      <c r="J261" s="38"/>
      <c r="K261" s="46"/>
      <c r="L261" s="47"/>
      <c r="M261" s="93"/>
      <c r="N261" s="93"/>
      <c r="O261" s="38"/>
      <c r="P261" s="38"/>
      <c r="Q261" s="14"/>
      <c r="R261" s="39"/>
      <c r="S261" s="39"/>
      <c r="T261" s="39"/>
      <c r="U261" s="40"/>
      <c r="V261" s="54"/>
      <c r="W261" s="55"/>
      <c r="X261" s="56"/>
      <c r="Y261" s="38"/>
      <c r="Z261" s="38"/>
      <c r="AA261" s="38"/>
      <c r="AB261" s="38"/>
    </row>
    <row r="262" spans="1:28">
      <c r="A262" s="42"/>
      <c r="B262" s="39"/>
      <c r="C262" s="40"/>
      <c r="D262" s="42"/>
      <c r="E262" s="38"/>
      <c r="F262" s="43"/>
      <c r="G262" s="63"/>
      <c r="H262" s="58"/>
      <c r="I262" s="38"/>
      <c r="J262" s="38"/>
      <c r="K262" s="46"/>
      <c r="L262" s="47"/>
      <c r="M262" s="93"/>
      <c r="N262" s="93"/>
      <c r="O262" s="38"/>
      <c r="P262" s="38"/>
      <c r="Q262" s="14"/>
      <c r="R262" s="39"/>
      <c r="S262" s="39"/>
      <c r="T262" s="39"/>
      <c r="U262" s="40"/>
      <c r="V262" s="54"/>
      <c r="W262" s="55"/>
      <c r="X262" s="56"/>
      <c r="Y262" s="38"/>
      <c r="Z262" s="38"/>
      <c r="AA262" s="38"/>
      <c r="AB262" s="38"/>
    </row>
    <row r="263" spans="1:28">
      <c r="A263" s="42"/>
      <c r="B263" s="39"/>
      <c r="C263" s="40"/>
      <c r="D263" s="42"/>
      <c r="E263" s="38"/>
      <c r="F263" s="43"/>
      <c r="G263" s="63"/>
      <c r="H263" s="58"/>
      <c r="I263" s="38"/>
      <c r="J263" s="38"/>
      <c r="K263" s="46"/>
      <c r="L263" s="47"/>
      <c r="M263" s="93"/>
      <c r="N263" s="93"/>
      <c r="O263" s="38"/>
      <c r="P263" s="38"/>
      <c r="Q263" s="14"/>
      <c r="R263" s="39"/>
      <c r="S263" s="39"/>
      <c r="T263" s="39"/>
      <c r="U263" s="40"/>
      <c r="V263" s="54"/>
      <c r="W263" s="55"/>
      <c r="X263" s="56"/>
      <c r="Y263" s="38"/>
      <c r="Z263" s="38"/>
      <c r="AA263" s="38"/>
      <c r="AB263" s="38"/>
    </row>
    <row r="264" spans="1:28">
      <c r="A264" s="42"/>
      <c r="B264" s="39"/>
      <c r="C264" s="40"/>
      <c r="D264" s="42"/>
      <c r="E264" s="38"/>
      <c r="F264" s="43"/>
      <c r="G264" s="63"/>
      <c r="H264" s="58"/>
      <c r="I264" s="38"/>
      <c r="J264" s="38"/>
      <c r="K264" s="46"/>
      <c r="L264" s="47"/>
      <c r="M264" s="93"/>
      <c r="N264" s="93"/>
      <c r="O264" s="38"/>
      <c r="P264" s="38"/>
      <c r="Q264" s="14"/>
      <c r="R264" s="39"/>
      <c r="S264" s="39"/>
      <c r="T264" s="39"/>
      <c r="U264" s="40"/>
      <c r="V264" s="54"/>
      <c r="W264" s="55"/>
      <c r="X264" s="56"/>
      <c r="Y264" s="38"/>
      <c r="Z264" s="38"/>
      <c r="AA264" s="38"/>
      <c r="AB264" s="38"/>
    </row>
    <row r="265" spans="1:28">
      <c r="A265" s="42"/>
      <c r="B265" s="39"/>
      <c r="C265" s="40"/>
      <c r="D265" s="42"/>
      <c r="E265" s="38"/>
      <c r="F265" s="43"/>
      <c r="G265" s="63"/>
      <c r="H265" s="58"/>
      <c r="I265" s="38"/>
      <c r="J265" s="38"/>
      <c r="K265" s="46"/>
      <c r="L265" s="47"/>
      <c r="M265" s="93"/>
      <c r="N265" s="93"/>
      <c r="O265" s="38"/>
      <c r="P265" s="38"/>
      <c r="Q265" s="14"/>
      <c r="R265" s="39"/>
      <c r="S265" s="39"/>
      <c r="T265" s="39"/>
      <c r="U265" s="40"/>
      <c r="V265" s="54"/>
      <c r="W265" s="55"/>
      <c r="X265" s="56"/>
      <c r="Y265" s="38"/>
      <c r="Z265" s="38"/>
      <c r="AA265" s="38"/>
      <c r="AB265" s="38"/>
    </row>
    <row r="266" spans="1:28">
      <c r="A266" s="42"/>
      <c r="B266" s="39"/>
      <c r="C266" s="40"/>
      <c r="D266" s="42"/>
      <c r="E266" s="38"/>
      <c r="F266" s="43"/>
      <c r="G266" s="63"/>
      <c r="H266" s="58"/>
      <c r="I266" s="38"/>
      <c r="J266" s="38"/>
      <c r="K266" s="46"/>
      <c r="L266" s="47"/>
      <c r="M266" s="93"/>
      <c r="N266" s="93"/>
      <c r="O266" s="38"/>
      <c r="P266" s="38"/>
      <c r="Q266" s="14"/>
      <c r="R266" s="39"/>
      <c r="S266" s="39"/>
      <c r="T266" s="39"/>
      <c r="U266" s="40"/>
      <c r="V266" s="54"/>
      <c r="W266" s="55"/>
      <c r="X266" s="56"/>
      <c r="Y266" s="38"/>
      <c r="Z266" s="38"/>
      <c r="AA266" s="38"/>
      <c r="AB266" s="38"/>
    </row>
    <row r="267" spans="1:28">
      <c r="A267" s="42"/>
      <c r="B267" s="39"/>
      <c r="C267" s="40"/>
      <c r="D267" s="42"/>
      <c r="E267" s="38"/>
      <c r="F267" s="43"/>
      <c r="G267" s="63"/>
      <c r="H267" s="58"/>
      <c r="I267" s="38"/>
      <c r="J267" s="38"/>
      <c r="K267" s="46"/>
      <c r="L267" s="47"/>
      <c r="M267" s="93"/>
      <c r="N267" s="93"/>
      <c r="O267" s="38"/>
      <c r="P267" s="38"/>
      <c r="Q267" s="14"/>
      <c r="R267" s="39"/>
      <c r="S267" s="39"/>
      <c r="T267" s="39"/>
      <c r="U267" s="40"/>
      <c r="V267" s="54"/>
      <c r="W267" s="55"/>
      <c r="X267" s="56"/>
      <c r="Y267" s="38"/>
      <c r="Z267" s="38"/>
      <c r="AA267" s="38"/>
      <c r="AB267" s="38"/>
    </row>
    <row r="268" spans="1:28">
      <c r="A268" s="42"/>
      <c r="B268" s="39"/>
      <c r="C268" s="40"/>
      <c r="D268" s="42"/>
      <c r="E268" s="38"/>
      <c r="F268" s="43"/>
      <c r="G268" s="63"/>
      <c r="H268" s="58"/>
      <c r="I268" s="38"/>
      <c r="J268" s="38"/>
      <c r="K268" s="46"/>
      <c r="L268" s="47"/>
      <c r="M268" s="93"/>
      <c r="N268" s="93"/>
      <c r="O268" s="38"/>
      <c r="P268" s="38"/>
      <c r="Q268" s="14"/>
      <c r="R268" s="39"/>
      <c r="S268" s="39"/>
      <c r="T268" s="39"/>
      <c r="U268" s="40"/>
      <c r="V268" s="54"/>
      <c r="W268" s="55"/>
      <c r="X268" s="56"/>
      <c r="Y268" s="38"/>
      <c r="Z268" s="38"/>
      <c r="AA268" s="38"/>
      <c r="AB268" s="38"/>
    </row>
    <row r="269" spans="1:28">
      <c r="A269" s="42"/>
      <c r="B269" s="39"/>
      <c r="C269" s="40"/>
      <c r="D269" s="42"/>
      <c r="E269" s="38"/>
      <c r="F269" s="43"/>
      <c r="G269" s="63"/>
      <c r="H269" s="58"/>
      <c r="I269" s="38"/>
      <c r="J269" s="38"/>
      <c r="K269" s="46"/>
      <c r="L269" s="47"/>
      <c r="M269" s="93"/>
      <c r="N269" s="93"/>
      <c r="O269" s="38"/>
      <c r="P269" s="38"/>
      <c r="Q269" s="14"/>
      <c r="R269" s="39"/>
      <c r="S269" s="39"/>
      <c r="T269" s="39"/>
      <c r="U269" s="40"/>
      <c r="V269" s="54"/>
      <c r="W269" s="55"/>
      <c r="X269" s="56"/>
      <c r="Y269" s="38"/>
      <c r="Z269" s="38"/>
      <c r="AA269" s="38"/>
      <c r="AB269" s="38"/>
    </row>
    <row r="270" spans="1:28">
      <c r="A270" s="42"/>
      <c r="B270" s="39"/>
      <c r="C270" s="40"/>
      <c r="D270" s="42"/>
      <c r="E270" s="38"/>
      <c r="F270" s="43"/>
      <c r="G270" s="63"/>
      <c r="H270" s="58"/>
      <c r="I270" s="38"/>
      <c r="J270" s="38"/>
      <c r="K270" s="46"/>
      <c r="L270" s="47"/>
      <c r="M270" s="93"/>
      <c r="N270" s="93"/>
      <c r="O270" s="38"/>
      <c r="P270" s="38"/>
      <c r="Q270" s="14"/>
      <c r="R270" s="39"/>
      <c r="S270" s="39"/>
      <c r="T270" s="39"/>
      <c r="U270" s="40"/>
      <c r="V270" s="54"/>
      <c r="W270" s="55"/>
      <c r="X270" s="56"/>
      <c r="Y270" s="38"/>
      <c r="Z270" s="38"/>
      <c r="AA270" s="38"/>
      <c r="AB270" s="38"/>
    </row>
    <row r="271" spans="1:28">
      <c r="A271" s="42"/>
      <c r="B271" s="39"/>
      <c r="C271" s="40"/>
      <c r="D271" s="42"/>
      <c r="E271" s="38"/>
      <c r="F271" s="43"/>
      <c r="G271" s="63"/>
      <c r="H271" s="58"/>
      <c r="I271" s="38"/>
      <c r="J271" s="38"/>
      <c r="K271" s="46"/>
      <c r="L271" s="47"/>
      <c r="M271" s="93"/>
      <c r="N271" s="93"/>
      <c r="O271" s="38"/>
      <c r="P271" s="38"/>
      <c r="Q271" s="14"/>
      <c r="R271" s="39"/>
      <c r="S271" s="39"/>
      <c r="T271" s="39"/>
      <c r="U271" s="40"/>
      <c r="V271" s="54"/>
      <c r="W271" s="55"/>
      <c r="X271" s="56"/>
      <c r="Y271" s="38"/>
      <c r="Z271" s="38"/>
      <c r="AA271" s="38"/>
      <c r="AB271" s="38"/>
    </row>
    <row r="272" spans="1:28">
      <c r="A272" s="42"/>
      <c r="B272" s="39"/>
      <c r="C272" s="40"/>
      <c r="D272" s="42"/>
      <c r="E272" s="38"/>
      <c r="F272" s="43"/>
      <c r="G272" s="63"/>
      <c r="H272" s="58"/>
      <c r="I272" s="38"/>
      <c r="J272" s="38"/>
      <c r="K272" s="46"/>
      <c r="L272" s="47"/>
      <c r="M272" s="93"/>
      <c r="N272" s="93"/>
      <c r="O272" s="38"/>
      <c r="P272" s="38"/>
      <c r="Q272" s="14"/>
      <c r="R272" s="39"/>
      <c r="S272" s="39"/>
      <c r="T272" s="39"/>
      <c r="U272" s="40"/>
      <c r="V272" s="54"/>
      <c r="W272" s="55"/>
      <c r="X272" s="56"/>
      <c r="Y272" s="38"/>
      <c r="Z272" s="38"/>
      <c r="AA272" s="38"/>
      <c r="AB272" s="38"/>
    </row>
    <row r="273" spans="1:28">
      <c r="A273" s="42"/>
      <c r="B273" s="39"/>
      <c r="C273" s="40"/>
      <c r="D273" s="42"/>
      <c r="E273" s="38"/>
      <c r="F273" s="43"/>
      <c r="G273" s="63"/>
      <c r="H273" s="58"/>
      <c r="I273" s="38"/>
      <c r="J273" s="38"/>
      <c r="K273" s="46"/>
      <c r="L273" s="47"/>
      <c r="M273" s="93"/>
      <c r="N273" s="93"/>
      <c r="O273" s="38"/>
      <c r="P273" s="38"/>
      <c r="Q273" s="14"/>
      <c r="R273" s="39"/>
      <c r="S273" s="39"/>
      <c r="T273" s="39"/>
      <c r="U273" s="40"/>
      <c r="V273" s="54"/>
      <c r="W273" s="55"/>
      <c r="X273" s="56"/>
      <c r="Y273" s="38"/>
      <c r="Z273" s="38"/>
      <c r="AA273" s="38"/>
      <c r="AB273" s="38"/>
    </row>
    <row r="274" spans="1:28">
      <c r="A274" s="42"/>
      <c r="B274" s="39"/>
      <c r="C274" s="40"/>
      <c r="D274" s="42"/>
      <c r="E274" s="38"/>
      <c r="F274" s="43"/>
      <c r="G274" s="63"/>
      <c r="H274" s="58"/>
      <c r="I274" s="38"/>
      <c r="J274" s="38"/>
      <c r="K274" s="46"/>
      <c r="L274" s="47"/>
      <c r="M274" s="93"/>
      <c r="N274" s="93"/>
      <c r="O274" s="38"/>
      <c r="P274" s="38"/>
      <c r="Q274" s="14"/>
      <c r="R274" s="39"/>
      <c r="S274" s="39"/>
      <c r="T274" s="39"/>
      <c r="U274" s="40"/>
      <c r="V274" s="54"/>
      <c r="W274" s="55"/>
      <c r="X274" s="56"/>
      <c r="Y274" s="38"/>
      <c r="Z274" s="38"/>
      <c r="AA274" s="38"/>
      <c r="AB274" s="38"/>
    </row>
    <row r="275" spans="1:28">
      <c r="A275" s="42"/>
      <c r="B275" s="39"/>
      <c r="C275" s="40"/>
      <c r="D275" s="42"/>
      <c r="E275" s="38"/>
      <c r="F275" s="43"/>
      <c r="G275" s="63"/>
      <c r="H275" s="58"/>
      <c r="I275" s="38"/>
      <c r="J275" s="38"/>
      <c r="K275" s="46"/>
      <c r="L275" s="47"/>
      <c r="M275" s="93"/>
      <c r="N275" s="93"/>
      <c r="O275" s="38"/>
      <c r="P275" s="38"/>
      <c r="Q275" s="14"/>
      <c r="R275" s="39"/>
      <c r="S275" s="39"/>
      <c r="T275" s="39"/>
      <c r="U275" s="40"/>
      <c r="V275" s="54"/>
      <c r="W275" s="55"/>
      <c r="X275" s="56"/>
      <c r="Y275" s="38"/>
      <c r="Z275" s="38"/>
      <c r="AA275" s="38"/>
      <c r="AB275" s="38"/>
    </row>
    <row r="276" spans="1:28">
      <c r="A276" s="42"/>
      <c r="B276" s="39"/>
      <c r="C276" s="40"/>
      <c r="D276" s="42"/>
      <c r="E276" s="38"/>
      <c r="F276" s="43"/>
      <c r="G276" s="63"/>
      <c r="H276" s="58"/>
      <c r="I276" s="38"/>
      <c r="J276" s="38"/>
      <c r="K276" s="46"/>
      <c r="L276" s="47"/>
      <c r="M276" s="93"/>
      <c r="N276" s="93"/>
      <c r="O276" s="38"/>
      <c r="P276" s="38"/>
      <c r="Q276" s="14"/>
      <c r="R276" s="39"/>
      <c r="S276" s="39"/>
      <c r="T276" s="39"/>
      <c r="U276" s="40"/>
      <c r="V276" s="54"/>
      <c r="W276" s="55"/>
      <c r="X276" s="56"/>
      <c r="Y276" s="38"/>
      <c r="Z276" s="38"/>
      <c r="AA276" s="38"/>
      <c r="AB276" s="38"/>
    </row>
    <row r="277" spans="1:28">
      <c r="A277" s="42"/>
      <c r="B277" s="39"/>
      <c r="C277" s="40"/>
      <c r="D277" s="42"/>
      <c r="E277" s="38"/>
      <c r="F277" s="43"/>
      <c r="G277" s="63"/>
      <c r="H277" s="58"/>
      <c r="I277" s="38"/>
      <c r="J277" s="38"/>
      <c r="K277" s="46"/>
      <c r="L277" s="47"/>
      <c r="M277" s="93"/>
      <c r="N277" s="93"/>
      <c r="O277" s="38"/>
      <c r="P277" s="38"/>
      <c r="Q277" s="14"/>
      <c r="R277" s="39"/>
      <c r="S277" s="39"/>
      <c r="T277" s="39"/>
      <c r="U277" s="40"/>
      <c r="V277" s="54"/>
      <c r="W277" s="55"/>
      <c r="X277" s="56"/>
      <c r="Y277" s="38"/>
      <c r="Z277" s="38"/>
      <c r="AA277" s="38"/>
      <c r="AB277" s="38"/>
    </row>
    <row r="278" spans="1:28">
      <c r="A278" s="42"/>
      <c r="B278" s="39"/>
      <c r="C278" s="40"/>
      <c r="D278" s="42"/>
      <c r="E278" s="38"/>
      <c r="F278" s="43"/>
      <c r="G278" s="63"/>
      <c r="H278" s="58"/>
      <c r="I278" s="38"/>
      <c r="J278" s="38"/>
      <c r="K278" s="46"/>
      <c r="L278" s="47"/>
      <c r="M278" s="93"/>
      <c r="N278" s="93"/>
      <c r="O278" s="38"/>
      <c r="P278" s="38"/>
      <c r="Q278" s="14"/>
      <c r="R278" s="39"/>
      <c r="S278" s="39"/>
      <c r="T278" s="39"/>
      <c r="U278" s="40"/>
      <c r="V278" s="54"/>
      <c r="W278" s="55"/>
      <c r="X278" s="56"/>
      <c r="Y278" s="38"/>
      <c r="Z278" s="38"/>
      <c r="AA278" s="38"/>
      <c r="AB278" s="38"/>
    </row>
    <row r="279" spans="1:28">
      <c r="A279" s="42"/>
      <c r="B279" s="39"/>
      <c r="C279" s="40"/>
      <c r="D279" s="42"/>
      <c r="E279" s="38"/>
      <c r="F279" s="43"/>
      <c r="G279" s="63"/>
      <c r="H279" s="58"/>
      <c r="I279" s="38"/>
      <c r="J279" s="38"/>
      <c r="K279" s="46"/>
      <c r="L279" s="47"/>
      <c r="M279" s="93"/>
      <c r="N279" s="93"/>
      <c r="O279" s="38"/>
      <c r="P279" s="38"/>
      <c r="Q279" s="14"/>
      <c r="R279" s="39"/>
      <c r="S279" s="39"/>
      <c r="T279" s="39"/>
      <c r="U279" s="40"/>
      <c r="V279" s="54"/>
      <c r="W279" s="55"/>
      <c r="X279" s="56"/>
      <c r="Y279" s="38"/>
      <c r="Z279" s="38"/>
      <c r="AA279" s="38"/>
      <c r="AB279" s="38"/>
    </row>
    <row r="280" spans="1:28">
      <c r="A280" s="42"/>
      <c r="B280" s="39"/>
      <c r="C280" s="40"/>
      <c r="D280" s="42"/>
      <c r="E280" s="38"/>
      <c r="F280" s="43"/>
      <c r="G280" s="63"/>
      <c r="H280" s="58"/>
      <c r="I280" s="38"/>
      <c r="J280" s="38"/>
      <c r="K280" s="46"/>
      <c r="L280" s="47"/>
      <c r="M280" s="93"/>
      <c r="N280" s="93"/>
      <c r="O280" s="38"/>
      <c r="P280" s="38"/>
      <c r="Q280" s="14"/>
      <c r="R280" s="39"/>
      <c r="S280" s="39"/>
      <c r="T280" s="39"/>
      <c r="U280" s="40"/>
      <c r="V280" s="54"/>
      <c r="W280" s="55"/>
      <c r="X280" s="56"/>
      <c r="Y280" s="38"/>
      <c r="Z280" s="38"/>
      <c r="AA280" s="38"/>
      <c r="AB280" s="38"/>
    </row>
    <row r="281" spans="1:28">
      <c r="A281" s="42"/>
      <c r="B281" s="39"/>
      <c r="C281" s="40"/>
      <c r="D281" s="42"/>
      <c r="E281" s="38"/>
      <c r="F281" s="43"/>
      <c r="G281" s="63"/>
      <c r="H281" s="58"/>
      <c r="I281" s="38"/>
      <c r="J281" s="38"/>
      <c r="K281" s="46"/>
      <c r="L281" s="47"/>
      <c r="M281" s="93"/>
      <c r="N281" s="93"/>
      <c r="O281" s="38"/>
      <c r="P281" s="38"/>
      <c r="Q281" s="14"/>
      <c r="R281" s="39"/>
      <c r="S281" s="39"/>
      <c r="T281" s="39"/>
      <c r="U281" s="40"/>
      <c r="V281" s="54"/>
      <c r="W281" s="55"/>
      <c r="X281" s="56"/>
      <c r="Y281" s="38"/>
      <c r="Z281" s="38"/>
      <c r="AA281" s="38"/>
      <c r="AB281" s="38"/>
    </row>
    <row r="282" spans="1:28">
      <c r="A282" s="42"/>
      <c r="B282" s="39"/>
      <c r="C282" s="40"/>
      <c r="D282" s="42"/>
      <c r="E282" s="38"/>
      <c r="F282" s="43"/>
      <c r="G282" s="63"/>
      <c r="H282" s="58"/>
      <c r="I282" s="38"/>
      <c r="J282" s="38"/>
      <c r="K282" s="46"/>
      <c r="L282" s="47"/>
      <c r="M282" s="93"/>
      <c r="N282" s="93"/>
      <c r="O282" s="38"/>
      <c r="P282" s="38"/>
      <c r="Q282" s="14"/>
      <c r="R282" s="39"/>
      <c r="S282" s="39"/>
      <c r="T282" s="39"/>
      <c r="U282" s="40"/>
      <c r="V282" s="54"/>
      <c r="W282" s="55"/>
      <c r="X282" s="56"/>
      <c r="Y282" s="38"/>
      <c r="Z282" s="38"/>
      <c r="AA282" s="38"/>
      <c r="AB282" s="38"/>
    </row>
    <row r="283" spans="1:28">
      <c r="A283" s="42"/>
      <c r="B283" s="39"/>
      <c r="C283" s="40"/>
      <c r="D283" s="42"/>
      <c r="E283" s="38"/>
      <c r="F283" s="43"/>
      <c r="G283" s="63"/>
      <c r="H283" s="58"/>
      <c r="I283" s="38"/>
      <c r="J283" s="38"/>
      <c r="K283" s="46"/>
      <c r="L283" s="47"/>
      <c r="M283" s="93"/>
      <c r="N283" s="93"/>
      <c r="O283" s="38"/>
      <c r="P283" s="38"/>
      <c r="Q283" s="14"/>
      <c r="R283" s="39"/>
      <c r="S283" s="39"/>
      <c r="T283" s="39"/>
      <c r="U283" s="40"/>
      <c r="V283" s="54"/>
      <c r="W283" s="55"/>
      <c r="X283" s="56"/>
      <c r="Y283" s="38"/>
      <c r="Z283" s="38"/>
      <c r="AA283" s="38"/>
      <c r="AB283" s="38"/>
    </row>
    <row r="284" spans="1:28">
      <c r="A284" s="42"/>
      <c r="B284" s="39"/>
      <c r="C284" s="40"/>
      <c r="D284" s="42"/>
      <c r="E284" s="38"/>
      <c r="F284" s="43"/>
      <c r="G284" s="63"/>
      <c r="H284" s="58"/>
      <c r="I284" s="38"/>
      <c r="J284" s="38"/>
      <c r="K284" s="46"/>
      <c r="L284" s="47"/>
      <c r="M284" s="93"/>
      <c r="N284" s="93"/>
      <c r="O284" s="38"/>
      <c r="P284" s="38"/>
      <c r="Q284" s="14"/>
      <c r="R284" s="39"/>
      <c r="S284" s="39"/>
      <c r="T284" s="39"/>
      <c r="U284" s="40"/>
      <c r="V284" s="54"/>
      <c r="W284" s="55"/>
      <c r="X284" s="56"/>
      <c r="Y284" s="38"/>
      <c r="Z284" s="38"/>
      <c r="AA284" s="38"/>
      <c r="AB284" s="38"/>
    </row>
    <row r="285" spans="1:28">
      <c r="A285" s="42"/>
      <c r="B285" s="39"/>
      <c r="C285" s="40"/>
      <c r="D285" s="42"/>
      <c r="E285" s="38"/>
      <c r="F285" s="43"/>
      <c r="G285" s="63"/>
      <c r="H285" s="58"/>
      <c r="I285" s="38"/>
      <c r="J285" s="38"/>
      <c r="K285" s="46"/>
      <c r="L285" s="47"/>
      <c r="M285" s="93"/>
      <c r="N285" s="93"/>
      <c r="O285" s="38"/>
      <c r="P285" s="38"/>
      <c r="Q285" s="14"/>
      <c r="R285" s="39"/>
      <c r="S285" s="39"/>
      <c r="T285" s="39"/>
      <c r="U285" s="40"/>
      <c r="V285" s="54"/>
      <c r="W285" s="55"/>
      <c r="X285" s="56"/>
      <c r="Y285" s="38"/>
      <c r="Z285" s="38"/>
      <c r="AA285" s="38"/>
      <c r="AB285" s="38"/>
    </row>
    <row r="286" spans="1:28">
      <c r="A286" s="42"/>
      <c r="B286" s="39"/>
      <c r="C286" s="40"/>
      <c r="D286" s="42"/>
      <c r="E286" s="38"/>
      <c r="F286" s="43"/>
      <c r="G286" s="63"/>
      <c r="H286" s="58"/>
      <c r="I286" s="38"/>
      <c r="J286" s="38"/>
      <c r="K286" s="46"/>
      <c r="L286" s="47"/>
      <c r="M286" s="93"/>
      <c r="N286" s="93"/>
      <c r="O286" s="38"/>
      <c r="P286" s="38"/>
      <c r="Q286" s="14"/>
      <c r="R286" s="39"/>
      <c r="S286" s="39"/>
      <c r="T286" s="39"/>
      <c r="U286" s="40"/>
      <c r="V286" s="54"/>
      <c r="W286" s="55"/>
      <c r="X286" s="56"/>
      <c r="Y286" s="38"/>
      <c r="Z286" s="38"/>
      <c r="AA286" s="38"/>
      <c r="AB286" s="38"/>
    </row>
    <row r="287" spans="1:28">
      <c r="A287" s="42"/>
      <c r="B287" s="39"/>
      <c r="C287" s="40"/>
      <c r="D287" s="42"/>
      <c r="E287" s="38"/>
      <c r="F287" s="43"/>
      <c r="G287" s="63"/>
      <c r="H287" s="58"/>
      <c r="I287" s="38"/>
      <c r="J287" s="38"/>
      <c r="K287" s="46"/>
      <c r="L287" s="47"/>
      <c r="M287" s="93"/>
      <c r="N287" s="93"/>
      <c r="O287" s="38"/>
      <c r="P287" s="38"/>
      <c r="Q287" s="14"/>
      <c r="R287" s="39"/>
      <c r="S287" s="39"/>
      <c r="T287" s="39"/>
      <c r="U287" s="40"/>
      <c r="V287" s="54"/>
      <c r="W287" s="55"/>
      <c r="X287" s="56"/>
      <c r="Y287" s="38"/>
      <c r="Z287" s="38"/>
      <c r="AA287" s="38"/>
      <c r="AB287" s="38"/>
    </row>
    <row r="288" spans="1:28">
      <c r="A288" s="42"/>
      <c r="B288" s="39"/>
      <c r="C288" s="40"/>
      <c r="D288" s="42"/>
      <c r="E288" s="38"/>
      <c r="F288" s="43"/>
      <c r="G288" s="63"/>
      <c r="H288" s="58"/>
      <c r="I288" s="38"/>
      <c r="J288" s="38"/>
      <c r="K288" s="46"/>
      <c r="L288" s="47"/>
      <c r="M288" s="93"/>
      <c r="N288" s="93"/>
      <c r="O288" s="38"/>
      <c r="P288" s="38"/>
      <c r="Q288" s="14"/>
      <c r="R288" s="39"/>
      <c r="S288" s="39"/>
      <c r="T288" s="39"/>
      <c r="U288" s="40"/>
      <c r="V288" s="54"/>
      <c r="W288" s="55"/>
      <c r="X288" s="56"/>
      <c r="Y288" s="38"/>
      <c r="Z288" s="38"/>
      <c r="AA288" s="38"/>
      <c r="AB288" s="38"/>
    </row>
    <row r="289" spans="1:28">
      <c r="A289" s="42"/>
      <c r="B289" s="39"/>
      <c r="C289" s="40"/>
      <c r="D289" s="42"/>
      <c r="E289" s="38"/>
      <c r="F289" s="43"/>
      <c r="G289" s="63"/>
      <c r="H289" s="58"/>
      <c r="I289" s="38"/>
      <c r="J289" s="38"/>
      <c r="K289" s="46"/>
      <c r="L289" s="47"/>
      <c r="M289" s="93"/>
      <c r="N289" s="93"/>
      <c r="O289" s="38"/>
      <c r="P289" s="38"/>
      <c r="Q289" s="14"/>
      <c r="R289" s="39"/>
      <c r="S289" s="39"/>
      <c r="T289" s="39"/>
      <c r="U289" s="40"/>
      <c r="V289" s="54"/>
      <c r="W289" s="55"/>
      <c r="X289" s="56"/>
      <c r="Y289" s="38"/>
      <c r="Z289" s="38"/>
      <c r="AA289" s="38"/>
      <c r="AB289" s="38"/>
    </row>
    <row r="290" spans="1:28">
      <c r="A290" s="42"/>
      <c r="B290" s="39"/>
      <c r="C290" s="40"/>
      <c r="D290" s="42"/>
      <c r="E290" s="38"/>
      <c r="F290" s="43"/>
      <c r="G290" s="63"/>
      <c r="H290" s="58"/>
      <c r="I290" s="38"/>
      <c r="J290" s="38"/>
      <c r="K290" s="46"/>
      <c r="L290" s="47"/>
      <c r="M290" s="93"/>
      <c r="N290" s="93"/>
      <c r="O290" s="38"/>
      <c r="P290" s="38"/>
      <c r="Q290" s="14"/>
      <c r="R290" s="39"/>
      <c r="S290" s="39"/>
      <c r="T290" s="39"/>
      <c r="U290" s="40"/>
      <c r="V290" s="54"/>
      <c r="W290" s="55"/>
      <c r="X290" s="56"/>
      <c r="Y290" s="38"/>
      <c r="Z290" s="38"/>
      <c r="AA290" s="38"/>
      <c r="AB290" s="38"/>
    </row>
    <row r="291" spans="1:28">
      <c r="A291" s="42"/>
      <c r="B291" s="39"/>
      <c r="C291" s="40"/>
      <c r="D291" s="42"/>
      <c r="E291" s="38"/>
      <c r="F291" s="43"/>
      <c r="G291" s="63"/>
      <c r="H291" s="58"/>
      <c r="I291" s="38"/>
      <c r="J291" s="38"/>
      <c r="K291" s="46"/>
      <c r="L291" s="47"/>
      <c r="M291" s="93"/>
      <c r="N291" s="93"/>
      <c r="O291" s="38"/>
      <c r="P291" s="38"/>
      <c r="Q291" s="14"/>
      <c r="R291" s="39"/>
      <c r="S291" s="39"/>
      <c r="T291" s="39"/>
      <c r="U291" s="40"/>
      <c r="V291" s="54"/>
      <c r="W291" s="55"/>
      <c r="X291" s="56"/>
      <c r="Y291" s="38"/>
      <c r="Z291" s="38"/>
      <c r="AA291" s="38"/>
      <c r="AB291" s="38"/>
    </row>
    <row r="292" spans="1:28">
      <c r="A292" s="42"/>
      <c r="B292" s="39"/>
      <c r="C292" s="40"/>
      <c r="D292" s="42"/>
      <c r="E292" s="38"/>
      <c r="F292" s="43"/>
      <c r="G292" s="63"/>
      <c r="H292" s="58"/>
      <c r="I292" s="38"/>
      <c r="J292" s="38"/>
      <c r="K292" s="46"/>
      <c r="L292" s="47"/>
      <c r="M292" s="93"/>
      <c r="N292" s="93"/>
      <c r="O292" s="38"/>
      <c r="P292" s="38"/>
      <c r="Q292" s="14"/>
      <c r="R292" s="39"/>
      <c r="S292" s="39"/>
      <c r="T292" s="39"/>
      <c r="U292" s="40"/>
      <c r="V292" s="54"/>
      <c r="W292" s="55"/>
      <c r="X292" s="56"/>
      <c r="Y292" s="38"/>
      <c r="Z292" s="38"/>
      <c r="AA292" s="38"/>
      <c r="AB292" s="38"/>
    </row>
    <row r="293" spans="1:28">
      <c r="A293" s="42"/>
      <c r="B293" s="39"/>
      <c r="C293" s="40"/>
      <c r="D293" s="42"/>
      <c r="E293" s="38"/>
      <c r="F293" s="43"/>
      <c r="G293" s="63"/>
      <c r="H293" s="58"/>
      <c r="I293" s="38"/>
      <c r="J293" s="38"/>
      <c r="K293" s="46"/>
      <c r="L293" s="47"/>
      <c r="M293" s="93"/>
      <c r="N293" s="93"/>
      <c r="O293" s="38"/>
      <c r="P293" s="38"/>
      <c r="Q293" s="14"/>
      <c r="R293" s="39"/>
      <c r="S293" s="39"/>
      <c r="T293" s="39"/>
      <c r="U293" s="40"/>
      <c r="V293" s="54"/>
      <c r="W293" s="55"/>
      <c r="X293" s="56"/>
      <c r="Y293" s="38"/>
      <c r="Z293" s="38"/>
      <c r="AA293" s="38"/>
      <c r="AB293" s="38"/>
    </row>
    <row r="294" spans="1:28">
      <c r="A294" s="42"/>
      <c r="B294" s="39"/>
      <c r="C294" s="40"/>
      <c r="D294" s="42"/>
      <c r="E294" s="38"/>
      <c r="F294" s="43"/>
      <c r="G294" s="63"/>
      <c r="H294" s="58"/>
      <c r="I294" s="38"/>
      <c r="J294" s="38"/>
      <c r="K294" s="46"/>
      <c r="L294" s="47"/>
      <c r="M294" s="93"/>
      <c r="N294" s="93"/>
      <c r="O294" s="38"/>
      <c r="P294" s="38"/>
      <c r="Q294" s="14"/>
      <c r="R294" s="39"/>
      <c r="S294" s="39"/>
      <c r="T294" s="39"/>
      <c r="U294" s="40"/>
      <c r="V294" s="54"/>
      <c r="W294" s="55"/>
      <c r="X294" s="56"/>
      <c r="Y294" s="38"/>
      <c r="Z294" s="38"/>
      <c r="AA294" s="38"/>
      <c r="AB294" s="38"/>
    </row>
    <row r="295" spans="1:28">
      <c r="A295" s="42"/>
      <c r="B295" s="39"/>
      <c r="C295" s="40"/>
      <c r="D295" s="42"/>
      <c r="E295" s="38"/>
      <c r="F295" s="43"/>
      <c r="G295" s="63"/>
      <c r="H295" s="58"/>
      <c r="I295" s="38"/>
      <c r="J295" s="38"/>
      <c r="K295" s="46"/>
      <c r="L295" s="47"/>
      <c r="M295" s="93"/>
      <c r="N295" s="93"/>
      <c r="O295" s="38"/>
      <c r="P295" s="38"/>
      <c r="Q295" s="14"/>
      <c r="R295" s="39"/>
      <c r="S295" s="39"/>
      <c r="T295" s="39"/>
      <c r="U295" s="40"/>
      <c r="V295" s="54"/>
      <c r="W295" s="55"/>
      <c r="X295" s="56"/>
      <c r="Y295" s="38"/>
      <c r="Z295" s="38"/>
      <c r="AA295" s="38"/>
      <c r="AB295" s="38"/>
    </row>
    <row r="296" spans="1:28">
      <c r="A296" s="42"/>
      <c r="B296" s="39"/>
      <c r="C296" s="40"/>
      <c r="D296" s="42"/>
      <c r="E296" s="38"/>
      <c r="F296" s="43"/>
      <c r="G296" s="63"/>
      <c r="H296" s="58"/>
      <c r="I296" s="38"/>
      <c r="J296" s="38"/>
      <c r="K296" s="46"/>
      <c r="L296" s="47"/>
      <c r="M296" s="93"/>
      <c r="N296" s="93"/>
      <c r="O296" s="38"/>
      <c r="P296" s="38"/>
      <c r="Q296" s="14"/>
      <c r="R296" s="39"/>
      <c r="S296" s="39"/>
      <c r="T296" s="39"/>
      <c r="U296" s="40"/>
      <c r="V296" s="54"/>
      <c r="W296" s="55"/>
      <c r="X296" s="56"/>
      <c r="Y296" s="38"/>
      <c r="Z296" s="38"/>
      <c r="AA296" s="38"/>
      <c r="AB296" s="38"/>
    </row>
    <row r="297" spans="1:28">
      <c r="A297" s="42"/>
      <c r="B297" s="39"/>
      <c r="C297" s="40"/>
      <c r="D297" s="42"/>
      <c r="E297" s="38"/>
      <c r="F297" s="43"/>
      <c r="G297" s="63"/>
      <c r="H297" s="58"/>
      <c r="I297" s="38"/>
      <c r="J297" s="38"/>
      <c r="K297" s="46"/>
      <c r="L297" s="47"/>
      <c r="M297" s="93"/>
      <c r="N297" s="93"/>
      <c r="O297" s="38"/>
      <c r="P297" s="38"/>
      <c r="Q297" s="14"/>
      <c r="R297" s="39"/>
      <c r="S297" s="39"/>
      <c r="T297" s="39"/>
      <c r="U297" s="40"/>
      <c r="V297" s="54"/>
      <c r="W297" s="55"/>
      <c r="X297" s="56"/>
      <c r="Y297" s="38"/>
      <c r="Z297" s="38"/>
      <c r="AA297" s="38"/>
      <c r="AB297" s="38"/>
    </row>
    <row r="298" spans="1:28">
      <c r="A298" s="42"/>
      <c r="B298" s="39"/>
      <c r="C298" s="40"/>
      <c r="D298" s="42"/>
      <c r="E298" s="38"/>
      <c r="F298" s="43"/>
      <c r="G298" s="63"/>
      <c r="H298" s="58"/>
      <c r="I298" s="38"/>
      <c r="J298" s="38"/>
      <c r="K298" s="46"/>
      <c r="L298" s="47"/>
      <c r="M298" s="93"/>
      <c r="N298" s="93"/>
      <c r="O298" s="38"/>
      <c r="P298" s="38"/>
      <c r="Q298" s="14"/>
      <c r="R298" s="39"/>
      <c r="S298" s="39"/>
      <c r="T298" s="39"/>
      <c r="U298" s="40"/>
      <c r="V298" s="54"/>
      <c r="W298" s="55"/>
      <c r="X298" s="56"/>
      <c r="Y298" s="38"/>
      <c r="Z298" s="38"/>
      <c r="AA298" s="38"/>
      <c r="AB298" s="38"/>
    </row>
    <row r="299" spans="1:28">
      <c r="A299" s="42"/>
      <c r="B299" s="39"/>
      <c r="C299" s="40"/>
      <c r="D299" s="42"/>
      <c r="E299" s="38"/>
      <c r="F299" s="43"/>
      <c r="G299" s="63"/>
      <c r="H299" s="58"/>
      <c r="I299" s="38"/>
      <c r="J299" s="38"/>
      <c r="K299" s="46"/>
      <c r="L299" s="47"/>
      <c r="M299" s="93"/>
      <c r="N299" s="93"/>
      <c r="O299" s="38"/>
      <c r="P299" s="38"/>
      <c r="Q299" s="14"/>
      <c r="R299" s="39"/>
      <c r="S299" s="39"/>
      <c r="T299" s="39"/>
      <c r="U299" s="40"/>
      <c r="V299" s="54"/>
      <c r="W299" s="55"/>
      <c r="X299" s="56"/>
      <c r="Y299" s="38"/>
      <c r="Z299" s="38"/>
      <c r="AA299" s="38"/>
      <c r="AB299" s="38"/>
    </row>
    <row r="300" spans="1:28">
      <c r="A300" s="42"/>
      <c r="B300" s="39"/>
      <c r="C300" s="40"/>
      <c r="D300" s="42"/>
      <c r="E300" s="38"/>
      <c r="F300" s="43"/>
      <c r="G300" s="63"/>
      <c r="H300" s="58"/>
      <c r="I300" s="38"/>
      <c r="J300" s="38"/>
      <c r="K300" s="46"/>
      <c r="L300" s="47"/>
      <c r="M300" s="93"/>
      <c r="N300" s="93"/>
      <c r="O300" s="38"/>
      <c r="P300" s="38"/>
      <c r="Q300" s="14"/>
      <c r="R300" s="39"/>
      <c r="S300" s="39"/>
      <c r="T300" s="39"/>
      <c r="U300" s="40"/>
      <c r="V300" s="54"/>
      <c r="W300" s="55"/>
      <c r="X300" s="56"/>
      <c r="Y300" s="38"/>
      <c r="Z300" s="38"/>
      <c r="AA300" s="38"/>
      <c r="AB300" s="38"/>
    </row>
    <row r="301" spans="1:28">
      <c r="A301" s="42"/>
      <c r="B301" s="39"/>
      <c r="C301" s="40"/>
      <c r="D301" s="42"/>
      <c r="E301" s="38"/>
      <c r="F301" s="43"/>
      <c r="G301" s="63"/>
      <c r="H301" s="58"/>
      <c r="I301" s="38"/>
      <c r="J301" s="38"/>
      <c r="K301" s="46"/>
      <c r="L301" s="47"/>
      <c r="M301" s="93"/>
      <c r="N301" s="93"/>
      <c r="O301" s="38"/>
      <c r="P301" s="38"/>
      <c r="Q301" s="14"/>
      <c r="R301" s="39"/>
      <c r="S301" s="39"/>
      <c r="T301" s="39"/>
      <c r="U301" s="40"/>
      <c r="V301" s="54"/>
      <c r="W301" s="55"/>
      <c r="X301" s="56"/>
      <c r="Y301" s="38"/>
      <c r="Z301" s="38"/>
      <c r="AA301" s="38"/>
      <c r="AB301" s="38"/>
    </row>
    <row r="302" spans="1:28">
      <c r="A302" s="42"/>
      <c r="B302" s="39"/>
      <c r="C302" s="40"/>
      <c r="D302" s="42"/>
      <c r="E302" s="38"/>
      <c r="F302" s="43"/>
      <c r="G302" s="63"/>
      <c r="H302" s="58"/>
      <c r="I302" s="38"/>
      <c r="J302" s="38"/>
      <c r="K302" s="46"/>
      <c r="L302" s="47"/>
      <c r="M302" s="93"/>
      <c r="N302" s="93"/>
      <c r="O302" s="38"/>
      <c r="P302" s="38"/>
      <c r="Q302" s="14"/>
      <c r="R302" s="39"/>
      <c r="S302" s="39"/>
      <c r="T302" s="39"/>
      <c r="U302" s="40"/>
      <c r="V302" s="54"/>
      <c r="W302" s="55"/>
      <c r="X302" s="56"/>
      <c r="Y302" s="38"/>
      <c r="Z302" s="38"/>
      <c r="AA302" s="38"/>
      <c r="AB302" s="38"/>
    </row>
    <row r="303" spans="1:28">
      <c r="A303" s="42"/>
      <c r="B303" s="39"/>
      <c r="C303" s="40"/>
      <c r="D303" s="42"/>
      <c r="E303" s="38"/>
      <c r="F303" s="43"/>
      <c r="G303" s="63"/>
      <c r="H303" s="58"/>
      <c r="I303" s="38"/>
      <c r="J303" s="38"/>
      <c r="K303" s="46"/>
      <c r="L303" s="47"/>
      <c r="M303" s="93"/>
      <c r="N303" s="93"/>
      <c r="O303" s="38"/>
      <c r="P303" s="38"/>
      <c r="Q303" s="14"/>
      <c r="R303" s="39"/>
      <c r="S303" s="39"/>
      <c r="T303" s="39"/>
      <c r="U303" s="40"/>
      <c r="V303" s="54"/>
      <c r="W303" s="55"/>
      <c r="X303" s="56"/>
      <c r="Y303" s="38"/>
      <c r="Z303" s="38"/>
      <c r="AA303" s="38"/>
      <c r="AB303" s="38"/>
    </row>
    <row r="304" spans="1:28">
      <c r="A304" s="42"/>
      <c r="B304" s="39"/>
      <c r="C304" s="40"/>
      <c r="D304" s="42"/>
      <c r="E304" s="38"/>
      <c r="F304" s="43"/>
      <c r="G304" s="63"/>
      <c r="H304" s="58"/>
      <c r="I304" s="38"/>
      <c r="J304" s="38"/>
      <c r="K304" s="46"/>
      <c r="L304" s="47"/>
      <c r="M304" s="93"/>
      <c r="N304" s="93"/>
      <c r="O304" s="38"/>
      <c r="P304" s="38"/>
      <c r="Q304" s="14"/>
      <c r="R304" s="39"/>
      <c r="S304" s="39"/>
      <c r="T304" s="39"/>
      <c r="U304" s="40"/>
      <c r="V304" s="54"/>
      <c r="W304" s="55"/>
      <c r="X304" s="56"/>
      <c r="Y304" s="38"/>
      <c r="Z304" s="38"/>
      <c r="AA304" s="38"/>
      <c r="AB304" s="38"/>
    </row>
    <row r="305" spans="1:28">
      <c r="A305" s="42"/>
      <c r="B305" s="39"/>
      <c r="C305" s="40"/>
      <c r="D305" s="42"/>
      <c r="E305" s="38"/>
      <c r="F305" s="43"/>
      <c r="G305" s="63"/>
      <c r="H305" s="58"/>
      <c r="I305" s="38"/>
      <c r="J305" s="38"/>
      <c r="K305" s="46"/>
      <c r="L305" s="47"/>
      <c r="M305" s="93"/>
      <c r="N305" s="93"/>
      <c r="O305" s="38"/>
      <c r="P305" s="38"/>
      <c r="Q305" s="14"/>
      <c r="R305" s="39"/>
      <c r="S305" s="39"/>
      <c r="T305" s="39"/>
      <c r="U305" s="40"/>
      <c r="V305" s="54"/>
      <c r="W305" s="55"/>
      <c r="X305" s="56"/>
      <c r="Y305" s="38"/>
      <c r="Z305" s="38"/>
      <c r="AA305" s="38"/>
      <c r="AB305" s="38"/>
    </row>
    <row r="306" spans="1:28">
      <c r="A306" s="42"/>
      <c r="B306" s="39"/>
      <c r="C306" s="40"/>
      <c r="D306" s="42"/>
      <c r="E306" s="38"/>
      <c r="F306" s="43"/>
      <c r="G306" s="63"/>
      <c r="H306" s="58"/>
      <c r="I306" s="38"/>
      <c r="J306" s="38"/>
      <c r="K306" s="46"/>
      <c r="L306" s="47"/>
      <c r="M306" s="93"/>
      <c r="N306" s="93"/>
      <c r="O306" s="38"/>
      <c r="P306" s="38"/>
      <c r="Q306" s="14"/>
      <c r="R306" s="39"/>
      <c r="S306" s="39"/>
      <c r="T306" s="39"/>
      <c r="U306" s="40"/>
      <c r="V306" s="54"/>
      <c r="W306" s="55"/>
      <c r="X306" s="56"/>
      <c r="Y306" s="38"/>
      <c r="Z306" s="38"/>
      <c r="AA306" s="38"/>
      <c r="AB306" s="38"/>
    </row>
    <row r="307" spans="1:28">
      <c r="A307" s="42"/>
      <c r="B307" s="39"/>
      <c r="C307" s="40"/>
      <c r="D307" s="42"/>
      <c r="E307" s="38"/>
      <c r="F307" s="43"/>
      <c r="G307" s="63"/>
      <c r="H307" s="58"/>
      <c r="I307" s="38"/>
      <c r="J307" s="38"/>
      <c r="K307" s="46"/>
      <c r="L307" s="47"/>
      <c r="M307" s="93"/>
      <c r="N307" s="93"/>
      <c r="O307" s="38"/>
      <c r="P307" s="38"/>
      <c r="Q307" s="14"/>
      <c r="R307" s="39"/>
      <c r="S307" s="39"/>
      <c r="T307" s="39"/>
      <c r="U307" s="40"/>
      <c r="V307" s="54"/>
      <c r="W307" s="55"/>
      <c r="X307" s="56"/>
      <c r="Y307" s="38"/>
      <c r="Z307" s="38"/>
      <c r="AA307" s="38"/>
      <c r="AB307" s="38"/>
    </row>
    <row r="308" spans="1:28">
      <c r="A308" s="42"/>
      <c r="B308" s="39"/>
      <c r="C308" s="40"/>
      <c r="D308" s="42"/>
      <c r="E308" s="38"/>
      <c r="F308" s="43"/>
      <c r="G308" s="63"/>
      <c r="H308" s="58"/>
      <c r="I308" s="38"/>
      <c r="J308" s="38"/>
      <c r="K308" s="46"/>
      <c r="L308" s="47"/>
      <c r="M308" s="93"/>
      <c r="N308" s="93"/>
      <c r="O308" s="38"/>
      <c r="P308" s="38"/>
      <c r="Q308" s="14"/>
      <c r="R308" s="39"/>
      <c r="S308" s="39"/>
      <c r="T308" s="39"/>
      <c r="U308" s="40"/>
      <c r="V308" s="54"/>
      <c r="W308" s="55"/>
      <c r="X308" s="56"/>
      <c r="Y308" s="38"/>
      <c r="Z308" s="38"/>
      <c r="AA308" s="38"/>
      <c r="AB308" s="38"/>
    </row>
    <row r="309" spans="1:28">
      <c r="A309" s="42"/>
      <c r="B309" s="39"/>
      <c r="C309" s="40"/>
      <c r="D309" s="42"/>
      <c r="E309" s="38"/>
      <c r="F309" s="43"/>
      <c r="G309" s="63"/>
      <c r="H309" s="58"/>
      <c r="I309" s="38"/>
      <c r="J309" s="38"/>
      <c r="K309" s="46"/>
      <c r="L309" s="47"/>
      <c r="M309" s="93"/>
      <c r="N309" s="93"/>
      <c r="O309" s="38"/>
      <c r="P309" s="38"/>
      <c r="Q309" s="14"/>
      <c r="R309" s="39"/>
      <c r="S309" s="39"/>
      <c r="T309" s="39"/>
      <c r="U309" s="40"/>
      <c r="V309" s="54"/>
      <c r="W309" s="55"/>
      <c r="X309" s="56"/>
      <c r="Y309" s="38"/>
      <c r="Z309" s="38"/>
      <c r="AA309" s="38"/>
      <c r="AB309" s="38"/>
    </row>
    <row r="310" spans="1:28">
      <c r="A310" s="42"/>
      <c r="B310" s="39"/>
      <c r="C310" s="40"/>
      <c r="D310" s="42"/>
      <c r="E310" s="38"/>
      <c r="F310" s="43"/>
      <c r="G310" s="63"/>
      <c r="H310" s="58"/>
      <c r="I310" s="38"/>
      <c r="J310" s="38"/>
      <c r="K310" s="46"/>
      <c r="L310" s="47"/>
      <c r="M310" s="93"/>
      <c r="N310" s="93"/>
      <c r="O310" s="38"/>
      <c r="P310" s="38"/>
      <c r="Q310" s="14"/>
      <c r="R310" s="39"/>
      <c r="S310" s="39"/>
      <c r="T310" s="39"/>
      <c r="U310" s="40"/>
      <c r="V310" s="54"/>
      <c r="W310" s="55"/>
      <c r="X310" s="56"/>
      <c r="Y310" s="38"/>
      <c r="Z310" s="38"/>
      <c r="AA310" s="38"/>
      <c r="AB310" s="38"/>
    </row>
    <row r="311" spans="1:28">
      <c r="A311" s="42"/>
      <c r="B311" s="39"/>
      <c r="C311" s="40"/>
      <c r="D311" s="42"/>
      <c r="E311" s="38"/>
      <c r="F311" s="43"/>
      <c r="G311" s="63"/>
      <c r="H311" s="58"/>
      <c r="I311" s="38"/>
      <c r="J311" s="38"/>
      <c r="K311" s="46"/>
      <c r="L311" s="47"/>
      <c r="M311" s="93"/>
      <c r="N311" s="93"/>
      <c r="O311" s="38"/>
      <c r="P311" s="38"/>
      <c r="Q311" s="14"/>
      <c r="R311" s="39"/>
      <c r="S311" s="39"/>
      <c r="T311" s="39"/>
      <c r="U311" s="40"/>
      <c r="V311" s="54"/>
      <c r="W311" s="55"/>
      <c r="X311" s="56"/>
      <c r="Y311" s="38"/>
      <c r="Z311" s="38"/>
      <c r="AA311" s="38"/>
      <c r="AB311" s="38"/>
    </row>
    <row r="312" spans="1:28">
      <c r="A312" s="42"/>
      <c r="B312" s="39"/>
      <c r="C312" s="40"/>
      <c r="D312" s="42"/>
      <c r="E312" s="38"/>
      <c r="F312" s="43"/>
      <c r="G312" s="63"/>
      <c r="H312" s="58"/>
      <c r="I312" s="38"/>
      <c r="J312" s="38"/>
      <c r="K312" s="46"/>
      <c r="L312" s="47"/>
      <c r="M312" s="93"/>
      <c r="N312" s="93"/>
      <c r="O312" s="38"/>
      <c r="P312" s="38"/>
      <c r="Q312" s="14"/>
      <c r="R312" s="39"/>
      <c r="S312" s="39"/>
      <c r="T312" s="39"/>
      <c r="U312" s="40"/>
      <c r="V312" s="54"/>
      <c r="W312" s="55"/>
      <c r="X312" s="56"/>
      <c r="Y312" s="38"/>
      <c r="Z312" s="38"/>
      <c r="AA312" s="38"/>
      <c r="AB312" s="38"/>
    </row>
    <row r="313" spans="1:28">
      <c r="A313" s="42"/>
      <c r="B313" s="39"/>
      <c r="C313" s="40"/>
      <c r="D313" s="42"/>
      <c r="E313" s="38"/>
      <c r="F313" s="43"/>
      <c r="G313" s="63"/>
      <c r="H313" s="58"/>
      <c r="I313" s="38"/>
      <c r="J313" s="38"/>
      <c r="K313" s="46"/>
      <c r="L313" s="47"/>
      <c r="M313" s="93"/>
      <c r="N313" s="93"/>
      <c r="O313" s="38"/>
      <c r="P313" s="38"/>
      <c r="Q313" s="14"/>
      <c r="R313" s="39"/>
      <c r="S313" s="39"/>
      <c r="T313" s="39"/>
      <c r="U313" s="40"/>
      <c r="V313" s="54"/>
      <c r="W313" s="55"/>
      <c r="X313" s="56"/>
      <c r="Y313" s="38"/>
      <c r="Z313" s="38"/>
      <c r="AA313" s="38"/>
      <c r="AB313" s="38"/>
    </row>
    <row r="314" spans="1:28">
      <c r="A314" s="42"/>
      <c r="B314" s="39"/>
      <c r="C314" s="40"/>
      <c r="D314" s="42"/>
      <c r="E314" s="38"/>
      <c r="F314" s="43"/>
      <c r="G314" s="63"/>
      <c r="H314" s="58"/>
      <c r="I314" s="38"/>
      <c r="J314" s="38"/>
      <c r="K314" s="46"/>
      <c r="L314" s="47"/>
      <c r="M314" s="93"/>
      <c r="N314" s="93"/>
      <c r="O314" s="38"/>
      <c r="P314" s="38"/>
      <c r="Q314" s="14"/>
      <c r="R314" s="39"/>
      <c r="S314" s="39"/>
      <c r="T314" s="39"/>
      <c r="U314" s="40"/>
      <c r="V314" s="54"/>
      <c r="W314" s="55"/>
      <c r="X314" s="56"/>
      <c r="Y314" s="38"/>
      <c r="Z314" s="38"/>
      <c r="AA314" s="38"/>
      <c r="AB314" s="38"/>
    </row>
    <row r="315" spans="1:28">
      <c r="A315" s="42"/>
      <c r="B315" s="39"/>
      <c r="C315" s="40"/>
      <c r="D315" s="42"/>
      <c r="E315" s="38"/>
      <c r="F315" s="43"/>
      <c r="G315" s="63"/>
      <c r="H315" s="58"/>
      <c r="I315" s="38"/>
      <c r="J315" s="38"/>
      <c r="K315" s="46"/>
      <c r="L315" s="47"/>
      <c r="M315" s="93"/>
      <c r="N315" s="93"/>
      <c r="O315" s="38"/>
      <c r="P315" s="38"/>
      <c r="Q315" s="14"/>
      <c r="R315" s="39"/>
      <c r="S315" s="39"/>
      <c r="T315" s="39"/>
      <c r="U315" s="40"/>
      <c r="V315" s="54"/>
      <c r="W315" s="55"/>
      <c r="X315" s="56"/>
      <c r="Y315" s="38"/>
      <c r="Z315" s="38"/>
      <c r="AA315" s="38"/>
      <c r="AB315" s="38"/>
    </row>
    <row r="316" spans="1:28">
      <c r="A316" s="42"/>
      <c r="B316" s="39"/>
      <c r="C316" s="40"/>
      <c r="D316" s="42"/>
      <c r="E316" s="38"/>
      <c r="F316" s="43"/>
      <c r="G316" s="63"/>
      <c r="H316" s="58"/>
      <c r="I316" s="38"/>
      <c r="J316" s="38"/>
      <c r="K316" s="46"/>
      <c r="L316" s="47"/>
      <c r="M316" s="93"/>
      <c r="N316" s="93"/>
      <c r="O316" s="38"/>
      <c r="P316" s="38"/>
      <c r="Q316" s="14"/>
      <c r="R316" s="39"/>
      <c r="S316" s="39"/>
      <c r="T316" s="39"/>
      <c r="U316" s="40"/>
      <c r="V316" s="54"/>
      <c r="W316" s="55"/>
      <c r="X316" s="56"/>
      <c r="Y316" s="38"/>
      <c r="Z316" s="38"/>
      <c r="AA316" s="38"/>
      <c r="AB316" s="38"/>
    </row>
    <row r="317" spans="1:28">
      <c r="A317" s="42"/>
      <c r="B317" s="39"/>
      <c r="C317" s="40"/>
      <c r="D317" s="42"/>
      <c r="E317" s="38"/>
      <c r="F317" s="43"/>
      <c r="G317" s="63"/>
      <c r="H317" s="58"/>
      <c r="I317" s="38"/>
      <c r="J317" s="38"/>
      <c r="K317" s="46"/>
      <c r="L317" s="47"/>
      <c r="M317" s="93"/>
      <c r="N317" s="93"/>
      <c r="O317" s="38"/>
      <c r="P317" s="38"/>
      <c r="Q317" s="14"/>
      <c r="R317" s="39"/>
      <c r="S317" s="39"/>
      <c r="T317" s="39"/>
      <c r="U317" s="40"/>
      <c r="V317" s="54"/>
      <c r="W317" s="55"/>
      <c r="X317" s="56"/>
      <c r="Y317" s="38"/>
      <c r="Z317" s="38"/>
      <c r="AA317" s="38"/>
      <c r="AB317" s="38"/>
    </row>
    <row r="318" spans="1:28">
      <c r="A318" s="42"/>
      <c r="B318" s="39"/>
      <c r="C318" s="40"/>
      <c r="D318" s="42"/>
      <c r="E318" s="38"/>
      <c r="F318" s="43"/>
      <c r="G318" s="63"/>
      <c r="H318" s="58"/>
      <c r="I318" s="38"/>
      <c r="J318" s="38"/>
      <c r="K318" s="46"/>
      <c r="L318" s="47"/>
      <c r="M318" s="93"/>
      <c r="N318" s="93"/>
      <c r="O318" s="38"/>
      <c r="P318" s="38"/>
      <c r="Q318" s="14"/>
      <c r="R318" s="39"/>
      <c r="S318" s="39"/>
      <c r="T318" s="39"/>
      <c r="U318" s="40"/>
      <c r="V318" s="54"/>
      <c r="W318" s="55"/>
      <c r="X318" s="56"/>
      <c r="Y318" s="38"/>
      <c r="Z318" s="38"/>
      <c r="AA318" s="38"/>
      <c r="AB318" s="38"/>
    </row>
    <row r="319" spans="1:28">
      <c r="A319" s="42"/>
      <c r="B319" s="39"/>
      <c r="C319" s="40"/>
      <c r="D319" s="42"/>
      <c r="E319" s="38"/>
      <c r="F319" s="43"/>
      <c r="G319" s="63"/>
      <c r="H319" s="58"/>
      <c r="I319" s="38"/>
      <c r="J319" s="38"/>
      <c r="K319" s="46"/>
      <c r="L319" s="47"/>
      <c r="M319" s="93"/>
      <c r="N319" s="93"/>
      <c r="O319" s="38"/>
      <c r="P319" s="38"/>
      <c r="Q319" s="14"/>
      <c r="R319" s="39"/>
      <c r="S319" s="39"/>
      <c r="T319" s="39"/>
      <c r="U319" s="40"/>
      <c r="V319" s="54"/>
      <c r="W319" s="55"/>
      <c r="X319" s="56"/>
      <c r="Y319" s="38"/>
      <c r="Z319" s="38"/>
      <c r="AA319" s="38"/>
      <c r="AB319" s="38"/>
    </row>
    <row r="320" spans="1:28">
      <c r="A320" s="42"/>
      <c r="B320" s="39"/>
      <c r="C320" s="40"/>
      <c r="D320" s="42"/>
      <c r="E320" s="38"/>
      <c r="F320" s="43"/>
      <c r="G320" s="63"/>
      <c r="H320" s="58"/>
      <c r="I320" s="38"/>
      <c r="J320" s="38"/>
      <c r="K320" s="46"/>
      <c r="L320" s="47"/>
      <c r="M320" s="93"/>
      <c r="N320" s="93"/>
      <c r="O320" s="38"/>
      <c r="P320" s="38"/>
      <c r="Q320" s="14"/>
      <c r="R320" s="39"/>
      <c r="S320" s="39"/>
      <c r="T320" s="39"/>
      <c r="U320" s="40"/>
      <c r="V320" s="54"/>
      <c r="W320" s="55"/>
      <c r="X320" s="56"/>
      <c r="Y320" s="38"/>
      <c r="Z320" s="38"/>
      <c r="AA320" s="38"/>
      <c r="AB320" s="38"/>
    </row>
    <row r="321" spans="1:28">
      <c r="A321" s="42"/>
      <c r="B321" s="39"/>
      <c r="C321" s="40"/>
      <c r="D321" s="42"/>
      <c r="E321" s="38"/>
      <c r="F321" s="43"/>
      <c r="G321" s="63"/>
      <c r="H321" s="58"/>
      <c r="I321" s="38"/>
      <c r="J321" s="38"/>
      <c r="K321" s="46"/>
      <c r="L321" s="47"/>
      <c r="M321" s="93"/>
      <c r="N321" s="93"/>
      <c r="O321" s="38"/>
      <c r="P321" s="38"/>
      <c r="Q321" s="14"/>
      <c r="R321" s="39"/>
      <c r="S321" s="39"/>
      <c r="T321" s="39"/>
      <c r="U321" s="40"/>
      <c r="V321" s="54"/>
      <c r="W321" s="55"/>
      <c r="X321" s="56"/>
      <c r="Y321" s="38"/>
      <c r="Z321" s="38"/>
      <c r="AA321" s="38"/>
      <c r="AB321" s="38"/>
    </row>
    <row r="322" spans="1:28">
      <c r="A322" s="42"/>
      <c r="B322" s="39"/>
      <c r="C322" s="40"/>
      <c r="D322" s="42"/>
      <c r="E322" s="38"/>
      <c r="F322" s="43"/>
      <c r="G322" s="63"/>
      <c r="H322" s="58"/>
      <c r="I322" s="38"/>
      <c r="J322" s="38"/>
      <c r="K322" s="46"/>
      <c r="L322" s="47"/>
      <c r="M322" s="93"/>
      <c r="N322" s="93"/>
      <c r="O322" s="38"/>
      <c r="P322" s="38"/>
      <c r="Q322" s="14"/>
      <c r="R322" s="39"/>
      <c r="S322" s="39"/>
      <c r="T322" s="39"/>
      <c r="U322" s="40"/>
      <c r="V322" s="54"/>
      <c r="W322" s="55"/>
      <c r="X322" s="56"/>
      <c r="Y322" s="38"/>
      <c r="Z322" s="38"/>
      <c r="AA322" s="38"/>
      <c r="AB322" s="38"/>
    </row>
    <row r="323" spans="1:28">
      <c r="A323" s="42"/>
      <c r="B323" s="39"/>
      <c r="C323" s="40"/>
      <c r="D323" s="42"/>
      <c r="E323" s="38"/>
      <c r="F323" s="43"/>
      <c r="G323" s="63"/>
      <c r="H323" s="58"/>
      <c r="I323" s="38"/>
      <c r="J323" s="38"/>
      <c r="K323" s="46"/>
      <c r="L323" s="47"/>
      <c r="M323" s="93"/>
      <c r="N323" s="93"/>
      <c r="O323" s="38"/>
      <c r="P323" s="38"/>
      <c r="Q323" s="14"/>
      <c r="R323" s="39"/>
      <c r="S323" s="39"/>
      <c r="T323" s="39"/>
      <c r="U323" s="40"/>
      <c r="V323" s="54"/>
      <c r="W323" s="55"/>
      <c r="X323" s="56"/>
      <c r="Y323" s="38"/>
      <c r="Z323" s="38"/>
      <c r="AA323" s="38"/>
      <c r="AB323" s="38"/>
    </row>
    <row r="324" spans="1:28">
      <c r="A324" s="42"/>
      <c r="B324" s="39"/>
      <c r="C324" s="40"/>
      <c r="D324" s="42"/>
      <c r="E324" s="38"/>
      <c r="F324" s="43"/>
      <c r="G324" s="63"/>
      <c r="H324" s="58"/>
      <c r="I324" s="38"/>
      <c r="J324" s="38"/>
      <c r="K324" s="46"/>
      <c r="L324" s="47"/>
      <c r="M324" s="93"/>
      <c r="N324" s="93"/>
      <c r="O324" s="38"/>
      <c r="P324" s="38"/>
      <c r="Q324" s="14"/>
      <c r="R324" s="39"/>
      <c r="S324" s="39"/>
      <c r="T324" s="39"/>
      <c r="U324" s="40"/>
      <c r="V324" s="54"/>
      <c r="W324" s="55"/>
      <c r="X324" s="56"/>
      <c r="Y324" s="38"/>
      <c r="Z324" s="38"/>
      <c r="AA324" s="38"/>
      <c r="AB324" s="38"/>
    </row>
    <row r="325" spans="1:28">
      <c r="A325" s="42"/>
      <c r="B325" s="39"/>
      <c r="C325" s="40"/>
      <c r="D325" s="42"/>
      <c r="E325" s="38"/>
      <c r="F325" s="43"/>
      <c r="G325" s="63"/>
      <c r="H325" s="58"/>
      <c r="I325" s="38"/>
      <c r="J325" s="38"/>
      <c r="K325" s="46"/>
      <c r="L325" s="47"/>
      <c r="M325" s="93"/>
      <c r="N325" s="93"/>
      <c r="O325" s="38"/>
      <c r="P325" s="38"/>
      <c r="Q325" s="14"/>
      <c r="R325" s="39"/>
      <c r="S325" s="39"/>
      <c r="T325" s="39"/>
      <c r="U325" s="40"/>
      <c r="V325" s="54"/>
      <c r="W325" s="55"/>
      <c r="X325" s="56"/>
      <c r="Y325" s="38"/>
      <c r="Z325" s="38"/>
      <c r="AA325" s="38"/>
      <c r="AB325" s="38"/>
    </row>
    <row r="326" spans="1:28">
      <c r="A326" s="42"/>
      <c r="B326" s="39"/>
      <c r="C326" s="40"/>
      <c r="D326" s="42"/>
      <c r="E326" s="38"/>
      <c r="F326" s="43"/>
      <c r="G326" s="63"/>
      <c r="H326" s="58"/>
      <c r="I326" s="38"/>
      <c r="J326" s="38"/>
      <c r="K326" s="46"/>
      <c r="L326" s="47"/>
      <c r="M326" s="93"/>
      <c r="N326" s="93"/>
      <c r="O326" s="38"/>
      <c r="P326" s="38"/>
      <c r="Q326" s="14"/>
      <c r="R326" s="39"/>
      <c r="S326" s="39"/>
      <c r="T326" s="39"/>
      <c r="U326" s="40"/>
      <c r="V326" s="54"/>
      <c r="W326" s="55"/>
      <c r="X326" s="56"/>
      <c r="Y326" s="38"/>
      <c r="Z326" s="38"/>
      <c r="AA326" s="38"/>
      <c r="AB326" s="38"/>
    </row>
    <row r="327" spans="1:28">
      <c r="A327" s="42"/>
      <c r="B327" s="39"/>
      <c r="C327" s="40"/>
      <c r="D327" s="42"/>
      <c r="E327" s="38"/>
      <c r="F327" s="43"/>
      <c r="G327" s="63"/>
      <c r="H327" s="58"/>
      <c r="I327" s="38"/>
      <c r="J327" s="38"/>
      <c r="K327" s="46"/>
      <c r="L327" s="47"/>
      <c r="M327" s="93"/>
      <c r="N327" s="93"/>
      <c r="O327" s="38"/>
      <c r="P327" s="38"/>
      <c r="Q327" s="14"/>
      <c r="R327" s="39"/>
      <c r="S327" s="39"/>
      <c r="T327" s="39"/>
      <c r="U327" s="40"/>
      <c r="V327" s="54"/>
      <c r="W327" s="55"/>
      <c r="X327" s="56"/>
      <c r="Y327" s="38"/>
      <c r="Z327" s="38"/>
      <c r="AA327" s="38"/>
      <c r="AB327" s="38"/>
    </row>
    <row r="328" spans="1:28">
      <c r="A328" s="42"/>
      <c r="B328" s="39"/>
      <c r="C328" s="40"/>
      <c r="D328" s="42"/>
      <c r="E328" s="38"/>
      <c r="F328" s="43"/>
      <c r="G328" s="63"/>
      <c r="H328" s="58"/>
      <c r="I328" s="38"/>
      <c r="J328" s="38"/>
      <c r="K328" s="46"/>
      <c r="L328" s="47"/>
      <c r="M328" s="93"/>
      <c r="N328" s="93"/>
      <c r="O328" s="38"/>
      <c r="P328" s="38"/>
      <c r="Q328" s="14"/>
      <c r="R328" s="39"/>
      <c r="S328" s="39"/>
      <c r="T328" s="39"/>
      <c r="U328" s="40"/>
      <c r="V328" s="54"/>
      <c r="W328" s="55"/>
      <c r="X328" s="56"/>
      <c r="Y328" s="38"/>
      <c r="Z328" s="38"/>
      <c r="AA328" s="38"/>
      <c r="AB328" s="38"/>
    </row>
    <row r="329" spans="1:28">
      <c r="A329" s="42"/>
      <c r="B329" s="39"/>
      <c r="C329" s="40"/>
      <c r="D329" s="42"/>
      <c r="E329" s="38"/>
      <c r="F329" s="43"/>
      <c r="G329" s="63"/>
      <c r="H329" s="58"/>
      <c r="I329" s="38"/>
      <c r="J329" s="38"/>
      <c r="K329" s="46"/>
      <c r="L329" s="47"/>
      <c r="M329" s="93"/>
      <c r="N329" s="93"/>
      <c r="O329" s="38"/>
      <c r="P329" s="38"/>
      <c r="Q329" s="14"/>
      <c r="R329" s="39"/>
      <c r="S329" s="39"/>
      <c r="T329" s="39"/>
      <c r="U329" s="40"/>
      <c r="V329" s="54"/>
      <c r="W329" s="55"/>
      <c r="X329" s="56"/>
      <c r="Y329" s="38"/>
      <c r="Z329" s="38"/>
      <c r="AA329" s="38"/>
      <c r="AB329" s="38"/>
    </row>
    <row r="330" spans="1:28">
      <c r="A330" s="42"/>
      <c r="B330" s="39"/>
      <c r="C330" s="40"/>
      <c r="D330" s="42"/>
      <c r="E330" s="38"/>
      <c r="F330" s="43"/>
      <c r="G330" s="63"/>
      <c r="H330" s="58"/>
      <c r="I330" s="38"/>
      <c r="J330" s="38"/>
      <c r="K330" s="46"/>
      <c r="L330" s="47"/>
      <c r="M330" s="93"/>
      <c r="N330" s="93"/>
      <c r="O330" s="38"/>
      <c r="P330" s="38"/>
      <c r="Q330" s="14"/>
      <c r="R330" s="39"/>
      <c r="S330" s="39"/>
      <c r="T330" s="39"/>
      <c r="U330" s="40"/>
      <c r="V330" s="54"/>
      <c r="W330" s="55"/>
      <c r="X330" s="56"/>
      <c r="Y330" s="38"/>
      <c r="Z330" s="38"/>
      <c r="AA330" s="38"/>
      <c r="AB330" s="38"/>
    </row>
    <row r="331" spans="1:28">
      <c r="A331" s="42"/>
      <c r="B331" s="39"/>
      <c r="C331" s="40"/>
      <c r="D331" s="42"/>
      <c r="E331" s="38"/>
      <c r="F331" s="43"/>
      <c r="G331" s="63"/>
      <c r="H331" s="58"/>
      <c r="I331" s="38"/>
      <c r="J331" s="38"/>
      <c r="K331" s="46"/>
      <c r="L331" s="47"/>
      <c r="M331" s="93"/>
      <c r="N331" s="93"/>
      <c r="O331" s="38"/>
      <c r="P331" s="38"/>
      <c r="Q331" s="14"/>
      <c r="R331" s="39"/>
      <c r="S331" s="39"/>
      <c r="T331" s="39"/>
      <c r="U331" s="40"/>
      <c r="V331" s="54"/>
      <c r="W331" s="55"/>
      <c r="X331" s="56"/>
      <c r="Y331" s="38"/>
      <c r="Z331" s="38"/>
      <c r="AA331" s="38"/>
      <c r="AB331" s="38"/>
    </row>
    <row r="332" spans="1:28">
      <c r="A332" s="42"/>
      <c r="B332" s="39"/>
      <c r="C332" s="40"/>
      <c r="D332" s="42"/>
      <c r="E332" s="38"/>
      <c r="F332" s="43"/>
      <c r="G332" s="63"/>
      <c r="H332" s="58"/>
      <c r="I332" s="38"/>
      <c r="J332" s="38"/>
      <c r="K332" s="46"/>
      <c r="L332" s="47"/>
      <c r="M332" s="93"/>
      <c r="N332" s="93"/>
      <c r="O332" s="38"/>
      <c r="P332" s="38"/>
      <c r="Q332" s="14"/>
      <c r="R332" s="39"/>
      <c r="S332" s="39"/>
      <c r="T332" s="39"/>
      <c r="U332" s="40"/>
      <c r="V332" s="54"/>
      <c r="W332" s="55"/>
      <c r="X332" s="56"/>
      <c r="Y332" s="38"/>
      <c r="Z332" s="38"/>
      <c r="AA332" s="38"/>
      <c r="AB332" s="38"/>
    </row>
    <row r="333" spans="1:28">
      <c r="A333" s="42"/>
      <c r="B333" s="39"/>
      <c r="C333" s="40"/>
      <c r="D333" s="42"/>
      <c r="E333" s="38"/>
      <c r="F333" s="43"/>
      <c r="G333" s="63"/>
      <c r="H333" s="58"/>
      <c r="I333" s="38"/>
      <c r="J333" s="38"/>
      <c r="K333" s="46"/>
      <c r="L333" s="47"/>
      <c r="M333" s="93"/>
      <c r="N333" s="93"/>
      <c r="O333" s="38"/>
      <c r="P333" s="38"/>
      <c r="Q333" s="14"/>
      <c r="R333" s="39"/>
      <c r="S333" s="39"/>
      <c r="T333" s="39"/>
      <c r="U333" s="40"/>
      <c r="V333" s="54"/>
      <c r="W333" s="55"/>
      <c r="X333" s="56"/>
      <c r="Y333" s="38"/>
      <c r="Z333" s="38"/>
      <c r="AA333" s="38"/>
      <c r="AB333" s="38"/>
    </row>
    <row r="334" spans="1:28">
      <c r="A334" s="42"/>
      <c r="B334" s="39"/>
      <c r="C334" s="40"/>
      <c r="D334" s="42"/>
      <c r="E334" s="38"/>
      <c r="F334" s="43"/>
      <c r="G334" s="63"/>
      <c r="H334" s="58"/>
      <c r="I334" s="38"/>
      <c r="J334" s="38"/>
      <c r="K334" s="46"/>
      <c r="L334" s="47"/>
      <c r="M334" s="93"/>
      <c r="N334" s="93"/>
      <c r="O334" s="38"/>
      <c r="P334" s="38"/>
      <c r="Q334" s="14"/>
      <c r="R334" s="39"/>
      <c r="S334" s="39"/>
      <c r="T334" s="39"/>
      <c r="U334" s="40"/>
      <c r="V334" s="54"/>
      <c r="W334" s="55"/>
      <c r="X334" s="56"/>
      <c r="Y334" s="38"/>
      <c r="Z334" s="38"/>
      <c r="AA334" s="38"/>
      <c r="AB334" s="38"/>
    </row>
    <row r="335" spans="1:28">
      <c r="A335" s="42"/>
      <c r="B335" s="39"/>
      <c r="C335" s="40"/>
      <c r="D335" s="42"/>
      <c r="E335" s="38"/>
      <c r="F335" s="43"/>
      <c r="G335" s="63"/>
      <c r="H335" s="58"/>
      <c r="I335" s="38"/>
      <c r="J335" s="38"/>
      <c r="K335" s="46"/>
      <c r="L335" s="47"/>
      <c r="M335" s="93"/>
      <c r="N335" s="93"/>
      <c r="O335" s="38"/>
      <c r="P335" s="38"/>
      <c r="Q335" s="14"/>
      <c r="R335" s="39"/>
      <c r="S335" s="39"/>
      <c r="T335" s="39"/>
      <c r="U335" s="40"/>
      <c r="V335" s="54"/>
      <c r="W335" s="55"/>
      <c r="X335" s="56"/>
      <c r="Y335" s="38"/>
      <c r="Z335" s="38"/>
      <c r="AA335" s="38"/>
      <c r="AB335" s="38"/>
    </row>
    <row r="336" spans="1:28">
      <c r="A336" s="42"/>
      <c r="B336" s="39"/>
      <c r="C336" s="40"/>
      <c r="D336" s="42"/>
      <c r="E336" s="38"/>
      <c r="F336" s="43"/>
      <c r="G336" s="63"/>
      <c r="H336" s="58"/>
      <c r="I336" s="38"/>
      <c r="J336" s="38"/>
      <c r="K336" s="46"/>
      <c r="L336" s="47"/>
      <c r="M336" s="93"/>
      <c r="N336" s="93"/>
      <c r="O336" s="38"/>
      <c r="P336" s="38"/>
      <c r="Q336" s="14"/>
      <c r="R336" s="39"/>
      <c r="S336" s="39"/>
      <c r="T336" s="39"/>
      <c r="U336" s="40"/>
      <c r="V336" s="54"/>
      <c r="W336" s="55"/>
      <c r="X336" s="56"/>
      <c r="Y336" s="38"/>
      <c r="Z336" s="38"/>
      <c r="AA336" s="38"/>
      <c r="AB336" s="38"/>
    </row>
    <row r="337" spans="1:28">
      <c r="A337" s="42"/>
      <c r="B337" s="39"/>
      <c r="C337" s="40"/>
      <c r="D337" s="42"/>
      <c r="E337" s="38"/>
      <c r="F337" s="43"/>
      <c r="G337" s="63"/>
      <c r="H337" s="58"/>
      <c r="I337" s="38"/>
      <c r="J337" s="38"/>
      <c r="K337" s="46"/>
      <c r="L337" s="47"/>
      <c r="M337" s="93"/>
      <c r="N337" s="93"/>
      <c r="O337" s="38"/>
      <c r="P337" s="38"/>
      <c r="Q337" s="14"/>
      <c r="R337" s="39"/>
      <c r="S337" s="39"/>
      <c r="T337" s="39"/>
      <c r="U337" s="40"/>
      <c r="V337" s="54"/>
      <c r="W337" s="55"/>
      <c r="X337" s="56"/>
      <c r="Y337" s="38"/>
      <c r="Z337" s="38"/>
      <c r="AA337" s="38"/>
      <c r="AB337" s="38"/>
    </row>
    <row r="338" spans="1:28">
      <c r="A338" s="42"/>
      <c r="B338" s="39"/>
      <c r="C338" s="40"/>
      <c r="D338" s="42"/>
      <c r="E338" s="38"/>
      <c r="F338" s="43"/>
      <c r="G338" s="63"/>
      <c r="H338" s="58"/>
      <c r="I338" s="38"/>
      <c r="J338" s="38"/>
      <c r="K338" s="46"/>
      <c r="L338" s="47"/>
      <c r="M338" s="93"/>
      <c r="N338" s="93"/>
      <c r="O338" s="38"/>
      <c r="P338" s="38"/>
      <c r="Q338" s="14"/>
      <c r="R338" s="39"/>
      <c r="S338" s="39"/>
      <c r="T338" s="39"/>
      <c r="U338" s="40"/>
      <c r="V338" s="54"/>
      <c r="W338" s="55"/>
      <c r="X338" s="56"/>
      <c r="Y338" s="38"/>
      <c r="Z338" s="38"/>
      <c r="AA338" s="38"/>
      <c r="AB338" s="38"/>
    </row>
    <row r="339" spans="1:28">
      <c r="A339" s="42"/>
      <c r="B339" s="39"/>
      <c r="C339" s="40"/>
      <c r="D339" s="42"/>
      <c r="E339" s="38"/>
      <c r="F339" s="43"/>
      <c r="G339" s="63"/>
      <c r="H339" s="58"/>
      <c r="I339" s="38"/>
      <c r="J339" s="38"/>
      <c r="K339" s="46"/>
      <c r="L339" s="47"/>
      <c r="M339" s="93"/>
      <c r="N339" s="93"/>
      <c r="O339" s="38"/>
      <c r="P339" s="38"/>
      <c r="Q339" s="14"/>
      <c r="R339" s="39"/>
      <c r="S339" s="39"/>
      <c r="T339" s="39"/>
      <c r="U339" s="40"/>
      <c r="V339" s="54"/>
      <c r="W339" s="55"/>
      <c r="X339" s="56"/>
      <c r="Y339" s="38"/>
      <c r="Z339" s="38"/>
      <c r="AA339" s="38"/>
      <c r="AB339" s="38"/>
    </row>
    <row r="340" spans="1:28">
      <c r="A340" s="42"/>
      <c r="B340" s="39"/>
      <c r="C340" s="40"/>
      <c r="D340" s="42"/>
      <c r="E340" s="38"/>
      <c r="F340" s="43"/>
      <c r="G340" s="63"/>
      <c r="H340" s="58"/>
      <c r="I340" s="38"/>
      <c r="J340" s="38"/>
      <c r="K340" s="46"/>
      <c r="L340" s="47"/>
      <c r="M340" s="93"/>
      <c r="N340" s="93"/>
      <c r="O340" s="38"/>
      <c r="P340" s="38"/>
      <c r="Q340" s="14"/>
      <c r="R340" s="39"/>
      <c r="S340" s="39"/>
      <c r="T340" s="39"/>
      <c r="U340" s="40"/>
      <c r="V340" s="54"/>
      <c r="W340" s="55"/>
      <c r="X340" s="56"/>
      <c r="Y340" s="38"/>
      <c r="Z340" s="38"/>
      <c r="AA340" s="38"/>
      <c r="AB340" s="38"/>
    </row>
    <row r="341" spans="1:28">
      <c r="A341" s="42"/>
      <c r="B341" s="39"/>
      <c r="C341" s="40"/>
      <c r="D341" s="42"/>
      <c r="E341" s="38"/>
      <c r="F341" s="43"/>
      <c r="G341" s="63"/>
      <c r="H341" s="58"/>
      <c r="I341" s="38"/>
      <c r="J341" s="38"/>
      <c r="K341" s="46"/>
      <c r="L341" s="47"/>
      <c r="M341" s="93"/>
      <c r="N341" s="93"/>
      <c r="O341" s="38"/>
      <c r="P341" s="38"/>
      <c r="Q341" s="14"/>
      <c r="R341" s="39"/>
      <c r="S341" s="39"/>
      <c r="T341" s="39"/>
      <c r="U341" s="40"/>
      <c r="V341" s="54"/>
      <c r="W341" s="55"/>
      <c r="X341" s="56"/>
      <c r="Y341" s="38"/>
      <c r="Z341" s="38"/>
      <c r="AA341" s="38"/>
      <c r="AB341" s="38"/>
    </row>
    <row r="342" spans="1:28">
      <c r="A342" s="42"/>
      <c r="B342" s="39"/>
      <c r="C342" s="40"/>
      <c r="D342" s="42"/>
      <c r="E342" s="38"/>
      <c r="F342" s="43"/>
      <c r="G342" s="63"/>
      <c r="H342" s="58"/>
      <c r="I342" s="38"/>
      <c r="J342" s="38"/>
      <c r="K342" s="46"/>
      <c r="L342" s="47"/>
      <c r="M342" s="93"/>
      <c r="N342" s="93"/>
      <c r="O342" s="38"/>
      <c r="P342" s="38"/>
      <c r="Q342" s="14"/>
      <c r="R342" s="39"/>
      <c r="S342" s="39"/>
      <c r="T342" s="39"/>
      <c r="U342" s="40"/>
      <c r="V342" s="54"/>
      <c r="W342" s="55"/>
      <c r="X342" s="56"/>
      <c r="Y342" s="38"/>
      <c r="Z342" s="38"/>
      <c r="AA342" s="38"/>
      <c r="AB342" s="38"/>
    </row>
    <row r="343" spans="1:28">
      <c r="A343" s="42"/>
      <c r="B343" s="39"/>
      <c r="C343" s="40"/>
      <c r="D343" s="42"/>
      <c r="E343" s="38"/>
      <c r="F343" s="43"/>
      <c r="G343" s="63"/>
      <c r="H343" s="58"/>
      <c r="I343" s="38"/>
      <c r="J343" s="38"/>
      <c r="K343" s="46"/>
      <c r="L343" s="47"/>
      <c r="M343" s="93"/>
      <c r="N343" s="93"/>
      <c r="O343" s="38"/>
      <c r="P343" s="38"/>
      <c r="Q343" s="14"/>
      <c r="R343" s="39"/>
      <c r="S343" s="39"/>
      <c r="T343" s="39"/>
      <c r="U343" s="40"/>
      <c r="V343" s="54"/>
      <c r="W343" s="55"/>
      <c r="X343" s="56"/>
      <c r="Y343" s="38"/>
      <c r="Z343" s="38"/>
      <c r="AA343" s="38"/>
      <c r="AB343" s="38"/>
    </row>
    <row r="344" spans="1:28">
      <c r="A344" s="42"/>
      <c r="B344" s="39"/>
      <c r="C344" s="40"/>
      <c r="D344" s="42"/>
      <c r="E344" s="38"/>
      <c r="F344" s="43"/>
      <c r="G344" s="63"/>
      <c r="H344" s="58"/>
      <c r="I344" s="38"/>
      <c r="J344" s="38"/>
      <c r="K344" s="46"/>
      <c r="L344" s="47"/>
      <c r="M344" s="93"/>
      <c r="N344" s="93"/>
      <c r="O344" s="38"/>
      <c r="P344" s="38"/>
      <c r="Q344" s="14"/>
      <c r="R344" s="39"/>
      <c r="S344" s="39"/>
      <c r="T344" s="39"/>
      <c r="U344" s="40"/>
      <c r="V344" s="54"/>
      <c r="W344" s="55"/>
      <c r="X344" s="56"/>
      <c r="Y344" s="38"/>
      <c r="Z344" s="38"/>
      <c r="AA344" s="38"/>
      <c r="AB344" s="38"/>
    </row>
    <row r="345" spans="1:28">
      <c r="A345" s="42"/>
      <c r="B345" s="39"/>
      <c r="C345" s="40"/>
      <c r="D345" s="42"/>
      <c r="E345" s="38"/>
      <c r="F345" s="43"/>
      <c r="G345" s="63"/>
      <c r="H345" s="58"/>
      <c r="I345" s="38"/>
      <c r="J345" s="38"/>
      <c r="K345" s="46"/>
      <c r="L345" s="47"/>
      <c r="M345" s="93"/>
      <c r="N345" s="93"/>
      <c r="O345" s="38"/>
      <c r="P345" s="38"/>
      <c r="Q345" s="14"/>
      <c r="R345" s="39"/>
      <c r="S345" s="39"/>
      <c r="T345" s="39"/>
      <c r="U345" s="40"/>
      <c r="V345" s="54"/>
      <c r="W345" s="55"/>
      <c r="X345" s="56"/>
      <c r="Y345" s="38"/>
      <c r="Z345" s="38"/>
      <c r="AA345" s="38"/>
      <c r="AB345" s="38"/>
    </row>
    <row r="346" spans="1:28">
      <c r="A346" s="42"/>
      <c r="B346" s="39"/>
      <c r="C346" s="40"/>
      <c r="D346" s="42"/>
      <c r="E346" s="38"/>
      <c r="F346" s="43"/>
      <c r="G346" s="63"/>
      <c r="H346" s="58"/>
      <c r="I346" s="38"/>
      <c r="J346" s="38"/>
      <c r="K346" s="46"/>
      <c r="L346" s="47"/>
      <c r="M346" s="93"/>
      <c r="N346" s="93"/>
      <c r="O346" s="38"/>
      <c r="P346" s="38"/>
      <c r="Q346" s="14"/>
      <c r="R346" s="39"/>
      <c r="S346" s="39"/>
      <c r="T346" s="39"/>
      <c r="U346" s="40"/>
      <c r="V346" s="54"/>
      <c r="W346" s="55"/>
      <c r="X346" s="56"/>
      <c r="Y346" s="38"/>
      <c r="Z346" s="38"/>
      <c r="AA346" s="38"/>
      <c r="AB346" s="38"/>
    </row>
    <row r="347" spans="1:28">
      <c r="A347" s="42"/>
      <c r="B347" s="39"/>
      <c r="C347" s="40"/>
      <c r="D347" s="42"/>
      <c r="E347" s="38"/>
      <c r="F347" s="43"/>
      <c r="G347" s="63"/>
      <c r="H347" s="58"/>
      <c r="I347" s="38"/>
      <c r="J347" s="38"/>
      <c r="K347" s="46"/>
      <c r="L347" s="47"/>
      <c r="M347" s="93"/>
      <c r="N347" s="93"/>
      <c r="O347" s="38"/>
      <c r="P347" s="38"/>
      <c r="Q347" s="14"/>
      <c r="R347" s="39"/>
      <c r="S347" s="39"/>
      <c r="T347" s="39"/>
      <c r="U347" s="40"/>
      <c r="V347" s="54"/>
      <c r="W347" s="55"/>
      <c r="X347" s="56"/>
      <c r="Y347" s="38"/>
      <c r="Z347" s="38"/>
      <c r="AA347" s="38"/>
      <c r="AB347" s="38"/>
    </row>
    <row r="348" spans="1:28">
      <c r="A348" s="42"/>
      <c r="B348" s="39"/>
      <c r="C348" s="40"/>
      <c r="D348" s="42"/>
      <c r="E348" s="38"/>
      <c r="F348" s="43"/>
      <c r="G348" s="63"/>
      <c r="H348" s="58"/>
      <c r="I348" s="38"/>
      <c r="J348" s="38"/>
      <c r="K348" s="46"/>
      <c r="L348" s="47"/>
      <c r="M348" s="93"/>
      <c r="N348" s="93"/>
      <c r="O348" s="38"/>
      <c r="P348" s="38"/>
      <c r="Q348" s="14"/>
      <c r="R348" s="39"/>
      <c r="S348" s="39"/>
      <c r="T348" s="39"/>
      <c r="U348" s="40"/>
      <c r="V348" s="54"/>
      <c r="W348" s="55"/>
      <c r="X348" s="56"/>
      <c r="Y348" s="38"/>
      <c r="Z348" s="38"/>
      <c r="AA348" s="38"/>
      <c r="AB348" s="38"/>
    </row>
    <row r="349" spans="1:28">
      <c r="A349" s="42"/>
      <c r="B349" s="39"/>
      <c r="C349" s="40"/>
      <c r="D349" s="42"/>
      <c r="E349" s="38"/>
      <c r="F349" s="43"/>
      <c r="G349" s="63"/>
      <c r="H349" s="58"/>
      <c r="I349" s="38"/>
      <c r="J349" s="38"/>
      <c r="K349" s="46"/>
      <c r="L349" s="47"/>
      <c r="M349" s="93"/>
      <c r="N349" s="93"/>
      <c r="O349" s="38"/>
      <c r="P349" s="38"/>
      <c r="Q349" s="14"/>
      <c r="R349" s="39"/>
      <c r="S349" s="39"/>
      <c r="T349" s="39"/>
      <c r="U349" s="40"/>
      <c r="V349" s="54"/>
      <c r="W349" s="55"/>
      <c r="X349" s="56"/>
      <c r="Y349" s="38"/>
      <c r="Z349" s="38"/>
      <c r="AA349" s="38"/>
      <c r="AB349" s="38"/>
    </row>
    <row r="350" spans="1:28">
      <c r="A350" s="42"/>
      <c r="B350" s="39"/>
      <c r="C350" s="40"/>
      <c r="D350" s="42"/>
      <c r="E350" s="38"/>
      <c r="F350" s="43"/>
      <c r="G350" s="63"/>
      <c r="H350" s="58"/>
      <c r="I350" s="38"/>
      <c r="J350" s="38"/>
      <c r="K350" s="46"/>
      <c r="L350" s="47"/>
      <c r="M350" s="93"/>
      <c r="N350" s="93"/>
      <c r="O350" s="38"/>
      <c r="P350" s="38"/>
      <c r="Q350" s="14"/>
      <c r="R350" s="39"/>
      <c r="S350" s="39"/>
      <c r="T350" s="39"/>
      <c r="U350" s="40"/>
      <c r="V350" s="54"/>
      <c r="W350" s="55"/>
      <c r="X350" s="56"/>
      <c r="Y350" s="38"/>
      <c r="Z350" s="38"/>
      <c r="AA350" s="38"/>
      <c r="AB350" s="38"/>
    </row>
    <row r="351" spans="1:28">
      <c r="A351" s="42"/>
      <c r="B351" s="39"/>
      <c r="C351" s="40"/>
      <c r="D351" s="42"/>
      <c r="E351" s="38"/>
      <c r="F351" s="43"/>
      <c r="G351" s="63"/>
      <c r="H351" s="58"/>
      <c r="I351" s="38"/>
      <c r="J351" s="38"/>
      <c r="K351" s="46"/>
      <c r="L351" s="47"/>
      <c r="M351" s="93"/>
      <c r="N351" s="93"/>
      <c r="O351" s="38"/>
      <c r="P351" s="38"/>
      <c r="Q351" s="14"/>
      <c r="R351" s="39"/>
      <c r="S351" s="39"/>
      <c r="T351" s="39"/>
      <c r="U351" s="40"/>
      <c r="V351" s="54"/>
      <c r="W351" s="55"/>
      <c r="X351" s="56"/>
      <c r="Y351" s="38"/>
      <c r="Z351" s="38"/>
      <c r="AA351" s="38"/>
      <c r="AB351" s="38"/>
    </row>
    <row r="352" spans="1:28">
      <c r="A352" s="42"/>
      <c r="B352" s="39"/>
      <c r="C352" s="40"/>
      <c r="D352" s="42"/>
      <c r="E352" s="38"/>
      <c r="F352" s="43"/>
      <c r="G352" s="63"/>
      <c r="H352" s="58"/>
      <c r="I352" s="38"/>
      <c r="J352" s="38"/>
      <c r="K352" s="46"/>
      <c r="L352" s="47"/>
      <c r="M352" s="93"/>
      <c r="N352" s="93"/>
      <c r="O352" s="38"/>
      <c r="P352" s="38"/>
      <c r="Q352" s="14"/>
      <c r="R352" s="39"/>
      <c r="S352" s="39"/>
      <c r="T352" s="39"/>
      <c r="U352" s="40"/>
      <c r="V352" s="54"/>
      <c r="W352" s="55"/>
      <c r="X352" s="56"/>
      <c r="Y352" s="38"/>
      <c r="Z352" s="38"/>
      <c r="AA352" s="38"/>
      <c r="AB352" s="38"/>
    </row>
    <row r="353" spans="1:28">
      <c r="A353" s="42"/>
      <c r="B353" s="39"/>
      <c r="C353" s="40"/>
      <c r="D353" s="42"/>
      <c r="E353" s="38"/>
      <c r="F353" s="43"/>
      <c r="G353" s="63"/>
      <c r="H353" s="58"/>
      <c r="I353" s="38"/>
      <c r="J353" s="38"/>
      <c r="K353" s="46"/>
      <c r="L353" s="47"/>
      <c r="M353" s="93"/>
      <c r="N353" s="93"/>
      <c r="O353" s="38"/>
      <c r="P353" s="38"/>
      <c r="Q353" s="14"/>
      <c r="R353" s="39"/>
      <c r="S353" s="39"/>
      <c r="T353" s="39"/>
      <c r="U353" s="40"/>
      <c r="V353" s="54"/>
      <c r="W353" s="55"/>
      <c r="X353" s="56"/>
      <c r="Y353" s="38"/>
      <c r="Z353" s="38"/>
      <c r="AA353" s="38"/>
      <c r="AB353" s="38"/>
    </row>
    <row r="354" spans="1:28">
      <c r="A354" s="42"/>
      <c r="B354" s="39"/>
      <c r="C354" s="40"/>
      <c r="D354" s="42"/>
      <c r="E354" s="38"/>
      <c r="F354" s="43"/>
      <c r="G354" s="63"/>
      <c r="H354" s="58"/>
      <c r="I354" s="38"/>
      <c r="J354" s="38"/>
      <c r="K354" s="46"/>
      <c r="L354" s="47"/>
      <c r="M354" s="93"/>
      <c r="N354" s="93"/>
      <c r="O354" s="38"/>
      <c r="P354" s="38"/>
      <c r="Q354" s="14"/>
      <c r="R354" s="39"/>
      <c r="S354" s="39"/>
      <c r="T354" s="39"/>
      <c r="U354" s="40"/>
      <c r="V354" s="54"/>
      <c r="W354" s="55"/>
      <c r="X354" s="56"/>
      <c r="Y354" s="38"/>
      <c r="Z354" s="38"/>
      <c r="AA354" s="38"/>
      <c r="AB354" s="38"/>
    </row>
    <row r="355" spans="1:28">
      <c r="A355" s="42"/>
      <c r="B355" s="39"/>
      <c r="C355" s="40"/>
      <c r="D355" s="42"/>
      <c r="E355" s="38"/>
      <c r="F355" s="43"/>
      <c r="G355" s="63"/>
      <c r="H355" s="58"/>
      <c r="I355" s="38"/>
      <c r="J355" s="38"/>
      <c r="K355" s="46"/>
      <c r="L355" s="47"/>
      <c r="M355" s="93"/>
      <c r="N355" s="93"/>
      <c r="O355" s="38"/>
      <c r="P355" s="38"/>
      <c r="Q355" s="14"/>
      <c r="R355" s="39"/>
      <c r="S355" s="39"/>
      <c r="T355" s="39"/>
      <c r="U355" s="40"/>
      <c r="V355" s="54"/>
      <c r="W355" s="55"/>
      <c r="X355" s="56"/>
      <c r="Y355" s="38"/>
      <c r="Z355" s="38"/>
      <c r="AA355" s="38"/>
      <c r="AB355" s="38"/>
    </row>
    <row r="356" spans="1:28">
      <c r="A356" s="42"/>
      <c r="B356" s="39"/>
      <c r="C356" s="40"/>
      <c r="D356" s="42"/>
      <c r="E356" s="38"/>
      <c r="F356" s="43"/>
      <c r="G356" s="63"/>
      <c r="H356" s="58"/>
      <c r="I356" s="38"/>
      <c r="J356" s="38"/>
      <c r="K356" s="46"/>
      <c r="L356" s="47"/>
      <c r="M356" s="93"/>
      <c r="N356" s="93"/>
      <c r="O356" s="38"/>
      <c r="P356" s="38"/>
      <c r="Q356" s="14"/>
      <c r="R356" s="39"/>
      <c r="S356" s="39"/>
      <c r="T356" s="39"/>
      <c r="U356" s="40"/>
      <c r="V356" s="54"/>
      <c r="W356" s="55"/>
      <c r="X356" s="56"/>
      <c r="Y356" s="38"/>
      <c r="Z356" s="38"/>
      <c r="AA356" s="38"/>
      <c r="AB356" s="38"/>
    </row>
    <row r="357" spans="1:28">
      <c r="A357" s="42"/>
      <c r="B357" s="39"/>
      <c r="C357" s="40"/>
      <c r="D357" s="42"/>
      <c r="E357" s="38"/>
      <c r="F357" s="43"/>
      <c r="G357" s="63"/>
      <c r="H357" s="58"/>
      <c r="I357" s="38"/>
      <c r="J357" s="38"/>
      <c r="K357" s="46"/>
      <c r="L357" s="47"/>
      <c r="M357" s="93"/>
      <c r="N357" s="93"/>
      <c r="O357" s="38"/>
      <c r="P357" s="38"/>
      <c r="Q357" s="14"/>
      <c r="R357" s="39"/>
      <c r="S357" s="39"/>
      <c r="T357" s="39"/>
      <c r="U357" s="40"/>
      <c r="V357" s="54"/>
      <c r="W357" s="55"/>
      <c r="X357" s="56"/>
      <c r="Y357" s="38"/>
      <c r="Z357" s="38"/>
      <c r="AA357" s="38"/>
      <c r="AB357" s="38"/>
    </row>
    <row r="358" spans="1:28">
      <c r="A358" s="42"/>
      <c r="B358" s="39"/>
      <c r="C358" s="40"/>
      <c r="D358" s="42"/>
      <c r="E358" s="38"/>
      <c r="F358" s="43"/>
      <c r="G358" s="63"/>
      <c r="H358" s="58"/>
      <c r="I358" s="38"/>
      <c r="J358" s="38"/>
      <c r="K358" s="46"/>
      <c r="L358" s="47"/>
      <c r="M358" s="93"/>
      <c r="N358" s="93"/>
      <c r="O358" s="38"/>
      <c r="P358" s="38"/>
      <c r="Q358" s="14"/>
      <c r="R358" s="39"/>
      <c r="S358" s="39"/>
      <c r="T358" s="39"/>
      <c r="U358" s="40"/>
      <c r="V358" s="54"/>
      <c r="W358" s="55"/>
      <c r="X358" s="56"/>
      <c r="Y358" s="38"/>
      <c r="Z358" s="38"/>
      <c r="AA358" s="38"/>
      <c r="AB358" s="38"/>
    </row>
    <row r="359" spans="1:28">
      <c r="A359" s="42"/>
      <c r="B359" s="39"/>
      <c r="C359" s="40"/>
      <c r="D359" s="42"/>
      <c r="E359" s="38"/>
      <c r="F359" s="43"/>
      <c r="G359" s="63"/>
      <c r="H359" s="58"/>
      <c r="I359" s="38"/>
      <c r="J359" s="38"/>
      <c r="K359" s="46"/>
      <c r="L359" s="47"/>
      <c r="M359" s="93"/>
      <c r="N359" s="93"/>
      <c r="O359" s="38"/>
      <c r="P359" s="38"/>
      <c r="Q359" s="14"/>
      <c r="R359" s="39"/>
      <c r="S359" s="39"/>
      <c r="T359" s="39"/>
      <c r="U359" s="40"/>
      <c r="V359" s="54"/>
      <c r="W359" s="55"/>
      <c r="X359" s="56"/>
      <c r="Y359" s="38"/>
      <c r="Z359" s="38"/>
      <c r="AA359" s="38"/>
      <c r="AB359" s="38"/>
    </row>
    <row r="360" spans="1:28">
      <c r="A360" s="42"/>
      <c r="B360" s="39"/>
      <c r="C360" s="40"/>
      <c r="D360" s="42"/>
      <c r="E360" s="38"/>
      <c r="F360" s="43"/>
      <c r="G360" s="63"/>
      <c r="H360" s="58"/>
      <c r="I360" s="38"/>
      <c r="J360" s="38"/>
      <c r="K360" s="46"/>
      <c r="L360" s="47"/>
      <c r="M360" s="93"/>
      <c r="N360" s="93"/>
      <c r="O360" s="38"/>
      <c r="P360" s="38"/>
      <c r="Q360" s="14"/>
      <c r="R360" s="39"/>
      <c r="S360" s="39"/>
      <c r="T360" s="39"/>
      <c r="U360" s="40"/>
      <c r="V360" s="54"/>
      <c r="W360" s="55"/>
      <c r="X360" s="56"/>
      <c r="Y360" s="38"/>
      <c r="Z360" s="38"/>
      <c r="AA360" s="38"/>
      <c r="AB360" s="38"/>
    </row>
    <row r="361" spans="1:28">
      <c r="A361" s="42"/>
      <c r="B361" s="39"/>
      <c r="C361" s="40"/>
      <c r="D361" s="42"/>
      <c r="E361" s="38"/>
      <c r="F361" s="43"/>
      <c r="G361" s="63"/>
      <c r="H361" s="58"/>
      <c r="I361" s="38"/>
      <c r="J361" s="38"/>
      <c r="K361" s="46"/>
      <c r="L361" s="47"/>
      <c r="M361" s="93"/>
      <c r="N361" s="93"/>
      <c r="O361" s="38"/>
      <c r="P361" s="38"/>
      <c r="Q361" s="14"/>
      <c r="R361" s="39"/>
      <c r="S361" s="39"/>
      <c r="T361" s="39"/>
      <c r="U361" s="40"/>
      <c r="V361" s="54"/>
      <c r="W361" s="55"/>
      <c r="X361" s="56"/>
      <c r="Y361" s="38"/>
      <c r="Z361" s="38"/>
      <c r="AA361" s="38"/>
      <c r="AB361" s="38"/>
    </row>
    <row r="362" spans="1:28">
      <c r="A362" s="42"/>
      <c r="B362" s="39"/>
      <c r="C362" s="40"/>
      <c r="D362" s="42"/>
      <c r="E362" s="38"/>
      <c r="F362" s="43"/>
      <c r="G362" s="63"/>
      <c r="H362" s="58"/>
      <c r="I362" s="38"/>
      <c r="J362" s="38"/>
      <c r="K362" s="46"/>
      <c r="L362" s="47"/>
      <c r="M362" s="93"/>
      <c r="N362" s="93"/>
      <c r="O362" s="38"/>
      <c r="P362" s="38"/>
      <c r="Q362" s="14"/>
      <c r="R362" s="39"/>
      <c r="S362" s="39"/>
      <c r="T362" s="39"/>
      <c r="U362" s="40"/>
      <c r="V362" s="54"/>
      <c r="W362" s="55"/>
      <c r="X362" s="56"/>
      <c r="Y362" s="38"/>
      <c r="Z362" s="38"/>
      <c r="AA362" s="38"/>
      <c r="AB362" s="38"/>
    </row>
    <row r="363" spans="1:28">
      <c r="A363" s="42"/>
      <c r="B363" s="39"/>
      <c r="C363" s="40"/>
      <c r="D363" s="42"/>
      <c r="E363" s="38"/>
      <c r="F363" s="43"/>
      <c r="G363" s="63"/>
      <c r="H363" s="58"/>
      <c r="I363" s="38"/>
      <c r="J363" s="38"/>
      <c r="K363" s="46"/>
      <c r="L363" s="47"/>
      <c r="M363" s="93"/>
      <c r="N363" s="93"/>
      <c r="O363" s="38"/>
      <c r="P363" s="38"/>
      <c r="Q363" s="14"/>
      <c r="R363" s="39"/>
      <c r="S363" s="39"/>
      <c r="T363" s="39"/>
      <c r="U363" s="40"/>
      <c r="V363" s="54"/>
      <c r="W363" s="55"/>
      <c r="X363" s="56"/>
      <c r="Y363" s="38"/>
      <c r="Z363" s="38"/>
      <c r="AA363" s="38"/>
      <c r="AB363" s="38"/>
    </row>
    <row r="364" spans="1:28">
      <c r="A364" s="42"/>
      <c r="B364" s="39"/>
      <c r="C364" s="40"/>
      <c r="D364" s="42"/>
      <c r="E364" s="38"/>
      <c r="F364" s="43"/>
      <c r="G364" s="63"/>
      <c r="H364" s="58"/>
      <c r="I364" s="38"/>
      <c r="J364" s="38"/>
      <c r="K364" s="46"/>
      <c r="L364" s="47"/>
      <c r="M364" s="93"/>
      <c r="N364" s="93"/>
      <c r="O364" s="38"/>
      <c r="P364" s="38"/>
      <c r="Q364" s="14"/>
      <c r="R364" s="39"/>
      <c r="S364" s="39"/>
      <c r="T364" s="39"/>
      <c r="U364" s="40"/>
      <c r="V364" s="54"/>
      <c r="W364" s="55"/>
      <c r="X364" s="56"/>
      <c r="Y364" s="38"/>
      <c r="Z364" s="38"/>
      <c r="AA364" s="38"/>
      <c r="AB364" s="38"/>
    </row>
    <row r="365" spans="1:28">
      <c r="A365" s="42"/>
      <c r="B365" s="39"/>
      <c r="C365" s="40"/>
      <c r="D365" s="42"/>
      <c r="E365" s="38"/>
      <c r="F365" s="43"/>
      <c r="G365" s="63"/>
      <c r="H365" s="58"/>
      <c r="I365" s="38"/>
      <c r="J365" s="38"/>
      <c r="K365" s="46"/>
      <c r="L365" s="47"/>
      <c r="M365" s="93"/>
      <c r="N365" s="93"/>
      <c r="O365" s="38"/>
      <c r="P365" s="38"/>
      <c r="Q365" s="14"/>
      <c r="R365" s="39"/>
      <c r="S365" s="39"/>
      <c r="T365" s="39"/>
      <c r="U365" s="40"/>
      <c r="V365" s="54"/>
      <c r="W365" s="55"/>
      <c r="X365" s="56"/>
      <c r="Y365" s="38"/>
      <c r="Z365" s="38"/>
      <c r="AA365" s="38"/>
      <c r="AB365" s="38"/>
    </row>
    <row r="366" spans="1:28">
      <c r="A366" s="42"/>
      <c r="B366" s="39"/>
      <c r="C366" s="40"/>
      <c r="D366" s="42"/>
      <c r="E366" s="38"/>
      <c r="F366" s="43"/>
      <c r="G366" s="63"/>
      <c r="H366" s="58"/>
      <c r="I366" s="38"/>
      <c r="J366" s="38"/>
      <c r="K366" s="46"/>
      <c r="L366" s="47"/>
      <c r="M366" s="93"/>
      <c r="N366" s="93"/>
      <c r="O366" s="38"/>
      <c r="P366" s="38"/>
      <c r="Q366" s="14"/>
      <c r="R366" s="39"/>
      <c r="S366" s="39"/>
      <c r="T366" s="39"/>
      <c r="U366" s="40"/>
      <c r="V366" s="54"/>
      <c r="W366" s="55"/>
      <c r="X366" s="56"/>
      <c r="Y366" s="38"/>
      <c r="Z366" s="38"/>
      <c r="AA366" s="38"/>
      <c r="AB366" s="38"/>
    </row>
    <row r="367" spans="1:28">
      <c r="A367" s="42"/>
      <c r="B367" s="39"/>
      <c r="C367" s="40"/>
      <c r="D367" s="42"/>
      <c r="E367" s="38"/>
      <c r="F367" s="43"/>
      <c r="G367" s="63"/>
      <c r="H367" s="58"/>
      <c r="I367" s="38"/>
      <c r="J367" s="38"/>
      <c r="K367" s="46"/>
      <c r="L367" s="47"/>
      <c r="M367" s="93"/>
      <c r="N367" s="93"/>
      <c r="O367" s="38"/>
      <c r="P367" s="38"/>
      <c r="Q367" s="14"/>
      <c r="R367" s="39"/>
      <c r="S367" s="39"/>
      <c r="T367" s="39"/>
      <c r="U367" s="40"/>
      <c r="V367" s="54"/>
      <c r="W367" s="55"/>
      <c r="X367" s="56"/>
      <c r="Y367" s="38"/>
      <c r="Z367" s="38"/>
      <c r="AA367" s="38"/>
      <c r="AB367" s="38"/>
    </row>
    <row r="368" spans="1:28">
      <c r="A368" s="42"/>
      <c r="B368" s="39"/>
      <c r="C368" s="40"/>
      <c r="D368" s="42"/>
      <c r="E368" s="38"/>
      <c r="F368" s="43"/>
      <c r="G368" s="63"/>
      <c r="H368" s="58"/>
      <c r="I368" s="38"/>
      <c r="J368" s="38"/>
      <c r="K368" s="46"/>
      <c r="L368" s="47"/>
      <c r="M368" s="93"/>
      <c r="N368" s="93"/>
      <c r="O368" s="38"/>
      <c r="P368" s="38"/>
      <c r="Q368" s="14"/>
      <c r="R368" s="39"/>
      <c r="S368" s="39"/>
      <c r="T368" s="39"/>
      <c r="U368" s="40"/>
      <c r="V368" s="54"/>
      <c r="W368" s="55"/>
      <c r="X368" s="56"/>
      <c r="Y368" s="38"/>
      <c r="Z368" s="38"/>
      <c r="AA368" s="38"/>
      <c r="AB368" s="38"/>
    </row>
    <row r="369" spans="1:28">
      <c r="A369" s="42"/>
      <c r="B369" s="39"/>
      <c r="C369" s="40"/>
      <c r="D369" s="42"/>
      <c r="E369" s="38"/>
      <c r="F369" s="43"/>
      <c r="G369" s="63"/>
      <c r="H369" s="58"/>
      <c r="I369" s="38"/>
      <c r="J369" s="38"/>
      <c r="K369" s="46"/>
      <c r="L369" s="47"/>
      <c r="M369" s="93"/>
      <c r="N369" s="93"/>
      <c r="O369" s="38"/>
      <c r="P369" s="38"/>
      <c r="Q369" s="14"/>
      <c r="R369" s="39"/>
      <c r="S369" s="39"/>
      <c r="T369" s="39"/>
      <c r="U369" s="40"/>
      <c r="V369" s="54"/>
      <c r="W369" s="55"/>
      <c r="X369" s="56"/>
      <c r="Y369" s="38"/>
      <c r="Z369" s="38"/>
      <c r="AA369" s="38"/>
      <c r="AB369" s="38"/>
    </row>
    <row r="370" spans="1:28">
      <c r="A370" s="42"/>
      <c r="B370" s="39"/>
      <c r="C370" s="40"/>
      <c r="D370" s="42"/>
      <c r="E370" s="38"/>
      <c r="F370" s="43"/>
      <c r="G370" s="63"/>
      <c r="H370" s="58"/>
      <c r="I370" s="38"/>
      <c r="J370" s="38"/>
      <c r="K370" s="46"/>
      <c r="L370" s="47"/>
      <c r="M370" s="93"/>
      <c r="N370" s="93"/>
      <c r="O370" s="38"/>
      <c r="P370" s="38"/>
      <c r="Q370" s="14"/>
      <c r="R370" s="39"/>
      <c r="S370" s="39"/>
      <c r="T370" s="39"/>
      <c r="U370" s="40"/>
      <c r="V370" s="54"/>
      <c r="W370" s="55"/>
      <c r="X370" s="56"/>
      <c r="Y370" s="38"/>
      <c r="Z370" s="38"/>
      <c r="AA370" s="38"/>
      <c r="AB370" s="38"/>
    </row>
    <row r="371" spans="1:28">
      <c r="A371" s="42"/>
      <c r="B371" s="39"/>
      <c r="C371" s="40"/>
      <c r="D371" s="42"/>
      <c r="E371" s="38"/>
      <c r="F371" s="43"/>
      <c r="G371" s="63"/>
      <c r="H371" s="58"/>
      <c r="I371" s="38"/>
      <c r="J371" s="38"/>
      <c r="K371" s="46"/>
      <c r="L371" s="47"/>
      <c r="M371" s="93"/>
      <c r="N371" s="93"/>
      <c r="O371" s="38"/>
      <c r="P371" s="38"/>
      <c r="Q371" s="14"/>
      <c r="R371" s="39"/>
      <c r="S371" s="39"/>
      <c r="T371" s="39"/>
      <c r="U371" s="40"/>
      <c r="V371" s="54"/>
      <c r="W371" s="55"/>
      <c r="X371" s="56"/>
      <c r="Y371" s="38"/>
      <c r="Z371" s="38"/>
      <c r="AA371" s="38"/>
      <c r="AB371" s="38"/>
    </row>
    <row r="372" spans="1:28">
      <c r="A372" s="42"/>
      <c r="B372" s="39"/>
      <c r="C372" s="40"/>
      <c r="D372" s="42"/>
      <c r="E372" s="38"/>
      <c r="F372" s="43"/>
      <c r="G372" s="63"/>
      <c r="H372" s="58"/>
      <c r="I372" s="38"/>
      <c r="J372" s="38"/>
      <c r="K372" s="46"/>
      <c r="L372" s="47"/>
      <c r="M372" s="93"/>
      <c r="N372" s="93"/>
      <c r="O372" s="38"/>
      <c r="P372" s="38"/>
      <c r="Q372" s="14"/>
      <c r="R372" s="39"/>
      <c r="S372" s="39"/>
      <c r="T372" s="39"/>
      <c r="U372" s="40"/>
      <c r="V372" s="54"/>
      <c r="W372" s="55"/>
      <c r="X372" s="56"/>
      <c r="Y372" s="38"/>
      <c r="Z372" s="38"/>
      <c r="AA372" s="38"/>
      <c r="AB372" s="38"/>
    </row>
    <row r="373" spans="1:28">
      <c r="A373" s="42"/>
      <c r="B373" s="39"/>
      <c r="C373" s="40"/>
      <c r="D373" s="42"/>
      <c r="E373" s="38"/>
      <c r="F373" s="43"/>
      <c r="G373" s="63"/>
      <c r="H373" s="58"/>
      <c r="I373" s="38"/>
      <c r="J373" s="38"/>
      <c r="K373" s="46"/>
      <c r="L373" s="47"/>
      <c r="M373" s="93"/>
      <c r="N373" s="93"/>
      <c r="O373" s="38"/>
      <c r="P373" s="38"/>
      <c r="Q373" s="14"/>
      <c r="R373" s="39"/>
      <c r="S373" s="39"/>
      <c r="T373" s="39"/>
      <c r="U373" s="40"/>
      <c r="V373" s="54"/>
      <c r="W373" s="55"/>
      <c r="X373" s="56"/>
      <c r="Y373" s="38"/>
      <c r="Z373" s="38"/>
      <c r="AA373" s="38"/>
      <c r="AB373" s="38"/>
    </row>
    <row r="374" spans="1:28">
      <c r="A374" s="42"/>
      <c r="B374" s="39"/>
      <c r="C374" s="40"/>
      <c r="D374" s="42"/>
      <c r="E374" s="38"/>
      <c r="F374" s="43"/>
      <c r="G374" s="63"/>
      <c r="H374" s="58"/>
      <c r="I374" s="38"/>
      <c r="J374" s="38"/>
      <c r="K374" s="46"/>
      <c r="L374" s="47"/>
      <c r="M374" s="93"/>
      <c r="N374" s="93"/>
      <c r="O374" s="38"/>
      <c r="P374" s="38"/>
      <c r="Q374" s="14"/>
      <c r="R374" s="39"/>
      <c r="S374" s="39"/>
      <c r="T374" s="39"/>
      <c r="U374" s="40"/>
      <c r="V374" s="54"/>
      <c r="W374" s="55"/>
      <c r="X374" s="56"/>
      <c r="Y374" s="38"/>
      <c r="Z374" s="38"/>
      <c r="AA374" s="38"/>
      <c r="AB374" s="38"/>
    </row>
    <row r="375" spans="1:28">
      <c r="A375" s="42"/>
      <c r="B375" s="39"/>
      <c r="C375" s="40"/>
      <c r="D375" s="42"/>
      <c r="E375" s="38"/>
      <c r="F375" s="43"/>
      <c r="G375" s="63"/>
      <c r="H375" s="58"/>
      <c r="I375" s="38"/>
      <c r="J375" s="38"/>
      <c r="K375" s="46"/>
      <c r="L375" s="47"/>
      <c r="M375" s="93"/>
      <c r="N375" s="93"/>
      <c r="O375" s="38"/>
      <c r="P375" s="38"/>
      <c r="Q375" s="14"/>
      <c r="R375" s="39"/>
      <c r="S375" s="39"/>
      <c r="T375" s="39"/>
      <c r="U375" s="40"/>
      <c r="V375" s="54"/>
      <c r="W375" s="55"/>
      <c r="X375" s="56"/>
      <c r="Y375" s="38"/>
      <c r="Z375" s="38"/>
      <c r="AA375" s="38"/>
      <c r="AB375" s="38"/>
    </row>
    <row r="376" spans="1:28">
      <c r="A376" s="42"/>
      <c r="B376" s="39"/>
      <c r="C376" s="40"/>
      <c r="D376" s="42"/>
      <c r="E376" s="38"/>
      <c r="F376" s="43"/>
      <c r="G376" s="63"/>
      <c r="H376" s="58"/>
      <c r="I376" s="38"/>
      <c r="J376" s="38"/>
      <c r="K376" s="46"/>
      <c r="L376" s="47"/>
      <c r="M376" s="93"/>
      <c r="N376" s="93"/>
      <c r="O376" s="38"/>
      <c r="P376" s="38"/>
      <c r="Q376" s="14"/>
      <c r="R376" s="39"/>
      <c r="S376" s="39"/>
      <c r="T376" s="39"/>
      <c r="U376" s="40"/>
      <c r="V376" s="54"/>
      <c r="W376" s="55"/>
      <c r="X376" s="56"/>
      <c r="Y376" s="38"/>
      <c r="Z376" s="38"/>
      <c r="AA376" s="38"/>
      <c r="AB376" s="38"/>
    </row>
    <row r="377" spans="1:28">
      <c r="A377" s="42"/>
      <c r="B377" s="39"/>
      <c r="C377" s="40"/>
      <c r="D377" s="42"/>
      <c r="E377" s="38"/>
      <c r="F377" s="43"/>
      <c r="G377" s="63"/>
      <c r="H377" s="58"/>
      <c r="I377" s="38"/>
      <c r="J377" s="38"/>
      <c r="K377" s="46"/>
      <c r="L377" s="47"/>
      <c r="M377" s="93"/>
      <c r="N377" s="93"/>
      <c r="O377" s="38"/>
      <c r="P377" s="38"/>
      <c r="Q377" s="14"/>
      <c r="R377" s="39"/>
      <c r="S377" s="39"/>
      <c r="T377" s="39"/>
      <c r="U377" s="40"/>
      <c r="V377" s="54"/>
      <c r="W377" s="55"/>
      <c r="X377" s="56"/>
      <c r="Y377" s="38"/>
      <c r="Z377" s="38"/>
      <c r="AA377" s="38"/>
      <c r="AB377" s="38"/>
    </row>
    <row r="378" spans="1:28">
      <c r="A378" s="42"/>
      <c r="B378" s="39"/>
      <c r="C378" s="40"/>
      <c r="D378" s="42"/>
      <c r="E378" s="38"/>
      <c r="F378" s="43"/>
      <c r="G378" s="63"/>
      <c r="H378" s="58"/>
      <c r="I378" s="38"/>
      <c r="J378" s="38"/>
      <c r="K378" s="46"/>
      <c r="L378" s="47"/>
      <c r="M378" s="93"/>
      <c r="N378" s="93"/>
      <c r="O378" s="38"/>
      <c r="P378" s="38"/>
      <c r="Q378" s="14"/>
      <c r="R378" s="39"/>
      <c r="S378" s="39"/>
      <c r="T378" s="39"/>
      <c r="U378" s="40"/>
      <c r="V378" s="54"/>
      <c r="W378" s="55"/>
      <c r="X378" s="56"/>
      <c r="Y378" s="38"/>
      <c r="Z378" s="38"/>
      <c r="AA378" s="38"/>
      <c r="AB378" s="38"/>
    </row>
    <row r="379" spans="1:28">
      <c r="A379" s="42"/>
      <c r="B379" s="39"/>
      <c r="C379" s="40"/>
      <c r="D379" s="42"/>
      <c r="E379" s="38"/>
      <c r="F379" s="43"/>
      <c r="G379" s="63"/>
      <c r="H379" s="58"/>
      <c r="I379" s="38"/>
      <c r="J379" s="38"/>
      <c r="K379" s="46"/>
      <c r="L379" s="47"/>
      <c r="M379" s="93"/>
      <c r="N379" s="93"/>
      <c r="O379" s="38"/>
      <c r="P379" s="38"/>
      <c r="Q379" s="14"/>
      <c r="R379" s="39"/>
      <c r="S379" s="39"/>
      <c r="T379" s="39"/>
      <c r="U379" s="40"/>
      <c r="V379" s="54"/>
      <c r="W379" s="55"/>
      <c r="X379" s="56"/>
      <c r="Y379" s="38"/>
      <c r="Z379" s="38"/>
      <c r="AA379" s="38"/>
      <c r="AB379" s="38"/>
    </row>
    <row r="380" spans="1:28">
      <c r="A380" s="42"/>
      <c r="B380" s="39"/>
      <c r="C380" s="40"/>
      <c r="D380" s="42"/>
      <c r="E380" s="38"/>
      <c r="F380" s="43"/>
      <c r="G380" s="63"/>
      <c r="H380" s="58"/>
      <c r="I380" s="38"/>
      <c r="J380" s="38"/>
      <c r="K380" s="46"/>
      <c r="L380" s="47"/>
      <c r="M380" s="93"/>
      <c r="N380" s="93"/>
      <c r="O380" s="38"/>
      <c r="P380" s="38"/>
      <c r="Q380" s="14"/>
      <c r="R380" s="39"/>
      <c r="S380" s="39"/>
      <c r="T380" s="39"/>
      <c r="U380" s="40"/>
      <c r="V380" s="54"/>
      <c r="W380" s="55"/>
      <c r="X380" s="56"/>
      <c r="Y380" s="38"/>
      <c r="Z380" s="38"/>
      <c r="AA380" s="38"/>
      <c r="AB380" s="38"/>
    </row>
    <row r="381" spans="1:28">
      <c r="A381" s="42"/>
      <c r="B381" s="39"/>
      <c r="C381" s="40"/>
      <c r="D381" s="42"/>
      <c r="E381" s="38"/>
      <c r="F381" s="43"/>
      <c r="G381" s="63"/>
      <c r="H381" s="58"/>
      <c r="I381" s="38"/>
      <c r="J381" s="38"/>
      <c r="K381" s="46"/>
      <c r="L381" s="47"/>
      <c r="M381" s="93"/>
      <c r="N381" s="93"/>
      <c r="O381" s="38"/>
      <c r="P381" s="38"/>
      <c r="Q381" s="14"/>
      <c r="R381" s="39"/>
      <c r="S381" s="39"/>
      <c r="T381" s="39"/>
      <c r="U381" s="40"/>
      <c r="V381" s="54"/>
      <c r="W381" s="55"/>
      <c r="X381" s="56"/>
      <c r="Y381" s="38"/>
      <c r="Z381" s="38"/>
      <c r="AA381" s="38"/>
      <c r="AB381" s="38"/>
    </row>
    <row r="382" spans="1:28">
      <c r="A382" s="42"/>
      <c r="B382" s="39"/>
      <c r="C382" s="40"/>
      <c r="D382" s="42"/>
      <c r="E382" s="38"/>
      <c r="F382" s="43"/>
      <c r="G382" s="63"/>
      <c r="H382" s="58"/>
      <c r="I382" s="38"/>
      <c r="J382" s="38"/>
      <c r="K382" s="46"/>
      <c r="L382" s="47"/>
      <c r="M382" s="93"/>
      <c r="N382" s="93"/>
      <c r="O382" s="38"/>
      <c r="P382" s="38"/>
      <c r="Q382" s="14"/>
      <c r="R382" s="39"/>
      <c r="S382" s="39"/>
      <c r="T382" s="39"/>
      <c r="U382" s="40"/>
      <c r="V382" s="54"/>
      <c r="W382" s="55"/>
      <c r="X382" s="56"/>
      <c r="Y382" s="38"/>
      <c r="Z382" s="38"/>
      <c r="AA382" s="38"/>
      <c r="AB382" s="38"/>
    </row>
    <row r="383" spans="1:28">
      <c r="A383" s="42"/>
      <c r="B383" s="39"/>
      <c r="C383" s="40"/>
      <c r="D383" s="42"/>
      <c r="E383" s="38"/>
      <c r="F383" s="43"/>
      <c r="G383" s="63"/>
      <c r="H383" s="58"/>
      <c r="I383" s="38"/>
      <c r="J383" s="38"/>
      <c r="K383" s="46"/>
      <c r="L383" s="47"/>
      <c r="M383" s="93"/>
      <c r="N383" s="93"/>
      <c r="O383" s="38"/>
      <c r="P383" s="38"/>
      <c r="Q383" s="14"/>
      <c r="R383" s="39"/>
      <c r="S383" s="39"/>
      <c r="T383" s="39"/>
      <c r="U383" s="40"/>
      <c r="V383" s="54"/>
      <c r="W383" s="55"/>
      <c r="X383" s="56"/>
      <c r="Y383" s="38"/>
      <c r="Z383" s="38"/>
      <c r="AA383" s="38"/>
      <c r="AB383" s="38"/>
    </row>
    <row r="384" spans="1:28">
      <c r="A384" s="42"/>
      <c r="B384" s="39"/>
      <c r="C384" s="40"/>
      <c r="D384" s="42"/>
      <c r="E384" s="38"/>
      <c r="F384" s="43"/>
      <c r="G384" s="63"/>
      <c r="H384" s="58"/>
      <c r="I384" s="38"/>
      <c r="J384" s="38"/>
      <c r="K384" s="46"/>
      <c r="L384" s="47"/>
      <c r="M384" s="93"/>
      <c r="N384" s="93"/>
      <c r="O384" s="38"/>
      <c r="P384" s="38"/>
      <c r="Q384" s="14"/>
      <c r="R384" s="39"/>
      <c r="S384" s="39"/>
      <c r="T384" s="39"/>
      <c r="U384" s="40"/>
      <c r="V384" s="54"/>
      <c r="W384" s="55"/>
      <c r="X384" s="56"/>
      <c r="Y384" s="38"/>
      <c r="Z384" s="38"/>
      <c r="AA384" s="38"/>
      <c r="AB384" s="38"/>
    </row>
    <row r="385" spans="1:28">
      <c r="A385" s="42"/>
      <c r="B385" s="39"/>
      <c r="C385" s="40"/>
      <c r="D385" s="42"/>
      <c r="E385" s="38"/>
      <c r="F385" s="43"/>
      <c r="G385" s="63"/>
      <c r="H385" s="58"/>
      <c r="I385" s="38"/>
      <c r="J385" s="38"/>
      <c r="K385" s="46"/>
      <c r="L385" s="47"/>
      <c r="M385" s="93"/>
      <c r="N385" s="93"/>
      <c r="O385" s="38"/>
      <c r="P385" s="38"/>
      <c r="Q385" s="14"/>
      <c r="R385" s="39"/>
      <c r="S385" s="39"/>
      <c r="T385" s="39"/>
      <c r="U385" s="40"/>
      <c r="V385" s="54"/>
      <c r="W385" s="55"/>
      <c r="X385" s="56"/>
      <c r="Y385" s="38"/>
      <c r="Z385" s="38"/>
      <c r="AA385" s="38"/>
      <c r="AB385" s="38"/>
    </row>
    <row r="386" spans="1:28">
      <c r="A386" s="42"/>
      <c r="B386" s="39"/>
      <c r="C386" s="40"/>
      <c r="D386" s="42"/>
      <c r="E386" s="38"/>
      <c r="F386" s="43"/>
      <c r="G386" s="63"/>
      <c r="H386" s="58"/>
      <c r="I386" s="38"/>
      <c r="J386" s="38"/>
      <c r="K386" s="46"/>
      <c r="L386" s="47"/>
      <c r="M386" s="93"/>
      <c r="N386" s="93"/>
      <c r="O386" s="38"/>
      <c r="P386" s="38"/>
      <c r="Q386" s="14"/>
      <c r="R386" s="39"/>
      <c r="S386" s="39"/>
      <c r="T386" s="39"/>
      <c r="U386" s="40"/>
      <c r="V386" s="54"/>
      <c r="W386" s="55"/>
      <c r="X386" s="56"/>
      <c r="Y386" s="38"/>
      <c r="Z386" s="38"/>
      <c r="AA386" s="38"/>
      <c r="AB386" s="38"/>
    </row>
    <row r="387" spans="1:28">
      <c r="A387" s="42"/>
      <c r="B387" s="39"/>
      <c r="C387" s="40"/>
      <c r="D387" s="42"/>
      <c r="E387" s="38"/>
      <c r="F387" s="43"/>
      <c r="G387" s="63"/>
      <c r="H387" s="58"/>
      <c r="I387" s="38"/>
      <c r="J387" s="38"/>
      <c r="K387" s="46"/>
      <c r="L387" s="47"/>
      <c r="M387" s="93"/>
      <c r="N387" s="93"/>
      <c r="O387" s="38"/>
      <c r="P387" s="38"/>
      <c r="Q387" s="14"/>
      <c r="R387" s="39"/>
      <c r="S387" s="39"/>
      <c r="T387" s="39"/>
      <c r="U387" s="40"/>
      <c r="V387" s="54"/>
      <c r="W387" s="55"/>
      <c r="X387" s="56"/>
      <c r="Y387" s="38"/>
      <c r="Z387" s="38"/>
      <c r="AA387" s="38"/>
      <c r="AB387" s="38"/>
    </row>
    <row r="388" spans="1:28">
      <c r="A388" s="42"/>
      <c r="B388" s="39"/>
      <c r="C388" s="40"/>
      <c r="D388" s="42"/>
      <c r="E388" s="38"/>
      <c r="F388" s="43"/>
      <c r="G388" s="63"/>
      <c r="H388" s="58"/>
      <c r="I388" s="38"/>
      <c r="J388" s="38"/>
      <c r="K388" s="46"/>
      <c r="L388" s="47"/>
      <c r="M388" s="93"/>
      <c r="N388" s="93"/>
      <c r="O388" s="38"/>
      <c r="P388" s="38"/>
      <c r="Q388" s="14"/>
      <c r="R388" s="39"/>
      <c r="S388" s="39"/>
      <c r="T388" s="39"/>
      <c r="U388" s="40"/>
      <c r="V388" s="54"/>
      <c r="W388" s="55"/>
      <c r="X388" s="56"/>
      <c r="Y388" s="38"/>
      <c r="Z388" s="38"/>
      <c r="AA388" s="38"/>
      <c r="AB388" s="38"/>
    </row>
    <row r="389" spans="1:28">
      <c r="A389" s="42"/>
      <c r="B389" s="39"/>
      <c r="C389" s="40"/>
      <c r="D389" s="42"/>
      <c r="E389" s="38"/>
      <c r="F389" s="43"/>
      <c r="G389" s="63"/>
      <c r="H389" s="58"/>
      <c r="I389" s="38"/>
      <c r="J389" s="38"/>
      <c r="K389" s="46"/>
      <c r="L389" s="47"/>
      <c r="M389" s="93"/>
      <c r="N389" s="93"/>
      <c r="O389" s="38"/>
      <c r="P389" s="38"/>
      <c r="Q389" s="14"/>
      <c r="R389" s="39"/>
      <c r="S389" s="39"/>
      <c r="T389" s="39"/>
      <c r="U389" s="40"/>
      <c r="V389" s="54"/>
      <c r="W389" s="55"/>
      <c r="X389" s="56"/>
      <c r="Y389" s="38"/>
      <c r="Z389" s="38"/>
      <c r="AA389" s="38"/>
      <c r="AB389" s="38"/>
    </row>
    <row r="390" spans="1:28">
      <c r="A390" s="42"/>
      <c r="B390" s="39"/>
      <c r="C390" s="40"/>
      <c r="D390" s="42"/>
      <c r="E390" s="38"/>
      <c r="F390" s="43"/>
      <c r="G390" s="63"/>
      <c r="H390" s="58"/>
      <c r="I390" s="38"/>
      <c r="J390" s="38"/>
      <c r="K390" s="46"/>
      <c r="L390" s="47"/>
      <c r="M390" s="93"/>
      <c r="N390" s="93"/>
      <c r="O390" s="38"/>
      <c r="P390" s="38"/>
      <c r="Q390" s="14"/>
      <c r="R390" s="39"/>
      <c r="S390" s="39"/>
      <c r="T390" s="39"/>
      <c r="U390" s="40"/>
      <c r="V390" s="54"/>
      <c r="W390" s="55"/>
      <c r="X390" s="56"/>
      <c r="Y390" s="38"/>
      <c r="Z390" s="38"/>
      <c r="AA390" s="38"/>
      <c r="AB390" s="38"/>
    </row>
    <row r="391" spans="1:28">
      <c r="A391" s="42"/>
      <c r="B391" s="39"/>
      <c r="C391" s="40"/>
      <c r="D391" s="42"/>
      <c r="E391" s="38"/>
      <c r="F391" s="43"/>
      <c r="G391" s="63"/>
      <c r="H391" s="58"/>
      <c r="I391" s="38"/>
      <c r="J391" s="38"/>
      <c r="K391" s="46"/>
      <c r="L391" s="47"/>
      <c r="M391" s="93"/>
      <c r="N391" s="93"/>
      <c r="O391" s="38"/>
      <c r="P391" s="38"/>
      <c r="Q391" s="14"/>
      <c r="R391" s="39"/>
      <c r="S391" s="39"/>
      <c r="T391" s="39"/>
      <c r="U391" s="40"/>
      <c r="V391" s="54"/>
      <c r="W391" s="55"/>
      <c r="X391" s="56"/>
      <c r="Y391" s="38"/>
      <c r="Z391" s="38"/>
      <c r="AA391" s="38"/>
      <c r="AB391" s="38"/>
    </row>
    <row r="392" spans="1:28">
      <c r="A392" s="42"/>
      <c r="B392" s="39"/>
      <c r="C392" s="40"/>
      <c r="D392" s="42"/>
      <c r="E392" s="38"/>
      <c r="F392" s="43"/>
      <c r="G392" s="63"/>
      <c r="H392" s="58"/>
      <c r="I392" s="38"/>
      <c r="J392" s="38"/>
      <c r="K392" s="46"/>
      <c r="L392" s="47"/>
      <c r="M392" s="93"/>
      <c r="N392" s="93"/>
      <c r="O392" s="38"/>
      <c r="P392" s="38"/>
      <c r="Q392" s="14"/>
      <c r="R392" s="39"/>
      <c r="S392" s="39"/>
      <c r="T392" s="39"/>
      <c r="U392" s="40"/>
      <c r="V392" s="54"/>
      <c r="W392" s="55"/>
      <c r="X392" s="56"/>
      <c r="Y392" s="38"/>
      <c r="Z392" s="38"/>
      <c r="AA392" s="38"/>
      <c r="AB392" s="38"/>
    </row>
    <row r="393" spans="1:28">
      <c r="A393" s="42"/>
      <c r="B393" s="39"/>
      <c r="C393" s="40"/>
      <c r="D393" s="42"/>
      <c r="E393" s="38"/>
      <c r="F393" s="43"/>
      <c r="G393" s="63"/>
      <c r="H393" s="58"/>
      <c r="I393" s="38"/>
      <c r="J393" s="38"/>
      <c r="K393" s="46"/>
      <c r="L393" s="47"/>
      <c r="M393" s="93"/>
      <c r="N393" s="93"/>
      <c r="O393" s="38"/>
      <c r="P393" s="38"/>
      <c r="Q393" s="14"/>
      <c r="R393" s="39"/>
      <c r="S393" s="39"/>
      <c r="T393" s="39"/>
      <c r="U393" s="40"/>
      <c r="V393" s="54"/>
      <c r="W393" s="55"/>
      <c r="X393" s="56"/>
      <c r="Y393" s="38"/>
      <c r="Z393" s="38"/>
      <c r="AA393" s="38"/>
      <c r="AB393" s="38"/>
    </row>
    <row r="394" spans="1:28">
      <c r="A394" s="42"/>
      <c r="B394" s="39"/>
      <c r="C394" s="40"/>
      <c r="D394" s="42"/>
      <c r="E394" s="38"/>
      <c r="F394" s="43"/>
      <c r="G394" s="63"/>
      <c r="H394" s="58"/>
      <c r="I394" s="38"/>
      <c r="J394" s="38"/>
      <c r="K394" s="46"/>
      <c r="L394" s="47"/>
      <c r="M394" s="93"/>
      <c r="N394" s="93"/>
      <c r="O394" s="38"/>
      <c r="P394" s="38"/>
      <c r="Q394" s="14"/>
      <c r="R394" s="39"/>
      <c r="S394" s="39"/>
      <c r="T394" s="39"/>
      <c r="U394" s="40"/>
      <c r="V394" s="54"/>
      <c r="W394" s="55"/>
      <c r="X394" s="56"/>
      <c r="Y394" s="38"/>
      <c r="Z394" s="38"/>
      <c r="AA394" s="38"/>
      <c r="AB394" s="38"/>
    </row>
    <row r="395" spans="1:28">
      <c r="A395" s="42"/>
      <c r="B395" s="39"/>
      <c r="C395" s="40"/>
      <c r="D395" s="42"/>
      <c r="E395" s="38"/>
      <c r="F395" s="43"/>
      <c r="G395" s="63"/>
      <c r="H395" s="58"/>
      <c r="I395" s="38"/>
      <c r="J395" s="38"/>
      <c r="K395" s="46"/>
      <c r="L395" s="47"/>
      <c r="M395" s="93"/>
      <c r="N395" s="93"/>
      <c r="O395" s="38"/>
      <c r="P395" s="38"/>
      <c r="Q395" s="14"/>
      <c r="R395" s="39"/>
      <c r="S395" s="39"/>
      <c r="T395" s="39"/>
      <c r="U395" s="40"/>
      <c r="V395" s="54"/>
      <c r="W395" s="55"/>
      <c r="X395" s="56"/>
      <c r="Y395" s="38"/>
      <c r="Z395" s="38"/>
      <c r="AA395" s="38"/>
      <c r="AB395" s="38"/>
    </row>
    <row r="396" spans="1:28">
      <c r="A396" s="42"/>
      <c r="B396" s="39"/>
      <c r="C396" s="40"/>
      <c r="D396" s="42"/>
      <c r="E396" s="38"/>
      <c r="F396" s="43"/>
      <c r="G396" s="63"/>
      <c r="H396" s="58"/>
      <c r="I396" s="38"/>
      <c r="J396" s="38"/>
      <c r="K396" s="46"/>
      <c r="L396" s="47"/>
      <c r="M396" s="93"/>
      <c r="N396" s="93"/>
      <c r="O396" s="38"/>
      <c r="P396" s="38"/>
      <c r="Q396" s="14"/>
      <c r="R396" s="39"/>
      <c r="S396" s="39"/>
      <c r="T396" s="39"/>
      <c r="U396" s="40"/>
      <c r="V396" s="54"/>
      <c r="W396" s="55"/>
      <c r="X396" s="56"/>
      <c r="Y396" s="38"/>
      <c r="Z396" s="38"/>
      <c r="AA396" s="38"/>
      <c r="AB396" s="38"/>
    </row>
    <row r="397" spans="1:28">
      <c r="A397" s="42"/>
      <c r="B397" s="39"/>
      <c r="C397" s="40"/>
      <c r="D397" s="42"/>
      <c r="E397" s="38"/>
      <c r="F397" s="43"/>
      <c r="G397" s="63"/>
      <c r="H397" s="58"/>
      <c r="I397" s="38"/>
      <c r="J397" s="38"/>
      <c r="K397" s="46"/>
      <c r="L397" s="47"/>
      <c r="M397" s="93"/>
      <c r="N397" s="93"/>
      <c r="O397" s="38"/>
      <c r="P397" s="38"/>
      <c r="Q397" s="14"/>
      <c r="R397" s="39"/>
      <c r="S397" s="39"/>
      <c r="T397" s="39"/>
      <c r="U397" s="40"/>
      <c r="V397" s="54"/>
      <c r="W397" s="55"/>
      <c r="X397" s="56"/>
      <c r="Y397" s="38"/>
      <c r="Z397" s="38"/>
      <c r="AA397" s="38"/>
      <c r="AB397" s="38"/>
    </row>
    <row r="398" spans="1:28">
      <c r="A398" s="42"/>
      <c r="B398" s="39"/>
      <c r="C398" s="40"/>
      <c r="D398" s="42"/>
      <c r="E398" s="38"/>
      <c r="F398" s="43"/>
      <c r="G398" s="63"/>
      <c r="H398" s="58"/>
      <c r="I398" s="38"/>
      <c r="J398" s="38"/>
      <c r="K398" s="46"/>
      <c r="L398" s="47"/>
      <c r="M398" s="93"/>
      <c r="N398" s="93"/>
      <c r="O398" s="38"/>
      <c r="P398" s="38"/>
      <c r="Q398" s="14"/>
      <c r="R398" s="39"/>
      <c r="S398" s="39"/>
      <c r="T398" s="39"/>
      <c r="U398" s="40"/>
      <c r="V398" s="54"/>
      <c r="W398" s="55"/>
      <c r="X398" s="56"/>
      <c r="Y398" s="38"/>
      <c r="Z398" s="38"/>
      <c r="AA398" s="38"/>
      <c r="AB398" s="38"/>
    </row>
    <row r="399" spans="1:28">
      <c r="A399" s="42"/>
      <c r="B399" s="39"/>
      <c r="C399" s="40"/>
      <c r="D399" s="42"/>
      <c r="E399" s="38"/>
      <c r="F399" s="43"/>
      <c r="G399" s="63"/>
      <c r="H399" s="58"/>
      <c r="I399" s="38"/>
      <c r="J399" s="38"/>
      <c r="K399" s="46"/>
      <c r="L399" s="47"/>
      <c r="M399" s="93"/>
      <c r="N399" s="93"/>
      <c r="O399" s="38"/>
      <c r="P399" s="38"/>
      <c r="Q399" s="14"/>
      <c r="R399" s="39"/>
      <c r="S399" s="39"/>
      <c r="T399" s="39"/>
      <c r="U399" s="40"/>
      <c r="V399" s="54"/>
      <c r="W399" s="55"/>
      <c r="X399" s="56"/>
      <c r="Y399" s="38"/>
      <c r="Z399" s="38"/>
      <c r="AA399" s="38"/>
      <c r="AB399" s="38"/>
    </row>
    <row r="400" spans="1:28">
      <c r="A400" s="42"/>
      <c r="B400" s="39"/>
      <c r="C400" s="40"/>
      <c r="D400" s="42"/>
      <c r="E400" s="38"/>
      <c r="F400" s="43"/>
      <c r="G400" s="63"/>
      <c r="H400" s="58"/>
      <c r="I400" s="38"/>
      <c r="J400" s="38"/>
      <c r="K400" s="46"/>
      <c r="L400" s="47"/>
      <c r="M400" s="93"/>
      <c r="N400" s="93"/>
      <c r="O400" s="38"/>
      <c r="P400" s="38"/>
      <c r="Q400" s="14"/>
      <c r="R400" s="39"/>
      <c r="S400" s="39"/>
      <c r="T400" s="39"/>
      <c r="U400" s="40"/>
      <c r="V400" s="54"/>
      <c r="W400" s="55"/>
      <c r="X400" s="56"/>
      <c r="Y400" s="38"/>
      <c r="Z400" s="38"/>
      <c r="AA400" s="38"/>
      <c r="AB400" s="38"/>
    </row>
    <row r="401" spans="1:28">
      <c r="A401" s="42"/>
      <c r="B401" s="39"/>
      <c r="C401" s="40"/>
      <c r="D401" s="42"/>
      <c r="E401" s="38"/>
      <c r="F401" s="43"/>
      <c r="G401" s="63"/>
      <c r="H401" s="58"/>
      <c r="I401" s="38"/>
      <c r="J401" s="38"/>
      <c r="K401" s="46"/>
      <c r="L401" s="47"/>
      <c r="M401" s="93"/>
      <c r="N401" s="93"/>
      <c r="O401" s="38"/>
      <c r="P401" s="38"/>
      <c r="Q401" s="14"/>
      <c r="R401" s="39"/>
      <c r="S401" s="39"/>
      <c r="T401" s="39"/>
      <c r="U401" s="40"/>
      <c r="V401" s="54"/>
      <c r="W401" s="55"/>
      <c r="X401" s="56"/>
      <c r="Y401" s="38"/>
      <c r="Z401" s="38"/>
      <c r="AA401" s="38"/>
      <c r="AB401" s="38"/>
    </row>
    <row r="402" spans="1:28">
      <c r="A402" s="42"/>
      <c r="B402" s="39"/>
      <c r="C402" s="40"/>
      <c r="D402" s="42"/>
      <c r="E402" s="38"/>
      <c r="F402" s="43"/>
      <c r="G402" s="63"/>
      <c r="H402" s="58"/>
      <c r="I402" s="38"/>
      <c r="J402" s="38"/>
      <c r="K402" s="46"/>
      <c r="L402" s="47"/>
      <c r="M402" s="93"/>
      <c r="N402" s="93"/>
      <c r="O402" s="38"/>
      <c r="P402" s="38"/>
      <c r="Q402" s="14"/>
      <c r="R402" s="39"/>
      <c r="S402" s="39"/>
      <c r="T402" s="39"/>
      <c r="U402" s="40"/>
      <c r="V402" s="54"/>
      <c r="W402" s="55"/>
      <c r="X402" s="56"/>
      <c r="Y402" s="38"/>
      <c r="Z402" s="38"/>
      <c r="AA402" s="38"/>
      <c r="AB402" s="38"/>
    </row>
    <row r="403" spans="1:28">
      <c r="A403" s="42"/>
      <c r="B403" s="39"/>
      <c r="C403" s="40"/>
      <c r="D403" s="42"/>
      <c r="E403" s="38"/>
      <c r="F403" s="43"/>
      <c r="G403" s="63"/>
      <c r="H403" s="58"/>
      <c r="I403" s="38"/>
      <c r="J403" s="38"/>
      <c r="K403" s="46"/>
      <c r="L403" s="47"/>
      <c r="M403" s="93"/>
      <c r="N403" s="93"/>
      <c r="O403" s="38"/>
      <c r="P403" s="38"/>
      <c r="Q403" s="14"/>
      <c r="R403" s="39"/>
      <c r="S403" s="39"/>
      <c r="T403" s="39"/>
      <c r="U403" s="40"/>
      <c r="V403" s="54"/>
      <c r="W403" s="55"/>
      <c r="X403" s="56"/>
      <c r="Y403" s="38"/>
      <c r="Z403" s="38"/>
      <c r="AA403" s="38"/>
      <c r="AB403" s="38"/>
    </row>
    <row r="404" spans="1:28">
      <c r="A404" s="42"/>
      <c r="B404" s="39"/>
      <c r="C404" s="40"/>
      <c r="D404" s="42"/>
      <c r="E404" s="38"/>
      <c r="F404" s="43"/>
      <c r="G404" s="63"/>
      <c r="H404" s="58"/>
      <c r="I404" s="38"/>
      <c r="J404" s="38"/>
      <c r="K404" s="46"/>
      <c r="L404" s="47"/>
      <c r="M404" s="93"/>
      <c r="N404" s="93"/>
      <c r="O404" s="38"/>
      <c r="P404" s="38"/>
      <c r="Q404" s="14"/>
      <c r="R404" s="39"/>
      <c r="S404" s="39"/>
      <c r="T404" s="39"/>
      <c r="U404" s="40"/>
      <c r="V404" s="54"/>
      <c r="W404" s="55"/>
      <c r="X404" s="56"/>
      <c r="Y404" s="38"/>
      <c r="Z404" s="38"/>
      <c r="AA404" s="38"/>
      <c r="AB404" s="38"/>
    </row>
    <row r="405" spans="1:28">
      <c r="A405" s="42"/>
      <c r="B405" s="39"/>
      <c r="C405" s="40"/>
      <c r="D405" s="42"/>
      <c r="E405" s="38"/>
      <c r="F405" s="43"/>
      <c r="G405" s="63"/>
      <c r="H405" s="58"/>
      <c r="I405" s="38"/>
      <c r="J405" s="38"/>
      <c r="K405" s="46"/>
      <c r="L405" s="47"/>
      <c r="M405" s="93"/>
      <c r="N405" s="93"/>
      <c r="O405" s="38"/>
      <c r="P405" s="38"/>
      <c r="Q405" s="14"/>
      <c r="R405" s="39"/>
      <c r="S405" s="39"/>
      <c r="T405" s="39"/>
      <c r="U405" s="40"/>
      <c r="V405" s="54"/>
      <c r="W405" s="55"/>
      <c r="X405" s="56"/>
      <c r="Y405" s="38"/>
      <c r="Z405" s="38"/>
      <c r="AA405" s="38"/>
      <c r="AB405" s="38"/>
    </row>
    <row r="406" spans="1:28">
      <c r="A406" s="42"/>
      <c r="B406" s="39"/>
      <c r="C406" s="40"/>
      <c r="D406" s="42"/>
      <c r="E406" s="38"/>
      <c r="F406" s="43"/>
      <c r="G406" s="63"/>
      <c r="H406" s="58"/>
      <c r="I406" s="38"/>
      <c r="J406" s="38"/>
      <c r="K406" s="46"/>
      <c r="L406" s="47"/>
      <c r="M406" s="93"/>
      <c r="N406" s="93"/>
      <c r="O406" s="38"/>
      <c r="P406" s="38"/>
      <c r="Q406" s="14"/>
      <c r="R406" s="39"/>
      <c r="S406" s="39"/>
      <c r="T406" s="39"/>
      <c r="U406" s="40"/>
      <c r="V406" s="54"/>
      <c r="W406" s="55"/>
      <c r="X406" s="56"/>
      <c r="Y406" s="38"/>
      <c r="Z406" s="38"/>
      <c r="AA406" s="38"/>
      <c r="AB406" s="38"/>
    </row>
    <row r="407" spans="1:28">
      <c r="A407" s="42"/>
      <c r="B407" s="39"/>
      <c r="C407" s="40"/>
      <c r="D407" s="42"/>
      <c r="E407" s="38"/>
      <c r="F407" s="43"/>
      <c r="G407" s="63"/>
      <c r="H407" s="58"/>
      <c r="I407" s="38"/>
      <c r="J407" s="38"/>
      <c r="K407" s="46"/>
      <c r="L407" s="47"/>
      <c r="M407" s="93"/>
      <c r="N407" s="93"/>
      <c r="O407" s="38"/>
      <c r="P407" s="38"/>
      <c r="Q407" s="14"/>
      <c r="R407" s="39"/>
      <c r="S407" s="39"/>
      <c r="T407" s="39"/>
      <c r="U407" s="40"/>
      <c r="V407" s="54"/>
      <c r="W407" s="55"/>
      <c r="X407" s="56"/>
      <c r="Y407" s="38"/>
      <c r="Z407" s="38"/>
      <c r="AA407" s="38"/>
      <c r="AB407" s="38"/>
    </row>
    <row r="408" spans="1:28">
      <c r="A408" s="42"/>
      <c r="B408" s="39"/>
      <c r="C408" s="40"/>
      <c r="D408" s="42"/>
      <c r="E408" s="38"/>
      <c r="F408" s="43"/>
      <c r="G408" s="63"/>
      <c r="H408" s="58"/>
      <c r="I408" s="38"/>
      <c r="J408" s="38"/>
      <c r="K408" s="46"/>
      <c r="L408" s="47"/>
      <c r="M408" s="93"/>
      <c r="N408" s="93"/>
      <c r="O408" s="38"/>
      <c r="P408" s="38"/>
      <c r="Q408" s="14"/>
      <c r="R408" s="39"/>
      <c r="S408" s="39"/>
      <c r="T408" s="39"/>
      <c r="U408" s="40"/>
      <c r="V408" s="54"/>
      <c r="W408" s="55"/>
      <c r="X408" s="56"/>
      <c r="Y408" s="38"/>
      <c r="Z408" s="38"/>
      <c r="AA408" s="38"/>
      <c r="AB408" s="38"/>
    </row>
    <row r="409" spans="1:28">
      <c r="A409" s="42"/>
      <c r="B409" s="39"/>
      <c r="C409" s="40"/>
      <c r="D409" s="42"/>
      <c r="E409" s="38"/>
      <c r="F409" s="43"/>
      <c r="G409" s="63"/>
      <c r="H409" s="58"/>
      <c r="I409" s="38"/>
      <c r="J409" s="38"/>
      <c r="K409" s="46"/>
      <c r="L409" s="47"/>
      <c r="M409" s="93"/>
      <c r="N409" s="93"/>
      <c r="O409" s="38"/>
      <c r="P409" s="38"/>
      <c r="Q409" s="14"/>
      <c r="R409" s="39"/>
      <c r="S409" s="39"/>
      <c r="T409" s="39"/>
      <c r="U409" s="40"/>
      <c r="V409" s="54"/>
      <c r="W409" s="55"/>
      <c r="X409" s="56"/>
      <c r="Y409" s="38"/>
      <c r="Z409" s="38"/>
      <c r="AA409" s="38"/>
      <c r="AB409" s="38"/>
    </row>
    <row r="410" spans="1:28">
      <c r="A410" s="42"/>
      <c r="B410" s="39"/>
      <c r="C410" s="40"/>
      <c r="D410" s="42"/>
      <c r="E410" s="38"/>
      <c r="F410" s="43"/>
      <c r="G410" s="63"/>
      <c r="H410" s="58"/>
      <c r="I410" s="38"/>
      <c r="J410" s="38"/>
      <c r="K410" s="46"/>
      <c r="L410" s="47"/>
      <c r="M410" s="93"/>
      <c r="N410" s="93"/>
      <c r="O410" s="38"/>
      <c r="P410" s="38"/>
      <c r="Q410" s="14"/>
      <c r="R410" s="39"/>
      <c r="S410" s="39"/>
      <c r="T410" s="39"/>
      <c r="U410" s="40"/>
      <c r="V410" s="54"/>
      <c r="W410" s="55"/>
      <c r="X410" s="56"/>
      <c r="Y410" s="38"/>
      <c r="Z410" s="38"/>
      <c r="AA410" s="38"/>
      <c r="AB410" s="38"/>
    </row>
    <row r="411" spans="1:28">
      <c r="A411" s="42"/>
      <c r="B411" s="39"/>
      <c r="C411" s="40"/>
      <c r="D411" s="42"/>
      <c r="E411" s="38"/>
      <c r="F411" s="43"/>
      <c r="G411" s="63"/>
      <c r="H411" s="58"/>
      <c r="I411" s="38"/>
      <c r="J411" s="38"/>
      <c r="K411" s="46"/>
      <c r="L411" s="47"/>
      <c r="M411" s="93"/>
      <c r="N411" s="93"/>
      <c r="O411" s="38"/>
      <c r="P411" s="38"/>
      <c r="Q411" s="14"/>
      <c r="R411" s="39"/>
      <c r="S411" s="39"/>
      <c r="T411" s="39"/>
      <c r="U411" s="40"/>
      <c r="V411" s="54"/>
      <c r="W411" s="55"/>
      <c r="X411" s="56"/>
      <c r="Y411" s="38"/>
      <c r="Z411" s="38"/>
      <c r="AA411" s="38"/>
      <c r="AB411" s="38"/>
    </row>
    <row r="412" spans="1:28">
      <c r="A412" s="42"/>
      <c r="B412" s="39"/>
      <c r="C412" s="40"/>
      <c r="D412" s="42"/>
      <c r="E412" s="38"/>
      <c r="F412" s="43"/>
      <c r="G412" s="63"/>
      <c r="H412" s="58"/>
      <c r="I412" s="38"/>
      <c r="J412" s="38"/>
      <c r="K412" s="46"/>
      <c r="L412" s="47"/>
      <c r="M412" s="93"/>
      <c r="N412" s="93"/>
      <c r="O412" s="38"/>
      <c r="P412" s="38"/>
      <c r="Q412" s="14"/>
      <c r="R412" s="39"/>
      <c r="S412" s="39"/>
      <c r="T412" s="39"/>
      <c r="U412" s="40"/>
      <c r="V412" s="54"/>
      <c r="W412" s="55"/>
      <c r="X412" s="56"/>
      <c r="Y412" s="38"/>
      <c r="Z412" s="38"/>
      <c r="AA412" s="38"/>
      <c r="AB412" s="38"/>
    </row>
    <row r="413" spans="1:28">
      <c r="A413" s="42"/>
      <c r="B413" s="39"/>
      <c r="C413" s="40"/>
      <c r="D413" s="42"/>
      <c r="E413" s="38"/>
      <c r="F413" s="43"/>
      <c r="G413" s="63"/>
      <c r="H413" s="58"/>
      <c r="I413" s="38"/>
      <c r="J413" s="38"/>
      <c r="K413" s="46"/>
      <c r="L413" s="47"/>
      <c r="M413" s="93"/>
      <c r="N413" s="93"/>
      <c r="O413" s="38"/>
      <c r="P413" s="38"/>
      <c r="Q413" s="14"/>
      <c r="R413" s="39"/>
      <c r="S413" s="39"/>
      <c r="T413" s="39"/>
      <c r="U413" s="40"/>
      <c r="V413" s="54"/>
      <c r="W413" s="55"/>
      <c r="X413" s="56"/>
      <c r="Y413" s="38"/>
      <c r="Z413" s="38"/>
      <c r="AA413" s="38"/>
      <c r="AB413" s="38"/>
    </row>
    <row r="414" spans="1:28">
      <c r="A414" s="42"/>
      <c r="B414" s="39"/>
      <c r="C414" s="40"/>
      <c r="D414" s="42"/>
      <c r="E414" s="38"/>
      <c r="F414" s="43"/>
      <c r="G414" s="63"/>
      <c r="H414" s="58"/>
      <c r="I414" s="38"/>
      <c r="J414" s="38"/>
      <c r="K414" s="46"/>
      <c r="L414" s="47"/>
      <c r="M414" s="93"/>
      <c r="N414" s="93"/>
      <c r="O414" s="38"/>
      <c r="P414" s="38"/>
      <c r="Q414" s="14"/>
      <c r="R414" s="39"/>
      <c r="S414" s="39"/>
      <c r="T414" s="39"/>
      <c r="U414" s="40"/>
      <c r="V414" s="54"/>
      <c r="W414" s="55"/>
      <c r="X414" s="56"/>
      <c r="Y414" s="38"/>
      <c r="Z414" s="38"/>
      <c r="AA414" s="38"/>
      <c r="AB414" s="38"/>
    </row>
    <row r="415" spans="1:28">
      <c r="A415" s="42"/>
      <c r="B415" s="39"/>
      <c r="C415" s="40"/>
      <c r="D415" s="42"/>
      <c r="E415" s="38"/>
      <c r="F415" s="43"/>
      <c r="G415" s="63"/>
      <c r="H415" s="58"/>
      <c r="I415" s="38"/>
      <c r="J415" s="38"/>
      <c r="K415" s="46"/>
      <c r="L415" s="47"/>
      <c r="M415" s="93"/>
      <c r="N415" s="93"/>
      <c r="O415" s="38"/>
      <c r="P415" s="38"/>
      <c r="Q415" s="14"/>
      <c r="R415" s="39"/>
      <c r="S415" s="39"/>
      <c r="T415" s="39"/>
      <c r="U415" s="40"/>
      <c r="V415" s="54"/>
      <c r="W415" s="55"/>
      <c r="X415" s="56"/>
      <c r="Y415" s="38"/>
      <c r="Z415" s="38"/>
      <c r="AA415" s="38"/>
      <c r="AB415" s="38"/>
    </row>
    <row r="416" spans="1:28">
      <c r="A416" s="42"/>
      <c r="B416" s="39"/>
      <c r="C416" s="40"/>
      <c r="D416" s="42"/>
      <c r="E416" s="38"/>
      <c r="F416" s="43"/>
      <c r="G416" s="63"/>
      <c r="H416" s="58"/>
      <c r="I416" s="38"/>
      <c r="J416" s="38"/>
      <c r="K416" s="46"/>
      <c r="L416" s="47"/>
      <c r="M416" s="93"/>
      <c r="N416" s="93"/>
      <c r="O416" s="38"/>
      <c r="P416" s="38"/>
      <c r="Q416" s="14"/>
      <c r="R416" s="39"/>
      <c r="S416" s="39"/>
      <c r="T416" s="39"/>
      <c r="U416" s="40"/>
      <c r="V416" s="54"/>
      <c r="W416" s="55"/>
      <c r="X416" s="56"/>
      <c r="Y416" s="38"/>
      <c r="Z416" s="38"/>
      <c r="AA416" s="38"/>
      <c r="AB416" s="38"/>
    </row>
    <row r="417" spans="1:28">
      <c r="A417" s="42"/>
      <c r="B417" s="39"/>
      <c r="C417" s="40"/>
      <c r="D417" s="42"/>
      <c r="E417" s="38"/>
      <c r="F417" s="43"/>
      <c r="G417" s="63"/>
      <c r="H417" s="58"/>
      <c r="I417" s="38"/>
      <c r="J417" s="38"/>
      <c r="K417" s="46"/>
      <c r="L417" s="47"/>
      <c r="M417" s="93"/>
      <c r="N417" s="93"/>
      <c r="O417" s="38"/>
      <c r="P417" s="38"/>
      <c r="Q417" s="14"/>
      <c r="R417" s="39"/>
      <c r="S417" s="39"/>
      <c r="T417" s="39"/>
      <c r="U417" s="40"/>
      <c r="V417" s="54"/>
      <c r="W417" s="55"/>
      <c r="X417" s="56"/>
      <c r="Y417" s="38"/>
      <c r="Z417" s="38"/>
      <c r="AA417" s="38"/>
      <c r="AB417" s="38"/>
    </row>
    <row r="418" spans="1:28">
      <c r="A418" s="42"/>
      <c r="B418" s="39"/>
      <c r="C418" s="40"/>
      <c r="D418" s="42"/>
      <c r="E418" s="38"/>
      <c r="F418" s="43"/>
      <c r="G418" s="63"/>
      <c r="H418" s="58"/>
      <c r="I418" s="38"/>
      <c r="J418" s="38"/>
      <c r="K418" s="46"/>
      <c r="L418" s="47"/>
      <c r="M418" s="93"/>
      <c r="N418" s="93"/>
      <c r="O418" s="38"/>
      <c r="P418" s="38"/>
      <c r="Q418" s="14"/>
      <c r="R418" s="39"/>
      <c r="S418" s="39"/>
      <c r="T418" s="39"/>
      <c r="U418" s="40"/>
      <c r="V418" s="54"/>
      <c r="W418" s="55"/>
      <c r="X418" s="56"/>
      <c r="Y418" s="38"/>
      <c r="Z418" s="38"/>
      <c r="AA418" s="38"/>
      <c r="AB418" s="38"/>
    </row>
    <row r="419" spans="1:28">
      <c r="A419" s="42"/>
      <c r="B419" s="39"/>
      <c r="C419" s="40"/>
      <c r="D419" s="42"/>
      <c r="E419" s="38"/>
      <c r="F419" s="43"/>
      <c r="G419" s="63"/>
      <c r="H419" s="58"/>
      <c r="I419" s="38"/>
      <c r="J419" s="38"/>
      <c r="K419" s="46"/>
      <c r="L419" s="47"/>
      <c r="M419" s="93"/>
      <c r="N419" s="93"/>
      <c r="O419" s="38"/>
      <c r="P419" s="38"/>
      <c r="Q419" s="14"/>
      <c r="R419" s="39"/>
      <c r="S419" s="39"/>
      <c r="T419" s="39"/>
      <c r="U419" s="40"/>
      <c r="V419" s="54"/>
      <c r="W419" s="55"/>
      <c r="X419" s="56"/>
      <c r="Y419" s="38"/>
      <c r="Z419" s="38"/>
      <c r="AA419" s="38"/>
      <c r="AB419" s="38"/>
    </row>
    <row r="420" spans="1:28">
      <c r="A420" s="42"/>
      <c r="B420" s="39"/>
      <c r="C420" s="40"/>
      <c r="D420" s="42"/>
      <c r="E420" s="38"/>
      <c r="F420" s="43"/>
      <c r="G420" s="63"/>
      <c r="H420" s="58"/>
      <c r="I420" s="38"/>
      <c r="J420" s="38"/>
      <c r="K420" s="46"/>
      <c r="L420" s="47"/>
      <c r="M420" s="93"/>
      <c r="N420" s="93"/>
      <c r="O420" s="38"/>
      <c r="P420" s="38"/>
      <c r="Q420" s="14"/>
      <c r="R420" s="39"/>
      <c r="S420" s="39"/>
      <c r="T420" s="39"/>
      <c r="U420" s="40"/>
      <c r="V420" s="54"/>
      <c r="W420" s="55"/>
      <c r="X420" s="56"/>
      <c r="Y420" s="38"/>
      <c r="Z420" s="38"/>
      <c r="AA420" s="38"/>
      <c r="AB420" s="38"/>
    </row>
    <row r="421" spans="1:28">
      <c r="A421" s="42"/>
      <c r="B421" s="39"/>
      <c r="C421" s="40"/>
      <c r="D421" s="42"/>
      <c r="E421" s="38"/>
      <c r="F421" s="43"/>
      <c r="G421" s="63"/>
      <c r="H421" s="58"/>
      <c r="I421" s="38"/>
      <c r="J421" s="38"/>
      <c r="K421" s="46"/>
      <c r="L421" s="47"/>
      <c r="M421" s="93"/>
      <c r="N421" s="93"/>
      <c r="O421" s="38"/>
      <c r="P421" s="38"/>
      <c r="Q421" s="14"/>
      <c r="R421" s="39"/>
      <c r="S421" s="39"/>
      <c r="T421" s="39"/>
      <c r="U421" s="40"/>
      <c r="V421" s="54"/>
      <c r="W421" s="55"/>
      <c r="X421" s="56"/>
      <c r="Y421" s="38"/>
      <c r="Z421" s="38"/>
      <c r="AA421" s="38"/>
      <c r="AB421" s="38"/>
    </row>
    <row r="422" spans="1:28">
      <c r="A422" s="42"/>
      <c r="B422" s="39"/>
      <c r="C422" s="40"/>
      <c r="D422" s="42"/>
      <c r="E422" s="38"/>
      <c r="F422" s="43"/>
      <c r="G422" s="63"/>
      <c r="H422" s="58"/>
      <c r="I422" s="38"/>
      <c r="J422" s="38"/>
      <c r="K422" s="46"/>
      <c r="L422" s="47"/>
      <c r="M422" s="93"/>
      <c r="N422" s="93"/>
      <c r="O422" s="38"/>
      <c r="P422" s="38"/>
      <c r="Q422" s="14"/>
      <c r="R422" s="39"/>
      <c r="S422" s="39"/>
      <c r="T422" s="39"/>
      <c r="U422" s="40"/>
      <c r="V422" s="54"/>
      <c r="W422" s="55"/>
      <c r="X422" s="56"/>
      <c r="Y422" s="38"/>
      <c r="Z422" s="38"/>
      <c r="AA422" s="38"/>
      <c r="AB422" s="38"/>
    </row>
    <row r="423" spans="1:28">
      <c r="A423" s="42"/>
      <c r="B423" s="39"/>
      <c r="C423" s="40"/>
      <c r="D423" s="42"/>
      <c r="E423" s="38"/>
      <c r="F423" s="43"/>
      <c r="G423" s="63"/>
      <c r="H423" s="58"/>
      <c r="I423" s="38"/>
      <c r="J423" s="38"/>
      <c r="K423" s="46"/>
      <c r="L423" s="47"/>
      <c r="M423" s="93"/>
      <c r="N423" s="93"/>
      <c r="O423" s="38"/>
      <c r="P423" s="38"/>
      <c r="Q423" s="14"/>
      <c r="R423" s="39"/>
      <c r="S423" s="39"/>
      <c r="T423" s="39"/>
      <c r="U423" s="40"/>
      <c r="V423" s="54"/>
      <c r="W423" s="55"/>
      <c r="X423" s="56"/>
      <c r="Y423" s="38"/>
      <c r="Z423" s="38"/>
      <c r="AA423" s="38"/>
      <c r="AB423" s="38"/>
    </row>
    <row r="424" spans="1:28">
      <c r="A424" s="42"/>
      <c r="B424" s="39"/>
      <c r="C424" s="40"/>
      <c r="D424" s="42"/>
      <c r="E424" s="38"/>
      <c r="F424" s="43"/>
      <c r="G424" s="63"/>
      <c r="H424" s="58"/>
      <c r="I424" s="38"/>
      <c r="J424" s="38"/>
      <c r="K424" s="46"/>
      <c r="L424" s="47"/>
      <c r="M424" s="93"/>
      <c r="N424" s="93"/>
      <c r="O424" s="38"/>
      <c r="P424" s="38"/>
      <c r="Q424" s="14"/>
      <c r="R424" s="39"/>
      <c r="S424" s="39"/>
      <c r="T424" s="39"/>
      <c r="U424" s="40"/>
      <c r="V424" s="54"/>
      <c r="W424" s="55"/>
      <c r="X424" s="56"/>
      <c r="Y424" s="38"/>
      <c r="Z424" s="38"/>
      <c r="AA424" s="38"/>
      <c r="AB424" s="38"/>
    </row>
    <row r="425" spans="1:28">
      <c r="A425" s="42"/>
      <c r="B425" s="39"/>
      <c r="C425" s="40"/>
      <c r="D425" s="42"/>
      <c r="E425" s="38"/>
      <c r="F425" s="43"/>
      <c r="G425" s="63"/>
      <c r="H425" s="58"/>
      <c r="I425" s="38"/>
      <c r="J425" s="38"/>
      <c r="K425" s="46"/>
      <c r="L425" s="47"/>
      <c r="M425" s="93"/>
      <c r="N425" s="93"/>
      <c r="O425" s="38"/>
      <c r="P425" s="38"/>
      <c r="Q425" s="14"/>
      <c r="R425" s="39"/>
      <c r="S425" s="39"/>
      <c r="T425" s="39"/>
      <c r="U425" s="40"/>
      <c r="V425" s="54"/>
      <c r="W425" s="55"/>
      <c r="X425" s="56"/>
      <c r="Y425" s="38"/>
      <c r="Z425" s="38"/>
      <c r="AA425" s="38"/>
      <c r="AB425" s="38"/>
    </row>
    <row r="426" spans="1:28">
      <c r="A426" s="42"/>
      <c r="B426" s="39"/>
      <c r="C426" s="40"/>
      <c r="D426" s="42"/>
      <c r="E426" s="38"/>
      <c r="F426" s="43"/>
      <c r="G426" s="63"/>
      <c r="H426" s="58"/>
      <c r="I426" s="38"/>
      <c r="J426" s="38"/>
      <c r="K426" s="46"/>
      <c r="L426" s="47"/>
      <c r="M426" s="93"/>
      <c r="N426" s="93"/>
      <c r="O426" s="38"/>
      <c r="P426" s="38"/>
      <c r="Q426" s="14"/>
      <c r="R426" s="39"/>
      <c r="S426" s="39"/>
      <c r="T426" s="39"/>
      <c r="U426" s="40"/>
      <c r="V426" s="54"/>
      <c r="W426" s="55"/>
      <c r="X426" s="56"/>
      <c r="Y426" s="38"/>
      <c r="Z426" s="38"/>
      <c r="AA426" s="38"/>
      <c r="AB426" s="38"/>
    </row>
    <row r="427" spans="1:28">
      <c r="A427" s="42"/>
      <c r="B427" s="39"/>
      <c r="C427" s="40"/>
      <c r="D427" s="42"/>
      <c r="E427" s="38"/>
      <c r="F427" s="43"/>
      <c r="G427" s="63"/>
      <c r="H427" s="58"/>
      <c r="I427" s="38"/>
      <c r="J427" s="38"/>
      <c r="K427" s="46"/>
      <c r="L427" s="47"/>
      <c r="M427" s="93"/>
      <c r="N427" s="93"/>
      <c r="O427" s="38"/>
      <c r="P427" s="38"/>
      <c r="Q427" s="14"/>
      <c r="R427" s="39"/>
      <c r="S427" s="39"/>
      <c r="T427" s="39"/>
      <c r="U427" s="40"/>
      <c r="V427" s="54"/>
      <c r="W427" s="55"/>
      <c r="X427" s="56"/>
      <c r="Y427" s="38"/>
      <c r="Z427" s="38"/>
      <c r="AA427" s="38"/>
      <c r="AB427" s="38"/>
    </row>
    <row r="428" spans="1:28">
      <c r="A428" s="42"/>
      <c r="B428" s="39"/>
      <c r="C428" s="40"/>
      <c r="D428" s="42"/>
      <c r="E428" s="38"/>
      <c r="F428" s="43"/>
      <c r="G428" s="63"/>
      <c r="H428" s="58"/>
      <c r="I428" s="38"/>
      <c r="J428" s="38"/>
      <c r="K428" s="46"/>
      <c r="L428" s="47"/>
      <c r="M428" s="93"/>
      <c r="N428" s="93"/>
      <c r="O428" s="38"/>
      <c r="P428" s="38"/>
      <c r="Q428" s="14"/>
      <c r="R428" s="39"/>
      <c r="S428" s="39"/>
      <c r="T428" s="39"/>
      <c r="U428" s="40"/>
      <c r="V428" s="54"/>
      <c r="W428" s="55"/>
      <c r="X428" s="56"/>
      <c r="Y428" s="38"/>
      <c r="Z428" s="38"/>
      <c r="AA428" s="38"/>
      <c r="AB428" s="38"/>
    </row>
    <row r="429" spans="1:28">
      <c r="A429" s="42"/>
      <c r="B429" s="39"/>
      <c r="C429" s="40"/>
      <c r="D429" s="42"/>
      <c r="E429" s="38"/>
      <c r="F429" s="43"/>
      <c r="G429" s="63"/>
      <c r="H429" s="58"/>
      <c r="I429" s="38"/>
      <c r="J429" s="38"/>
      <c r="K429" s="46"/>
      <c r="L429" s="47"/>
      <c r="M429" s="93"/>
      <c r="N429" s="93"/>
      <c r="O429" s="38"/>
      <c r="P429" s="38"/>
      <c r="Q429" s="14"/>
      <c r="R429" s="39"/>
      <c r="S429" s="39"/>
      <c r="T429" s="39"/>
      <c r="U429" s="40"/>
      <c r="V429" s="54"/>
      <c r="W429" s="55"/>
      <c r="X429" s="56"/>
      <c r="Y429" s="38"/>
      <c r="Z429" s="38"/>
      <c r="AA429" s="38"/>
      <c r="AB429" s="38"/>
    </row>
    <row r="430" spans="1:28">
      <c r="A430" s="42"/>
      <c r="B430" s="39"/>
      <c r="C430" s="40"/>
      <c r="D430" s="42"/>
      <c r="E430" s="38"/>
      <c r="F430" s="43"/>
      <c r="G430" s="63"/>
      <c r="H430" s="58"/>
      <c r="I430" s="38"/>
      <c r="J430" s="38"/>
      <c r="K430" s="46"/>
      <c r="L430" s="47"/>
      <c r="M430" s="93"/>
      <c r="N430" s="93"/>
      <c r="O430" s="38"/>
      <c r="P430" s="38"/>
      <c r="Q430" s="14"/>
      <c r="R430" s="39"/>
      <c r="S430" s="39"/>
      <c r="T430" s="39"/>
      <c r="U430" s="40"/>
      <c r="V430" s="54"/>
      <c r="W430" s="55"/>
      <c r="X430" s="56"/>
      <c r="Y430" s="38"/>
      <c r="Z430" s="38"/>
      <c r="AA430" s="38"/>
      <c r="AB430" s="38"/>
    </row>
    <row r="431" spans="1:28">
      <c r="A431" s="42"/>
      <c r="B431" s="39"/>
      <c r="C431" s="40"/>
      <c r="D431" s="42"/>
      <c r="E431" s="38"/>
      <c r="F431" s="43"/>
      <c r="G431" s="63"/>
      <c r="H431" s="58"/>
      <c r="I431" s="38"/>
      <c r="J431" s="38"/>
      <c r="K431" s="46"/>
      <c r="L431" s="47"/>
      <c r="M431" s="93"/>
      <c r="N431" s="93"/>
      <c r="O431" s="38"/>
      <c r="P431" s="38"/>
      <c r="Q431" s="14"/>
      <c r="R431" s="39"/>
      <c r="S431" s="39"/>
      <c r="T431" s="39"/>
      <c r="U431" s="40"/>
      <c r="V431" s="54"/>
      <c r="W431" s="55"/>
      <c r="X431" s="56"/>
      <c r="Y431" s="38"/>
      <c r="Z431" s="38"/>
      <c r="AA431" s="38"/>
      <c r="AB431" s="38"/>
    </row>
    <row r="432" spans="1:28">
      <c r="A432" s="42"/>
      <c r="B432" s="39"/>
      <c r="C432" s="40"/>
      <c r="D432" s="42"/>
      <c r="E432" s="38"/>
      <c r="F432" s="43"/>
      <c r="G432" s="63"/>
      <c r="H432" s="58"/>
      <c r="I432" s="38"/>
      <c r="J432" s="38"/>
      <c r="K432" s="46"/>
      <c r="L432" s="47"/>
      <c r="M432" s="93"/>
      <c r="N432" s="93"/>
      <c r="O432" s="38"/>
      <c r="P432" s="38"/>
      <c r="Q432" s="14"/>
      <c r="R432" s="39"/>
      <c r="S432" s="39"/>
      <c r="T432" s="39"/>
      <c r="U432" s="40"/>
      <c r="V432" s="54"/>
      <c r="W432" s="55"/>
      <c r="X432" s="56"/>
      <c r="Y432" s="38"/>
      <c r="Z432" s="38"/>
      <c r="AA432" s="38"/>
      <c r="AB432" s="38"/>
    </row>
    <row r="433" spans="1:28">
      <c r="A433" s="42"/>
      <c r="B433" s="39"/>
      <c r="C433" s="40"/>
      <c r="D433" s="42"/>
      <c r="E433" s="38"/>
      <c r="F433" s="43"/>
      <c r="G433" s="63"/>
      <c r="H433" s="58"/>
      <c r="I433" s="38"/>
      <c r="J433" s="38"/>
      <c r="K433" s="46"/>
      <c r="L433" s="47"/>
      <c r="M433" s="93"/>
      <c r="N433" s="93"/>
      <c r="O433" s="38"/>
      <c r="P433" s="38"/>
      <c r="Q433" s="14"/>
      <c r="R433" s="39"/>
      <c r="S433" s="39"/>
      <c r="T433" s="39"/>
      <c r="U433" s="40"/>
      <c r="V433" s="54"/>
      <c r="W433" s="55"/>
      <c r="X433" s="56"/>
      <c r="Y433" s="38"/>
      <c r="Z433" s="38"/>
      <c r="AA433" s="38"/>
      <c r="AB433" s="38"/>
    </row>
    <row r="434" spans="1:28">
      <c r="A434" s="42"/>
      <c r="B434" s="39"/>
      <c r="C434" s="40"/>
      <c r="D434" s="42"/>
      <c r="E434" s="38"/>
      <c r="F434" s="43"/>
      <c r="G434" s="63"/>
      <c r="H434" s="58"/>
      <c r="I434" s="38"/>
      <c r="J434" s="38"/>
      <c r="K434" s="46"/>
      <c r="L434" s="47"/>
      <c r="M434" s="93"/>
      <c r="N434" s="93"/>
      <c r="O434" s="38"/>
      <c r="P434" s="38"/>
      <c r="Q434" s="14"/>
      <c r="R434" s="39"/>
      <c r="S434" s="39"/>
      <c r="T434" s="39"/>
      <c r="U434" s="40"/>
      <c r="V434" s="54"/>
      <c r="W434" s="55"/>
      <c r="X434" s="56"/>
      <c r="Y434" s="38"/>
      <c r="Z434" s="38"/>
      <c r="AA434" s="38"/>
      <c r="AB434" s="38"/>
    </row>
    <row r="435" spans="1:28">
      <c r="A435" s="42"/>
      <c r="B435" s="39"/>
      <c r="C435" s="40"/>
      <c r="D435" s="42"/>
      <c r="E435" s="38"/>
      <c r="F435" s="43"/>
      <c r="G435" s="63"/>
      <c r="H435" s="58"/>
      <c r="I435" s="38"/>
      <c r="J435" s="38"/>
      <c r="K435" s="46"/>
      <c r="L435" s="47"/>
      <c r="M435" s="93"/>
      <c r="N435" s="93"/>
      <c r="O435" s="38"/>
      <c r="P435" s="38"/>
      <c r="Q435" s="14"/>
      <c r="R435" s="39"/>
      <c r="S435" s="39"/>
      <c r="T435" s="39"/>
      <c r="U435" s="40"/>
      <c r="V435" s="54"/>
      <c r="W435" s="55"/>
      <c r="X435" s="56"/>
      <c r="Y435" s="38"/>
      <c r="Z435" s="38"/>
      <c r="AA435" s="38"/>
      <c r="AB435" s="38"/>
    </row>
    <row r="436" spans="1:28">
      <c r="A436" s="42"/>
      <c r="B436" s="39"/>
      <c r="C436" s="40"/>
      <c r="D436" s="42"/>
      <c r="E436" s="38"/>
      <c r="F436" s="43"/>
      <c r="G436" s="63"/>
      <c r="H436" s="58"/>
      <c r="I436" s="38"/>
      <c r="J436" s="38"/>
      <c r="K436" s="46"/>
      <c r="L436" s="47"/>
      <c r="M436" s="93"/>
      <c r="N436" s="93"/>
      <c r="O436" s="38"/>
      <c r="P436" s="38"/>
      <c r="Q436" s="14"/>
      <c r="R436" s="39"/>
      <c r="S436" s="39"/>
      <c r="T436" s="39"/>
      <c r="U436" s="40"/>
      <c r="V436" s="54"/>
      <c r="W436" s="55"/>
      <c r="X436" s="56"/>
      <c r="Y436" s="38"/>
      <c r="Z436" s="38"/>
      <c r="AA436" s="38"/>
      <c r="AB436" s="38"/>
    </row>
    <row r="437" spans="1:28">
      <c r="A437" s="42"/>
      <c r="B437" s="39"/>
      <c r="C437" s="40"/>
      <c r="D437" s="42"/>
      <c r="E437" s="38"/>
      <c r="F437" s="43"/>
      <c r="G437" s="63"/>
      <c r="H437" s="58"/>
      <c r="I437" s="38"/>
      <c r="J437" s="38"/>
      <c r="K437" s="46"/>
      <c r="L437" s="47"/>
      <c r="M437" s="93"/>
      <c r="N437" s="93"/>
      <c r="O437" s="38"/>
      <c r="P437" s="38"/>
      <c r="Q437" s="14"/>
      <c r="R437" s="39"/>
      <c r="S437" s="39"/>
      <c r="T437" s="39"/>
      <c r="U437" s="40"/>
      <c r="V437" s="54"/>
      <c r="W437" s="55"/>
      <c r="X437" s="56"/>
      <c r="Y437" s="38"/>
      <c r="Z437" s="38"/>
      <c r="AA437" s="38"/>
      <c r="AB437" s="38"/>
    </row>
    <row r="438" spans="1:28">
      <c r="A438" s="42"/>
      <c r="B438" s="39"/>
      <c r="C438" s="40"/>
      <c r="D438" s="42"/>
      <c r="E438" s="38"/>
      <c r="F438" s="43"/>
      <c r="G438" s="63"/>
      <c r="H438" s="58"/>
      <c r="I438" s="38"/>
      <c r="J438" s="38"/>
      <c r="K438" s="46"/>
      <c r="L438" s="47"/>
      <c r="M438" s="93"/>
      <c r="N438" s="93"/>
      <c r="O438" s="38"/>
      <c r="P438" s="38"/>
      <c r="Q438" s="14"/>
      <c r="R438" s="39"/>
      <c r="S438" s="39"/>
      <c r="T438" s="39"/>
      <c r="U438" s="40"/>
      <c r="V438" s="54"/>
      <c r="W438" s="55"/>
      <c r="X438" s="56"/>
      <c r="Y438" s="38"/>
      <c r="Z438" s="38"/>
      <c r="AA438" s="38"/>
      <c r="AB438" s="38"/>
    </row>
    <row r="439" spans="1:28">
      <c r="A439" s="42"/>
      <c r="B439" s="39"/>
      <c r="C439" s="40"/>
      <c r="D439" s="42"/>
      <c r="E439" s="38"/>
      <c r="F439" s="43"/>
      <c r="G439" s="63"/>
      <c r="H439" s="58"/>
      <c r="I439" s="38"/>
      <c r="J439" s="38"/>
      <c r="K439" s="46"/>
      <c r="L439" s="47"/>
      <c r="M439" s="93"/>
      <c r="N439" s="93"/>
      <c r="O439" s="38"/>
      <c r="P439" s="38"/>
      <c r="Q439" s="14"/>
      <c r="R439" s="39"/>
      <c r="S439" s="39"/>
      <c r="T439" s="39"/>
      <c r="U439" s="40"/>
      <c r="V439" s="54"/>
      <c r="W439" s="55"/>
      <c r="X439" s="56"/>
      <c r="Y439" s="38"/>
      <c r="Z439" s="38"/>
      <c r="AA439" s="38"/>
      <c r="AB439" s="38"/>
    </row>
    <row r="440" spans="1:28">
      <c r="A440" s="42"/>
      <c r="B440" s="39"/>
      <c r="C440" s="40"/>
      <c r="D440" s="42"/>
      <c r="E440" s="38"/>
      <c r="F440" s="43"/>
      <c r="G440" s="63"/>
      <c r="H440" s="58"/>
      <c r="I440" s="38"/>
      <c r="J440" s="38"/>
      <c r="K440" s="46"/>
      <c r="L440" s="47"/>
      <c r="M440" s="93"/>
      <c r="N440" s="93"/>
      <c r="O440" s="38"/>
      <c r="P440" s="38"/>
      <c r="Q440" s="14"/>
      <c r="R440" s="39"/>
      <c r="S440" s="39"/>
      <c r="T440" s="39"/>
      <c r="U440" s="40"/>
      <c r="V440" s="54"/>
      <c r="W440" s="55"/>
      <c r="X440" s="56"/>
      <c r="Y440" s="38"/>
      <c r="Z440" s="38"/>
      <c r="AA440" s="38"/>
      <c r="AB440" s="38"/>
    </row>
    <row r="441" spans="1:28">
      <c r="A441" s="42"/>
      <c r="B441" s="39"/>
      <c r="C441" s="40"/>
      <c r="D441" s="42"/>
      <c r="E441" s="38"/>
      <c r="F441" s="43"/>
      <c r="G441" s="63"/>
      <c r="H441" s="58"/>
      <c r="I441" s="38"/>
      <c r="J441" s="38"/>
      <c r="K441" s="46"/>
      <c r="L441" s="47"/>
      <c r="M441" s="93"/>
      <c r="N441" s="93"/>
      <c r="O441" s="38"/>
      <c r="P441" s="38"/>
      <c r="Q441" s="14"/>
      <c r="R441" s="39"/>
      <c r="S441" s="39"/>
      <c r="T441" s="39"/>
      <c r="U441" s="40"/>
      <c r="V441" s="54"/>
      <c r="W441" s="55"/>
      <c r="X441" s="56"/>
      <c r="Y441" s="38"/>
      <c r="Z441" s="38"/>
      <c r="AA441" s="38"/>
      <c r="AB441" s="38"/>
    </row>
    <row r="442" spans="1:28">
      <c r="A442" s="42"/>
      <c r="B442" s="39"/>
      <c r="C442" s="40"/>
      <c r="D442" s="42"/>
      <c r="E442" s="38"/>
      <c r="F442" s="43"/>
      <c r="G442" s="63"/>
      <c r="H442" s="58"/>
      <c r="I442" s="38"/>
      <c r="J442" s="38"/>
      <c r="K442" s="46"/>
      <c r="L442" s="47"/>
      <c r="M442" s="93"/>
      <c r="N442" s="93"/>
      <c r="O442" s="38"/>
      <c r="P442" s="38"/>
      <c r="Q442" s="14"/>
      <c r="R442" s="39"/>
      <c r="S442" s="39"/>
      <c r="T442" s="39"/>
      <c r="U442" s="40"/>
      <c r="V442" s="54"/>
      <c r="W442" s="55"/>
      <c r="X442" s="56"/>
      <c r="Y442" s="38"/>
      <c r="Z442" s="38"/>
      <c r="AA442" s="38"/>
      <c r="AB442" s="38"/>
    </row>
    <row r="443" spans="1:28">
      <c r="A443" s="42"/>
      <c r="B443" s="39"/>
      <c r="C443" s="40"/>
      <c r="D443" s="42"/>
      <c r="E443" s="38"/>
      <c r="F443" s="43"/>
      <c r="G443" s="63"/>
      <c r="H443" s="58"/>
      <c r="I443" s="38"/>
      <c r="J443" s="38"/>
      <c r="K443" s="46"/>
      <c r="L443" s="47"/>
      <c r="M443" s="93"/>
      <c r="N443" s="93"/>
      <c r="O443" s="38"/>
      <c r="P443" s="38"/>
      <c r="Q443" s="14"/>
      <c r="R443" s="39"/>
      <c r="S443" s="39"/>
      <c r="T443" s="39"/>
      <c r="U443" s="40"/>
      <c r="V443" s="54"/>
      <c r="W443" s="55"/>
      <c r="X443" s="56"/>
      <c r="Y443" s="38"/>
      <c r="Z443" s="38"/>
      <c r="AA443" s="38"/>
      <c r="AB443" s="38"/>
    </row>
    <row r="444" spans="1:28">
      <c r="A444" s="42"/>
      <c r="B444" s="39"/>
      <c r="C444" s="40"/>
      <c r="D444" s="42"/>
      <c r="E444" s="38"/>
      <c r="F444" s="43"/>
      <c r="G444" s="63"/>
      <c r="H444" s="58"/>
      <c r="I444" s="38"/>
      <c r="J444" s="38"/>
      <c r="K444" s="46"/>
      <c r="L444" s="47"/>
      <c r="M444" s="93"/>
      <c r="N444" s="93"/>
      <c r="O444" s="38"/>
      <c r="P444" s="38"/>
      <c r="Q444" s="14"/>
      <c r="R444" s="39"/>
      <c r="S444" s="39"/>
      <c r="T444" s="39"/>
      <c r="U444" s="40"/>
      <c r="V444" s="54"/>
      <c r="W444" s="55"/>
      <c r="X444" s="56"/>
      <c r="Y444" s="38"/>
      <c r="Z444" s="38"/>
      <c r="AA444" s="38"/>
      <c r="AB444" s="38"/>
    </row>
    <row r="445" spans="1:28">
      <c r="A445" s="42"/>
      <c r="B445" s="39"/>
      <c r="C445" s="40"/>
      <c r="D445" s="42"/>
      <c r="E445" s="38"/>
      <c r="F445" s="43"/>
      <c r="G445" s="63"/>
      <c r="H445" s="58"/>
      <c r="I445" s="38"/>
      <c r="J445" s="38"/>
      <c r="K445" s="46"/>
      <c r="L445" s="47"/>
      <c r="M445" s="93"/>
      <c r="N445" s="93"/>
      <c r="O445" s="38"/>
      <c r="P445" s="38"/>
      <c r="Q445" s="14"/>
      <c r="R445" s="39"/>
      <c r="S445" s="39"/>
      <c r="T445" s="39"/>
      <c r="U445" s="40"/>
      <c r="V445" s="54"/>
      <c r="W445" s="55"/>
      <c r="X445" s="56"/>
      <c r="Y445" s="38"/>
      <c r="Z445" s="38"/>
      <c r="AA445" s="38"/>
      <c r="AB445" s="38"/>
    </row>
    <row r="446" spans="1:28">
      <c r="A446" s="42"/>
      <c r="B446" s="39"/>
      <c r="C446" s="40"/>
      <c r="D446" s="42"/>
      <c r="E446" s="38"/>
      <c r="F446" s="43"/>
      <c r="G446" s="63"/>
      <c r="H446" s="58"/>
      <c r="I446" s="38"/>
      <c r="J446" s="38"/>
      <c r="K446" s="46"/>
      <c r="L446" s="47"/>
      <c r="M446" s="93"/>
      <c r="N446" s="93"/>
      <c r="O446" s="38"/>
      <c r="P446" s="38"/>
      <c r="Q446" s="14"/>
      <c r="R446" s="39"/>
      <c r="S446" s="39"/>
      <c r="T446" s="39"/>
      <c r="U446" s="40"/>
      <c r="V446" s="54"/>
      <c r="W446" s="55"/>
      <c r="X446" s="56"/>
      <c r="Y446" s="38"/>
      <c r="Z446" s="38"/>
      <c r="AA446" s="38"/>
      <c r="AB446" s="38"/>
    </row>
    <row r="447" spans="1:28">
      <c r="A447" s="42"/>
      <c r="B447" s="39"/>
      <c r="C447" s="40"/>
      <c r="D447" s="42"/>
      <c r="E447" s="38"/>
      <c r="F447" s="43"/>
      <c r="G447" s="63"/>
      <c r="H447" s="58"/>
      <c r="I447" s="38"/>
      <c r="J447" s="38"/>
      <c r="K447" s="46"/>
      <c r="L447" s="47"/>
      <c r="M447" s="93"/>
      <c r="N447" s="93"/>
      <c r="O447" s="38"/>
      <c r="P447" s="38"/>
      <c r="Q447" s="14"/>
      <c r="R447" s="39"/>
      <c r="S447" s="39"/>
      <c r="T447" s="39"/>
      <c r="U447" s="40"/>
      <c r="V447" s="54"/>
      <c r="W447" s="55"/>
      <c r="X447" s="56"/>
      <c r="Y447" s="38"/>
      <c r="Z447" s="38"/>
      <c r="AA447" s="38"/>
      <c r="AB447" s="38"/>
    </row>
    <row r="448" spans="1:28">
      <c r="A448" s="42"/>
      <c r="B448" s="39"/>
      <c r="C448" s="40"/>
      <c r="D448" s="42"/>
      <c r="E448" s="38"/>
      <c r="F448" s="43"/>
      <c r="G448" s="63"/>
      <c r="H448" s="58"/>
      <c r="I448" s="38"/>
      <c r="J448" s="38"/>
      <c r="K448" s="46"/>
      <c r="L448" s="47"/>
      <c r="M448" s="93"/>
      <c r="N448" s="93"/>
      <c r="O448" s="38"/>
      <c r="P448" s="38"/>
      <c r="Q448" s="14"/>
      <c r="R448" s="39"/>
      <c r="S448" s="39"/>
      <c r="T448" s="39"/>
      <c r="U448" s="40"/>
      <c r="V448" s="54"/>
      <c r="W448" s="55"/>
      <c r="X448" s="56"/>
      <c r="Y448" s="38"/>
      <c r="Z448" s="38"/>
      <c r="AA448" s="38"/>
      <c r="AB448" s="38"/>
    </row>
    <row r="449" spans="1:28">
      <c r="A449" s="42"/>
      <c r="B449" s="39"/>
      <c r="C449" s="40"/>
      <c r="D449" s="42"/>
      <c r="E449" s="38"/>
      <c r="F449" s="43"/>
      <c r="G449" s="63"/>
      <c r="H449" s="58"/>
      <c r="I449" s="38"/>
      <c r="J449" s="38"/>
      <c r="K449" s="46"/>
      <c r="L449" s="47"/>
      <c r="M449" s="93"/>
      <c r="N449" s="93"/>
      <c r="O449" s="38"/>
      <c r="P449" s="38"/>
      <c r="Q449" s="14"/>
      <c r="R449" s="39"/>
      <c r="S449" s="39"/>
      <c r="T449" s="39"/>
      <c r="U449" s="40"/>
      <c r="V449" s="54"/>
      <c r="W449" s="55"/>
      <c r="X449" s="56"/>
      <c r="Y449" s="38"/>
      <c r="Z449" s="38"/>
      <c r="AA449" s="38"/>
      <c r="AB449" s="38"/>
    </row>
    <row r="450" spans="1:28">
      <c r="A450" s="42"/>
      <c r="B450" s="39"/>
      <c r="C450" s="40"/>
      <c r="D450" s="42"/>
      <c r="E450" s="38"/>
      <c r="F450" s="43"/>
      <c r="G450" s="63"/>
      <c r="H450" s="58"/>
      <c r="I450" s="38"/>
      <c r="J450" s="38"/>
      <c r="K450" s="46"/>
      <c r="L450" s="47"/>
      <c r="M450" s="93"/>
      <c r="N450" s="93"/>
      <c r="O450" s="38"/>
      <c r="P450" s="38"/>
      <c r="Q450" s="14"/>
      <c r="R450" s="39"/>
      <c r="S450" s="39"/>
      <c r="T450" s="39"/>
      <c r="U450" s="40"/>
      <c r="V450" s="54"/>
      <c r="W450" s="55"/>
      <c r="X450" s="56"/>
      <c r="Y450" s="38"/>
      <c r="Z450" s="38"/>
      <c r="AA450" s="38"/>
      <c r="AB450" s="38"/>
    </row>
    <row r="451" spans="1:28">
      <c r="A451" s="42"/>
      <c r="B451" s="39"/>
      <c r="C451" s="40"/>
      <c r="D451" s="42"/>
      <c r="E451" s="38"/>
      <c r="F451" s="43"/>
      <c r="G451" s="63"/>
      <c r="H451" s="58"/>
      <c r="I451" s="38"/>
      <c r="J451" s="38"/>
      <c r="K451" s="46"/>
      <c r="L451" s="47"/>
      <c r="M451" s="93"/>
      <c r="N451" s="93"/>
      <c r="O451" s="38"/>
      <c r="P451" s="38"/>
      <c r="Q451" s="14"/>
      <c r="R451" s="39"/>
      <c r="S451" s="39"/>
      <c r="T451" s="39"/>
      <c r="U451" s="40"/>
      <c r="V451" s="54"/>
      <c r="W451" s="55"/>
      <c r="X451" s="56"/>
      <c r="Y451" s="38"/>
      <c r="Z451" s="38"/>
      <c r="AA451" s="38"/>
      <c r="AB451" s="38"/>
    </row>
    <row r="452" spans="1:28">
      <c r="A452" s="42"/>
      <c r="B452" s="39"/>
      <c r="C452" s="40"/>
      <c r="D452" s="42"/>
      <c r="E452" s="38"/>
      <c r="F452" s="43"/>
      <c r="G452" s="63"/>
      <c r="H452" s="58"/>
      <c r="I452" s="38"/>
      <c r="J452" s="38"/>
      <c r="K452" s="46"/>
      <c r="L452" s="47"/>
      <c r="M452" s="93"/>
      <c r="N452" s="93"/>
      <c r="O452" s="38"/>
      <c r="P452" s="38"/>
      <c r="Q452" s="14"/>
      <c r="R452" s="39"/>
      <c r="S452" s="39"/>
      <c r="T452" s="39"/>
      <c r="U452" s="40"/>
      <c r="V452" s="54"/>
      <c r="W452" s="55"/>
      <c r="X452" s="56"/>
      <c r="Y452" s="38"/>
      <c r="Z452" s="38"/>
      <c r="AA452" s="38"/>
      <c r="AB452" s="38"/>
    </row>
    <row r="453" spans="1:28">
      <c r="A453" s="42"/>
      <c r="B453" s="39"/>
      <c r="C453" s="40"/>
      <c r="D453" s="42"/>
      <c r="E453" s="38"/>
      <c r="F453" s="43"/>
      <c r="G453" s="63"/>
      <c r="H453" s="58"/>
      <c r="I453" s="38"/>
      <c r="J453" s="38"/>
      <c r="K453" s="46"/>
      <c r="L453" s="47"/>
      <c r="M453" s="93"/>
      <c r="N453" s="93"/>
      <c r="O453" s="38"/>
      <c r="P453" s="38"/>
      <c r="Q453" s="14"/>
      <c r="R453" s="39"/>
      <c r="S453" s="39"/>
      <c r="T453" s="39"/>
      <c r="U453" s="40"/>
      <c r="V453" s="54"/>
      <c r="W453" s="55"/>
      <c r="X453" s="56"/>
      <c r="Y453" s="38"/>
      <c r="Z453" s="38"/>
      <c r="AA453" s="38"/>
      <c r="AB453" s="38"/>
    </row>
    <row r="454" spans="1:28">
      <c r="A454" s="42"/>
      <c r="B454" s="39"/>
      <c r="C454" s="40"/>
      <c r="D454" s="42"/>
      <c r="E454" s="38"/>
      <c r="F454" s="43"/>
      <c r="G454" s="63"/>
      <c r="H454" s="58"/>
      <c r="I454" s="38"/>
      <c r="J454" s="38"/>
      <c r="K454" s="46"/>
      <c r="L454" s="47"/>
      <c r="M454" s="93"/>
      <c r="N454" s="93"/>
      <c r="O454" s="38"/>
      <c r="P454" s="38"/>
      <c r="Q454" s="14"/>
      <c r="R454" s="39"/>
      <c r="S454" s="39"/>
      <c r="T454" s="39"/>
      <c r="U454" s="40"/>
      <c r="V454" s="54"/>
      <c r="W454" s="55"/>
      <c r="X454" s="56"/>
      <c r="Y454" s="38"/>
      <c r="Z454" s="38"/>
      <c r="AA454" s="38"/>
      <c r="AB454" s="38"/>
    </row>
    <row r="455" spans="1:28">
      <c r="A455" s="42"/>
      <c r="B455" s="39"/>
      <c r="C455" s="40"/>
      <c r="D455" s="42"/>
      <c r="E455" s="38"/>
      <c r="F455" s="43"/>
      <c r="G455" s="63"/>
      <c r="H455" s="58"/>
      <c r="I455" s="38"/>
      <c r="J455" s="38"/>
      <c r="K455" s="46"/>
      <c r="L455" s="47"/>
      <c r="M455" s="93"/>
      <c r="N455" s="93"/>
      <c r="O455" s="38"/>
      <c r="P455" s="38"/>
      <c r="Q455" s="14"/>
      <c r="R455" s="39"/>
      <c r="S455" s="39"/>
      <c r="T455" s="39"/>
      <c r="U455" s="40"/>
      <c r="V455" s="54"/>
      <c r="W455" s="55"/>
      <c r="X455" s="56"/>
      <c r="Y455" s="38"/>
      <c r="Z455" s="38"/>
      <c r="AA455" s="38"/>
      <c r="AB455" s="38"/>
    </row>
    <row r="456" spans="1:28">
      <c r="A456" s="42"/>
      <c r="B456" s="39"/>
      <c r="C456" s="40"/>
      <c r="D456" s="42"/>
      <c r="E456" s="38"/>
      <c r="F456" s="43"/>
      <c r="G456" s="63"/>
      <c r="H456" s="58"/>
      <c r="I456" s="38"/>
      <c r="J456" s="38"/>
      <c r="K456" s="46"/>
      <c r="L456" s="47"/>
      <c r="M456" s="93"/>
      <c r="N456" s="93"/>
      <c r="O456" s="38"/>
      <c r="P456" s="38"/>
      <c r="Q456" s="14"/>
      <c r="R456" s="39"/>
      <c r="S456" s="39"/>
      <c r="T456" s="39"/>
      <c r="U456" s="40"/>
      <c r="V456" s="54"/>
      <c r="W456" s="55"/>
      <c r="X456" s="56"/>
      <c r="Y456" s="38"/>
      <c r="Z456" s="38"/>
      <c r="AA456" s="38"/>
      <c r="AB456" s="38"/>
    </row>
    <row r="457" spans="1:28">
      <c r="A457" s="42"/>
      <c r="B457" s="39"/>
      <c r="C457" s="40"/>
      <c r="D457" s="42"/>
      <c r="E457" s="38"/>
      <c r="F457" s="43"/>
      <c r="G457" s="63"/>
      <c r="H457" s="58"/>
      <c r="I457" s="38"/>
      <c r="J457" s="38"/>
      <c r="K457" s="46"/>
      <c r="L457" s="47"/>
      <c r="M457" s="93"/>
      <c r="N457" s="93"/>
      <c r="O457" s="38"/>
      <c r="P457" s="38"/>
      <c r="Q457" s="14"/>
      <c r="R457" s="39"/>
      <c r="S457" s="39"/>
      <c r="T457" s="39"/>
      <c r="U457" s="40"/>
      <c r="V457" s="54"/>
      <c r="W457" s="55"/>
      <c r="X457" s="56"/>
      <c r="Y457" s="38"/>
      <c r="Z457" s="38"/>
      <c r="AA457" s="38"/>
      <c r="AB457" s="38"/>
    </row>
    <row r="458" spans="1:28">
      <c r="A458" s="42"/>
      <c r="B458" s="39"/>
      <c r="C458" s="40"/>
      <c r="D458" s="42"/>
      <c r="E458" s="38"/>
      <c r="F458" s="43"/>
      <c r="G458" s="63"/>
      <c r="H458" s="58"/>
      <c r="I458" s="38"/>
      <c r="J458" s="38"/>
      <c r="K458" s="46"/>
      <c r="L458" s="47"/>
      <c r="M458" s="93"/>
      <c r="N458" s="93"/>
      <c r="O458" s="38"/>
      <c r="P458" s="38"/>
      <c r="Q458" s="14"/>
      <c r="R458" s="39"/>
      <c r="S458" s="39"/>
      <c r="T458" s="39"/>
      <c r="U458" s="40"/>
      <c r="V458" s="54"/>
      <c r="W458" s="55"/>
      <c r="X458" s="56"/>
      <c r="Y458" s="38"/>
      <c r="Z458" s="38"/>
      <c r="AA458" s="38"/>
      <c r="AB458" s="38"/>
    </row>
    <row r="459" spans="1:28">
      <c r="A459" s="42"/>
      <c r="B459" s="39"/>
      <c r="C459" s="40"/>
      <c r="D459" s="42"/>
      <c r="E459" s="38"/>
      <c r="F459" s="43"/>
      <c r="G459" s="63"/>
      <c r="H459" s="58"/>
      <c r="I459" s="38"/>
      <c r="J459" s="38"/>
      <c r="K459" s="46"/>
      <c r="L459" s="47"/>
      <c r="M459" s="93"/>
      <c r="N459" s="93"/>
      <c r="O459" s="38"/>
      <c r="P459" s="38"/>
      <c r="Q459" s="14"/>
      <c r="R459" s="39"/>
      <c r="S459" s="39"/>
      <c r="T459" s="39"/>
      <c r="U459" s="40"/>
      <c r="V459" s="54"/>
      <c r="W459" s="55"/>
      <c r="X459" s="56"/>
      <c r="Y459" s="38"/>
      <c r="Z459" s="38"/>
      <c r="AA459" s="38"/>
      <c r="AB459" s="38"/>
    </row>
    <row r="460" spans="1:28">
      <c r="A460" s="42"/>
      <c r="B460" s="39"/>
      <c r="C460" s="40"/>
      <c r="D460" s="42"/>
      <c r="E460" s="38"/>
      <c r="F460" s="43"/>
      <c r="G460" s="63"/>
      <c r="H460" s="58"/>
      <c r="I460" s="38"/>
      <c r="J460" s="38"/>
      <c r="K460" s="46"/>
      <c r="L460" s="47"/>
      <c r="M460" s="93"/>
      <c r="N460" s="93"/>
      <c r="O460" s="38"/>
      <c r="P460" s="38"/>
      <c r="Q460" s="14"/>
      <c r="R460" s="39"/>
      <c r="S460" s="39"/>
      <c r="T460" s="39"/>
      <c r="U460" s="40"/>
      <c r="V460" s="54"/>
      <c r="W460" s="55"/>
      <c r="X460" s="56"/>
      <c r="Y460" s="38"/>
      <c r="Z460" s="38"/>
      <c r="AA460" s="38"/>
      <c r="AB460" s="38"/>
    </row>
    <row r="461" spans="1:28">
      <c r="A461" s="42"/>
      <c r="B461" s="39"/>
      <c r="C461" s="40"/>
      <c r="D461" s="42"/>
      <c r="E461" s="38"/>
      <c r="F461" s="43"/>
      <c r="G461" s="63"/>
      <c r="H461" s="58"/>
      <c r="I461" s="38"/>
      <c r="J461" s="38"/>
      <c r="K461" s="46"/>
      <c r="L461" s="47"/>
      <c r="M461" s="93"/>
      <c r="N461" s="93"/>
      <c r="O461" s="38"/>
      <c r="P461" s="38"/>
      <c r="Q461" s="14"/>
      <c r="R461" s="39"/>
      <c r="S461" s="39"/>
      <c r="T461" s="39"/>
      <c r="U461" s="40"/>
      <c r="V461" s="54"/>
      <c r="W461" s="55"/>
      <c r="X461" s="56"/>
      <c r="Y461" s="38"/>
      <c r="Z461" s="38"/>
      <c r="AA461" s="38"/>
      <c r="AB461" s="38"/>
    </row>
    <row r="462" spans="1:28">
      <c r="A462" s="42"/>
      <c r="B462" s="39"/>
      <c r="C462" s="40"/>
      <c r="D462" s="42"/>
      <c r="E462" s="38"/>
      <c r="F462" s="43"/>
      <c r="G462" s="63"/>
      <c r="H462" s="58"/>
      <c r="I462" s="38"/>
      <c r="J462" s="38"/>
      <c r="K462" s="46"/>
      <c r="L462" s="47"/>
      <c r="M462" s="93"/>
      <c r="N462" s="93"/>
      <c r="O462" s="38"/>
      <c r="P462" s="38"/>
      <c r="Q462" s="14"/>
      <c r="R462" s="39"/>
      <c r="S462" s="39"/>
      <c r="T462" s="39"/>
      <c r="U462" s="40"/>
      <c r="V462" s="54"/>
      <c r="W462" s="55"/>
      <c r="X462" s="56"/>
      <c r="Y462" s="38"/>
      <c r="Z462" s="38"/>
      <c r="AA462" s="38"/>
      <c r="AB462" s="38"/>
    </row>
    <row r="463" spans="1:28">
      <c r="A463" s="42"/>
      <c r="B463" s="39"/>
      <c r="C463" s="40"/>
      <c r="D463" s="42"/>
      <c r="E463" s="38"/>
      <c r="F463" s="43"/>
      <c r="G463" s="63"/>
      <c r="H463" s="58"/>
      <c r="I463" s="38"/>
      <c r="J463" s="38"/>
      <c r="K463" s="46"/>
      <c r="L463" s="47"/>
      <c r="M463" s="93"/>
      <c r="N463" s="93"/>
      <c r="O463" s="38"/>
      <c r="P463" s="38"/>
      <c r="Q463" s="14"/>
      <c r="R463" s="39"/>
      <c r="S463" s="39"/>
      <c r="T463" s="39"/>
      <c r="U463" s="40"/>
      <c r="V463" s="54"/>
      <c r="W463" s="55"/>
      <c r="X463" s="56"/>
      <c r="Y463" s="38"/>
      <c r="Z463" s="38"/>
      <c r="AA463" s="38"/>
      <c r="AB463" s="38"/>
    </row>
    <row r="464" spans="1:28">
      <c r="A464" s="42"/>
      <c r="B464" s="39"/>
      <c r="C464" s="40"/>
      <c r="D464" s="42"/>
      <c r="E464" s="38"/>
      <c r="F464" s="43"/>
      <c r="G464" s="63"/>
      <c r="H464" s="58"/>
      <c r="I464" s="38"/>
      <c r="J464" s="38"/>
      <c r="K464" s="46"/>
      <c r="L464" s="47"/>
      <c r="M464" s="93"/>
      <c r="N464" s="93"/>
      <c r="O464" s="38"/>
      <c r="P464" s="38"/>
      <c r="Q464" s="14"/>
      <c r="R464" s="39"/>
      <c r="S464" s="39"/>
      <c r="T464" s="39"/>
      <c r="U464" s="40"/>
      <c r="V464" s="54"/>
      <c r="W464" s="55"/>
      <c r="X464" s="56"/>
      <c r="Y464" s="38"/>
      <c r="Z464" s="38"/>
      <c r="AA464" s="38"/>
      <c r="AB464" s="38"/>
    </row>
    <row r="465" spans="1:28">
      <c r="A465" s="42"/>
      <c r="B465" s="39"/>
      <c r="C465" s="40"/>
      <c r="D465" s="42"/>
      <c r="E465" s="38"/>
      <c r="F465" s="43"/>
      <c r="G465" s="63"/>
      <c r="H465" s="58"/>
      <c r="I465" s="38"/>
      <c r="J465" s="38"/>
      <c r="K465" s="46"/>
      <c r="L465" s="47"/>
      <c r="M465" s="93"/>
      <c r="N465" s="93"/>
      <c r="O465" s="38"/>
      <c r="P465" s="38"/>
      <c r="Q465" s="14"/>
      <c r="R465" s="39"/>
      <c r="S465" s="39"/>
      <c r="T465" s="39"/>
      <c r="U465" s="40"/>
      <c r="V465" s="54"/>
      <c r="W465" s="55"/>
      <c r="X465" s="56"/>
      <c r="Y465" s="38"/>
      <c r="Z465" s="38"/>
      <c r="AA465" s="38"/>
      <c r="AB465" s="38"/>
    </row>
    <row r="466" spans="1:28">
      <c r="A466" s="42"/>
      <c r="B466" s="39"/>
      <c r="C466" s="40"/>
      <c r="D466" s="42"/>
      <c r="E466" s="38"/>
      <c r="F466" s="43"/>
      <c r="G466" s="63"/>
      <c r="H466" s="58"/>
      <c r="I466" s="38"/>
      <c r="J466" s="38"/>
      <c r="K466" s="46"/>
      <c r="L466" s="47"/>
      <c r="M466" s="93"/>
      <c r="N466" s="93"/>
      <c r="O466" s="38"/>
      <c r="P466" s="38"/>
      <c r="Q466" s="14"/>
      <c r="R466" s="39"/>
      <c r="S466" s="39"/>
      <c r="T466" s="39"/>
      <c r="U466" s="40"/>
      <c r="V466" s="54"/>
      <c r="W466" s="55"/>
      <c r="X466" s="56"/>
      <c r="Y466" s="38"/>
      <c r="Z466" s="38"/>
      <c r="AA466" s="38"/>
      <c r="AB466" s="38"/>
    </row>
    <row r="467" spans="1:28">
      <c r="A467" s="42"/>
      <c r="B467" s="39"/>
      <c r="C467" s="40"/>
      <c r="D467" s="42"/>
      <c r="E467" s="38"/>
      <c r="F467" s="43"/>
      <c r="G467" s="63"/>
      <c r="H467" s="58"/>
      <c r="I467" s="38"/>
      <c r="J467" s="38"/>
      <c r="K467" s="46"/>
      <c r="L467" s="47"/>
      <c r="M467" s="93"/>
      <c r="N467" s="93"/>
      <c r="O467" s="38"/>
      <c r="P467" s="38"/>
      <c r="Q467" s="14"/>
      <c r="R467" s="39"/>
      <c r="S467" s="39"/>
      <c r="T467" s="39"/>
      <c r="U467" s="40"/>
      <c r="V467" s="54"/>
      <c r="W467" s="55"/>
      <c r="X467" s="56"/>
      <c r="Y467" s="38"/>
      <c r="Z467" s="38"/>
      <c r="AA467" s="38"/>
      <c r="AB467" s="38"/>
    </row>
    <row r="468" spans="1:28">
      <c r="A468" s="42"/>
      <c r="B468" s="39"/>
      <c r="C468" s="40"/>
      <c r="D468" s="42"/>
      <c r="E468" s="38"/>
      <c r="F468" s="43"/>
      <c r="G468" s="63"/>
      <c r="H468" s="58"/>
      <c r="I468" s="38"/>
      <c r="J468" s="38"/>
      <c r="K468" s="46"/>
      <c r="L468" s="47"/>
      <c r="M468" s="93"/>
      <c r="N468" s="93"/>
      <c r="O468" s="38"/>
      <c r="P468" s="38"/>
      <c r="Q468" s="14"/>
      <c r="R468" s="39"/>
      <c r="S468" s="39"/>
      <c r="T468" s="39"/>
      <c r="U468" s="40"/>
      <c r="V468" s="54"/>
      <c r="W468" s="55"/>
      <c r="X468" s="56"/>
      <c r="Y468" s="38"/>
      <c r="Z468" s="38"/>
      <c r="AA468" s="38"/>
      <c r="AB468" s="38"/>
    </row>
    <row r="469" spans="1:28">
      <c r="A469" s="42"/>
      <c r="B469" s="39"/>
      <c r="C469" s="40"/>
      <c r="D469" s="42"/>
      <c r="E469" s="38"/>
      <c r="F469" s="43"/>
      <c r="G469" s="63"/>
      <c r="H469" s="58"/>
      <c r="I469" s="38"/>
      <c r="J469" s="38"/>
      <c r="K469" s="46"/>
      <c r="L469" s="47"/>
      <c r="M469" s="93"/>
      <c r="N469" s="93"/>
      <c r="O469" s="38"/>
      <c r="P469" s="38"/>
      <c r="Q469" s="14"/>
      <c r="R469" s="39"/>
      <c r="S469" s="39"/>
      <c r="T469" s="39"/>
      <c r="U469" s="40"/>
      <c r="V469" s="54"/>
      <c r="W469" s="55"/>
      <c r="X469" s="56"/>
      <c r="Y469" s="38"/>
      <c r="Z469" s="38"/>
      <c r="AA469" s="38"/>
      <c r="AB469" s="38"/>
    </row>
    <row r="470" spans="1:28">
      <c r="A470" s="42"/>
      <c r="B470" s="39"/>
      <c r="C470" s="40"/>
      <c r="D470" s="42"/>
      <c r="E470" s="38"/>
      <c r="F470" s="43"/>
      <c r="G470" s="63"/>
      <c r="H470" s="58"/>
      <c r="I470" s="38"/>
      <c r="J470" s="38"/>
      <c r="K470" s="46"/>
      <c r="L470" s="47"/>
      <c r="M470" s="93"/>
      <c r="N470" s="93"/>
      <c r="O470" s="38"/>
      <c r="P470" s="38"/>
      <c r="Q470" s="14"/>
      <c r="R470" s="39"/>
      <c r="S470" s="39"/>
      <c r="T470" s="39"/>
      <c r="U470" s="40"/>
      <c r="V470" s="54"/>
      <c r="W470" s="55"/>
      <c r="X470" s="56"/>
      <c r="Y470" s="38"/>
      <c r="Z470" s="38"/>
      <c r="AA470" s="38"/>
      <c r="AB470" s="38"/>
    </row>
    <row r="471" spans="1:28">
      <c r="A471" s="42"/>
      <c r="B471" s="39"/>
      <c r="C471" s="40"/>
      <c r="D471" s="42"/>
      <c r="E471" s="38"/>
      <c r="F471" s="43"/>
      <c r="G471" s="63"/>
      <c r="H471" s="58"/>
      <c r="I471" s="38"/>
      <c r="J471" s="38"/>
      <c r="K471" s="46"/>
      <c r="L471" s="47"/>
      <c r="M471" s="93"/>
      <c r="N471" s="93"/>
      <c r="O471" s="38"/>
      <c r="P471" s="38"/>
      <c r="Q471" s="14"/>
      <c r="R471" s="39"/>
      <c r="S471" s="39"/>
      <c r="T471" s="39"/>
      <c r="U471" s="40"/>
      <c r="V471" s="54"/>
      <c r="W471" s="55"/>
      <c r="X471" s="56"/>
      <c r="Y471" s="38"/>
      <c r="Z471" s="38"/>
      <c r="AA471" s="38"/>
      <c r="AB471" s="38"/>
    </row>
    <row r="472" spans="1:28">
      <c r="A472" s="42"/>
      <c r="B472" s="39"/>
      <c r="C472" s="40"/>
      <c r="D472" s="42"/>
      <c r="E472" s="38"/>
      <c r="F472" s="43"/>
      <c r="G472" s="63"/>
      <c r="H472" s="58"/>
      <c r="I472" s="38"/>
      <c r="J472" s="38"/>
      <c r="K472" s="46"/>
      <c r="L472" s="47"/>
      <c r="M472" s="93"/>
      <c r="N472" s="93"/>
      <c r="O472" s="38"/>
      <c r="P472" s="38"/>
      <c r="Q472" s="14"/>
      <c r="R472" s="39"/>
      <c r="S472" s="39"/>
      <c r="T472" s="39"/>
      <c r="U472" s="40"/>
      <c r="V472" s="54"/>
      <c r="W472" s="55"/>
      <c r="X472" s="56"/>
      <c r="Y472" s="38"/>
      <c r="Z472" s="38"/>
      <c r="AA472" s="38"/>
      <c r="AB472" s="38"/>
    </row>
    <row r="473" spans="1:28">
      <c r="A473" s="42"/>
      <c r="B473" s="39"/>
      <c r="C473" s="40"/>
      <c r="D473" s="42"/>
      <c r="E473" s="38"/>
      <c r="F473" s="43"/>
      <c r="G473" s="63"/>
      <c r="H473" s="58"/>
      <c r="I473" s="38"/>
      <c r="J473" s="38"/>
      <c r="K473" s="46"/>
      <c r="L473" s="47"/>
      <c r="M473" s="93"/>
      <c r="N473" s="93"/>
      <c r="O473" s="38"/>
      <c r="P473" s="38"/>
      <c r="Q473" s="14"/>
      <c r="R473" s="39"/>
      <c r="S473" s="39"/>
      <c r="T473" s="39"/>
      <c r="U473" s="40"/>
      <c r="V473" s="54"/>
      <c r="W473" s="55"/>
      <c r="X473" s="56"/>
      <c r="Y473" s="38"/>
      <c r="Z473" s="38"/>
      <c r="AA473" s="38"/>
      <c r="AB473" s="38"/>
    </row>
    <row r="474" spans="1:28">
      <c r="A474" s="42"/>
      <c r="B474" s="39"/>
      <c r="C474" s="40"/>
      <c r="D474" s="42"/>
      <c r="E474" s="38"/>
      <c r="F474" s="43"/>
      <c r="G474" s="63"/>
      <c r="H474" s="58"/>
      <c r="I474" s="38"/>
      <c r="J474" s="38"/>
      <c r="K474" s="46"/>
      <c r="L474" s="47"/>
      <c r="M474" s="93"/>
      <c r="N474" s="93"/>
      <c r="O474" s="38"/>
      <c r="P474" s="38"/>
      <c r="Q474" s="14"/>
      <c r="R474" s="39"/>
      <c r="S474" s="39"/>
      <c r="T474" s="39"/>
      <c r="U474" s="40"/>
      <c r="V474" s="54"/>
      <c r="W474" s="55"/>
      <c r="X474" s="56"/>
      <c r="Y474" s="38"/>
      <c r="Z474" s="38"/>
      <c r="AA474" s="38"/>
      <c r="AB474" s="38"/>
    </row>
    <row r="475" spans="1:28">
      <c r="A475" s="42"/>
      <c r="B475" s="39"/>
      <c r="C475" s="40"/>
      <c r="D475" s="42"/>
      <c r="E475" s="38"/>
      <c r="F475" s="43"/>
      <c r="G475" s="63"/>
      <c r="H475" s="58"/>
      <c r="I475" s="38"/>
      <c r="J475" s="38"/>
      <c r="K475" s="46"/>
      <c r="L475" s="47"/>
      <c r="M475" s="93"/>
      <c r="N475" s="93"/>
      <c r="O475" s="38"/>
      <c r="P475" s="38"/>
      <c r="Q475" s="14"/>
      <c r="R475" s="39"/>
      <c r="S475" s="39"/>
      <c r="T475" s="39"/>
      <c r="U475" s="40"/>
      <c r="V475" s="54"/>
      <c r="W475" s="55"/>
      <c r="X475" s="56"/>
      <c r="Y475" s="38"/>
      <c r="Z475" s="38"/>
      <c r="AA475" s="38"/>
      <c r="AB475" s="38"/>
    </row>
    <row r="476" spans="1:28">
      <c r="A476" s="42"/>
      <c r="B476" s="39"/>
      <c r="C476" s="40"/>
      <c r="D476" s="42"/>
      <c r="E476" s="38"/>
      <c r="F476" s="43"/>
      <c r="G476" s="63"/>
      <c r="H476" s="58"/>
      <c r="I476" s="38"/>
      <c r="J476" s="38"/>
      <c r="K476" s="46"/>
      <c r="L476" s="47"/>
      <c r="M476" s="93"/>
      <c r="N476" s="93"/>
      <c r="O476" s="38"/>
      <c r="P476" s="38"/>
      <c r="Q476" s="14"/>
      <c r="R476" s="39"/>
      <c r="S476" s="39"/>
      <c r="T476" s="39"/>
      <c r="U476" s="40"/>
      <c r="V476" s="54"/>
      <c r="W476" s="55"/>
      <c r="X476" s="56"/>
      <c r="Y476" s="38"/>
      <c r="Z476" s="38"/>
      <c r="AA476" s="38"/>
      <c r="AB476" s="38"/>
    </row>
    <row r="477" spans="1:28">
      <c r="A477" s="42"/>
      <c r="B477" s="39"/>
      <c r="C477" s="40"/>
      <c r="D477" s="42"/>
      <c r="E477" s="38"/>
      <c r="F477" s="43"/>
      <c r="G477" s="63"/>
      <c r="H477" s="58"/>
      <c r="I477" s="38"/>
      <c r="J477" s="38"/>
      <c r="K477" s="46"/>
      <c r="L477" s="47"/>
      <c r="M477" s="93"/>
      <c r="N477" s="93"/>
      <c r="O477" s="38"/>
      <c r="P477" s="38"/>
      <c r="Q477" s="14"/>
      <c r="R477" s="39"/>
      <c r="S477" s="39"/>
      <c r="T477" s="39"/>
      <c r="U477" s="40"/>
      <c r="V477" s="54"/>
      <c r="W477" s="55"/>
      <c r="X477" s="56"/>
      <c r="Y477" s="38"/>
      <c r="Z477" s="38"/>
      <c r="AA477" s="38"/>
      <c r="AB477" s="38"/>
    </row>
    <row r="478" spans="1:28">
      <c r="A478" s="42"/>
      <c r="B478" s="39"/>
      <c r="C478" s="40"/>
      <c r="D478" s="42"/>
      <c r="E478" s="38"/>
      <c r="F478" s="43"/>
      <c r="G478" s="63"/>
      <c r="H478" s="58"/>
      <c r="I478" s="38"/>
      <c r="J478" s="38"/>
      <c r="K478" s="46"/>
      <c r="L478" s="47"/>
      <c r="M478" s="93"/>
      <c r="N478" s="93"/>
      <c r="O478" s="38"/>
      <c r="P478" s="38"/>
      <c r="Q478" s="14"/>
      <c r="R478" s="39"/>
      <c r="S478" s="39"/>
      <c r="T478" s="39"/>
      <c r="U478" s="40"/>
      <c r="V478" s="54"/>
      <c r="W478" s="55"/>
      <c r="X478" s="56"/>
      <c r="Y478" s="38"/>
      <c r="Z478" s="38"/>
      <c r="AA478" s="38"/>
      <c r="AB478" s="38"/>
    </row>
    <row r="479" spans="1:28">
      <c r="A479" s="42"/>
      <c r="B479" s="39"/>
      <c r="C479" s="40"/>
      <c r="D479" s="42"/>
      <c r="E479" s="38"/>
      <c r="F479" s="43"/>
      <c r="G479" s="63"/>
      <c r="H479" s="58"/>
      <c r="I479" s="38"/>
      <c r="J479" s="38"/>
      <c r="K479" s="46"/>
      <c r="L479" s="47"/>
      <c r="M479" s="93"/>
      <c r="N479" s="93"/>
      <c r="O479" s="38"/>
      <c r="P479" s="38"/>
      <c r="Q479" s="14"/>
      <c r="R479" s="39"/>
      <c r="S479" s="39"/>
      <c r="T479" s="39"/>
      <c r="U479" s="40"/>
      <c r="V479" s="54"/>
      <c r="W479" s="55"/>
      <c r="X479" s="56"/>
      <c r="Y479" s="38"/>
      <c r="Z479" s="38"/>
      <c r="AA479" s="38"/>
      <c r="AB479" s="38"/>
    </row>
    <row r="480" spans="1:28">
      <c r="A480" s="42"/>
      <c r="B480" s="39"/>
      <c r="C480" s="40"/>
      <c r="D480" s="42"/>
      <c r="E480" s="38"/>
      <c r="F480" s="43"/>
      <c r="G480" s="63"/>
      <c r="H480" s="58"/>
      <c r="I480" s="38"/>
      <c r="J480" s="38"/>
      <c r="K480" s="46"/>
      <c r="L480" s="47"/>
      <c r="M480" s="93"/>
      <c r="N480" s="93"/>
      <c r="O480" s="38"/>
      <c r="P480" s="38"/>
      <c r="Q480" s="14"/>
      <c r="R480" s="39"/>
      <c r="S480" s="39"/>
      <c r="T480" s="39"/>
      <c r="U480" s="40"/>
      <c r="V480" s="54"/>
      <c r="W480" s="55"/>
      <c r="X480" s="56"/>
      <c r="Y480" s="38"/>
      <c r="Z480" s="38"/>
      <c r="AA480" s="38"/>
      <c r="AB480" s="38"/>
    </row>
    <row r="481" spans="1:28">
      <c r="A481" s="42"/>
      <c r="B481" s="39"/>
      <c r="C481" s="40"/>
      <c r="D481" s="42"/>
      <c r="E481" s="38"/>
      <c r="F481" s="43"/>
      <c r="G481" s="63"/>
      <c r="H481" s="58"/>
      <c r="I481" s="38"/>
      <c r="J481" s="38"/>
      <c r="K481" s="46"/>
      <c r="L481" s="47"/>
      <c r="M481" s="93"/>
      <c r="N481" s="93"/>
      <c r="O481" s="38"/>
      <c r="P481" s="38"/>
      <c r="Q481" s="14"/>
      <c r="R481" s="39"/>
      <c r="S481" s="39"/>
      <c r="T481" s="39"/>
      <c r="U481" s="40"/>
      <c r="V481" s="54"/>
      <c r="W481" s="55"/>
      <c r="X481" s="56"/>
      <c r="Y481" s="38"/>
      <c r="Z481" s="38"/>
      <c r="AA481" s="38"/>
      <c r="AB481" s="38"/>
    </row>
    <row r="482" spans="1:28">
      <c r="A482" s="42"/>
      <c r="B482" s="39"/>
      <c r="C482" s="40"/>
      <c r="D482" s="42"/>
      <c r="E482" s="38"/>
      <c r="F482" s="43"/>
      <c r="G482" s="63"/>
      <c r="H482" s="58"/>
      <c r="I482" s="38"/>
      <c r="J482" s="38"/>
      <c r="K482" s="46"/>
      <c r="L482" s="47"/>
      <c r="M482" s="93"/>
      <c r="N482" s="93"/>
      <c r="O482" s="38"/>
      <c r="P482" s="38"/>
      <c r="Q482" s="14"/>
      <c r="R482" s="39"/>
      <c r="S482" s="39"/>
      <c r="T482" s="39"/>
      <c r="U482" s="40"/>
      <c r="V482" s="54"/>
      <c r="W482" s="55"/>
      <c r="X482" s="56"/>
      <c r="Y482" s="38"/>
      <c r="Z482" s="38"/>
      <c r="AA482" s="38"/>
      <c r="AB482" s="38"/>
    </row>
    <row r="483" spans="1:28">
      <c r="A483" s="42"/>
      <c r="B483" s="39"/>
      <c r="C483" s="40"/>
      <c r="D483" s="42"/>
      <c r="E483" s="38"/>
      <c r="F483" s="43"/>
      <c r="G483" s="63"/>
      <c r="H483" s="58"/>
      <c r="I483" s="38"/>
      <c r="J483" s="38"/>
      <c r="K483" s="46"/>
      <c r="L483" s="47"/>
      <c r="M483" s="93"/>
      <c r="N483" s="93"/>
      <c r="O483" s="38"/>
      <c r="P483" s="38"/>
      <c r="Q483" s="14"/>
      <c r="R483" s="39"/>
      <c r="S483" s="39"/>
      <c r="T483" s="39"/>
      <c r="U483" s="40"/>
      <c r="V483" s="54"/>
      <c r="W483" s="55"/>
      <c r="X483" s="56"/>
      <c r="Y483" s="38"/>
      <c r="Z483" s="38"/>
      <c r="AA483" s="38"/>
      <c r="AB483" s="38"/>
    </row>
    <row r="484" spans="1:28">
      <c r="A484" s="42"/>
      <c r="B484" s="39"/>
      <c r="C484" s="40"/>
      <c r="D484" s="42"/>
      <c r="E484" s="38"/>
      <c r="F484" s="43"/>
      <c r="G484" s="63"/>
      <c r="H484" s="58"/>
      <c r="I484" s="38"/>
      <c r="J484" s="38"/>
      <c r="K484" s="46"/>
      <c r="L484" s="47"/>
      <c r="M484" s="93"/>
      <c r="N484" s="93"/>
      <c r="O484" s="38"/>
      <c r="P484" s="38"/>
      <c r="Q484" s="14"/>
      <c r="R484" s="39"/>
      <c r="S484" s="39"/>
      <c r="T484" s="39"/>
      <c r="U484" s="40"/>
      <c r="V484" s="54"/>
      <c r="W484" s="55"/>
      <c r="X484" s="56"/>
      <c r="Y484" s="38"/>
      <c r="Z484" s="38"/>
      <c r="AA484" s="38"/>
      <c r="AB484" s="38"/>
    </row>
    <row r="485" spans="1:28">
      <c r="A485" s="42"/>
      <c r="B485" s="39"/>
      <c r="C485" s="40"/>
      <c r="D485" s="42"/>
      <c r="E485" s="38"/>
      <c r="F485" s="43"/>
      <c r="G485" s="63"/>
      <c r="H485" s="58"/>
      <c r="I485" s="38"/>
      <c r="J485" s="38"/>
      <c r="K485" s="46"/>
      <c r="L485" s="47"/>
      <c r="M485" s="93"/>
      <c r="N485" s="93"/>
      <c r="O485" s="38"/>
      <c r="P485" s="38"/>
      <c r="Q485" s="14"/>
      <c r="R485" s="39"/>
      <c r="S485" s="39"/>
      <c r="T485" s="39"/>
      <c r="U485" s="40"/>
      <c r="V485" s="54"/>
      <c r="W485" s="55"/>
      <c r="X485" s="56"/>
      <c r="Y485" s="38"/>
      <c r="Z485" s="38"/>
      <c r="AA485" s="38"/>
      <c r="AB485" s="38"/>
    </row>
    <row r="486" spans="1:28">
      <c r="A486" s="42"/>
      <c r="B486" s="39"/>
      <c r="C486" s="40"/>
      <c r="D486" s="42"/>
      <c r="E486" s="38"/>
      <c r="F486" s="43"/>
      <c r="G486" s="63"/>
      <c r="H486" s="58"/>
      <c r="I486" s="38"/>
      <c r="J486" s="38"/>
      <c r="K486" s="46"/>
      <c r="L486" s="47"/>
      <c r="M486" s="93"/>
      <c r="N486" s="93"/>
      <c r="O486" s="38"/>
      <c r="P486" s="38"/>
      <c r="Q486" s="14"/>
      <c r="R486" s="39"/>
      <c r="S486" s="39"/>
      <c r="T486" s="39"/>
      <c r="U486" s="40"/>
      <c r="V486" s="54"/>
      <c r="W486" s="55"/>
      <c r="X486" s="56"/>
      <c r="Y486" s="38"/>
      <c r="Z486" s="38"/>
      <c r="AA486" s="38"/>
      <c r="AB486" s="38"/>
    </row>
    <row r="487" spans="1:28">
      <c r="A487" s="42"/>
      <c r="B487" s="39"/>
      <c r="C487" s="40"/>
      <c r="D487" s="42"/>
      <c r="E487" s="38"/>
      <c r="F487" s="43"/>
      <c r="G487" s="63"/>
      <c r="H487" s="58"/>
      <c r="I487" s="38"/>
      <c r="J487" s="38"/>
      <c r="K487" s="46"/>
      <c r="L487" s="47"/>
      <c r="M487" s="93"/>
      <c r="N487" s="93"/>
      <c r="O487" s="38"/>
      <c r="P487" s="38"/>
      <c r="Q487" s="14"/>
      <c r="R487" s="39"/>
      <c r="S487" s="39"/>
      <c r="T487" s="39"/>
      <c r="U487" s="40"/>
      <c r="V487" s="54"/>
      <c r="W487" s="55"/>
      <c r="X487" s="56"/>
      <c r="Y487" s="38"/>
      <c r="Z487" s="38"/>
      <c r="AA487" s="38"/>
      <c r="AB487" s="38"/>
    </row>
    <row r="488" spans="1:28">
      <c r="A488" s="42"/>
      <c r="B488" s="39"/>
      <c r="C488" s="40"/>
      <c r="D488" s="42"/>
      <c r="E488" s="38"/>
      <c r="F488" s="43"/>
      <c r="G488" s="63"/>
      <c r="H488" s="58"/>
      <c r="I488" s="38"/>
      <c r="J488" s="38"/>
      <c r="K488" s="46"/>
      <c r="L488" s="47"/>
      <c r="M488" s="93"/>
      <c r="N488" s="93"/>
      <c r="O488" s="38"/>
      <c r="P488" s="38"/>
      <c r="Q488" s="14"/>
      <c r="R488" s="39"/>
      <c r="S488" s="39"/>
      <c r="T488" s="39"/>
      <c r="U488" s="40"/>
      <c r="V488" s="54"/>
      <c r="W488" s="55"/>
      <c r="X488" s="56"/>
      <c r="Y488" s="38"/>
      <c r="Z488" s="38"/>
      <c r="AA488" s="38"/>
      <c r="AB488" s="38"/>
    </row>
    <row r="489" spans="1:28">
      <c r="A489" s="42"/>
      <c r="B489" s="39"/>
      <c r="C489" s="40"/>
      <c r="D489" s="42"/>
      <c r="E489" s="38"/>
      <c r="F489" s="43"/>
      <c r="G489" s="63"/>
      <c r="H489" s="58"/>
      <c r="I489" s="38"/>
      <c r="J489" s="38"/>
      <c r="K489" s="46"/>
      <c r="L489" s="47"/>
      <c r="M489" s="93"/>
      <c r="N489" s="93"/>
      <c r="O489" s="38"/>
      <c r="P489" s="38"/>
      <c r="Q489" s="14"/>
      <c r="R489" s="39"/>
      <c r="S489" s="39"/>
      <c r="T489" s="39"/>
      <c r="U489" s="40"/>
      <c r="V489" s="54"/>
      <c r="W489" s="55"/>
      <c r="X489" s="56"/>
      <c r="Y489" s="38"/>
      <c r="Z489" s="38"/>
      <c r="AA489" s="38"/>
      <c r="AB489" s="38"/>
    </row>
    <row r="490" spans="1:28">
      <c r="A490" s="42"/>
      <c r="B490" s="39"/>
      <c r="C490" s="40"/>
      <c r="D490" s="42"/>
      <c r="E490" s="38"/>
      <c r="F490" s="43"/>
      <c r="G490" s="63"/>
      <c r="H490" s="58"/>
      <c r="I490" s="38"/>
      <c r="J490" s="38"/>
      <c r="K490" s="46"/>
      <c r="L490" s="47"/>
      <c r="M490" s="93"/>
      <c r="N490" s="93"/>
      <c r="O490" s="38"/>
      <c r="P490" s="38"/>
      <c r="Q490" s="14"/>
      <c r="R490" s="39"/>
      <c r="S490" s="39"/>
      <c r="T490" s="39"/>
      <c r="U490" s="40"/>
      <c r="V490" s="54"/>
      <c r="W490" s="55"/>
      <c r="X490" s="56"/>
      <c r="Y490" s="38"/>
      <c r="Z490" s="38"/>
      <c r="AA490" s="38"/>
      <c r="AB490" s="38"/>
    </row>
    <row r="491" spans="1:28">
      <c r="A491" s="42"/>
      <c r="B491" s="39"/>
      <c r="C491" s="40"/>
      <c r="D491" s="42"/>
      <c r="E491" s="38"/>
      <c r="F491" s="43"/>
      <c r="G491" s="63"/>
      <c r="H491" s="58"/>
      <c r="I491" s="38"/>
      <c r="J491" s="38"/>
      <c r="K491" s="46"/>
      <c r="L491" s="47"/>
      <c r="M491" s="93"/>
      <c r="N491" s="93"/>
      <c r="O491" s="38"/>
      <c r="P491" s="38"/>
      <c r="Q491" s="14"/>
      <c r="R491" s="39"/>
      <c r="S491" s="39"/>
      <c r="T491" s="39"/>
      <c r="U491" s="40"/>
      <c r="V491" s="54"/>
      <c r="W491" s="55"/>
      <c r="X491" s="56"/>
      <c r="Y491" s="38"/>
      <c r="Z491" s="38"/>
      <c r="AA491" s="38"/>
      <c r="AB491" s="38"/>
    </row>
    <row r="492" spans="1:28">
      <c r="A492" s="42"/>
      <c r="B492" s="39"/>
      <c r="C492" s="40"/>
      <c r="D492" s="42"/>
      <c r="E492" s="38"/>
      <c r="F492" s="43"/>
      <c r="G492" s="63"/>
      <c r="H492" s="58"/>
      <c r="I492" s="38"/>
      <c r="J492" s="38"/>
      <c r="K492" s="46"/>
      <c r="L492" s="47"/>
      <c r="M492" s="93"/>
      <c r="N492" s="93"/>
      <c r="O492" s="38"/>
      <c r="P492" s="38"/>
      <c r="Q492" s="14"/>
      <c r="R492" s="39"/>
      <c r="S492" s="39"/>
      <c r="T492" s="39"/>
      <c r="U492" s="40"/>
      <c r="V492" s="54"/>
      <c r="W492" s="55"/>
      <c r="X492" s="56"/>
      <c r="Y492" s="38"/>
      <c r="Z492" s="38"/>
      <c r="AA492" s="38"/>
      <c r="AB492" s="38"/>
    </row>
    <row r="493" spans="1:28">
      <c r="A493" s="42"/>
      <c r="B493" s="39"/>
      <c r="C493" s="40"/>
      <c r="D493" s="42"/>
      <c r="E493" s="38"/>
      <c r="F493" s="43"/>
      <c r="G493" s="63"/>
      <c r="H493" s="58"/>
      <c r="I493" s="38"/>
      <c r="J493" s="38"/>
      <c r="K493" s="46"/>
      <c r="L493" s="47"/>
      <c r="M493" s="93"/>
      <c r="N493" s="93"/>
      <c r="O493" s="38"/>
      <c r="P493" s="38"/>
      <c r="Q493" s="14"/>
      <c r="R493" s="39"/>
      <c r="S493" s="39"/>
      <c r="T493" s="39"/>
      <c r="U493" s="40"/>
      <c r="V493" s="54"/>
      <c r="W493" s="55"/>
      <c r="X493" s="56"/>
      <c r="Y493" s="38"/>
      <c r="Z493" s="38"/>
      <c r="AA493" s="38"/>
      <c r="AB493" s="38"/>
    </row>
    <row r="494" spans="1:28">
      <c r="A494" s="42"/>
      <c r="B494" s="39"/>
      <c r="C494" s="40"/>
      <c r="D494" s="42"/>
      <c r="E494" s="38"/>
      <c r="F494" s="43"/>
      <c r="G494" s="63"/>
      <c r="H494" s="58"/>
      <c r="I494" s="38"/>
      <c r="J494" s="38"/>
      <c r="K494" s="46"/>
      <c r="L494" s="47"/>
      <c r="M494" s="93"/>
      <c r="N494" s="93"/>
      <c r="O494" s="38"/>
      <c r="P494" s="38"/>
      <c r="Q494" s="14"/>
      <c r="R494" s="39"/>
      <c r="S494" s="39"/>
      <c r="T494" s="39"/>
      <c r="U494" s="40"/>
      <c r="V494" s="54"/>
      <c r="W494" s="55"/>
      <c r="X494" s="56"/>
      <c r="Y494" s="38"/>
      <c r="Z494" s="38"/>
      <c r="AA494" s="38"/>
      <c r="AB494" s="38"/>
    </row>
    <row r="495" spans="1:28">
      <c r="A495" s="42"/>
      <c r="B495" s="39"/>
      <c r="C495" s="40"/>
      <c r="D495" s="42"/>
      <c r="E495" s="38"/>
      <c r="F495" s="43"/>
      <c r="G495" s="63"/>
      <c r="H495" s="58"/>
      <c r="I495" s="38"/>
      <c r="J495" s="38"/>
      <c r="K495" s="46"/>
      <c r="L495" s="47"/>
      <c r="M495" s="93"/>
      <c r="N495" s="93"/>
      <c r="O495" s="38"/>
      <c r="P495" s="38"/>
      <c r="Q495" s="14"/>
      <c r="R495" s="39"/>
      <c r="S495" s="39"/>
      <c r="T495" s="39"/>
      <c r="U495" s="40"/>
      <c r="V495" s="54"/>
      <c r="W495" s="55"/>
      <c r="X495" s="56"/>
      <c r="Y495" s="38"/>
      <c r="Z495" s="38"/>
      <c r="AA495" s="38"/>
      <c r="AB495" s="38"/>
    </row>
    <row r="496" spans="1:28">
      <c r="A496" s="42"/>
      <c r="B496" s="39"/>
      <c r="C496" s="40"/>
      <c r="D496" s="42"/>
      <c r="E496" s="38"/>
      <c r="F496" s="43"/>
      <c r="G496" s="63"/>
      <c r="H496" s="58"/>
      <c r="I496" s="38"/>
      <c r="J496" s="38"/>
      <c r="K496" s="46"/>
      <c r="L496" s="47"/>
      <c r="M496" s="93"/>
      <c r="N496" s="93"/>
      <c r="O496" s="38"/>
      <c r="P496" s="38"/>
      <c r="Q496" s="14"/>
      <c r="R496" s="39"/>
      <c r="S496" s="39"/>
      <c r="T496" s="39"/>
      <c r="U496" s="40"/>
      <c r="V496" s="54"/>
      <c r="W496" s="55"/>
      <c r="X496" s="56"/>
      <c r="Y496" s="38"/>
      <c r="Z496" s="38"/>
      <c r="AA496" s="38"/>
      <c r="AB496" s="38"/>
    </row>
    <row r="497" spans="1:28">
      <c r="A497" s="42"/>
      <c r="B497" s="39"/>
      <c r="C497" s="40"/>
      <c r="D497" s="42"/>
      <c r="E497" s="38"/>
      <c r="F497" s="43"/>
      <c r="G497" s="63"/>
      <c r="H497" s="58"/>
      <c r="I497" s="38"/>
      <c r="J497" s="38"/>
      <c r="K497" s="46"/>
      <c r="L497" s="47"/>
      <c r="M497" s="93"/>
      <c r="N497" s="93"/>
      <c r="O497" s="38"/>
      <c r="P497" s="38"/>
      <c r="Q497" s="14"/>
      <c r="R497" s="39"/>
      <c r="S497" s="39"/>
      <c r="T497" s="39"/>
      <c r="U497" s="40"/>
      <c r="V497" s="54"/>
      <c r="W497" s="55"/>
      <c r="X497" s="56"/>
      <c r="Y497" s="38"/>
      <c r="Z497" s="38"/>
      <c r="AA497" s="38"/>
      <c r="AB497" s="38"/>
    </row>
    <row r="498" spans="1:28">
      <c r="A498" s="42"/>
      <c r="B498" s="39"/>
      <c r="C498" s="40"/>
      <c r="D498" s="42"/>
      <c r="E498" s="38"/>
      <c r="F498" s="43"/>
      <c r="G498" s="63"/>
      <c r="H498" s="58"/>
      <c r="I498" s="38"/>
      <c r="J498" s="38"/>
      <c r="K498" s="46"/>
      <c r="L498" s="47"/>
      <c r="M498" s="93"/>
      <c r="N498" s="93"/>
      <c r="O498" s="38"/>
      <c r="P498" s="38"/>
      <c r="Q498" s="14"/>
      <c r="R498" s="39"/>
      <c r="S498" s="39"/>
      <c r="T498" s="39"/>
      <c r="U498" s="40"/>
      <c r="V498" s="54"/>
      <c r="W498" s="55"/>
      <c r="X498" s="56"/>
      <c r="Y498" s="38"/>
      <c r="Z498" s="38"/>
      <c r="AA498" s="38"/>
      <c r="AB498" s="38"/>
    </row>
    <row r="499" spans="1:28">
      <c r="A499" s="42"/>
      <c r="B499" s="39"/>
      <c r="C499" s="40"/>
      <c r="D499" s="42"/>
      <c r="E499" s="38"/>
      <c r="F499" s="43"/>
      <c r="G499" s="63"/>
      <c r="H499" s="58"/>
      <c r="I499" s="38"/>
      <c r="J499" s="38"/>
      <c r="K499" s="46"/>
      <c r="L499" s="47"/>
      <c r="M499" s="93"/>
      <c r="N499" s="93"/>
      <c r="O499" s="38"/>
      <c r="P499" s="38"/>
      <c r="Q499" s="14"/>
      <c r="R499" s="39"/>
      <c r="S499" s="39"/>
      <c r="T499" s="39"/>
      <c r="U499" s="40"/>
      <c r="V499" s="54"/>
      <c r="W499" s="55"/>
      <c r="X499" s="56"/>
      <c r="Y499" s="38"/>
      <c r="Z499" s="38"/>
      <c r="AA499" s="38"/>
      <c r="AB499" s="38"/>
    </row>
    <row r="500" spans="1:28">
      <c r="A500" s="42"/>
      <c r="B500" s="39"/>
      <c r="C500" s="40"/>
      <c r="D500" s="42"/>
      <c r="E500" s="38"/>
      <c r="F500" s="43"/>
      <c r="G500" s="63"/>
      <c r="H500" s="58"/>
      <c r="I500" s="38"/>
      <c r="J500" s="38"/>
      <c r="K500" s="46"/>
      <c r="L500" s="47"/>
      <c r="M500" s="93"/>
      <c r="N500" s="93"/>
      <c r="O500" s="38"/>
      <c r="P500" s="38"/>
      <c r="Q500" s="14"/>
      <c r="R500" s="39"/>
      <c r="S500" s="39"/>
      <c r="T500" s="39"/>
      <c r="U500" s="40"/>
      <c r="V500" s="54"/>
      <c r="W500" s="55"/>
      <c r="X500" s="56"/>
      <c r="Y500" s="38"/>
      <c r="Z500" s="38"/>
      <c r="AA500" s="38"/>
      <c r="AB500" s="38"/>
    </row>
    <row r="501" spans="1:28">
      <c r="A501" s="42"/>
      <c r="B501" s="39"/>
      <c r="C501" s="40"/>
      <c r="D501" s="42"/>
      <c r="E501" s="38"/>
      <c r="F501" s="43"/>
      <c r="G501" s="63"/>
      <c r="H501" s="58"/>
      <c r="I501" s="38"/>
      <c r="J501" s="38"/>
      <c r="K501" s="46"/>
      <c r="L501" s="47"/>
      <c r="M501" s="93"/>
      <c r="N501" s="93"/>
      <c r="O501" s="38"/>
      <c r="P501" s="38"/>
      <c r="Q501" s="14"/>
      <c r="R501" s="39"/>
      <c r="S501" s="39"/>
      <c r="T501" s="39"/>
      <c r="U501" s="40"/>
      <c r="V501" s="54"/>
      <c r="W501" s="55"/>
      <c r="X501" s="56"/>
      <c r="Y501" s="38"/>
      <c r="Z501" s="38"/>
      <c r="AA501" s="38"/>
      <c r="AB501" s="38"/>
    </row>
    <row r="502" spans="1:28">
      <c r="A502" s="42"/>
      <c r="B502" s="39"/>
      <c r="C502" s="40"/>
      <c r="D502" s="42"/>
      <c r="E502" s="38"/>
      <c r="F502" s="43"/>
      <c r="G502" s="63"/>
      <c r="H502" s="58"/>
      <c r="I502" s="38"/>
      <c r="J502" s="38"/>
      <c r="K502" s="46"/>
      <c r="L502" s="47"/>
      <c r="M502" s="93"/>
      <c r="N502" s="93"/>
      <c r="O502" s="38"/>
      <c r="P502" s="38"/>
      <c r="Q502" s="14"/>
      <c r="R502" s="39"/>
      <c r="S502" s="39"/>
      <c r="T502" s="39"/>
      <c r="U502" s="40"/>
      <c r="V502" s="54"/>
      <c r="W502" s="55"/>
      <c r="X502" s="56"/>
      <c r="Y502" s="38"/>
      <c r="Z502" s="38"/>
      <c r="AA502" s="38"/>
      <c r="AB502" s="38"/>
    </row>
    <row r="503" spans="1:28">
      <c r="A503" s="42"/>
      <c r="B503" s="39"/>
      <c r="C503" s="40"/>
      <c r="D503" s="42"/>
      <c r="E503" s="38"/>
      <c r="F503" s="43"/>
      <c r="G503" s="63"/>
      <c r="H503" s="58"/>
      <c r="I503" s="38"/>
      <c r="J503" s="38"/>
      <c r="K503" s="46"/>
      <c r="L503" s="47"/>
      <c r="M503" s="93"/>
      <c r="N503" s="93"/>
      <c r="O503" s="38"/>
      <c r="P503" s="38"/>
      <c r="Q503" s="14"/>
      <c r="R503" s="39"/>
      <c r="S503" s="39"/>
      <c r="T503" s="39"/>
      <c r="U503" s="40"/>
      <c r="V503" s="54"/>
      <c r="W503" s="55"/>
      <c r="X503" s="56"/>
      <c r="Y503" s="38"/>
      <c r="Z503" s="38"/>
      <c r="AA503" s="38"/>
      <c r="AB503" s="38"/>
    </row>
    <row r="504" spans="1:28">
      <c r="A504" s="42"/>
      <c r="B504" s="39"/>
      <c r="C504" s="40"/>
      <c r="D504" s="42"/>
      <c r="E504" s="38"/>
      <c r="F504" s="43"/>
      <c r="G504" s="63"/>
      <c r="H504" s="58"/>
      <c r="I504" s="38"/>
      <c r="J504" s="38"/>
      <c r="K504" s="46"/>
      <c r="L504" s="47"/>
      <c r="M504" s="93"/>
      <c r="N504" s="93"/>
      <c r="O504" s="38"/>
      <c r="P504" s="38"/>
      <c r="Q504" s="14"/>
      <c r="R504" s="39"/>
      <c r="S504" s="39"/>
      <c r="T504" s="39"/>
      <c r="U504" s="40"/>
      <c r="V504" s="54"/>
      <c r="W504" s="55"/>
      <c r="X504" s="56"/>
      <c r="Y504" s="38"/>
      <c r="Z504" s="38"/>
      <c r="AA504" s="38"/>
      <c r="AB504" s="38"/>
    </row>
    <row r="505" spans="1:28">
      <c r="A505" s="42"/>
      <c r="B505" s="39"/>
      <c r="C505" s="40"/>
      <c r="D505" s="42"/>
      <c r="E505" s="38"/>
      <c r="F505" s="43"/>
      <c r="G505" s="63"/>
      <c r="H505" s="58"/>
      <c r="I505" s="38"/>
      <c r="J505" s="38"/>
      <c r="K505" s="46"/>
      <c r="L505" s="47"/>
      <c r="M505" s="93"/>
      <c r="N505" s="93"/>
      <c r="O505" s="38"/>
      <c r="P505" s="38"/>
      <c r="Q505" s="14"/>
      <c r="R505" s="39"/>
      <c r="S505" s="39"/>
      <c r="T505" s="39"/>
      <c r="U505" s="40"/>
      <c r="V505" s="54"/>
      <c r="W505" s="55"/>
      <c r="X505" s="56"/>
      <c r="Y505" s="38"/>
      <c r="Z505" s="38"/>
      <c r="AA505" s="38"/>
      <c r="AB505" s="38"/>
    </row>
    <row r="506" spans="1:28">
      <c r="A506" s="42"/>
      <c r="B506" s="39"/>
      <c r="C506" s="40"/>
      <c r="D506" s="42"/>
      <c r="E506" s="38"/>
      <c r="F506" s="43"/>
      <c r="G506" s="63"/>
      <c r="H506" s="58"/>
      <c r="I506" s="38"/>
      <c r="J506" s="38"/>
      <c r="K506" s="46"/>
      <c r="L506" s="47"/>
      <c r="M506" s="93"/>
      <c r="N506" s="93"/>
      <c r="O506" s="38"/>
      <c r="P506" s="38"/>
      <c r="Q506" s="14"/>
      <c r="R506" s="39"/>
      <c r="S506" s="39"/>
      <c r="T506" s="39"/>
      <c r="U506" s="40"/>
      <c r="V506" s="54"/>
      <c r="W506" s="55"/>
      <c r="X506" s="56"/>
      <c r="Y506" s="38"/>
      <c r="Z506" s="38"/>
      <c r="AA506" s="38"/>
      <c r="AB506" s="38"/>
    </row>
    <row r="507" spans="1:28">
      <c r="A507" s="42"/>
      <c r="B507" s="39"/>
      <c r="C507" s="40"/>
      <c r="D507" s="42"/>
      <c r="E507" s="38"/>
      <c r="F507" s="43"/>
      <c r="G507" s="63"/>
      <c r="H507" s="58"/>
      <c r="I507" s="38"/>
      <c r="J507" s="38"/>
      <c r="K507" s="46"/>
      <c r="L507" s="47"/>
      <c r="M507" s="93"/>
      <c r="N507" s="93"/>
      <c r="O507" s="38"/>
      <c r="P507" s="38"/>
      <c r="Q507" s="14"/>
      <c r="R507" s="39"/>
      <c r="S507" s="39"/>
      <c r="T507" s="39"/>
      <c r="U507" s="40"/>
      <c r="V507" s="54"/>
      <c r="W507" s="55"/>
      <c r="X507" s="56"/>
      <c r="Y507" s="38"/>
      <c r="Z507" s="38"/>
      <c r="AA507" s="38"/>
      <c r="AB507" s="38"/>
    </row>
    <row r="508" spans="1:28">
      <c r="A508" s="42"/>
      <c r="B508" s="39"/>
      <c r="C508" s="40"/>
      <c r="D508" s="42"/>
      <c r="E508" s="38"/>
      <c r="F508" s="43"/>
      <c r="G508" s="63"/>
      <c r="H508" s="58"/>
      <c r="I508" s="38"/>
      <c r="J508" s="38"/>
      <c r="K508" s="46"/>
      <c r="L508" s="47"/>
      <c r="M508" s="93"/>
      <c r="N508" s="93"/>
      <c r="O508" s="38"/>
      <c r="P508" s="38"/>
      <c r="Q508" s="14"/>
      <c r="R508" s="39"/>
      <c r="S508" s="39"/>
      <c r="T508" s="39"/>
      <c r="U508" s="40"/>
      <c r="V508" s="54"/>
      <c r="W508" s="55"/>
      <c r="X508" s="56"/>
      <c r="Y508" s="38"/>
      <c r="Z508" s="38"/>
      <c r="AA508" s="38"/>
      <c r="AB508" s="38"/>
    </row>
    <row r="509" spans="1:28">
      <c r="A509" s="42"/>
      <c r="B509" s="39"/>
      <c r="C509" s="40"/>
      <c r="D509" s="42"/>
      <c r="E509" s="38"/>
      <c r="F509" s="43"/>
      <c r="G509" s="63"/>
      <c r="H509" s="58"/>
      <c r="I509" s="38"/>
      <c r="J509" s="38"/>
      <c r="K509" s="46"/>
      <c r="L509" s="47"/>
      <c r="M509" s="93"/>
      <c r="N509" s="93"/>
      <c r="O509" s="38"/>
      <c r="P509" s="38"/>
      <c r="Q509" s="14"/>
      <c r="R509" s="39"/>
      <c r="S509" s="39"/>
      <c r="T509" s="39"/>
      <c r="U509" s="40"/>
      <c r="V509" s="54"/>
      <c r="W509" s="55"/>
      <c r="X509" s="56"/>
      <c r="Y509" s="38"/>
      <c r="Z509" s="38"/>
      <c r="AA509" s="38"/>
      <c r="AB509" s="38"/>
    </row>
    <row r="510" spans="1:28">
      <c r="A510" s="42"/>
      <c r="B510" s="39"/>
      <c r="C510" s="40"/>
      <c r="D510" s="42"/>
      <c r="E510" s="38"/>
      <c r="F510" s="43"/>
      <c r="G510" s="63"/>
      <c r="H510" s="58"/>
      <c r="I510" s="38"/>
      <c r="J510" s="38"/>
      <c r="K510" s="46"/>
      <c r="L510" s="47"/>
      <c r="M510" s="93"/>
      <c r="N510" s="93"/>
      <c r="O510" s="38"/>
      <c r="P510" s="38"/>
      <c r="Q510" s="14"/>
      <c r="R510" s="39"/>
      <c r="S510" s="39"/>
      <c r="T510" s="39"/>
      <c r="U510" s="40"/>
      <c r="V510" s="54"/>
      <c r="W510" s="55"/>
      <c r="X510" s="56"/>
      <c r="Y510" s="38"/>
      <c r="Z510" s="38"/>
      <c r="AA510" s="38"/>
      <c r="AB510" s="38"/>
    </row>
    <row r="511" spans="1:28">
      <c r="A511" s="42"/>
      <c r="B511" s="39"/>
      <c r="C511" s="40"/>
      <c r="D511" s="42"/>
      <c r="E511" s="38"/>
      <c r="F511" s="43"/>
      <c r="G511" s="63"/>
      <c r="H511" s="58"/>
      <c r="I511" s="38"/>
      <c r="J511" s="38"/>
      <c r="K511" s="46"/>
      <c r="L511" s="47"/>
      <c r="M511" s="93"/>
      <c r="N511" s="93"/>
      <c r="O511" s="38"/>
      <c r="P511" s="38"/>
      <c r="Q511" s="14"/>
      <c r="R511" s="39"/>
      <c r="S511" s="39"/>
      <c r="T511" s="39"/>
      <c r="U511" s="40"/>
      <c r="V511" s="54"/>
      <c r="W511" s="55"/>
      <c r="X511" s="56"/>
      <c r="Y511" s="38"/>
      <c r="Z511" s="38"/>
      <c r="AA511" s="38"/>
      <c r="AB511" s="38"/>
    </row>
    <row r="512" spans="1:28">
      <c r="A512" s="42"/>
      <c r="B512" s="39"/>
      <c r="C512" s="40"/>
      <c r="D512" s="42"/>
      <c r="E512" s="38"/>
      <c r="F512" s="43"/>
      <c r="G512" s="63"/>
      <c r="H512" s="58"/>
      <c r="I512" s="38"/>
      <c r="J512" s="38"/>
      <c r="K512" s="46"/>
      <c r="L512" s="47"/>
      <c r="M512" s="93"/>
      <c r="N512" s="93"/>
      <c r="O512" s="38"/>
      <c r="P512" s="38"/>
      <c r="Q512" s="14"/>
      <c r="R512" s="39"/>
      <c r="S512" s="39"/>
      <c r="T512" s="39"/>
      <c r="U512" s="40"/>
      <c r="V512" s="54"/>
      <c r="W512" s="55"/>
      <c r="X512" s="56"/>
      <c r="Y512" s="38"/>
      <c r="Z512" s="38"/>
      <c r="AA512" s="38"/>
      <c r="AB512" s="38"/>
    </row>
    <row r="513" spans="1:28">
      <c r="A513" s="42"/>
      <c r="B513" s="39"/>
      <c r="C513" s="40"/>
      <c r="D513" s="42"/>
      <c r="E513" s="38"/>
      <c r="F513" s="43"/>
      <c r="G513" s="63"/>
      <c r="H513" s="58"/>
      <c r="I513" s="38"/>
      <c r="J513" s="38"/>
      <c r="K513" s="46"/>
      <c r="L513" s="47"/>
      <c r="M513" s="93"/>
      <c r="N513" s="93"/>
      <c r="O513" s="38"/>
      <c r="P513" s="38"/>
      <c r="Q513" s="14"/>
      <c r="R513" s="39"/>
      <c r="S513" s="39"/>
      <c r="T513" s="39"/>
      <c r="U513" s="40"/>
      <c r="V513" s="54"/>
      <c r="W513" s="55"/>
      <c r="X513" s="56"/>
      <c r="Y513" s="38"/>
      <c r="Z513" s="38"/>
      <c r="AA513" s="38"/>
      <c r="AB513" s="38"/>
    </row>
    <row r="514" spans="1:28">
      <c r="A514" s="42"/>
      <c r="B514" s="39"/>
      <c r="C514" s="40"/>
      <c r="D514" s="42"/>
      <c r="E514" s="38"/>
      <c r="F514" s="43"/>
      <c r="G514" s="63"/>
      <c r="H514" s="58"/>
      <c r="I514" s="38"/>
      <c r="J514" s="38"/>
      <c r="K514" s="46"/>
      <c r="L514" s="47"/>
      <c r="M514" s="93"/>
      <c r="N514" s="93"/>
      <c r="O514" s="38"/>
      <c r="P514" s="38"/>
      <c r="Q514" s="14"/>
      <c r="R514" s="39"/>
      <c r="S514" s="39"/>
      <c r="T514" s="39"/>
      <c r="U514" s="40"/>
      <c r="V514" s="54"/>
      <c r="W514" s="55"/>
      <c r="X514" s="56"/>
      <c r="Y514" s="38"/>
      <c r="Z514" s="38"/>
      <c r="AA514" s="38"/>
      <c r="AB514" s="38"/>
    </row>
    <row r="515" spans="1:28">
      <c r="A515" s="42"/>
      <c r="B515" s="39"/>
      <c r="C515" s="40"/>
      <c r="D515" s="42"/>
      <c r="E515" s="38"/>
      <c r="F515" s="43"/>
      <c r="G515" s="63"/>
      <c r="H515" s="58"/>
      <c r="I515" s="38"/>
      <c r="J515" s="38"/>
      <c r="K515" s="46"/>
      <c r="L515" s="47"/>
      <c r="M515" s="93"/>
      <c r="N515" s="93"/>
      <c r="O515" s="38"/>
      <c r="P515" s="38"/>
      <c r="Q515" s="14"/>
      <c r="R515" s="39"/>
      <c r="S515" s="39"/>
      <c r="T515" s="39"/>
      <c r="U515" s="40"/>
      <c r="V515" s="54"/>
      <c r="W515" s="55"/>
      <c r="X515" s="56"/>
      <c r="Y515" s="38"/>
      <c r="Z515" s="38"/>
      <c r="AA515" s="38"/>
      <c r="AB515" s="38"/>
    </row>
    <row r="516" spans="1:28">
      <c r="A516" s="42"/>
      <c r="B516" s="39"/>
      <c r="C516" s="40"/>
      <c r="D516" s="42"/>
      <c r="E516" s="38"/>
      <c r="F516" s="43"/>
      <c r="G516" s="63"/>
      <c r="H516" s="58"/>
      <c r="I516" s="38"/>
      <c r="J516" s="38"/>
      <c r="K516" s="46"/>
      <c r="L516" s="47"/>
      <c r="M516" s="93"/>
      <c r="N516" s="93"/>
      <c r="O516" s="38"/>
      <c r="P516" s="38"/>
      <c r="Q516" s="14"/>
      <c r="R516" s="39"/>
      <c r="S516" s="39"/>
      <c r="T516" s="39"/>
      <c r="U516" s="40"/>
      <c r="V516" s="54"/>
      <c r="W516" s="55"/>
      <c r="X516" s="56"/>
      <c r="Y516" s="38"/>
      <c r="Z516" s="38"/>
      <c r="AA516" s="38"/>
      <c r="AB516" s="38"/>
    </row>
    <row r="517" spans="1:28">
      <c r="A517" s="42"/>
      <c r="B517" s="39"/>
      <c r="C517" s="40"/>
      <c r="D517" s="42"/>
      <c r="E517" s="38"/>
      <c r="F517" s="43"/>
      <c r="G517" s="63"/>
      <c r="H517" s="58"/>
      <c r="I517" s="38"/>
      <c r="J517" s="38"/>
      <c r="K517" s="46"/>
      <c r="L517" s="47"/>
      <c r="M517" s="93"/>
      <c r="N517" s="93"/>
      <c r="O517" s="38"/>
      <c r="P517" s="38"/>
      <c r="Q517" s="14"/>
      <c r="R517" s="39"/>
      <c r="S517" s="39"/>
      <c r="T517" s="39"/>
      <c r="U517" s="40"/>
      <c r="V517" s="54"/>
      <c r="W517" s="55"/>
      <c r="X517" s="56"/>
      <c r="Y517" s="38"/>
      <c r="Z517" s="38"/>
      <c r="AA517" s="38"/>
      <c r="AB517" s="38"/>
    </row>
    <row r="518" spans="1:28">
      <c r="A518" s="42"/>
      <c r="B518" s="39"/>
      <c r="C518" s="40"/>
      <c r="D518" s="42"/>
      <c r="E518" s="38"/>
      <c r="F518" s="43"/>
      <c r="G518" s="63"/>
      <c r="H518" s="58"/>
      <c r="I518" s="38"/>
      <c r="J518" s="38"/>
      <c r="K518" s="46"/>
      <c r="L518" s="47"/>
      <c r="M518" s="93"/>
      <c r="N518" s="93"/>
      <c r="O518" s="38"/>
      <c r="P518" s="38"/>
      <c r="Q518" s="14"/>
      <c r="R518" s="39"/>
      <c r="S518" s="39"/>
      <c r="T518" s="39"/>
      <c r="U518" s="40"/>
      <c r="V518" s="54"/>
      <c r="W518" s="55"/>
      <c r="X518" s="56"/>
      <c r="Y518" s="38"/>
      <c r="Z518" s="38"/>
      <c r="AA518" s="38"/>
      <c r="AB518" s="38"/>
    </row>
    <row r="519" spans="1:28">
      <c r="A519" s="42"/>
      <c r="B519" s="39"/>
      <c r="C519" s="40"/>
      <c r="D519" s="42"/>
      <c r="E519" s="38"/>
      <c r="F519" s="43"/>
      <c r="G519" s="63"/>
      <c r="H519" s="58"/>
      <c r="I519" s="38"/>
      <c r="J519" s="38"/>
      <c r="K519" s="46"/>
      <c r="L519" s="47"/>
      <c r="M519" s="93"/>
      <c r="N519" s="93"/>
      <c r="O519" s="38"/>
      <c r="P519" s="38"/>
      <c r="Q519" s="14"/>
      <c r="R519" s="39"/>
      <c r="S519" s="39"/>
      <c r="T519" s="39"/>
      <c r="U519" s="40"/>
      <c r="V519" s="54"/>
      <c r="W519" s="55"/>
      <c r="X519" s="56"/>
      <c r="Y519" s="38"/>
      <c r="Z519" s="38"/>
      <c r="AA519" s="38"/>
      <c r="AB519" s="38"/>
    </row>
    <row r="520" spans="1:28">
      <c r="A520" s="42"/>
      <c r="B520" s="39"/>
      <c r="C520" s="40"/>
      <c r="D520" s="42"/>
      <c r="E520" s="38"/>
      <c r="F520" s="43"/>
      <c r="G520" s="63"/>
      <c r="H520" s="58"/>
      <c r="I520" s="38"/>
      <c r="J520" s="38"/>
      <c r="K520" s="46"/>
      <c r="L520" s="47"/>
      <c r="M520" s="93"/>
      <c r="N520" s="93"/>
      <c r="O520" s="38"/>
      <c r="P520" s="38"/>
      <c r="Q520" s="14"/>
      <c r="R520" s="39"/>
      <c r="S520" s="39"/>
      <c r="T520" s="39"/>
      <c r="U520" s="40"/>
      <c r="V520" s="54"/>
      <c r="W520" s="55"/>
      <c r="X520" s="56"/>
      <c r="Y520" s="38"/>
      <c r="Z520" s="38"/>
      <c r="AA520" s="38"/>
      <c r="AB520" s="38"/>
    </row>
    <row r="521" spans="1:28">
      <c r="A521" s="42"/>
      <c r="B521" s="39"/>
      <c r="C521" s="40"/>
      <c r="D521" s="42"/>
      <c r="E521" s="38"/>
      <c r="F521" s="43"/>
      <c r="G521" s="63"/>
      <c r="H521" s="58"/>
      <c r="I521" s="38"/>
      <c r="J521" s="38"/>
      <c r="K521" s="46"/>
      <c r="L521" s="47"/>
      <c r="M521" s="93"/>
      <c r="N521" s="93"/>
      <c r="O521" s="38"/>
      <c r="P521" s="38"/>
      <c r="Q521" s="14"/>
      <c r="R521" s="39"/>
      <c r="S521" s="39"/>
      <c r="T521" s="39"/>
      <c r="U521" s="40"/>
      <c r="V521" s="54"/>
      <c r="W521" s="55"/>
      <c r="X521" s="56"/>
      <c r="Y521" s="38"/>
      <c r="Z521" s="38"/>
      <c r="AA521" s="38"/>
      <c r="AB521" s="38"/>
    </row>
    <row r="522" spans="1:28">
      <c r="A522" s="42"/>
      <c r="B522" s="39"/>
      <c r="C522" s="40"/>
      <c r="D522" s="42"/>
      <c r="E522" s="38"/>
      <c r="F522" s="43"/>
      <c r="G522" s="63"/>
      <c r="H522" s="58"/>
      <c r="I522" s="38"/>
      <c r="J522" s="38"/>
      <c r="K522" s="46"/>
      <c r="L522" s="47"/>
      <c r="M522" s="93"/>
      <c r="N522" s="93"/>
      <c r="O522" s="38"/>
      <c r="P522" s="38"/>
      <c r="Q522" s="14"/>
      <c r="R522" s="39"/>
      <c r="S522" s="39"/>
      <c r="T522" s="39"/>
      <c r="U522" s="40"/>
      <c r="V522" s="54"/>
      <c r="W522" s="55"/>
      <c r="X522" s="56"/>
      <c r="Y522" s="38"/>
      <c r="Z522" s="38"/>
      <c r="AA522" s="38"/>
      <c r="AB522" s="38"/>
    </row>
    <row r="523" spans="1:28">
      <c r="A523" s="42"/>
      <c r="B523" s="39"/>
      <c r="C523" s="40"/>
      <c r="D523" s="42"/>
      <c r="E523" s="38"/>
      <c r="F523" s="43"/>
      <c r="G523" s="63"/>
      <c r="H523" s="58"/>
      <c r="I523" s="38"/>
      <c r="J523" s="38"/>
      <c r="K523" s="46"/>
      <c r="L523" s="47"/>
      <c r="M523" s="93"/>
      <c r="N523" s="93"/>
      <c r="O523" s="38"/>
      <c r="P523" s="38"/>
      <c r="Q523" s="14"/>
      <c r="R523" s="39"/>
      <c r="S523" s="39"/>
      <c r="T523" s="39"/>
      <c r="U523" s="40"/>
      <c r="V523" s="54"/>
      <c r="W523" s="55"/>
      <c r="X523" s="56"/>
      <c r="Y523" s="38"/>
      <c r="Z523" s="38"/>
      <c r="AA523" s="38"/>
      <c r="AB523" s="38"/>
    </row>
    <row r="524" spans="1:28">
      <c r="A524" s="42"/>
      <c r="B524" s="39"/>
      <c r="C524" s="40"/>
      <c r="D524" s="42"/>
      <c r="E524" s="38"/>
      <c r="F524" s="43"/>
      <c r="G524" s="63"/>
      <c r="H524" s="58"/>
      <c r="I524" s="38"/>
      <c r="J524" s="38"/>
      <c r="K524" s="46"/>
      <c r="L524" s="47"/>
      <c r="M524" s="93"/>
      <c r="N524" s="93"/>
      <c r="O524" s="38"/>
      <c r="P524" s="38"/>
      <c r="Q524" s="14"/>
      <c r="R524" s="39"/>
      <c r="S524" s="39"/>
      <c r="T524" s="39"/>
      <c r="U524" s="40"/>
      <c r="V524" s="54"/>
      <c r="W524" s="55"/>
      <c r="X524" s="56"/>
      <c r="Y524" s="38"/>
      <c r="Z524" s="38"/>
      <c r="AA524" s="38"/>
      <c r="AB524" s="38"/>
    </row>
    <row r="525" spans="1:28">
      <c r="A525" s="42"/>
      <c r="B525" s="39"/>
      <c r="C525" s="40"/>
      <c r="D525" s="42"/>
      <c r="E525" s="38"/>
      <c r="F525" s="43"/>
      <c r="G525" s="63"/>
      <c r="H525" s="58"/>
      <c r="I525" s="38"/>
      <c r="J525" s="38"/>
      <c r="K525" s="46"/>
      <c r="L525" s="47"/>
      <c r="M525" s="93"/>
      <c r="N525" s="93"/>
      <c r="O525" s="38"/>
      <c r="P525" s="38"/>
      <c r="Q525" s="14"/>
      <c r="R525" s="39"/>
      <c r="S525" s="39"/>
      <c r="T525" s="39"/>
      <c r="U525" s="40"/>
      <c r="V525" s="54"/>
      <c r="W525" s="55"/>
      <c r="X525" s="56"/>
      <c r="Y525" s="38"/>
      <c r="Z525" s="38"/>
      <c r="AA525" s="38"/>
      <c r="AB525" s="38"/>
    </row>
    <row r="526" spans="1:28">
      <c r="A526" s="42"/>
      <c r="B526" s="39"/>
      <c r="C526" s="40"/>
      <c r="D526" s="42"/>
      <c r="E526" s="38"/>
      <c r="F526" s="43"/>
      <c r="G526" s="63"/>
      <c r="H526" s="58"/>
      <c r="I526" s="38"/>
      <c r="J526" s="38"/>
      <c r="K526" s="46"/>
      <c r="L526" s="47"/>
      <c r="M526" s="93"/>
      <c r="N526" s="93"/>
      <c r="O526" s="38"/>
      <c r="P526" s="38"/>
      <c r="Q526" s="14"/>
      <c r="R526" s="39"/>
      <c r="S526" s="39"/>
      <c r="T526" s="39"/>
      <c r="U526" s="40"/>
      <c r="V526" s="54"/>
      <c r="W526" s="55"/>
      <c r="X526" s="56"/>
      <c r="Y526" s="38"/>
      <c r="Z526" s="38"/>
      <c r="AA526" s="38"/>
      <c r="AB526" s="38"/>
    </row>
    <row r="527" spans="1:28">
      <c r="A527" s="42"/>
      <c r="B527" s="39"/>
      <c r="C527" s="40"/>
      <c r="D527" s="42"/>
      <c r="E527" s="38"/>
      <c r="F527" s="43"/>
      <c r="G527" s="63"/>
      <c r="H527" s="58"/>
      <c r="I527" s="38"/>
      <c r="J527" s="38"/>
      <c r="K527" s="46"/>
      <c r="L527" s="47"/>
      <c r="M527" s="93"/>
      <c r="N527" s="93"/>
      <c r="O527" s="38"/>
      <c r="P527" s="38"/>
      <c r="Q527" s="14"/>
      <c r="R527" s="39"/>
      <c r="S527" s="39"/>
      <c r="T527" s="39"/>
      <c r="U527" s="40"/>
      <c r="V527" s="54"/>
      <c r="W527" s="55"/>
      <c r="X527" s="56"/>
      <c r="Y527" s="38"/>
      <c r="Z527" s="38"/>
      <c r="AA527" s="38"/>
      <c r="AB527" s="38"/>
    </row>
    <row r="528" spans="1:28">
      <c r="A528" s="42"/>
      <c r="B528" s="39"/>
      <c r="C528" s="40"/>
      <c r="D528" s="42"/>
      <c r="E528" s="38"/>
      <c r="F528" s="43"/>
      <c r="G528" s="63"/>
      <c r="H528" s="58"/>
      <c r="I528" s="38"/>
      <c r="J528" s="38"/>
      <c r="K528" s="46"/>
      <c r="L528" s="47"/>
      <c r="M528" s="93"/>
      <c r="N528" s="93"/>
      <c r="O528" s="38"/>
      <c r="P528" s="38"/>
      <c r="Q528" s="14"/>
      <c r="R528" s="39"/>
      <c r="S528" s="39"/>
      <c r="T528" s="39"/>
      <c r="U528" s="40"/>
      <c r="V528" s="54"/>
      <c r="W528" s="55"/>
      <c r="X528" s="56"/>
      <c r="Y528" s="38"/>
      <c r="Z528" s="38"/>
      <c r="AA528" s="38"/>
      <c r="AB528" s="38"/>
    </row>
    <row r="529" spans="1:28">
      <c r="A529" s="42"/>
      <c r="B529" s="39"/>
      <c r="C529" s="40"/>
      <c r="D529" s="42"/>
      <c r="E529" s="38"/>
      <c r="F529" s="43"/>
      <c r="G529" s="63"/>
      <c r="H529" s="58"/>
      <c r="I529" s="38"/>
      <c r="J529" s="38"/>
      <c r="K529" s="46"/>
      <c r="L529" s="47"/>
      <c r="M529" s="93"/>
      <c r="N529" s="93"/>
      <c r="O529" s="38"/>
      <c r="P529" s="38"/>
      <c r="Q529" s="14"/>
      <c r="R529" s="39"/>
      <c r="S529" s="39"/>
      <c r="T529" s="39"/>
      <c r="U529" s="40"/>
      <c r="V529" s="54"/>
      <c r="W529" s="55"/>
      <c r="X529" s="56"/>
      <c r="Y529" s="38"/>
      <c r="Z529" s="38"/>
      <c r="AA529" s="38"/>
      <c r="AB529" s="38"/>
    </row>
    <row r="530" spans="1:28">
      <c r="A530" s="42"/>
      <c r="B530" s="39"/>
      <c r="C530" s="40"/>
      <c r="D530" s="42"/>
      <c r="E530" s="38"/>
      <c r="F530" s="43"/>
      <c r="G530" s="63"/>
      <c r="H530" s="58"/>
      <c r="I530" s="38"/>
      <c r="J530" s="38"/>
      <c r="K530" s="46"/>
      <c r="L530" s="47"/>
      <c r="M530" s="93"/>
      <c r="N530" s="93"/>
      <c r="O530" s="38"/>
      <c r="P530" s="38"/>
      <c r="Q530" s="14"/>
      <c r="R530" s="39"/>
      <c r="S530" s="39"/>
      <c r="T530" s="39"/>
      <c r="U530" s="40"/>
      <c r="V530" s="54"/>
      <c r="W530" s="55"/>
      <c r="X530" s="56"/>
      <c r="Y530" s="38"/>
      <c r="Z530" s="38"/>
      <c r="AA530" s="38"/>
      <c r="AB530" s="38"/>
    </row>
    <row r="531" spans="1:28">
      <c r="A531" s="42"/>
      <c r="B531" s="39"/>
      <c r="C531" s="40"/>
      <c r="D531" s="42"/>
      <c r="E531" s="38"/>
      <c r="F531" s="43"/>
      <c r="G531" s="63"/>
      <c r="H531" s="58"/>
      <c r="I531" s="38"/>
      <c r="J531" s="38"/>
      <c r="K531" s="46"/>
      <c r="L531" s="47"/>
      <c r="M531" s="93"/>
      <c r="N531" s="93"/>
      <c r="O531" s="38"/>
      <c r="P531" s="38"/>
      <c r="Q531" s="14"/>
      <c r="R531" s="39"/>
      <c r="S531" s="39"/>
      <c r="T531" s="39"/>
      <c r="U531" s="40"/>
      <c r="V531" s="54"/>
      <c r="W531" s="55"/>
      <c r="X531" s="56"/>
      <c r="Y531" s="38"/>
      <c r="Z531" s="38"/>
      <c r="AA531" s="38"/>
      <c r="AB531" s="38"/>
    </row>
    <row r="532" spans="1:28">
      <c r="A532" s="42"/>
      <c r="B532" s="39"/>
      <c r="C532" s="40"/>
      <c r="D532" s="42"/>
      <c r="E532" s="38"/>
      <c r="F532" s="43"/>
      <c r="G532" s="63"/>
      <c r="H532" s="58"/>
      <c r="I532" s="38"/>
      <c r="J532" s="38"/>
      <c r="K532" s="46"/>
      <c r="L532" s="47"/>
      <c r="M532" s="93"/>
      <c r="N532" s="93"/>
      <c r="O532" s="38"/>
      <c r="P532" s="38"/>
      <c r="Q532" s="14"/>
      <c r="R532" s="39"/>
      <c r="S532" s="39"/>
      <c r="T532" s="39"/>
      <c r="U532" s="40"/>
      <c r="V532" s="54"/>
      <c r="W532" s="55"/>
      <c r="X532" s="56"/>
      <c r="Y532" s="38"/>
      <c r="Z532" s="38"/>
      <c r="AA532" s="38"/>
      <c r="AB532" s="38"/>
    </row>
    <row r="533" spans="1:28">
      <c r="A533" s="42"/>
      <c r="B533" s="39"/>
      <c r="C533" s="40"/>
      <c r="D533" s="42"/>
      <c r="E533" s="38"/>
      <c r="F533" s="43"/>
      <c r="G533" s="63"/>
      <c r="H533" s="58"/>
      <c r="I533" s="38"/>
      <c r="J533" s="38"/>
      <c r="K533" s="46"/>
      <c r="L533" s="47"/>
      <c r="M533" s="93"/>
      <c r="N533" s="93"/>
      <c r="O533" s="38"/>
      <c r="P533" s="38"/>
      <c r="Q533" s="14"/>
      <c r="R533" s="39"/>
      <c r="S533" s="39"/>
      <c r="T533" s="39"/>
      <c r="U533" s="40"/>
      <c r="V533" s="54"/>
      <c r="W533" s="55"/>
      <c r="X533" s="56"/>
      <c r="Y533" s="38"/>
      <c r="Z533" s="38"/>
      <c r="AA533" s="38"/>
      <c r="AB533" s="38"/>
    </row>
    <row r="534" spans="1:28">
      <c r="A534" s="42"/>
      <c r="B534" s="39"/>
      <c r="C534" s="40"/>
      <c r="D534" s="42"/>
      <c r="E534" s="38"/>
      <c r="F534" s="43"/>
      <c r="G534" s="63"/>
      <c r="H534" s="58"/>
      <c r="I534" s="38"/>
      <c r="J534" s="38"/>
      <c r="K534" s="46"/>
      <c r="L534" s="47"/>
      <c r="M534" s="93"/>
      <c r="N534" s="93"/>
      <c r="O534" s="38"/>
      <c r="P534" s="38"/>
      <c r="Q534" s="14"/>
      <c r="R534" s="39"/>
      <c r="S534" s="39"/>
      <c r="T534" s="39"/>
      <c r="U534" s="40"/>
      <c r="V534" s="54"/>
      <c r="W534" s="55"/>
      <c r="X534" s="56"/>
      <c r="Y534" s="38"/>
      <c r="Z534" s="38"/>
      <c r="AA534" s="38"/>
      <c r="AB534" s="38"/>
    </row>
    <row r="535" spans="1:28">
      <c r="A535" s="42"/>
      <c r="B535" s="39"/>
      <c r="C535" s="40"/>
      <c r="D535" s="42"/>
      <c r="E535" s="38"/>
      <c r="F535" s="43"/>
      <c r="G535" s="63"/>
      <c r="H535" s="58"/>
      <c r="I535" s="38"/>
      <c r="J535" s="38"/>
      <c r="K535" s="46"/>
      <c r="L535" s="47"/>
      <c r="M535" s="93"/>
      <c r="N535" s="93"/>
      <c r="O535" s="38"/>
      <c r="P535" s="38"/>
      <c r="Q535" s="14"/>
      <c r="R535" s="39"/>
      <c r="S535" s="39"/>
      <c r="T535" s="39"/>
      <c r="U535" s="40"/>
      <c r="V535" s="54"/>
      <c r="W535" s="55"/>
      <c r="X535" s="56"/>
      <c r="Y535" s="38"/>
      <c r="Z535" s="38"/>
      <c r="AA535" s="38"/>
      <c r="AB535" s="38"/>
    </row>
    <row r="536" spans="1:28">
      <c r="A536" s="42"/>
      <c r="B536" s="39"/>
      <c r="C536" s="40"/>
      <c r="D536" s="42"/>
      <c r="E536" s="38"/>
      <c r="F536" s="43"/>
      <c r="G536" s="63"/>
      <c r="H536" s="58"/>
      <c r="I536" s="38"/>
      <c r="J536" s="38"/>
      <c r="K536" s="46"/>
      <c r="L536" s="47"/>
      <c r="M536" s="93"/>
      <c r="N536" s="93"/>
      <c r="O536" s="38"/>
      <c r="P536" s="38"/>
      <c r="Q536" s="14"/>
      <c r="R536" s="39"/>
      <c r="S536" s="39"/>
      <c r="T536" s="39"/>
      <c r="U536" s="40"/>
      <c r="V536" s="54"/>
      <c r="W536" s="55"/>
      <c r="X536" s="56"/>
      <c r="Y536" s="38"/>
      <c r="Z536" s="38"/>
      <c r="AA536" s="38"/>
      <c r="AB536" s="38"/>
    </row>
    <row r="537" spans="1:28">
      <c r="A537" s="42"/>
      <c r="B537" s="39"/>
      <c r="C537" s="40"/>
      <c r="D537" s="42"/>
      <c r="E537" s="38"/>
      <c r="F537" s="43"/>
      <c r="G537" s="63"/>
      <c r="H537" s="58"/>
      <c r="I537" s="38"/>
      <c r="J537" s="38"/>
      <c r="K537" s="46"/>
      <c r="L537" s="47"/>
      <c r="M537" s="93"/>
      <c r="N537" s="93"/>
      <c r="O537" s="38"/>
      <c r="P537" s="38"/>
      <c r="Q537" s="14"/>
      <c r="R537" s="39"/>
      <c r="S537" s="39"/>
      <c r="T537" s="39"/>
      <c r="U537" s="40"/>
      <c r="V537" s="54"/>
      <c r="W537" s="55"/>
      <c r="X537" s="56"/>
      <c r="Y537" s="38"/>
      <c r="Z537" s="38"/>
      <c r="AA537" s="38"/>
      <c r="AB537" s="38"/>
    </row>
    <row r="538" spans="1:28">
      <c r="A538" s="42"/>
      <c r="B538" s="39"/>
      <c r="C538" s="40"/>
      <c r="D538" s="42"/>
      <c r="E538" s="38"/>
      <c r="F538" s="43"/>
      <c r="G538" s="63"/>
      <c r="H538" s="58"/>
      <c r="I538" s="38"/>
      <c r="J538" s="38"/>
      <c r="K538" s="46"/>
      <c r="L538" s="47"/>
      <c r="M538" s="93"/>
      <c r="N538" s="93"/>
      <c r="O538" s="38"/>
      <c r="P538" s="38"/>
      <c r="Q538" s="14"/>
      <c r="R538" s="39"/>
      <c r="S538" s="39"/>
      <c r="T538" s="39"/>
      <c r="U538" s="40"/>
      <c r="V538" s="54"/>
      <c r="W538" s="55"/>
      <c r="X538" s="56"/>
      <c r="Y538" s="38"/>
      <c r="Z538" s="38"/>
      <c r="AA538" s="38"/>
      <c r="AB538" s="38"/>
    </row>
    <row r="539" spans="1:28">
      <c r="A539" s="42"/>
      <c r="B539" s="39"/>
      <c r="C539" s="40"/>
      <c r="D539" s="42"/>
      <c r="E539" s="38"/>
      <c r="F539" s="43"/>
      <c r="G539" s="63"/>
      <c r="H539" s="58"/>
      <c r="I539" s="38"/>
      <c r="J539" s="38"/>
      <c r="K539" s="46"/>
      <c r="L539" s="47"/>
      <c r="M539" s="93"/>
      <c r="N539" s="93"/>
      <c r="O539" s="38"/>
      <c r="P539" s="38"/>
      <c r="Q539" s="14"/>
      <c r="R539" s="39"/>
      <c r="S539" s="39"/>
      <c r="T539" s="39"/>
      <c r="U539" s="40"/>
      <c r="V539" s="54"/>
      <c r="W539" s="55"/>
      <c r="X539" s="56"/>
      <c r="Y539" s="38"/>
      <c r="Z539" s="38"/>
      <c r="AA539" s="38"/>
      <c r="AB539" s="38"/>
    </row>
    <row r="540" spans="1:28">
      <c r="A540" s="42"/>
      <c r="B540" s="39"/>
      <c r="C540" s="40"/>
      <c r="D540" s="42"/>
      <c r="E540" s="38"/>
      <c r="F540" s="43"/>
      <c r="G540" s="63"/>
      <c r="H540" s="58"/>
      <c r="I540" s="38"/>
      <c r="J540" s="38"/>
      <c r="K540" s="46"/>
      <c r="L540" s="47"/>
      <c r="M540" s="93"/>
      <c r="N540" s="93"/>
      <c r="O540" s="38"/>
      <c r="P540" s="38"/>
      <c r="Q540" s="14"/>
      <c r="R540" s="39"/>
      <c r="S540" s="39"/>
      <c r="T540" s="39"/>
      <c r="U540" s="40"/>
      <c r="V540" s="54"/>
      <c r="W540" s="55"/>
      <c r="X540" s="56"/>
      <c r="Y540" s="38"/>
      <c r="Z540" s="38"/>
      <c r="AA540" s="38"/>
      <c r="AB540" s="38"/>
    </row>
    <row r="541" spans="1:28">
      <c r="A541" s="42"/>
      <c r="B541" s="39"/>
      <c r="C541" s="40"/>
      <c r="D541" s="42"/>
      <c r="E541" s="38"/>
      <c r="F541" s="43"/>
      <c r="G541" s="63"/>
      <c r="H541" s="58"/>
      <c r="I541" s="38"/>
      <c r="J541" s="38"/>
      <c r="K541" s="46"/>
      <c r="L541" s="47"/>
      <c r="M541" s="93"/>
      <c r="N541" s="93"/>
      <c r="O541" s="38"/>
      <c r="P541" s="38"/>
      <c r="Q541" s="14"/>
      <c r="R541" s="39"/>
      <c r="S541" s="39"/>
      <c r="T541" s="39"/>
      <c r="U541" s="40"/>
      <c r="V541" s="54"/>
      <c r="W541" s="55"/>
      <c r="X541" s="56"/>
      <c r="Y541" s="38"/>
      <c r="Z541" s="38"/>
      <c r="AA541" s="38"/>
      <c r="AB541" s="38"/>
    </row>
    <row r="542" spans="1:28">
      <c r="A542" s="42"/>
      <c r="B542" s="39"/>
      <c r="C542" s="40"/>
      <c r="D542" s="42"/>
      <c r="E542" s="38"/>
      <c r="F542" s="43"/>
      <c r="G542" s="63"/>
      <c r="H542" s="58"/>
      <c r="I542" s="38"/>
      <c r="J542" s="38"/>
      <c r="K542" s="46"/>
      <c r="L542" s="47"/>
      <c r="M542" s="93"/>
      <c r="N542" s="93"/>
      <c r="O542" s="38"/>
      <c r="P542" s="38"/>
      <c r="Q542" s="14"/>
      <c r="R542" s="39"/>
      <c r="S542" s="39"/>
      <c r="T542" s="39"/>
      <c r="U542" s="40"/>
      <c r="V542" s="54"/>
      <c r="W542" s="55"/>
      <c r="X542" s="56"/>
      <c r="Y542" s="38"/>
      <c r="Z542" s="38"/>
      <c r="AA542" s="38"/>
      <c r="AB542" s="38"/>
    </row>
    <row r="543" spans="1:28">
      <c r="A543" s="42"/>
      <c r="B543" s="39"/>
      <c r="C543" s="40"/>
      <c r="D543" s="42"/>
      <c r="E543" s="38"/>
      <c r="F543" s="43"/>
      <c r="G543" s="63"/>
      <c r="H543" s="58"/>
      <c r="I543" s="38"/>
      <c r="J543" s="38"/>
      <c r="K543" s="46"/>
      <c r="L543" s="47"/>
      <c r="M543" s="93"/>
      <c r="N543" s="93"/>
      <c r="O543" s="38"/>
      <c r="P543" s="38"/>
      <c r="Q543" s="14"/>
      <c r="R543" s="39"/>
      <c r="S543" s="39"/>
      <c r="T543" s="39"/>
      <c r="U543" s="40"/>
      <c r="V543" s="54"/>
      <c r="W543" s="55"/>
      <c r="X543" s="56"/>
      <c r="Y543" s="38"/>
      <c r="Z543" s="38"/>
      <c r="AA543" s="38"/>
      <c r="AB543" s="38"/>
    </row>
    <row r="544" spans="1:28">
      <c r="A544" s="42"/>
      <c r="B544" s="39"/>
      <c r="C544" s="40"/>
      <c r="D544" s="42"/>
      <c r="E544" s="38"/>
      <c r="F544" s="43"/>
      <c r="G544" s="63"/>
      <c r="H544" s="58"/>
      <c r="I544" s="38"/>
      <c r="J544" s="38"/>
      <c r="K544" s="46"/>
      <c r="L544" s="47"/>
      <c r="M544" s="93"/>
      <c r="N544" s="93"/>
      <c r="O544" s="38"/>
      <c r="P544" s="38"/>
      <c r="Q544" s="14"/>
      <c r="R544" s="39"/>
      <c r="S544" s="39"/>
      <c r="T544" s="39"/>
      <c r="U544" s="40"/>
      <c r="V544" s="54"/>
      <c r="W544" s="55"/>
      <c r="X544" s="56"/>
      <c r="Y544" s="38"/>
      <c r="Z544" s="38"/>
      <c r="AA544" s="38"/>
      <c r="AB544" s="38"/>
    </row>
    <row r="545" spans="1:28">
      <c r="A545" s="42"/>
      <c r="B545" s="39"/>
      <c r="C545" s="40"/>
      <c r="D545" s="42"/>
      <c r="E545" s="38"/>
      <c r="F545" s="43"/>
      <c r="G545" s="63"/>
      <c r="H545" s="58"/>
      <c r="I545" s="38"/>
      <c r="J545" s="38"/>
      <c r="K545" s="46"/>
      <c r="L545" s="47"/>
      <c r="M545" s="93"/>
      <c r="N545" s="93"/>
      <c r="O545" s="38"/>
      <c r="P545" s="38"/>
      <c r="Q545" s="14"/>
      <c r="R545" s="39"/>
      <c r="S545" s="39"/>
      <c r="T545" s="39"/>
      <c r="U545" s="40"/>
      <c r="V545" s="54"/>
      <c r="W545" s="55"/>
      <c r="X545" s="56"/>
      <c r="Y545" s="38"/>
      <c r="Z545" s="38"/>
      <c r="AA545" s="38"/>
      <c r="AB545" s="38"/>
    </row>
    <row r="546" spans="1:28">
      <c r="A546" s="42"/>
      <c r="B546" s="39"/>
      <c r="C546" s="40"/>
      <c r="D546" s="42"/>
      <c r="E546" s="38"/>
      <c r="F546" s="43"/>
      <c r="G546" s="63"/>
      <c r="H546" s="58"/>
      <c r="I546" s="38"/>
      <c r="J546" s="38"/>
      <c r="K546" s="46"/>
      <c r="L546" s="47"/>
      <c r="M546" s="93"/>
      <c r="N546" s="93"/>
      <c r="O546" s="38"/>
      <c r="P546" s="38"/>
      <c r="Q546" s="14"/>
      <c r="R546" s="39"/>
      <c r="S546" s="39"/>
      <c r="T546" s="39"/>
      <c r="U546" s="40"/>
      <c r="V546" s="54"/>
      <c r="W546" s="55"/>
      <c r="X546" s="56"/>
      <c r="Y546" s="38"/>
      <c r="Z546" s="38"/>
      <c r="AA546" s="38"/>
      <c r="AB546" s="38"/>
    </row>
    <row r="547" spans="1:28">
      <c r="A547" s="42"/>
      <c r="B547" s="39"/>
      <c r="C547" s="40"/>
      <c r="D547" s="42"/>
      <c r="E547" s="38"/>
      <c r="F547" s="43"/>
      <c r="G547" s="63"/>
      <c r="H547" s="58"/>
      <c r="I547" s="38"/>
      <c r="J547" s="38"/>
      <c r="K547" s="46"/>
      <c r="L547" s="47"/>
      <c r="M547" s="93"/>
      <c r="N547" s="93"/>
      <c r="O547" s="38"/>
      <c r="P547" s="38"/>
      <c r="Q547" s="14"/>
      <c r="R547" s="39"/>
      <c r="S547" s="39"/>
      <c r="T547" s="39"/>
      <c r="U547" s="40"/>
      <c r="V547" s="54"/>
      <c r="W547" s="55"/>
      <c r="X547" s="56"/>
      <c r="Y547" s="38"/>
      <c r="Z547" s="38"/>
      <c r="AA547" s="38"/>
      <c r="AB547" s="38"/>
    </row>
    <row r="548" spans="1:28">
      <c r="A548" s="42"/>
      <c r="B548" s="39"/>
      <c r="C548" s="40"/>
      <c r="D548" s="42"/>
      <c r="E548" s="38"/>
      <c r="F548" s="43"/>
      <c r="G548" s="63"/>
      <c r="H548" s="58"/>
      <c r="I548" s="38"/>
      <c r="J548" s="38"/>
      <c r="K548" s="46"/>
      <c r="L548" s="47"/>
      <c r="M548" s="93"/>
      <c r="N548" s="93"/>
      <c r="O548" s="38"/>
      <c r="P548" s="38"/>
      <c r="Q548" s="14"/>
      <c r="R548" s="39"/>
      <c r="S548" s="39"/>
      <c r="T548" s="39"/>
      <c r="U548" s="40"/>
      <c r="V548" s="54"/>
      <c r="W548" s="55"/>
      <c r="X548" s="56"/>
      <c r="Y548" s="38"/>
      <c r="Z548" s="38"/>
      <c r="AA548" s="38"/>
      <c r="AB548" s="38"/>
    </row>
    <row r="549" spans="1:28">
      <c r="A549" s="42"/>
      <c r="B549" s="39"/>
      <c r="C549" s="40"/>
      <c r="D549" s="42"/>
      <c r="E549" s="38"/>
      <c r="F549" s="43"/>
      <c r="G549" s="63"/>
      <c r="H549" s="58"/>
      <c r="I549" s="38"/>
      <c r="J549" s="38"/>
      <c r="K549" s="46"/>
      <c r="L549" s="47"/>
      <c r="M549" s="93"/>
      <c r="N549" s="93"/>
      <c r="O549" s="38"/>
      <c r="P549" s="38"/>
      <c r="Q549" s="14"/>
      <c r="R549" s="39"/>
      <c r="S549" s="39"/>
      <c r="T549" s="39"/>
      <c r="U549" s="40"/>
      <c r="V549" s="54"/>
      <c r="W549" s="55"/>
      <c r="X549" s="56"/>
      <c r="Y549" s="38"/>
      <c r="Z549" s="38"/>
      <c r="AA549" s="38"/>
      <c r="AB549" s="38"/>
    </row>
    <row r="550" spans="1:28">
      <c r="A550" s="42"/>
      <c r="B550" s="39"/>
      <c r="C550" s="40"/>
      <c r="D550" s="42"/>
      <c r="E550" s="38"/>
      <c r="F550" s="43"/>
      <c r="G550" s="63"/>
      <c r="H550" s="58"/>
      <c r="I550" s="38"/>
      <c r="J550" s="38"/>
      <c r="K550" s="46"/>
      <c r="L550" s="47"/>
      <c r="M550" s="93"/>
      <c r="N550" s="93"/>
      <c r="O550" s="38"/>
      <c r="P550" s="38"/>
      <c r="Q550" s="14"/>
      <c r="R550" s="39"/>
      <c r="S550" s="39"/>
      <c r="T550" s="39"/>
      <c r="U550" s="40"/>
      <c r="V550" s="54"/>
      <c r="W550" s="55"/>
      <c r="X550" s="56"/>
      <c r="Y550" s="38"/>
      <c r="Z550" s="38"/>
      <c r="AA550" s="38"/>
      <c r="AB550" s="38"/>
    </row>
    <row r="551" spans="1:28">
      <c r="A551" s="42"/>
      <c r="B551" s="39"/>
      <c r="C551" s="40"/>
      <c r="D551" s="42"/>
      <c r="E551" s="38"/>
      <c r="F551" s="43"/>
      <c r="G551" s="63"/>
      <c r="H551" s="58"/>
      <c r="I551" s="38"/>
      <c r="J551" s="38"/>
      <c r="K551" s="46"/>
      <c r="L551" s="47"/>
      <c r="M551" s="93"/>
      <c r="N551" s="93"/>
      <c r="O551" s="38"/>
      <c r="P551" s="38"/>
      <c r="Q551" s="14"/>
      <c r="R551" s="39"/>
      <c r="S551" s="39"/>
      <c r="T551" s="39"/>
      <c r="U551" s="40"/>
      <c r="V551" s="54"/>
      <c r="W551" s="55"/>
      <c r="X551" s="56"/>
      <c r="Y551" s="38"/>
      <c r="Z551" s="38"/>
      <c r="AA551" s="38"/>
      <c r="AB551" s="38"/>
    </row>
    <row r="552" spans="1:28">
      <c r="A552" s="42"/>
      <c r="B552" s="39"/>
      <c r="C552" s="40"/>
      <c r="D552" s="42"/>
      <c r="E552" s="38"/>
      <c r="F552" s="43"/>
      <c r="G552" s="63"/>
      <c r="H552" s="58"/>
      <c r="I552" s="38"/>
      <c r="J552" s="38"/>
      <c r="K552" s="46"/>
      <c r="L552" s="47"/>
      <c r="M552" s="93"/>
      <c r="N552" s="93"/>
      <c r="O552" s="38"/>
      <c r="P552" s="38"/>
      <c r="Q552" s="14"/>
      <c r="R552" s="39"/>
      <c r="S552" s="39"/>
      <c r="T552" s="39"/>
      <c r="U552" s="40"/>
      <c r="V552" s="54"/>
      <c r="W552" s="55"/>
      <c r="X552" s="56"/>
      <c r="Y552" s="38"/>
      <c r="Z552" s="38"/>
      <c r="AA552" s="38"/>
      <c r="AB552" s="38"/>
    </row>
    <row r="553" spans="1:28">
      <c r="A553" s="42"/>
      <c r="B553" s="39"/>
      <c r="C553" s="40"/>
      <c r="D553" s="42"/>
      <c r="E553" s="38"/>
      <c r="F553" s="43"/>
      <c r="G553" s="63"/>
      <c r="H553" s="58"/>
      <c r="I553" s="38"/>
      <c r="J553" s="38"/>
      <c r="K553" s="46"/>
      <c r="L553" s="47"/>
      <c r="M553" s="93"/>
      <c r="N553" s="93"/>
      <c r="O553" s="38"/>
      <c r="P553" s="38"/>
      <c r="Q553" s="14"/>
      <c r="R553" s="39"/>
      <c r="S553" s="39"/>
      <c r="T553" s="39"/>
      <c r="U553" s="40"/>
      <c r="V553" s="54"/>
      <c r="W553" s="55"/>
      <c r="X553" s="56"/>
      <c r="Y553" s="38"/>
      <c r="Z553" s="38"/>
      <c r="AA553" s="38"/>
      <c r="AB553" s="38"/>
    </row>
    <row r="554" spans="1:28">
      <c r="A554" s="42"/>
      <c r="B554" s="39"/>
      <c r="C554" s="40"/>
      <c r="D554" s="42"/>
      <c r="E554" s="38"/>
      <c r="F554" s="43"/>
      <c r="G554" s="63"/>
      <c r="H554" s="58"/>
      <c r="I554" s="38"/>
      <c r="J554" s="38"/>
      <c r="K554" s="46"/>
      <c r="L554" s="47"/>
      <c r="M554" s="93"/>
      <c r="N554" s="93"/>
      <c r="O554" s="38"/>
      <c r="P554" s="38"/>
      <c r="Q554" s="14"/>
      <c r="R554" s="39"/>
      <c r="S554" s="39"/>
      <c r="T554" s="39"/>
      <c r="U554" s="40"/>
      <c r="V554" s="54"/>
      <c r="W554" s="55"/>
      <c r="X554" s="56"/>
      <c r="Y554" s="38"/>
      <c r="Z554" s="38"/>
      <c r="AA554" s="38"/>
      <c r="AB554" s="38"/>
    </row>
    <row r="555" spans="1:28">
      <c r="A555" s="42"/>
      <c r="B555" s="39"/>
      <c r="C555" s="40"/>
      <c r="D555" s="42"/>
      <c r="E555" s="38"/>
      <c r="F555" s="43"/>
      <c r="G555" s="63"/>
      <c r="H555" s="58"/>
      <c r="I555" s="38"/>
      <c r="J555" s="38"/>
      <c r="K555" s="46"/>
      <c r="L555" s="47"/>
      <c r="M555" s="93"/>
      <c r="N555" s="93"/>
      <c r="O555" s="38"/>
      <c r="P555" s="38"/>
      <c r="Q555" s="14"/>
      <c r="R555" s="39"/>
      <c r="S555" s="39"/>
      <c r="T555" s="39"/>
      <c r="U555" s="40"/>
      <c r="V555" s="54"/>
      <c r="W555" s="55"/>
      <c r="X555" s="56"/>
      <c r="Y555" s="38"/>
      <c r="Z555" s="38"/>
      <c r="AA555" s="38"/>
      <c r="AB555" s="38"/>
    </row>
    <row r="556" spans="1:28">
      <c r="A556" s="42"/>
      <c r="B556" s="39"/>
      <c r="C556" s="40"/>
      <c r="D556" s="42"/>
      <c r="E556" s="38"/>
      <c r="F556" s="43"/>
      <c r="G556" s="63"/>
      <c r="H556" s="58"/>
      <c r="I556" s="38"/>
      <c r="J556" s="38"/>
      <c r="K556" s="46"/>
      <c r="L556" s="47"/>
      <c r="M556" s="93"/>
      <c r="N556" s="93"/>
      <c r="O556" s="38"/>
      <c r="P556" s="38"/>
      <c r="Q556" s="14"/>
      <c r="R556" s="39"/>
      <c r="S556" s="39"/>
      <c r="T556" s="39"/>
      <c r="U556" s="40"/>
      <c r="V556" s="54"/>
      <c r="W556" s="55"/>
      <c r="X556" s="56"/>
      <c r="Y556" s="38"/>
      <c r="Z556" s="38"/>
      <c r="AA556" s="38"/>
      <c r="AB556" s="38"/>
    </row>
    <row r="557" spans="1:28">
      <c r="A557" s="42"/>
      <c r="B557" s="39"/>
      <c r="C557" s="40"/>
      <c r="D557" s="42"/>
      <c r="E557" s="38"/>
      <c r="F557" s="43"/>
      <c r="G557" s="63"/>
      <c r="H557" s="58"/>
      <c r="I557" s="38"/>
      <c r="J557" s="38"/>
      <c r="K557" s="46"/>
      <c r="L557" s="47"/>
      <c r="M557" s="93"/>
      <c r="N557" s="93"/>
      <c r="O557" s="38"/>
      <c r="P557" s="38"/>
      <c r="Q557" s="14"/>
      <c r="R557" s="39"/>
      <c r="S557" s="39"/>
      <c r="T557" s="39"/>
      <c r="U557" s="40"/>
      <c r="V557" s="54"/>
      <c r="W557" s="55"/>
      <c r="X557" s="56"/>
      <c r="Y557" s="38"/>
      <c r="Z557" s="38"/>
      <c r="AA557" s="38"/>
      <c r="AB557" s="38"/>
    </row>
    <row r="558" spans="1:28">
      <c r="A558" s="42"/>
      <c r="B558" s="39"/>
      <c r="C558" s="40"/>
      <c r="D558" s="42"/>
      <c r="E558" s="38"/>
      <c r="F558" s="43"/>
      <c r="G558" s="63"/>
      <c r="H558" s="58"/>
      <c r="I558" s="38"/>
      <c r="J558" s="38"/>
      <c r="K558" s="46"/>
      <c r="L558" s="47"/>
      <c r="M558" s="93"/>
      <c r="N558" s="93"/>
      <c r="O558" s="38"/>
      <c r="P558" s="38"/>
      <c r="Q558" s="14"/>
      <c r="R558" s="39"/>
      <c r="S558" s="39"/>
      <c r="T558" s="39"/>
      <c r="U558" s="40"/>
      <c r="V558" s="54"/>
      <c r="W558" s="55"/>
      <c r="X558" s="56"/>
      <c r="Y558" s="38"/>
      <c r="Z558" s="38"/>
      <c r="AA558" s="38"/>
      <c r="AB558" s="38"/>
    </row>
    <row r="559" spans="1:28">
      <c r="A559" s="42"/>
      <c r="B559" s="39"/>
      <c r="C559" s="40"/>
      <c r="D559" s="42"/>
      <c r="E559" s="38"/>
      <c r="F559" s="43"/>
      <c r="G559" s="63"/>
      <c r="H559" s="58"/>
      <c r="I559" s="38"/>
      <c r="J559" s="38"/>
      <c r="K559" s="46"/>
      <c r="L559" s="47"/>
      <c r="M559" s="93"/>
      <c r="N559" s="93"/>
      <c r="O559" s="38"/>
      <c r="P559" s="38"/>
      <c r="Q559" s="14"/>
      <c r="R559" s="39"/>
      <c r="S559" s="39"/>
      <c r="T559" s="39"/>
      <c r="U559" s="40"/>
      <c r="V559" s="54"/>
      <c r="W559" s="55"/>
      <c r="X559" s="56"/>
      <c r="Y559" s="38"/>
      <c r="Z559" s="38"/>
      <c r="AA559" s="38"/>
      <c r="AB559" s="38"/>
    </row>
    <row r="560" spans="1:28">
      <c r="A560" s="42"/>
      <c r="B560" s="39"/>
      <c r="C560" s="40"/>
      <c r="D560" s="42"/>
      <c r="E560" s="38"/>
      <c r="F560" s="43"/>
      <c r="G560" s="63"/>
      <c r="H560" s="58"/>
      <c r="I560" s="38"/>
      <c r="J560" s="38"/>
      <c r="K560" s="46"/>
      <c r="L560" s="47"/>
      <c r="M560" s="93"/>
      <c r="N560" s="93"/>
      <c r="O560" s="38"/>
      <c r="P560" s="38"/>
      <c r="Q560" s="14"/>
      <c r="R560" s="39"/>
      <c r="S560" s="39"/>
      <c r="T560" s="39"/>
      <c r="U560" s="40"/>
      <c r="V560" s="54"/>
      <c r="W560" s="55"/>
      <c r="X560" s="56"/>
      <c r="Y560" s="38"/>
      <c r="Z560" s="38"/>
      <c r="AA560" s="38"/>
      <c r="AB560" s="38"/>
    </row>
    <row r="561" spans="1:28">
      <c r="A561" s="42"/>
      <c r="B561" s="39"/>
      <c r="C561" s="40"/>
      <c r="D561" s="42"/>
      <c r="E561" s="38"/>
      <c r="F561" s="43"/>
      <c r="G561" s="63"/>
      <c r="H561" s="58"/>
      <c r="I561" s="38"/>
      <c r="J561" s="38"/>
      <c r="K561" s="46"/>
      <c r="L561" s="47"/>
      <c r="M561" s="93"/>
      <c r="N561" s="93"/>
      <c r="O561" s="38"/>
      <c r="P561" s="38"/>
      <c r="Q561" s="14"/>
      <c r="R561" s="39"/>
      <c r="S561" s="39"/>
      <c r="T561" s="39"/>
      <c r="U561" s="40"/>
      <c r="V561" s="54"/>
      <c r="W561" s="55"/>
      <c r="X561" s="56"/>
      <c r="Y561" s="38"/>
      <c r="Z561" s="38"/>
      <c r="AA561" s="38"/>
      <c r="AB561" s="38"/>
    </row>
    <row r="562" spans="1:28">
      <c r="A562" s="42"/>
      <c r="B562" s="39"/>
      <c r="C562" s="40"/>
      <c r="D562" s="42"/>
      <c r="E562" s="38"/>
      <c r="F562" s="43"/>
      <c r="G562" s="63"/>
      <c r="H562" s="58"/>
      <c r="I562" s="38"/>
      <c r="J562" s="38"/>
      <c r="K562" s="46"/>
      <c r="L562" s="47"/>
      <c r="M562" s="93"/>
      <c r="N562" s="93"/>
      <c r="O562" s="38"/>
      <c r="P562" s="38"/>
      <c r="Q562" s="14"/>
      <c r="R562" s="39"/>
      <c r="S562" s="39"/>
      <c r="T562" s="39"/>
      <c r="U562" s="40"/>
      <c r="V562" s="54"/>
      <c r="W562" s="55"/>
      <c r="X562" s="56"/>
      <c r="Y562" s="38"/>
      <c r="Z562" s="38"/>
      <c r="AA562" s="38"/>
      <c r="AB562" s="38"/>
    </row>
    <row r="563" spans="1:28">
      <c r="A563" s="42"/>
      <c r="B563" s="39"/>
      <c r="C563" s="40"/>
      <c r="D563" s="42"/>
      <c r="E563" s="38"/>
      <c r="F563" s="43"/>
      <c r="G563" s="63"/>
      <c r="H563" s="58"/>
      <c r="I563" s="38"/>
      <c r="J563" s="38"/>
      <c r="K563" s="46"/>
      <c r="L563" s="47"/>
      <c r="M563" s="93"/>
      <c r="N563" s="93"/>
      <c r="O563" s="38"/>
      <c r="P563" s="38"/>
      <c r="Q563" s="14"/>
      <c r="R563" s="39"/>
      <c r="S563" s="39"/>
      <c r="T563" s="39"/>
      <c r="U563" s="40"/>
      <c r="V563" s="54"/>
      <c r="W563" s="55"/>
      <c r="X563" s="56"/>
      <c r="Y563" s="38"/>
      <c r="Z563" s="38"/>
      <c r="AA563" s="38"/>
      <c r="AB563" s="38"/>
    </row>
    <row r="564" spans="1:28">
      <c r="A564" s="42"/>
      <c r="B564" s="39"/>
      <c r="C564" s="40"/>
      <c r="D564" s="42"/>
      <c r="E564" s="38"/>
      <c r="F564" s="43"/>
      <c r="G564" s="63"/>
      <c r="H564" s="58"/>
      <c r="I564" s="38"/>
      <c r="J564" s="38"/>
      <c r="K564" s="46"/>
      <c r="L564" s="47"/>
      <c r="M564" s="93"/>
      <c r="N564" s="93"/>
      <c r="O564" s="38"/>
      <c r="P564" s="38"/>
      <c r="Q564" s="14"/>
      <c r="R564" s="39"/>
      <c r="S564" s="39"/>
      <c r="T564" s="39"/>
      <c r="U564" s="40"/>
      <c r="V564" s="54"/>
      <c r="W564" s="55"/>
      <c r="X564" s="56"/>
      <c r="Y564" s="38"/>
      <c r="Z564" s="38"/>
      <c r="AA564" s="38"/>
      <c r="AB564" s="38"/>
    </row>
    <row r="565" spans="1:28">
      <c r="A565" s="42"/>
      <c r="B565" s="39"/>
      <c r="C565" s="40"/>
      <c r="D565" s="42"/>
      <c r="E565" s="38"/>
      <c r="F565" s="43"/>
      <c r="G565" s="63"/>
      <c r="H565" s="58"/>
      <c r="I565" s="38"/>
      <c r="J565" s="38"/>
      <c r="K565" s="46"/>
      <c r="L565" s="47"/>
      <c r="M565" s="93"/>
      <c r="N565" s="93"/>
      <c r="O565" s="38"/>
      <c r="P565" s="38"/>
      <c r="Q565" s="14"/>
      <c r="R565" s="39"/>
      <c r="S565" s="39"/>
      <c r="T565" s="39"/>
      <c r="U565" s="40"/>
      <c r="V565" s="54"/>
      <c r="W565" s="55"/>
      <c r="X565" s="56"/>
      <c r="Y565" s="38"/>
      <c r="Z565" s="38"/>
      <c r="AA565" s="38"/>
      <c r="AB565" s="38"/>
    </row>
    <row r="566" spans="1:28">
      <c r="A566" s="42"/>
      <c r="B566" s="39"/>
      <c r="C566" s="40"/>
      <c r="D566" s="42"/>
      <c r="E566" s="38"/>
      <c r="F566" s="43"/>
      <c r="G566" s="63"/>
      <c r="H566" s="58"/>
      <c r="I566" s="38"/>
      <c r="J566" s="38"/>
      <c r="K566" s="46"/>
      <c r="L566" s="47"/>
      <c r="M566" s="93"/>
      <c r="N566" s="93"/>
      <c r="O566" s="38"/>
      <c r="P566" s="38"/>
      <c r="Q566" s="14"/>
      <c r="R566" s="39"/>
      <c r="S566" s="39"/>
      <c r="T566" s="39"/>
      <c r="U566" s="40"/>
      <c r="V566" s="54"/>
      <c r="W566" s="55"/>
      <c r="X566" s="56"/>
      <c r="Y566" s="38"/>
      <c r="Z566" s="38"/>
      <c r="AA566" s="38"/>
      <c r="AB566" s="38"/>
    </row>
    <row r="567" spans="1:28">
      <c r="A567" s="42"/>
      <c r="B567" s="39"/>
      <c r="C567" s="40"/>
      <c r="D567" s="42"/>
      <c r="E567" s="38"/>
      <c r="F567" s="43"/>
      <c r="G567" s="63"/>
      <c r="H567" s="58"/>
      <c r="I567" s="38"/>
      <c r="J567" s="38"/>
      <c r="K567" s="46"/>
      <c r="L567" s="47"/>
      <c r="M567" s="93"/>
      <c r="N567" s="93"/>
      <c r="O567" s="38"/>
      <c r="P567" s="38"/>
      <c r="Q567" s="14"/>
      <c r="R567" s="39"/>
      <c r="S567" s="39"/>
      <c r="T567" s="39"/>
      <c r="U567" s="40"/>
      <c r="V567" s="54"/>
      <c r="W567" s="55"/>
      <c r="X567" s="56"/>
      <c r="Y567" s="38"/>
      <c r="Z567" s="38"/>
      <c r="AA567" s="38"/>
      <c r="AB567" s="38"/>
    </row>
    <row r="568" spans="1:28">
      <c r="A568" s="42"/>
      <c r="B568" s="39"/>
      <c r="C568" s="40"/>
      <c r="D568" s="42"/>
      <c r="E568" s="38"/>
      <c r="F568" s="43"/>
      <c r="G568" s="63"/>
      <c r="H568" s="58"/>
      <c r="I568" s="38"/>
      <c r="J568" s="38"/>
      <c r="K568" s="46"/>
      <c r="L568" s="47"/>
      <c r="M568" s="93"/>
      <c r="N568" s="93"/>
      <c r="O568" s="38"/>
      <c r="P568" s="38"/>
      <c r="Q568" s="14"/>
      <c r="R568" s="39"/>
      <c r="S568" s="39"/>
      <c r="T568" s="39"/>
      <c r="U568" s="40"/>
      <c r="V568" s="54"/>
      <c r="W568" s="55"/>
      <c r="X568" s="56"/>
      <c r="Y568" s="38"/>
      <c r="Z568" s="38"/>
      <c r="AA568" s="38"/>
      <c r="AB568" s="38"/>
    </row>
    <row r="569" spans="1:28">
      <c r="A569" s="42"/>
      <c r="B569" s="39"/>
      <c r="C569" s="40"/>
      <c r="D569" s="42"/>
      <c r="E569" s="38"/>
      <c r="F569" s="43"/>
      <c r="G569" s="63"/>
      <c r="H569" s="58"/>
      <c r="I569" s="38"/>
      <c r="J569" s="38"/>
      <c r="K569" s="46"/>
      <c r="L569" s="47"/>
      <c r="M569" s="93"/>
      <c r="N569" s="93"/>
      <c r="O569" s="38"/>
      <c r="P569" s="38"/>
      <c r="Q569" s="14"/>
      <c r="R569" s="39"/>
      <c r="S569" s="39"/>
      <c r="T569" s="39"/>
      <c r="U569" s="40"/>
      <c r="V569" s="54"/>
      <c r="W569" s="55"/>
      <c r="X569" s="56"/>
      <c r="Y569" s="38"/>
      <c r="Z569" s="38"/>
      <c r="AA569" s="38"/>
      <c r="AB569" s="38"/>
    </row>
    <row r="570" spans="1:28">
      <c r="A570" s="42"/>
      <c r="B570" s="39"/>
      <c r="C570" s="40"/>
      <c r="D570" s="42"/>
      <c r="E570" s="38"/>
      <c r="F570" s="43"/>
      <c r="G570" s="63"/>
      <c r="H570" s="58"/>
      <c r="I570" s="38"/>
      <c r="J570" s="38"/>
      <c r="K570" s="46"/>
      <c r="L570" s="47"/>
      <c r="M570" s="93"/>
      <c r="N570" s="93"/>
      <c r="O570" s="38"/>
      <c r="P570" s="38"/>
      <c r="Q570" s="14"/>
      <c r="R570" s="39"/>
      <c r="S570" s="39"/>
      <c r="T570" s="39"/>
      <c r="U570" s="40"/>
      <c r="V570" s="54"/>
      <c r="W570" s="55"/>
      <c r="X570" s="56"/>
      <c r="Y570" s="38"/>
      <c r="Z570" s="38"/>
      <c r="AA570" s="38"/>
      <c r="AB570" s="38"/>
    </row>
    <row r="571" spans="1:28">
      <c r="A571" s="42"/>
      <c r="B571" s="39"/>
      <c r="C571" s="40"/>
      <c r="D571" s="42"/>
      <c r="E571" s="38"/>
      <c r="F571" s="43"/>
      <c r="G571" s="63"/>
      <c r="H571" s="58"/>
      <c r="I571" s="38"/>
      <c r="J571" s="38"/>
      <c r="K571" s="46"/>
      <c r="L571" s="47"/>
      <c r="M571" s="93"/>
      <c r="N571" s="93"/>
      <c r="O571" s="38"/>
      <c r="P571" s="38"/>
      <c r="Q571" s="14"/>
      <c r="R571" s="39"/>
      <c r="S571" s="39"/>
      <c r="T571" s="39"/>
      <c r="U571" s="40"/>
      <c r="V571" s="54"/>
      <c r="W571" s="55"/>
      <c r="X571" s="56"/>
      <c r="Y571" s="38"/>
      <c r="Z571" s="38"/>
      <c r="AA571" s="38"/>
      <c r="AB571" s="38"/>
    </row>
    <row r="572" spans="1:28">
      <c r="A572" s="42"/>
      <c r="B572" s="39"/>
      <c r="C572" s="40"/>
      <c r="D572" s="42"/>
      <c r="E572" s="38"/>
      <c r="F572" s="43"/>
      <c r="G572" s="63"/>
      <c r="H572" s="58"/>
      <c r="I572" s="38"/>
      <c r="J572" s="38"/>
      <c r="K572" s="46"/>
      <c r="L572" s="47"/>
      <c r="M572" s="93"/>
      <c r="N572" s="93"/>
      <c r="O572" s="38"/>
      <c r="P572" s="38"/>
      <c r="Q572" s="14"/>
      <c r="R572" s="39"/>
      <c r="S572" s="39"/>
      <c r="T572" s="39"/>
      <c r="U572" s="40"/>
      <c r="V572" s="54"/>
      <c r="W572" s="55"/>
      <c r="X572" s="56"/>
      <c r="Y572" s="38"/>
      <c r="Z572" s="38"/>
      <c r="AA572" s="38"/>
      <c r="AB572" s="38"/>
    </row>
    <row r="573" spans="1:28">
      <c r="A573" s="42"/>
      <c r="B573" s="39"/>
      <c r="C573" s="40"/>
      <c r="D573" s="42"/>
      <c r="E573" s="38"/>
      <c r="F573" s="43"/>
      <c r="G573" s="63"/>
      <c r="H573" s="58"/>
      <c r="I573" s="38"/>
      <c r="J573" s="38"/>
      <c r="K573" s="46"/>
      <c r="L573" s="47"/>
      <c r="M573" s="93"/>
      <c r="N573" s="93"/>
      <c r="O573" s="38"/>
      <c r="P573" s="38"/>
      <c r="Q573" s="14"/>
      <c r="R573" s="39"/>
      <c r="S573" s="39"/>
      <c r="T573" s="39"/>
      <c r="U573" s="40"/>
      <c r="V573" s="54"/>
      <c r="W573" s="55"/>
      <c r="X573" s="56"/>
      <c r="Y573" s="38"/>
      <c r="Z573" s="38"/>
      <c r="AA573" s="38"/>
      <c r="AB573" s="38"/>
    </row>
    <row r="574" spans="1:28">
      <c r="A574" s="42"/>
      <c r="B574" s="39"/>
      <c r="C574" s="40"/>
      <c r="D574" s="42"/>
      <c r="E574" s="38"/>
      <c r="F574" s="43"/>
      <c r="G574" s="63"/>
      <c r="H574" s="58"/>
      <c r="I574" s="38"/>
      <c r="J574" s="38"/>
      <c r="K574" s="46"/>
      <c r="L574" s="47"/>
      <c r="M574" s="93"/>
      <c r="N574" s="93"/>
      <c r="O574" s="38"/>
      <c r="P574" s="38"/>
      <c r="Q574" s="14"/>
      <c r="R574" s="39"/>
      <c r="S574" s="39"/>
      <c r="T574" s="39"/>
      <c r="U574" s="40"/>
      <c r="V574" s="54"/>
      <c r="W574" s="55"/>
      <c r="X574" s="56"/>
      <c r="Y574" s="38"/>
      <c r="Z574" s="38"/>
      <c r="AA574" s="38"/>
      <c r="AB574" s="38"/>
    </row>
    <row r="575" spans="1:28">
      <c r="A575" s="42"/>
      <c r="B575" s="39"/>
      <c r="C575" s="40"/>
      <c r="D575" s="42"/>
      <c r="E575" s="38"/>
      <c r="F575" s="43"/>
      <c r="G575" s="63"/>
      <c r="H575" s="58"/>
      <c r="I575" s="38"/>
      <c r="J575" s="38"/>
      <c r="K575" s="46"/>
      <c r="L575" s="47"/>
      <c r="M575" s="93"/>
      <c r="N575" s="93"/>
      <c r="O575" s="38"/>
      <c r="P575" s="38"/>
      <c r="Q575" s="14"/>
      <c r="R575" s="39"/>
      <c r="S575" s="39"/>
      <c r="T575" s="39"/>
      <c r="U575" s="40"/>
      <c r="V575" s="54"/>
      <c r="W575" s="55"/>
      <c r="X575" s="56"/>
      <c r="Y575" s="38"/>
      <c r="Z575" s="38"/>
      <c r="AA575" s="38"/>
      <c r="AB575" s="38"/>
    </row>
    <row r="576" spans="1:28">
      <c r="A576" s="42"/>
      <c r="B576" s="39"/>
      <c r="C576" s="40"/>
      <c r="D576" s="42"/>
      <c r="E576" s="38"/>
      <c r="F576" s="43"/>
      <c r="G576" s="63"/>
      <c r="H576" s="58"/>
      <c r="I576" s="38"/>
      <c r="J576" s="38"/>
      <c r="K576" s="46"/>
      <c r="L576" s="47"/>
      <c r="M576" s="93"/>
      <c r="N576" s="93"/>
      <c r="O576" s="38"/>
      <c r="P576" s="38"/>
      <c r="Q576" s="14"/>
      <c r="R576" s="39"/>
      <c r="S576" s="39"/>
      <c r="T576" s="39"/>
      <c r="U576" s="40"/>
      <c r="V576" s="54"/>
      <c r="W576" s="55"/>
      <c r="X576" s="56"/>
      <c r="Y576" s="38"/>
      <c r="Z576" s="38"/>
      <c r="AA576" s="38"/>
      <c r="AB576" s="38"/>
    </row>
    <row r="577" spans="1:28">
      <c r="A577" s="42"/>
      <c r="B577" s="39"/>
      <c r="C577" s="40"/>
      <c r="D577" s="42"/>
      <c r="E577" s="38"/>
      <c r="F577" s="43"/>
      <c r="G577" s="63"/>
      <c r="H577" s="58"/>
      <c r="I577" s="38"/>
      <c r="J577" s="38"/>
      <c r="K577" s="46"/>
      <c r="L577" s="47"/>
      <c r="M577" s="93"/>
      <c r="N577" s="93"/>
      <c r="O577" s="38"/>
      <c r="P577" s="38"/>
      <c r="Q577" s="14"/>
      <c r="R577" s="39"/>
      <c r="S577" s="39"/>
      <c r="T577" s="39"/>
      <c r="U577" s="40"/>
      <c r="V577" s="54"/>
      <c r="W577" s="55"/>
      <c r="X577" s="56"/>
      <c r="Y577" s="38"/>
      <c r="Z577" s="38"/>
      <c r="AA577" s="38"/>
      <c r="AB577" s="38"/>
    </row>
    <row r="578" spans="1:28">
      <c r="A578" s="42"/>
      <c r="B578" s="39"/>
      <c r="C578" s="40"/>
      <c r="D578" s="42"/>
      <c r="E578" s="38"/>
      <c r="F578" s="43"/>
      <c r="G578" s="63"/>
      <c r="H578" s="58"/>
      <c r="I578" s="38"/>
      <c r="J578" s="38"/>
      <c r="K578" s="46"/>
      <c r="L578" s="47"/>
      <c r="M578" s="93"/>
      <c r="N578" s="93"/>
      <c r="O578" s="38"/>
      <c r="P578" s="38"/>
      <c r="Q578" s="14"/>
      <c r="R578" s="39"/>
      <c r="S578" s="39"/>
      <c r="T578" s="39"/>
      <c r="U578" s="40"/>
      <c r="V578" s="54"/>
      <c r="W578" s="55"/>
      <c r="X578" s="56"/>
      <c r="Y578" s="38"/>
      <c r="Z578" s="38"/>
      <c r="AA578" s="38"/>
      <c r="AB578" s="38"/>
    </row>
    <row r="579" spans="1:28">
      <c r="A579" s="42"/>
      <c r="B579" s="39"/>
      <c r="C579" s="40"/>
      <c r="D579" s="42"/>
      <c r="E579" s="38"/>
      <c r="F579" s="43"/>
      <c r="G579" s="63"/>
      <c r="H579" s="58"/>
      <c r="I579" s="38"/>
      <c r="J579" s="38"/>
      <c r="K579" s="46"/>
      <c r="L579" s="47"/>
      <c r="M579" s="93"/>
      <c r="N579" s="93"/>
      <c r="O579" s="38"/>
      <c r="P579" s="38"/>
      <c r="Q579" s="14"/>
      <c r="R579" s="39"/>
      <c r="S579" s="39"/>
      <c r="T579" s="39"/>
      <c r="U579" s="40"/>
      <c r="V579" s="54"/>
      <c r="W579" s="55"/>
      <c r="X579" s="56"/>
      <c r="Y579" s="38"/>
      <c r="Z579" s="38"/>
      <c r="AA579" s="38"/>
      <c r="AB579" s="38"/>
    </row>
    <row r="580" spans="1:28">
      <c r="A580" s="42"/>
      <c r="B580" s="39"/>
      <c r="C580" s="40"/>
      <c r="D580" s="42"/>
      <c r="E580" s="38"/>
      <c r="F580" s="43"/>
      <c r="G580" s="63"/>
      <c r="H580" s="58"/>
      <c r="I580" s="38"/>
      <c r="J580" s="38"/>
      <c r="K580" s="46"/>
      <c r="L580" s="47"/>
      <c r="M580" s="93"/>
      <c r="N580" s="93"/>
      <c r="O580" s="38"/>
      <c r="P580" s="38"/>
      <c r="Q580" s="14"/>
      <c r="R580" s="39"/>
      <c r="S580" s="39"/>
      <c r="T580" s="39"/>
      <c r="U580" s="40"/>
      <c r="V580" s="54"/>
      <c r="W580" s="55"/>
      <c r="X580" s="56"/>
      <c r="Y580" s="38"/>
      <c r="Z580" s="38"/>
      <c r="AA580" s="38"/>
      <c r="AB580" s="38"/>
    </row>
    <row r="581" spans="1:28">
      <c r="A581" s="42"/>
      <c r="B581" s="39"/>
      <c r="C581" s="40"/>
      <c r="D581" s="42"/>
      <c r="E581" s="38"/>
      <c r="F581" s="43"/>
      <c r="G581" s="63"/>
      <c r="H581" s="58"/>
      <c r="I581" s="38"/>
      <c r="J581" s="38"/>
      <c r="K581" s="46"/>
      <c r="L581" s="47"/>
      <c r="M581" s="93"/>
      <c r="N581" s="93"/>
      <c r="O581" s="38"/>
      <c r="P581" s="38"/>
      <c r="Q581" s="14"/>
      <c r="R581" s="39"/>
      <c r="S581" s="39"/>
      <c r="T581" s="39"/>
      <c r="U581" s="40"/>
      <c r="V581" s="54"/>
      <c r="W581" s="55"/>
      <c r="X581" s="56"/>
      <c r="Y581" s="38"/>
      <c r="Z581" s="38"/>
      <c r="AA581" s="38"/>
      <c r="AB581" s="38"/>
    </row>
    <row r="582" spans="1:28">
      <c r="A582" s="42"/>
      <c r="B582" s="39"/>
      <c r="C582" s="40"/>
      <c r="D582" s="42"/>
      <c r="E582" s="38"/>
      <c r="F582" s="43"/>
      <c r="G582" s="63"/>
      <c r="H582" s="58"/>
      <c r="I582" s="38"/>
      <c r="J582" s="38"/>
      <c r="K582" s="46"/>
      <c r="L582" s="47"/>
      <c r="M582" s="93"/>
      <c r="N582" s="93"/>
      <c r="O582" s="38"/>
      <c r="P582" s="38"/>
      <c r="Q582" s="14"/>
      <c r="R582" s="39"/>
      <c r="S582" s="39"/>
      <c r="T582" s="39"/>
      <c r="U582" s="40"/>
      <c r="V582" s="54"/>
      <c r="W582" s="55"/>
      <c r="X582" s="56"/>
      <c r="Y582" s="38"/>
      <c r="Z582" s="38"/>
      <c r="AA582" s="38"/>
      <c r="AB582" s="38"/>
    </row>
    <row r="583" spans="1:28">
      <c r="A583" s="42"/>
      <c r="B583" s="39"/>
      <c r="C583" s="40"/>
      <c r="D583" s="42"/>
      <c r="E583" s="38"/>
      <c r="F583" s="43"/>
      <c r="G583" s="63"/>
      <c r="H583" s="58"/>
      <c r="I583" s="38"/>
      <c r="J583" s="38"/>
      <c r="K583" s="46"/>
      <c r="L583" s="47"/>
      <c r="M583" s="93"/>
      <c r="N583" s="93"/>
      <c r="O583" s="38"/>
      <c r="P583" s="38"/>
      <c r="Q583" s="14"/>
      <c r="R583" s="39"/>
      <c r="S583" s="39"/>
      <c r="T583" s="39"/>
      <c r="U583" s="40"/>
      <c r="V583" s="54"/>
      <c r="W583" s="55"/>
      <c r="X583" s="56"/>
      <c r="Y583" s="38"/>
      <c r="Z583" s="38"/>
      <c r="AA583" s="38"/>
      <c r="AB583" s="38"/>
    </row>
    <row r="584" spans="1:28">
      <c r="A584" s="42"/>
      <c r="B584" s="39"/>
      <c r="C584" s="40"/>
      <c r="D584" s="42"/>
      <c r="E584" s="38"/>
      <c r="F584" s="43"/>
      <c r="G584" s="63"/>
      <c r="H584" s="58"/>
      <c r="I584" s="38"/>
      <c r="J584" s="38"/>
      <c r="K584" s="46"/>
      <c r="L584" s="47"/>
      <c r="M584" s="93"/>
      <c r="N584" s="93"/>
      <c r="O584" s="38"/>
      <c r="P584" s="38"/>
      <c r="Q584" s="14"/>
      <c r="R584" s="39"/>
      <c r="S584" s="39"/>
      <c r="T584" s="39"/>
      <c r="U584" s="40"/>
      <c r="V584" s="54"/>
      <c r="W584" s="55"/>
      <c r="X584" s="56"/>
      <c r="Y584" s="38"/>
      <c r="Z584" s="38"/>
      <c r="AA584" s="38"/>
      <c r="AB584" s="38"/>
    </row>
    <row r="585" spans="1:28">
      <c r="A585" s="42"/>
      <c r="B585" s="39"/>
      <c r="C585" s="40"/>
      <c r="D585" s="42"/>
      <c r="E585" s="38"/>
      <c r="F585" s="43"/>
      <c r="G585" s="63"/>
      <c r="H585" s="58"/>
      <c r="I585" s="38"/>
      <c r="J585" s="38"/>
      <c r="K585" s="46"/>
      <c r="L585" s="47"/>
      <c r="M585" s="93"/>
      <c r="N585" s="93"/>
      <c r="O585" s="38"/>
      <c r="P585" s="38"/>
      <c r="Q585" s="14"/>
      <c r="R585" s="39"/>
      <c r="S585" s="39"/>
      <c r="T585" s="39"/>
      <c r="U585" s="40"/>
      <c r="V585" s="54"/>
      <c r="W585" s="55"/>
      <c r="X585" s="56"/>
      <c r="Y585" s="38"/>
      <c r="Z585" s="38"/>
      <c r="AA585" s="38"/>
      <c r="AB585" s="38"/>
    </row>
    <row r="586" spans="1:28">
      <c r="A586" s="42"/>
      <c r="B586" s="39"/>
      <c r="C586" s="40"/>
      <c r="D586" s="42"/>
      <c r="E586" s="38"/>
      <c r="F586" s="43"/>
      <c r="G586" s="63"/>
      <c r="H586" s="58"/>
      <c r="I586" s="38"/>
      <c r="J586" s="38"/>
      <c r="K586" s="46"/>
      <c r="L586" s="47"/>
      <c r="M586" s="93"/>
      <c r="N586" s="93"/>
      <c r="O586" s="38"/>
      <c r="P586" s="38"/>
      <c r="Q586" s="14"/>
      <c r="R586" s="39"/>
      <c r="S586" s="39"/>
      <c r="T586" s="39"/>
      <c r="U586" s="40"/>
      <c r="V586" s="54"/>
      <c r="W586" s="55"/>
      <c r="X586" s="56"/>
      <c r="Y586" s="38"/>
      <c r="Z586" s="38"/>
      <c r="AA586" s="38"/>
      <c r="AB586" s="38"/>
    </row>
    <row r="587" spans="1:28">
      <c r="A587" s="42"/>
      <c r="B587" s="39"/>
      <c r="C587" s="40"/>
      <c r="D587" s="42"/>
      <c r="E587" s="38"/>
      <c r="F587" s="43"/>
      <c r="G587" s="63"/>
      <c r="H587" s="58"/>
      <c r="I587" s="38"/>
      <c r="J587" s="38"/>
      <c r="K587" s="46"/>
      <c r="L587" s="47"/>
      <c r="M587" s="93"/>
      <c r="N587" s="93"/>
      <c r="O587" s="38"/>
      <c r="P587" s="38"/>
      <c r="Q587" s="14"/>
      <c r="R587" s="39"/>
      <c r="S587" s="39"/>
      <c r="T587" s="39"/>
      <c r="U587" s="40"/>
      <c r="V587" s="54"/>
      <c r="W587" s="55"/>
      <c r="X587" s="56"/>
      <c r="Y587" s="38"/>
      <c r="Z587" s="38"/>
      <c r="AA587" s="38"/>
      <c r="AB587" s="38"/>
    </row>
    <row r="588" spans="1:28">
      <c r="A588" s="42"/>
      <c r="B588" s="39"/>
      <c r="C588" s="40"/>
      <c r="D588" s="42"/>
      <c r="E588" s="38"/>
      <c r="F588" s="43"/>
      <c r="G588" s="63"/>
      <c r="H588" s="58"/>
      <c r="I588" s="38"/>
      <c r="J588" s="38"/>
      <c r="K588" s="46"/>
      <c r="L588" s="47"/>
      <c r="M588" s="93"/>
      <c r="N588" s="93"/>
      <c r="O588" s="38"/>
      <c r="P588" s="38"/>
      <c r="Q588" s="14"/>
      <c r="R588" s="39"/>
      <c r="S588" s="39"/>
      <c r="T588" s="39"/>
      <c r="U588" s="40"/>
      <c r="V588" s="54"/>
      <c r="W588" s="55"/>
      <c r="X588" s="56"/>
      <c r="Y588" s="38"/>
      <c r="Z588" s="38"/>
      <c r="AA588" s="38"/>
      <c r="AB588" s="38"/>
    </row>
    <row r="589" spans="1:28">
      <c r="A589" s="42"/>
      <c r="B589" s="39"/>
      <c r="C589" s="40"/>
      <c r="D589" s="42"/>
      <c r="E589" s="38"/>
      <c r="F589" s="43"/>
      <c r="G589" s="63"/>
      <c r="H589" s="58"/>
      <c r="I589" s="38"/>
      <c r="J589" s="38"/>
      <c r="K589" s="46"/>
      <c r="L589" s="47"/>
      <c r="M589" s="93"/>
      <c r="N589" s="93"/>
      <c r="O589" s="38"/>
      <c r="P589" s="38"/>
      <c r="Q589" s="14"/>
      <c r="R589" s="39"/>
      <c r="S589" s="39"/>
      <c r="T589" s="39"/>
      <c r="U589" s="40"/>
      <c r="V589" s="54"/>
      <c r="W589" s="55"/>
      <c r="X589" s="56"/>
      <c r="Y589" s="38"/>
      <c r="Z589" s="38"/>
      <c r="AA589" s="38"/>
      <c r="AB589" s="38"/>
    </row>
    <row r="590" spans="1:28">
      <c r="A590" s="42"/>
      <c r="B590" s="39"/>
      <c r="C590" s="40"/>
      <c r="D590" s="42"/>
      <c r="E590" s="38"/>
      <c r="F590" s="43"/>
      <c r="G590" s="63"/>
      <c r="H590" s="58"/>
      <c r="I590" s="38"/>
      <c r="J590" s="38"/>
      <c r="K590" s="46"/>
      <c r="L590" s="47"/>
      <c r="M590" s="93"/>
      <c r="N590" s="93"/>
      <c r="O590" s="38"/>
      <c r="P590" s="38"/>
      <c r="Q590" s="14"/>
      <c r="R590" s="39"/>
      <c r="S590" s="39"/>
      <c r="T590" s="39"/>
      <c r="U590" s="40"/>
      <c r="V590" s="54"/>
      <c r="W590" s="55"/>
      <c r="X590" s="56"/>
      <c r="Y590" s="38"/>
      <c r="Z590" s="38"/>
      <c r="AA590" s="38"/>
      <c r="AB590" s="38"/>
    </row>
    <row r="591" spans="1:28">
      <c r="A591" s="42"/>
      <c r="B591" s="39"/>
      <c r="C591" s="40"/>
      <c r="D591" s="42"/>
      <c r="E591" s="38"/>
      <c r="F591" s="43"/>
      <c r="G591" s="63"/>
      <c r="H591" s="58"/>
      <c r="I591" s="38"/>
      <c r="J591" s="38"/>
      <c r="K591" s="46"/>
      <c r="L591" s="47"/>
      <c r="M591" s="93"/>
      <c r="N591" s="93"/>
      <c r="O591" s="38"/>
      <c r="P591" s="38"/>
      <c r="Q591" s="14"/>
      <c r="R591" s="39"/>
      <c r="S591" s="39"/>
      <c r="T591" s="39"/>
      <c r="U591" s="40"/>
      <c r="V591" s="54"/>
      <c r="W591" s="55"/>
      <c r="X591" s="56"/>
      <c r="Y591" s="38"/>
      <c r="Z591" s="38"/>
      <c r="AA591" s="38"/>
      <c r="AB591" s="38"/>
    </row>
    <row r="592" spans="1:28">
      <c r="A592" s="42"/>
      <c r="B592" s="39"/>
      <c r="C592" s="40"/>
      <c r="D592" s="42"/>
      <c r="E592" s="38"/>
      <c r="F592" s="43"/>
      <c r="G592" s="63"/>
      <c r="H592" s="58"/>
      <c r="I592" s="38"/>
      <c r="J592" s="38"/>
      <c r="K592" s="46"/>
      <c r="L592" s="47"/>
      <c r="M592" s="93"/>
      <c r="N592" s="93"/>
      <c r="O592" s="38"/>
      <c r="P592" s="38"/>
      <c r="Q592" s="14"/>
      <c r="R592" s="39"/>
      <c r="S592" s="39"/>
      <c r="T592" s="39"/>
      <c r="U592" s="40"/>
      <c r="V592" s="54"/>
      <c r="W592" s="55"/>
      <c r="X592" s="56"/>
      <c r="Y592" s="38"/>
      <c r="Z592" s="38"/>
      <c r="AA592" s="38"/>
      <c r="AB592" s="38"/>
    </row>
    <row r="593" spans="1:28">
      <c r="A593" s="42"/>
      <c r="B593" s="39"/>
      <c r="C593" s="40"/>
      <c r="D593" s="42"/>
      <c r="E593" s="38"/>
      <c r="F593" s="43"/>
      <c r="G593" s="63"/>
      <c r="H593" s="58"/>
      <c r="I593" s="38"/>
      <c r="J593" s="38"/>
      <c r="K593" s="46"/>
      <c r="L593" s="47"/>
      <c r="M593" s="93"/>
      <c r="N593" s="93"/>
      <c r="O593" s="38"/>
      <c r="P593" s="38"/>
      <c r="Q593" s="14"/>
      <c r="R593" s="39"/>
      <c r="S593" s="39"/>
      <c r="T593" s="39"/>
      <c r="U593" s="40"/>
      <c r="V593" s="54"/>
      <c r="W593" s="55"/>
      <c r="X593" s="56"/>
      <c r="Y593" s="38"/>
      <c r="Z593" s="38"/>
      <c r="AA593" s="38"/>
      <c r="AB593" s="38"/>
    </row>
    <row r="594" spans="1:28">
      <c r="A594" s="42"/>
      <c r="B594" s="39"/>
      <c r="C594" s="40"/>
      <c r="D594" s="42"/>
      <c r="E594" s="38"/>
      <c r="F594" s="43"/>
      <c r="G594" s="63"/>
      <c r="H594" s="58"/>
      <c r="I594" s="38"/>
      <c r="J594" s="38"/>
      <c r="K594" s="46"/>
      <c r="L594" s="47"/>
      <c r="M594" s="93"/>
      <c r="N594" s="93"/>
      <c r="O594" s="38"/>
      <c r="P594" s="38"/>
      <c r="Q594" s="14"/>
      <c r="R594" s="39"/>
      <c r="S594" s="39"/>
      <c r="T594" s="39"/>
      <c r="U594" s="40"/>
      <c r="V594" s="54"/>
      <c r="W594" s="55"/>
      <c r="X594" s="56"/>
      <c r="Y594" s="38"/>
      <c r="Z594" s="38"/>
      <c r="AA594" s="38"/>
      <c r="AB594" s="38"/>
    </row>
    <row r="595" spans="1:28">
      <c r="A595" s="42"/>
      <c r="B595" s="39"/>
      <c r="C595" s="40"/>
      <c r="D595" s="42"/>
      <c r="E595" s="38"/>
      <c r="F595" s="43"/>
      <c r="G595" s="63"/>
      <c r="H595" s="58"/>
      <c r="I595" s="38"/>
      <c r="J595" s="38"/>
      <c r="K595" s="46"/>
      <c r="L595" s="47"/>
      <c r="M595" s="93"/>
      <c r="N595" s="93"/>
      <c r="O595" s="38"/>
      <c r="P595" s="38"/>
      <c r="Q595" s="14"/>
      <c r="R595" s="39"/>
      <c r="S595" s="39"/>
      <c r="T595" s="39"/>
      <c r="U595" s="40"/>
      <c r="V595" s="54"/>
      <c r="W595" s="55"/>
      <c r="X595" s="56"/>
      <c r="Y595" s="38"/>
      <c r="Z595" s="38"/>
      <c r="AA595" s="38"/>
      <c r="AB595" s="38"/>
    </row>
    <row r="596" spans="1:28">
      <c r="A596" s="42"/>
      <c r="B596" s="39"/>
      <c r="C596" s="40"/>
      <c r="D596" s="42"/>
      <c r="E596" s="38"/>
      <c r="F596" s="43"/>
      <c r="G596" s="63"/>
      <c r="H596" s="58"/>
      <c r="I596" s="38"/>
      <c r="J596" s="38"/>
      <c r="K596" s="46"/>
      <c r="L596" s="47"/>
      <c r="M596" s="93"/>
      <c r="N596" s="93"/>
      <c r="O596" s="38"/>
      <c r="P596" s="38"/>
      <c r="Q596" s="14"/>
      <c r="R596" s="39"/>
      <c r="S596" s="39"/>
      <c r="T596" s="39"/>
      <c r="U596" s="40"/>
      <c r="V596" s="54"/>
      <c r="W596" s="55"/>
      <c r="X596" s="56"/>
      <c r="Y596" s="38"/>
      <c r="Z596" s="38"/>
      <c r="AA596" s="38"/>
      <c r="AB596" s="38"/>
    </row>
    <row r="597" spans="1:28">
      <c r="A597" s="42"/>
      <c r="B597" s="39"/>
      <c r="C597" s="40"/>
      <c r="D597" s="42"/>
      <c r="E597" s="38"/>
      <c r="F597" s="43"/>
      <c r="G597" s="63"/>
      <c r="H597" s="58"/>
      <c r="I597" s="38"/>
      <c r="J597" s="38"/>
      <c r="K597" s="46"/>
      <c r="L597" s="47"/>
      <c r="M597" s="93"/>
      <c r="N597" s="93"/>
      <c r="O597" s="38"/>
      <c r="P597" s="38"/>
      <c r="Q597" s="14"/>
      <c r="R597" s="39"/>
      <c r="S597" s="39"/>
      <c r="T597" s="39"/>
      <c r="U597" s="40"/>
      <c r="V597" s="54"/>
      <c r="W597" s="55"/>
      <c r="X597" s="56"/>
      <c r="Y597" s="38"/>
      <c r="Z597" s="38"/>
      <c r="AA597" s="38"/>
      <c r="AB597" s="38"/>
    </row>
    <row r="598" spans="1:28">
      <c r="A598" s="42"/>
      <c r="B598" s="39"/>
      <c r="C598" s="40"/>
      <c r="D598" s="42"/>
      <c r="E598" s="38"/>
      <c r="F598" s="43"/>
      <c r="G598" s="63"/>
      <c r="H598" s="58"/>
      <c r="I598" s="38"/>
      <c r="J598" s="38"/>
      <c r="K598" s="46"/>
      <c r="L598" s="47"/>
      <c r="M598" s="93"/>
      <c r="N598" s="93"/>
      <c r="O598" s="38"/>
      <c r="P598" s="38"/>
      <c r="Q598" s="14"/>
      <c r="R598" s="39"/>
      <c r="S598" s="39"/>
      <c r="T598" s="39"/>
      <c r="U598" s="40"/>
      <c r="V598" s="54"/>
      <c r="W598" s="55"/>
      <c r="X598" s="56"/>
      <c r="Y598" s="38"/>
      <c r="Z598" s="38"/>
      <c r="AA598" s="38"/>
      <c r="AB598" s="38"/>
    </row>
    <row r="599" spans="1:28">
      <c r="A599" s="42"/>
      <c r="B599" s="39"/>
      <c r="C599" s="40"/>
      <c r="D599" s="42"/>
      <c r="E599" s="38"/>
      <c r="F599" s="43"/>
      <c r="G599" s="63"/>
      <c r="H599" s="58"/>
      <c r="I599" s="38"/>
      <c r="J599" s="38"/>
      <c r="K599" s="46"/>
      <c r="L599" s="47"/>
      <c r="M599" s="93"/>
      <c r="N599" s="93"/>
      <c r="O599" s="38"/>
      <c r="P599" s="38"/>
      <c r="Q599" s="14"/>
      <c r="R599" s="39"/>
      <c r="S599" s="39"/>
      <c r="T599" s="39"/>
      <c r="U599" s="40"/>
      <c r="V599" s="54"/>
      <c r="W599" s="55"/>
      <c r="X599" s="56"/>
      <c r="Y599" s="38"/>
      <c r="Z599" s="38"/>
      <c r="AA599" s="38"/>
      <c r="AB599" s="38"/>
    </row>
    <row r="600" spans="1:28">
      <c r="A600" s="42"/>
      <c r="B600" s="39"/>
      <c r="C600" s="40"/>
      <c r="D600" s="42"/>
      <c r="E600" s="38"/>
      <c r="F600" s="43"/>
      <c r="G600" s="63"/>
      <c r="H600" s="58"/>
      <c r="I600" s="38"/>
      <c r="J600" s="38"/>
      <c r="K600" s="46"/>
      <c r="L600" s="47"/>
      <c r="M600" s="93"/>
      <c r="N600" s="93"/>
      <c r="O600" s="38"/>
      <c r="P600" s="38"/>
      <c r="Q600" s="14"/>
      <c r="R600" s="39"/>
      <c r="S600" s="39"/>
      <c r="T600" s="39"/>
      <c r="U600" s="40"/>
      <c r="V600" s="54"/>
      <c r="W600" s="55"/>
      <c r="X600" s="56"/>
      <c r="Y600" s="38"/>
      <c r="Z600" s="38"/>
      <c r="AA600" s="38"/>
      <c r="AB600" s="38"/>
    </row>
    <row r="601" spans="1:28">
      <c r="A601" s="42"/>
      <c r="B601" s="39"/>
      <c r="C601" s="40"/>
      <c r="D601" s="42"/>
      <c r="E601" s="38"/>
      <c r="F601" s="43"/>
      <c r="G601" s="63"/>
      <c r="H601" s="58"/>
      <c r="I601" s="38"/>
      <c r="J601" s="38"/>
      <c r="K601" s="46"/>
      <c r="L601" s="47"/>
      <c r="M601" s="93"/>
      <c r="N601" s="93"/>
      <c r="O601" s="38"/>
      <c r="P601" s="38"/>
      <c r="Q601" s="14"/>
      <c r="R601" s="39"/>
      <c r="S601" s="39"/>
      <c r="T601" s="39"/>
      <c r="U601" s="40"/>
      <c r="V601" s="54"/>
      <c r="W601" s="55"/>
      <c r="X601" s="56"/>
      <c r="Y601" s="38"/>
      <c r="Z601" s="38"/>
      <c r="AA601" s="38"/>
      <c r="AB601" s="38"/>
    </row>
    <row r="602" spans="1:28">
      <c r="A602" s="42"/>
      <c r="B602" s="39"/>
      <c r="C602" s="40"/>
      <c r="D602" s="42"/>
      <c r="E602" s="38"/>
      <c r="F602" s="43"/>
      <c r="G602" s="63"/>
      <c r="H602" s="58"/>
      <c r="I602" s="38"/>
      <c r="J602" s="38"/>
      <c r="K602" s="46"/>
      <c r="L602" s="47"/>
      <c r="M602" s="93"/>
      <c r="N602" s="93"/>
      <c r="O602" s="38"/>
      <c r="P602" s="38"/>
      <c r="Q602" s="14"/>
      <c r="R602" s="39"/>
      <c r="S602" s="39"/>
      <c r="T602" s="39"/>
      <c r="U602" s="40"/>
      <c r="V602" s="54"/>
      <c r="W602" s="55"/>
      <c r="X602" s="56"/>
      <c r="Y602" s="38"/>
      <c r="Z602" s="38"/>
      <c r="AA602" s="38"/>
      <c r="AB602" s="38"/>
    </row>
    <row r="603" spans="1:28">
      <c r="A603" s="42"/>
      <c r="B603" s="39"/>
      <c r="C603" s="40"/>
      <c r="D603" s="42"/>
      <c r="E603" s="38"/>
      <c r="F603" s="43"/>
      <c r="G603" s="63"/>
      <c r="H603" s="58"/>
      <c r="I603" s="38"/>
      <c r="J603" s="38"/>
      <c r="K603" s="46"/>
      <c r="L603" s="47"/>
      <c r="M603" s="93"/>
      <c r="N603" s="93"/>
      <c r="O603" s="38"/>
      <c r="P603" s="38"/>
      <c r="Q603" s="14"/>
      <c r="R603" s="39"/>
      <c r="S603" s="39"/>
      <c r="T603" s="39"/>
      <c r="U603" s="40"/>
      <c r="V603" s="54"/>
      <c r="W603" s="55"/>
      <c r="X603" s="56"/>
      <c r="Y603" s="38"/>
      <c r="Z603" s="38"/>
      <c r="AA603" s="38"/>
      <c r="AB603" s="38"/>
    </row>
    <row r="604" spans="1:28">
      <c r="A604" s="42"/>
      <c r="B604" s="39"/>
      <c r="C604" s="40"/>
      <c r="D604" s="42"/>
      <c r="E604" s="38"/>
      <c r="F604" s="43"/>
      <c r="G604" s="63"/>
      <c r="H604" s="58"/>
      <c r="I604" s="38"/>
      <c r="J604" s="38"/>
      <c r="K604" s="46"/>
      <c r="L604" s="47"/>
      <c r="M604" s="93"/>
      <c r="N604" s="93"/>
      <c r="O604" s="38"/>
      <c r="P604" s="38"/>
      <c r="Q604" s="14"/>
      <c r="R604" s="39"/>
      <c r="S604" s="39"/>
      <c r="T604" s="39"/>
      <c r="U604" s="40"/>
      <c r="V604" s="54"/>
      <c r="W604" s="55"/>
      <c r="X604" s="56"/>
      <c r="Y604" s="38"/>
      <c r="Z604" s="38"/>
      <c r="AA604" s="38"/>
      <c r="AB604" s="38"/>
    </row>
    <row r="605" spans="1:28">
      <c r="A605" s="42"/>
      <c r="B605" s="39"/>
      <c r="C605" s="40"/>
      <c r="D605" s="42"/>
      <c r="E605" s="38"/>
      <c r="F605" s="43"/>
      <c r="G605" s="63"/>
      <c r="H605" s="58"/>
      <c r="I605" s="38"/>
      <c r="J605" s="38"/>
      <c r="K605" s="46"/>
      <c r="L605" s="47"/>
      <c r="M605" s="93"/>
      <c r="N605" s="93"/>
      <c r="O605" s="38"/>
      <c r="P605" s="38"/>
      <c r="Q605" s="14"/>
      <c r="R605" s="39"/>
      <c r="S605" s="39"/>
      <c r="T605" s="39"/>
      <c r="U605" s="40"/>
      <c r="V605" s="54"/>
      <c r="W605" s="55"/>
      <c r="X605" s="56"/>
      <c r="Y605" s="38"/>
      <c r="Z605" s="38"/>
      <c r="AA605" s="38"/>
      <c r="AB605" s="38"/>
    </row>
    <row r="606" spans="1:28">
      <c r="A606" s="42"/>
      <c r="B606" s="39"/>
      <c r="C606" s="40"/>
      <c r="D606" s="42"/>
      <c r="E606" s="38"/>
      <c r="F606" s="43"/>
      <c r="G606" s="63"/>
      <c r="H606" s="58"/>
      <c r="I606" s="38"/>
      <c r="J606" s="38"/>
      <c r="K606" s="46"/>
      <c r="L606" s="47"/>
      <c r="M606" s="93"/>
      <c r="N606" s="93"/>
      <c r="O606" s="38"/>
      <c r="P606" s="38"/>
      <c r="Q606" s="14"/>
      <c r="R606" s="39"/>
      <c r="S606" s="39"/>
      <c r="T606" s="39"/>
      <c r="U606" s="40"/>
      <c r="V606" s="54"/>
      <c r="W606" s="55"/>
      <c r="X606" s="56"/>
      <c r="Y606" s="38"/>
      <c r="Z606" s="38"/>
      <c r="AA606" s="38"/>
      <c r="AB606" s="38"/>
    </row>
    <row r="607" spans="1:28">
      <c r="A607" s="42"/>
      <c r="B607" s="39"/>
      <c r="C607" s="40"/>
      <c r="D607" s="42"/>
      <c r="E607" s="38"/>
      <c r="F607" s="43"/>
      <c r="G607" s="63"/>
      <c r="H607" s="58"/>
      <c r="I607" s="38"/>
      <c r="J607" s="38"/>
      <c r="K607" s="46"/>
      <c r="L607" s="47"/>
      <c r="M607" s="93"/>
      <c r="N607" s="93"/>
      <c r="O607" s="38"/>
      <c r="P607" s="38"/>
      <c r="Q607" s="14"/>
      <c r="R607" s="39"/>
      <c r="S607" s="39"/>
      <c r="T607" s="39"/>
      <c r="U607" s="40"/>
      <c r="V607" s="54"/>
      <c r="W607" s="55"/>
      <c r="X607" s="56"/>
      <c r="Y607" s="38"/>
      <c r="Z607" s="38"/>
      <c r="AA607" s="38"/>
      <c r="AB607" s="38"/>
    </row>
    <row r="608" spans="1:28">
      <c r="A608" s="42"/>
      <c r="B608" s="39"/>
      <c r="C608" s="40"/>
      <c r="D608" s="42"/>
      <c r="E608" s="38"/>
      <c r="F608" s="43"/>
      <c r="G608" s="63"/>
      <c r="H608" s="58"/>
      <c r="I608" s="38"/>
      <c r="J608" s="38"/>
      <c r="K608" s="46"/>
      <c r="L608" s="47"/>
      <c r="M608" s="93"/>
      <c r="N608" s="93"/>
      <c r="O608" s="38"/>
      <c r="P608" s="38"/>
      <c r="Q608" s="14"/>
      <c r="R608" s="39"/>
      <c r="S608" s="39"/>
      <c r="T608" s="39"/>
      <c r="U608" s="40"/>
      <c r="V608" s="54"/>
      <c r="W608" s="55"/>
      <c r="X608" s="56"/>
      <c r="Y608" s="38"/>
      <c r="Z608" s="38"/>
      <c r="AA608" s="38"/>
      <c r="AB608" s="38"/>
    </row>
    <row r="609" spans="1:28">
      <c r="A609" s="42"/>
      <c r="B609" s="39"/>
      <c r="C609" s="40"/>
      <c r="D609" s="42"/>
      <c r="E609" s="38"/>
      <c r="F609" s="43"/>
      <c r="G609" s="63"/>
      <c r="H609" s="58"/>
      <c r="I609" s="38"/>
      <c r="J609" s="38"/>
      <c r="K609" s="46"/>
      <c r="L609" s="47"/>
      <c r="M609" s="93"/>
      <c r="N609" s="93"/>
      <c r="O609" s="38"/>
      <c r="P609" s="38"/>
      <c r="Q609" s="14"/>
      <c r="R609" s="39"/>
      <c r="S609" s="39"/>
      <c r="T609" s="39"/>
      <c r="U609" s="40"/>
      <c r="V609" s="54"/>
      <c r="W609" s="55"/>
      <c r="X609" s="56"/>
      <c r="Y609" s="38"/>
      <c r="Z609" s="38"/>
      <c r="AA609" s="38"/>
      <c r="AB609" s="38"/>
    </row>
    <row r="610" spans="1:28">
      <c r="A610" s="42"/>
      <c r="B610" s="39"/>
      <c r="C610" s="40"/>
      <c r="D610" s="42"/>
      <c r="E610" s="38"/>
      <c r="F610" s="43"/>
      <c r="G610" s="63"/>
      <c r="H610" s="58"/>
      <c r="I610" s="38"/>
      <c r="J610" s="38"/>
      <c r="K610" s="46"/>
      <c r="L610" s="47"/>
      <c r="M610" s="93"/>
      <c r="N610" s="93"/>
      <c r="O610" s="38"/>
      <c r="P610" s="38"/>
      <c r="Q610" s="14"/>
      <c r="R610" s="39"/>
      <c r="S610" s="39"/>
      <c r="T610" s="39"/>
      <c r="U610" s="40"/>
      <c r="V610" s="54"/>
      <c r="W610" s="55"/>
      <c r="X610" s="56"/>
      <c r="Y610" s="38"/>
      <c r="Z610" s="38"/>
      <c r="AA610" s="38"/>
      <c r="AB610" s="38"/>
    </row>
    <row r="611" spans="1:28">
      <c r="A611" s="42"/>
      <c r="B611" s="39"/>
      <c r="C611" s="40"/>
      <c r="D611" s="42"/>
      <c r="E611" s="38"/>
      <c r="F611" s="43"/>
      <c r="G611" s="63"/>
      <c r="H611" s="58"/>
      <c r="I611" s="38"/>
      <c r="J611" s="38"/>
      <c r="K611" s="46"/>
      <c r="L611" s="47"/>
      <c r="M611" s="93"/>
      <c r="N611" s="93"/>
      <c r="O611" s="38"/>
      <c r="P611" s="38"/>
      <c r="Q611" s="14"/>
      <c r="R611" s="39"/>
      <c r="S611" s="39"/>
      <c r="T611" s="39"/>
      <c r="U611" s="40"/>
      <c r="V611" s="54"/>
      <c r="W611" s="55"/>
      <c r="X611" s="56"/>
      <c r="Y611" s="38"/>
      <c r="Z611" s="38"/>
      <c r="AA611" s="38"/>
      <c r="AB611" s="38"/>
    </row>
    <row r="612" spans="1:28">
      <c r="A612" s="42"/>
      <c r="B612" s="39"/>
      <c r="C612" s="40"/>
      <c r="D612" s="42"/>
      <c r="E612" s="38"/>
      <c r="F612" s="43"/>
      <c r="G612" s="63"/>
      <c r="H612" s="58"/>
      <c r="I612" s="38"/>
      <c r="J612" s="38"/>
      <c r="K612" s="46"/>
      <c r="L612" s="47"/>
      <c r="M612" s="93"/>
      <c r="N612" s="93"/>
      <c r="O612" s="38"/>
      <c r="P612" s="38"/>
      <c r="Q612" s="14"/>
      <c r="R612" s="39"/>
      <c r="S612" s="39"/>
      <c r="T612" s="39"/>
      <c r="U612" s="40"/>
      <c r="V612" s="54"/>
      <c r="W612" s="55"/>
      <c r="X612" s="56"/>
      <c r="Y612" s="38"/>
      <c r="Z612" s="38"/>
      <c r="AA612" s="38"/>
      <c r="AB612" s="38"/>
    </row>
    <row r="613" spans="1:28">
      <c r="A613" s="42"/>
      <c r="B613" s="39"/>
      <c r="C613" s="40"/>
      <c r="D613" s="42"/>
      <c r="E613" s="38"/>
      <c r="F613" s="43"/>
      <c r="G613" s="63"/>
      <c r="H613" s="58"/>
      <c r="I613" s="38"/>
      <c r="J613" s="38"/>
      <c r="K613" s="46"/>
      <c r="L613" s="47"/>
      <c r="M613" s="93"/>
      <c r="N613" s="93"/>
      <c r="O613" s="38"/>
      <c r="P613" s="38"/>
      <c r="Q613" s="14"/>
      <c r="R613" s="39"/>
      <c r="S613" s="39"/>
      <c r="T613" s="39"/>
      <c r="U613" s="40"/>
      <c r="V613" s="54"/>
      <c r="W613" s="55"/>
      <c r="X613" s="56"/>
      <c r="Y613" s="38"/>
      <c r="Z613" s="38"/>
      <c r="AA613" s="38"/>
      <c r="AB613" s="38"/>
    </row>
    <row r="614" spans="1:28">
      <c r="A614" s="42"/>
      <c r="B614" s="39"/>
      <c r="C614" s="40"/>
      <c r="D614" s="42"/>
      <c r="E614" s="38"/>
      <c r="F614" s="43"/>
      <c r="G614" s="63"/>
      <c r="H614" s="58"/>
      <c r="I614" s="38"/>
      <c r="J614" s="38"/>
      <c r="K614" s="46"/>
      <c r="L614" s="47"/>
      <c r="M614" s="93"/>
      <c r="N614" s="93"/>
      <c r="O614" s="38"/>
      <c r="P614" s="38"/>
      <c r="Q614" s="14"/>
      <c r="R614" s="39"/>
      <c r="S614" s="39"/>
      <c r="T614" s="39"/>
      <c r="U614" s="40"/>
      <c r="V614" s="54"/>
      <c r="W614" s="55"/>
      <c r="X614" s="56"/>
      <c r="Y614" s="38"/>
      <c r="Z614" s="38"/>
      <c r="AA614" s="38"/>
      <c r="AB614" s="38"/>
    </row>
    <row r="615" spans="1:28">
      <c r="A615" s="42"/>
      <c r="B615" s="39"/>
      <c r="C615" s="40"/>
      <c r="D615" s="42"/>
      <c r="E615" s="38"/>
      <c r="F615" s="43"/>
      <c r="G615" s="63"/>
      <c r="H615" s="58"/>
      <c r="I615" s="38"/>
      <c r="J615" s="38"/>
      <c r="K615" s="46"/>
      <c r="L615" s="47"/>
      <c r="M615" s="93"/>
      <c r="N615" s="93"/>
      <c r="O615" s="38"/>
      <c r="P615" s="38"/>
      <c r="Q615" s="14"/>
      <c r="R615" s="39"/>
      <c r="S615" s="39"/>
      <c r="T615" s="39"/>
      <c r="U615" s="40"/>
      <c r="V615" s="54"/>
      <c r="W615" s="55"/>
      <c r="X615" s="56"/>
      <c r="Y615" s="38"/>
      <c r="Z615" s="38"/>
      <c r="AA615" s="38"/>
      <c r="AB615" s="38"/>
    </row>
    <row r="616" spans="1:28">
      <c r="A616" s="42"/>
      <c r="B616" s="39"/>
      <c r="C616" s="40"/>
      <c r="D616" s="42"/>
      <c r="E616" s="38"/>
      <c r="F616" s="43"/>
      <c r="G616" s="63"/>
      <c r="H616" s="58"/>
      <c r="I616" s="38"/>
      <c r="J616" s="38"/>
      <c r="K616" s="46"/>
      <c r="L616" s="47"/>
      <c r="M616" s="93"/>
      <c r="N616" s="93"/>
      <c r="O616" s="38"/>
      <c r="P616" s="38"/>
      <c r="Q616" s="14"/>
      <c r="R616" s="39"/>
      <c r="S616" s="39"/>
      <c r="T616" s="39"/>
      <c r="U616" s="40"/>
      <c r="V616" s="54"/>
      <c r="W616" s="55"/>
      <c r="X616" s="56"/>
      <c r="Y616" s="38"/>
      <c r="Z616" s="38"/>
      <c r="AA616" s="38"/>
      <c r="AB616" s="38"/>
    </row>
    <row r="617" spans="1:28">
      <c r="A617" s="42"/>
      <c r="B617" s="39"/>
      <c r="C617" s="40"/>
      <c r="D617" s="42"/>
      <c r="E617" s="38"/>
      <c r="F617" s="43"/>
      <c r="G617" s="63"/>
      <c r="H617" s="58"/>
      <c r="I617" s="38"/>
      <c r="J617" s="38"/>
      <c r="K617" s="46"/>
      <c r="L617" s="47"/>
      <c r="M617" s="93"/>
      <c r="N617" s="93"/>
      <c r="O617" s="38"/>
      <c r="P617" s="38"/>
      <c r="Q617" s="14"/>
      <c r="R617" s="39"/>
      <c r="S617" s="39"/>
      <c r="T617" s="39"/>
      <c r="U617" s="40"/>
      <c r="V617" s="54"/>
      <c r="W617" s="55"/>
      <c r="X617" s="56"/>
      <c r="Y617" s="38"/>
      <c r="Z617" s="38"/>
      <c r="AA617" s="38"/>
      <c r="AB617" s="38"/>
    </row>
    <row r="618" spans="1:28">
      <c r="A618" s="42"/>
      <c r="B618" s="39"/>
      <c r="C618" s="40"/>
      <c r="D618" s="42"/>
      <c r="E618" s="38"/>
      <c r="F618" s="43"/>
      <c r="G618" s="63"/>
      <c r="H618" s="58"/>
      <c r="I618" s="38"/>
      <c r="J618" s="38"/>
      <c r="K618" s="46"/>
      <c r="L618" s="47"/>
      <c r="M618" s="93"/>
      <c r="N618" s="93"/>
      <c r="O618" s="38"/>
      <c r="P618" s="38"/>
      <c r="Q618" s="14"/>
      <c r="R618" s="39"/>
      <c r="S618" s="39"/>
      <c r="T618" s="39"/>
      <c r="U618" s="40"/>
      <c r="V618" s="54"/>
      <c r="W618" s="55"/>
      <c r="X618" s="56"/>
      <c r="Y618" s="38"/>
      <c r="Z618" s="38"/>
      <c r="AA618" s="38"/>
      <c r="AB618" s="38"/>
    </row>
    <row r="619" spans="1:28">
      <c r="A619" s="42"/>
      <c r="B619" s="39"/>
      <c r="C619" s="40"/>
      <c r="D619" s="42"/>
      <c r="E619" s="38"/>
      <c r="F619" s="43"/>
      <c r="G619" s="63"/>
      <c r="H619" s="58"/>
      <c r="I619" s="38"/>
      <c r="J619" s="38"/>
      <c r="K619" s="46"/>
      <c r="L619" s="47"/>
      <c r="M619" s="93"/>
      <c r="N619" s="93"/>
      <c r="O619" s="38"/>
      <c r="P619" s="38"/>
      <c r="Q619" s="14"/>
      <c r="R619" s="39"/>
      <c r="S619" s="39"/>
      <c r="T619" s="39"/>
      <c r="U619" s="40"/>
      <c r="V619" s="54"/>
      <c r="W619" s="55"/>
      <c r="X619" s="56"/>
      <c r="Y619" s="38"/>
      <c r="Z619" s="38"/>
      <c r="AA619" s="38"/>
      <c r="AB619" s="38"/>
    </row>
    <row r="620" spans="1:28">
      <c r="A620" s="42"/>
      <c r="B620" s="39"/>
      <c r="C620" s="40"/>
      <c r="D620" s="42"/>
      <c r="E620" s="38"/>
      <c r="F620" s="43"/>
      <c r="G620" s="63"/>
      <c r="H620" s="58"/>
      <c r="I620" s="38"/>
      <c r="J620" s="38"/>
      <c r="K620" s="46"/>
      <c r="L620" s="47"/>
      <c r="M620" s="93"/>
      <c r="N620" s="93"/>
      <c r="O620" s="38"/>
      <c r="P620" s="38"/>
      <c r="Q620" s="14"/>
      <c r="R620" s="39"/>
      <c r="S620" s="39"/>
      <c r="T620" s="39"/>
      <c r="U620" s="40"/>
      <c r="V620" s="54"/>
      <c r="W620" s="55"/>
      <c r="X620" s="56"/>
      <c r="Y620" s="38"/>
      <c r="Z620" s="38"/>
      <c r="AA620" s="38"/>
      <c r="AB620" s="38"/>
    </row>
    <row r="621" spans="1:28">
      <c r="A621" s="42"/>
      <c r="B621" s="39"/>
      <c r="C621" s="40"/>
      <c r="D621" s="42"/>
      <c r="E621" s="38"/>
      <c r="F621" s="43"/>
      <c r="G621" s="63"/>
      <c r="H621" s="58"/>
      <c r="I621" s="38"/>
      <c r="J621" s="38"/>
      <c r="K621" s="46"/>
      <c r="L621" s="47"/>
      <c r="M621" s="93"/>
      <c r="N621" s="93"/>
      <c r="O621" s="38"/>
      <c r="P621" s="38"/>
      <c r="Q621" s="14"/>
      <c r="R621" s="39"/>
      <c r="S621" s="39"/>
      <c r="T621" s="39"/>
      <c r="U621" s="40"/>
      <c r="V621" s="54"/>
      <c r="W621" s="55"/>
      <c r="X621" s="56"/>
      <c r="Y621" s="38"/>
      <c r="Z621" s="38"/>
      <c r="AA621" s="38"/>
      <c r="AB621" s="38"/>
    </row>
    <row r="622" spans="1:28">
      <c r="A622" s="42"/>
      <c r="B622" s="39"/>
      <c r="C622" s="40"/>
      <c r="D622" s="42"/>
      <c r="E622" s="38"/>
      <c r="F622" s="43"/>
      <c r="G622" s="63"/>
      <c r="H622" s="58"/>
      <c r="I622" s="38"/>
      <c r="J622" s="38"/>
      <c r="K622" s="46"/>
      <c r="L622" s="47"/>
      <c r="M622" s="93"/>
      <c r="N622" s="93"/>
      <c r="O622" s="38"/>
      <c r="P622" s="38"/>
      <c r="Q622" s="14"/>
      <c r="R622" s="39"/>
      <c r="S622" s="39"/>
      <c r="T622" s="39"/>
      <c r="U622" s="40"/>
      <c r="V622" s="54"/>
      <c r="W622" s="55"/>
      <c r="X622" s="56"/>
      <c r="Y622" s="38"/>
      <c r="Z622" s="38"/>
      <c r="AA622" s="38"/>
      <c r="AB622" s="38"/>
    </row>
    <row r="623" spans="1:28">
      <c r="A623" s="42"/>
      <c r="B623" s="39"/>
      <c r="C623" s="40"/>
      <c r="D623" s="42"/>
      <c r="E623" s="38"/>
      <c r="F623" s="43"/>
      <c r="G623" s="63"/>
      <c r="H623" s="58"/>
      <c r="I623" s="38"/>
      <c r="J623" s="38"/>
      <c r="K623" s="46"/>
      <c r="L623" s="47"/>
      <c r="M623" s="93"/>
      <c r="N623" s="93"/>
      <c r="O623" s="38"/>
      <c r="P623" s="38"/>
      <c r="Q623" s="14"/>
      <c r="R623" s="39"/>
      <c r="S623" s="39"/>
      <c r="T623" s="39"/>
      <c r="U623" s="40"/>
      <c r="V623" s="54"/>
      <c r="W623" s="55"/>
      <c r="X623" s="56"/>
      <c r="Y623" s="38"/>
      <c r="Z623" s="38"/>
      <c r="AA623" s="38"/>
      <c r="AB623" s="38"/>
    </row>
    <row r="624" spans="1:28">
      <c r="A624" s="42"/>
      <c r="B624" s="39"/>
      <c r="C624" s="40"/>
      <c r="D624" s="42"/>
      <c r="E624" s="38"/>
      <c r="F624" s="43"/>
      <c r="G624" s="63"/>
      <c r="H624" s="58"/>
      <c r="I624" s="38"/>
      <c r="J624" s="38"/>
      <c r="K624" s="46"/>
      <c r="L624" s="47"/>
      <c r="M624" s="93"/>
      <c r="N624" s="93"/>
      <c r="O624" s="38"/>
      <c r="P624" s="38"/>
      <c r="Q624" s="14"/>
      <c r="R624" s="39"/>
      <c r="S624" s="39"/>
      <c r="T624" s="39"/>
      <c r="U624" s="40"/>
      <c r="V624" s="54"/>
      <c r="W624" s="55"/>
      <c r="X624" s="56"/>
      <c r="Y624" s="38"/>
      <c r="Z624" s="38"/>
      <c r="AA624" s="38"/>
      <c r="AB624" s="38"/>
    </row>
    <row r="625" spans="1:28">
      <c r="A625" s="42"/>
      <c r="B625" s="39"/>
      <c r="C625" s="40"/>
      <c r="D625" s="42"/>
      <c r="E625" s="38"/>
      <c r="F625" s="43"/>
      <c r="G625" s="63"/>
      <c r="H625" s="58"/>
      <c r="I625" s="38"/>
      <c r="J625" s="38"/>
      <c r="K625" s="46"/>
      <c r="L625" s="47"/>
      <c r="M625" s="93"/>
      <c r="N625" s="93"/>
      <c r="O625" s="38"/>
      <c r="P625" s="38"/>
      <c r="Q625" s="14"/>
      <c r="R625" s="39"/>
      <c r="S625" s="39"/>
      <c r="T625" s="39"/>
      <c r="U625" s="40"/>
      <c r="V625" s="54"/>
      <c r="W625" s="55"/>
      <c r="X625" s="56"/>
      <c r="Y625" s="38"/>
      <c r="Z625" s="38"/>
      <c r="AA625" s="38"/>
      <c r="AB625" s="38"/>
    </row>
    <row r="626" spans="1:28">
      <c r="A626" s="42"/>
      <c r="B626" s="39"/>
      <c r="C626" s="40"/>
      <c r="D626" s="42"/>
      <c r="E626" s="38"/>
      <c r="F626" s="43"/>
      <c r="G626" s="63"/>
      <c r="H626" s="58"/>
      <c r="I626" s="38"/>
      <c r="J626" s="38"/>
      <c r="K626" s="46"/>
      <c r="L626" s="47"/>
      <c r="M626" s="93"/>
      <c r="N626" s="93"/>
      <c r="O626" s="38"/>
      <c r="P626" s="38"/>
      <c r="Q626" s="14"/>
      <c r="R626" s="39"/>
      <c r="S626" s="39"/>
      <c r="T626" s="39"/>
      <c r="U626" s="40"/>
      <c r="V626" s="54"/>
      <c r="W626" s="55"/>
      <c r="X626" s="56"/>
      <c r="Y626" s="38"/>
      <c r="Z626" s="38"/>
      <c r="AA626" s="38"/>
      <c r="AB626" s="38"/>
    </row>
    <row r="627" spans="1:28">
      <c r="A627" s="42"/>
      <c r="B627" s="39"/>
      <c r="C627" s="40"/>
      <c r="D627" s="42"/>
      <c r="E627" s="38"/>
      <c r="F627" s="43"/>
      <c r="G627" s="63"/>
      <c r="H627" s="58"/>
      <c r="I627" s="38"/>
      <c r="J627" s="38"/>
      <c r="K627" s="46"/>
      <c r="L627" s="47"/>
      <c r="M627" s="93"/>
      <c r="N627" s="93"/>
      <c r="O627" s="38"/>
      <c r="P627" s="38"/>
      <c r="Q627" s="14"/>
      <c r="R627" s="39"/>
      <c r="S627" s="39"/>
      <c r="T627" s="39"/>
      <c r="U627" s="40"/>
      <c r="V627" s="54"/>
      <c r="W627" s="55"/>
      <c r="X627" s="56"/>
      <c r="Y627" s="38"/>
      <c r="Z627" s="38"/>
      <c r="AA627" s="38"/>
      <c r="AB627" s="38"/>
    </row>
    <row r="628" spans="1:28">
      <c r="A628" s="42"/>
      <c r="B628" s="39"/>
      <c r="C628" s="40"/>
      <c r="D628" s="42"/>
      <c r="E628" s="38"/>
      <c r="F628" s="43"/>
      <c r="G628" s="63"/>
      <c r="H628" s="58"/>
      <c r="I628" s="38"/>
      <c r="J628" s="38"/>
      <c r="K628" s="46"/>
      <c r="L628" s="47"/>
      <c r="M628" s="93"/>
      <c r="N628" s="93"/>
      <c r="O628" s="38"/>
      <c r="P628" s="38"/>
      <c r="Q628" s="14"/>
      <c r="R628" s="39"/>
      <c r="S628" s="39"/>
      <c r="T628" s="39"/>
      <c r="U628" s="40"/>
      <c r="V628" s="54"/>
      <c r="W628" s="55"/>
      <c r="X628" s="56"/>
      <c r="Y628" s="38"/>
      <c r="Z628" s="38"/>
      <c r="AA628" s="38"/>
      <c r="AB628" s="38"/>
    </row>
    <row r="629" spans="1:28">
      <c r="A629" s="42"/>
      <c r="B629" s="39"/>
      <c r="C629" s="40"/>
      <c r="D629" s="42"/>
      <c r="E629" s="38"/>
      <c r="F629" s="43"/>
      <c r="G629" s="63"/>
      <c r="H629" s="58"/>
      <c r="I629" s="38"/>
      <c r="J629" s="38"/>
      <c r="K629" s="46"/>
      <c r="L629" s="47"/>
      <c r="M629" s="93"/>
      <c r="N629" s="93"/>
      <c r="O629" s="38"/>
      <c r="P629" s="38"/>
      <c r="Q629" s="14"/>
      <c r="R629" s="39"/>
      <c r="S629" s="39"/>
      <c r="T629" s="39"/>
      <c r="U629" s="40"/>
      <c r="V629" s="54"/>
      <c r="W629" s="55"/>
      <c r="X629" s="56"/>
      <c r="Y629" s="38"/>
      <c r="Z629" s="38"/>
      <c r="AA629" s="38"/>
      <c r="AB629" s="38"/>
    </row>
    <row r="630" spans="1:28">
      <c r="A630" s="42"/>
      <c r="B630" s="39"/>
      <c r="C630" s="40"/>
      <c r="D630" s="42"/>
      <c r="E630" s="38"/>
      <c r="F630" s="43"/>
      <c r="G630" s="63"/>
      <c r="H630" s="58"/>
      <c r="I630" s="38"/>
      <c r="J630" s="38"/>
      <c r="K630" s="46"/>
      <c r="L630" s="47"/>
      <c r="M630" s="93"/>
      <c r="N630" s="93"/>
      <c r="O630" s="38"/>
      <c r="P630" s="38"/>
      <c r="Q630" s="14"/>
      <c r="R630" s="39"/>
      <c r="S630" s="39"/>
      <c r="T630" s="39"/>
      <c r="U630" s="40"/>
      <c r="V630" s="54"/>
      <c r="W630" s="55"/>
      <c r="X630" s="56"/>
      <c r="Y630" s="38"/>
      <c r="Z630" s="38"/>
      <c r="AA630" s="38"/>
      <c r="AB630" s="38"/>
    </row>
    <row r="631" spans="1:28">
      <c r="A631" s="42"/>
      <c r="B631" s="39"/>
      <c r="C631" s="40"/>
      <c r="D631" s="42"/>
      <c r="E631" s="38"/>
      <c r="F631" s="43"/>
      <c r="G631" s="63"/>
      <c r="H631" s="58"/>
      <c r="I631" s="38"/>
      <c r="J631" s="38"/>
      <c r="K631" s="46"/>
      <c r="L631" s="47"/>
      <c r="M631" s="93"/>
      <c r="N631" s="93"/>
      <c r="O631" s="38"/>
      <c r="P631" s="38"/>
      <c r="Q631" s="14"/>
      <c r="R631" s="39"/>
      <c r="S631" s="39"/>
      <c r="T631" s="39"/>
      <c r="U631" s="40"/>
      <c r="V631" s="54"/>
      <c r="W631" s="55"/>
      <c r="X631" s="56"/>
      <c r="Y631" s="38"/>
      <c r="Z631" s="38"/>
      <c r="AA631" s="38"/>
      <c r="AB631" s="38"/>
    </row>
    <row r="632" spans="1:28">
      <c r="A632" s="42"/>
      <c r="B632" s="39"/>
      <c r="C632" s="40"/>
      <c r="D632" s="42"/>
      <c r="E632" s="38"/>
      <c r="F632" s="43"/>
      <c r="G632" s="63"/>
      <c r="H632" s="58"/>
      <c r="I632" s="38"/>
      <c r="J632" s="38"/>
      <c r="K632" s="46"/>
      <c r="L632" s="47"/>
      <c r="M632" s="93"/>
      <c r="N632" s="93"/>
      <c r="O632" s="38"/>
      <c r="P632" s="38"/>
      <c r="Q632" s="14"/>
      <c r="R632" s="39"/>
      <c r="S632" s="39"/>
      <c r="T632" s="39"/>
      <c r="U632" s="40"/>
      <c r="V632" s="54"/>
      <c r="W632" s="55"/>
      <c r="X632" s="56"/>
      <c r="Y632" s="38"/>
      <c r="Z632" s="38"/>
      <c r="AA632" s="38"/>
      <c r="AB632" s="38"/>
    </row>
    <row r="633" spans="1:28">
      <c r="A633" s="42"/>
      <c r="B633" s="39"/>
      <c r="C633" s="40"/>
      <c r="D633" s="42"/>
      <c r="E633" s="38"/>
      <c r="F633" s="43"/>
      <c r="G633" s="63"/>
      <c r="H633" s="58"/>
      <c r="I633" s="38"/>
      <c r="J633" s="38"/>
      <c r="K633" s="46"/>
      <c r="L633" s="47"/>
      <c r="M633" s="93"/>
      <c r="N633" s="93"/>
      <c r="O633" s="38"/>
      <c r="P633" s="38"/>
      <c r="Q633" s="14"/>
      <c r="R633" s="39"/>
      <c r="S633" s="39"/>
      <c r="T633" s="39"/>
      <c r="U633" s="40"/>
      <c r="V633" s="54"/>
      <c r="W633" s="55"/>
      <c r="X633" s="56"/>
      <c r="Y633" s="38"/>
      <c r="Z633" s="38"/>
      <c r="AA633" s="38"/>
      <c r="AB633" s="38"/>
    </row>
    <row r="634" spans="1:28">
      <c r="A634" s="42"/>
      <c r="B634" s="39"/>
      <c r="C634" s="40"/>
      <c r="D634" s="42"/>
      <c r="E634" s="38"/>
      <c r="F634" s="43"/>
      <c r="G634" s="63"/>
      <c r="H634" s="58"/>
      <c r="I634" s="38"/>
      <c r="J634" s="38"/>
      <c r="K634" s="46"/>
      <c r="L634" s="47"/>
      <c r="M634" s="93"/>
      <c r="N634" s="93"/>
      <c r="O634" s="38"/>
      <c r="P634" s="38"/>
      <c r="Q634" s="14"/>
      <c r="R634" s="39"/>
      <c r="S634" s="39"/>
      <c r="T634" s="39"/>
      <c r="U634" s="40"/>
      <c r="V634" s="54"/>
      <c r="W634" s="55"/>
      <c r="X634" s="56"/>
      <c r="Y634" s="38"/>
      <c r="Z634" s="38"/>
      <c r="AA634" s="38"/>
      <c r="AB634" s="38"/>
    </row>
    <row r="635" spans="1:28">
      <c r="A635" s="42"/>
      <c r="B635" s="39"/>
      <c r="C635" s="40"/>
      <c r="D635" s="42"/>
      <c r="E635" s="38"/>
      <c r="F635" s="43"/>
      <c r="G635" s="63"/>
      <c r="H635" s="58"/>
      <c r="I635" s="38"/>
      <c r="J635" s="38"/>
      <c r="K635" s="46"/>
      <c r="L635" s="47"/>
      <c r="M635" s="93"/>
      <c r="N635" s="93"/>
      <c r="O635" s="38"/>
      <c r="P635" s="38"/>
      <c r="Q635" s="14"/>
      <c r="R635" s="39"/>
      <c r="S635" s="39"/>
      <c r="T635" s="39"/>
      <c r="U635" s="40"/>
      <c r="V635" s="54"/>
      <c r="W635" s="55"/>
      <c r="X635" s="56"/>
      <c r="Y635" s="38"/>
      <c r="Z635" s="38"/>
      <c r="AA635" s="38"/>
      <c r="AB635" s="38"/>
    </row>
    <row r="636" spans="1:28">
      <c r="A636" s="42"/>
      <c r="B636" s="39"/>
      <c r="C636" s="40"/>
      <c r="D636" s="42"/>
      <c r="E636" s="38"/>
      <c r="F636" s="43"/>
      <c r="G636" s="63"/>
      <c r="H636" s="58"/>
      <c r="I636" s="38"/>
      <c r="J636" s="38"/>
      <c r="K636" s="46"/>
      <c r="L636" s="47"/>
      <c r="M636" s="93"/>
      <c r="N636" s="93"/>
      <c r="O636" s="38"/>
      <c r="P636" s="38"/>
      <c r="Q636" s="14"/>
      <c r="R636" s="39"/>
      <c r="S636" s="39"/>
      <c r="T636" s="39"/>
      <c r="U636" s="40"/>
      <c r="V636" s="54"/>
      <c r="W636" s="55"/>
      <c r="X636" s="56"/>
      <c r="Y636" s="38"/>
      <c r="Z636" s="38"/>
      <c r="AA636" s="38"/>
      <c r="AB636" s="38"/>
    </row>
    <row r="637" spans="1:28">
      <c r="A637" s="42"/>
      <c r="B637" s="39"/>
      <c r="C637" s="40"/>
      <c r="D637" s="42"/>
      <c r="E637" s="38"/>
      <c r="F637" s="43"/>
      <c r="G637" s="63"/>
      <c r="H637" s="58"/>
      <c r="I637" s="38"/>
      <c r="J637" s="38"/>
      <c r="K637" s="46"/>
      <c r="L637" s="47"/>
      <c r="M637" s="93"/>
      <c r="N637" s="93"/>
      <c r="O637" s="38"/>
      <c r="P637" s="38"/>
      <c r="Q637" s="14"/>
      <c r="R637" s="39"/>
      <c r="S637" s="39"/>
      <c r="T637" s="39"/>
      <c r="U637" s="40"/>
      <c r="V637" s="54"/>
      <c r="W637" s="55"/>
      <c r="X637" s="56"/>
      <c r="Y637" s="38"/>
      <c r="Z637" s="38"/>
      <c r="AA637" s="38"/>
      <c r="AB637" s="38"/>
    </row>
    <row r="638" spans="1:28">
      <c r="A638" s="42"/>
      <c r="B638" s="39"/>
      <c r="C638" s="40"/>
      <c r="D638" s="42"/>
      <c r="E638" s="38"/>
      <c r="F638" s="43"/>
      <c r="G638" s="63"/>
      <c r="H638" s="58"/>
      <c r="I638" s="38"/>
      <c r="J638" s="38"/>
      <c r="K638" s="46"/>
      <c r="L638" s="47"/>
      <c r="M638" s="93"/>
      <c r="N638" s="93"/>
      <c r="O638" s="38"/>
      <c r="P638" s="38"/>
      <c r="Q638" s="14"/>
      <c r="R638" s="39"/>
      <c r="S638" s="39"/>
      <c r="T638" s="39"/>
      <c r="U638" s="40"/>
      <c r="V638" s="54"/>
      <c r="W638" s="55"/>
      <c r="X638" s="56"/>
      <c r="Y638" s="38"/>
      <c r="Z638" s="38"/>
      <c r="AA638" s="38"/>
      <c r="AB638" s="38"/>
    </row>
    <row r="639" spans="1:28">
      <c r="A639" s="42"/>
      <c r="B639" s="39"/>
      <c r="C639" s="40"/>
      <c r="D639" s="42"/>
      <c r="E639" s="38"/>
      <c r="F639" s="43"/>
      <c r="G639" s="63"/>
      <c r="H639" s="58"/>
      <c r="I639" s="38"/>
      <c r="J639" s="38"/>
      <c r="K639" s="46"/>
      <c r="L639" s="47"/>
      <c r="M639" s="93"/>
      <c r="N639" s="93"/>
      <c r="O639" s="38"/>
      <c r="P639" s="38"/>
      <c r="Q639" s="14"/>
      <c r="R639" s="39"/>
      <c r="S639" s="39"/>
      <c r="T639" s="39"/>
      <c r="U639" s="40"/>
      <c r="V639" s="54"/>
      <c r="W639" s="55"/>
      <c r="X639" s="56"/>
      <c r="Y639" s="38"/>
      <c r="Z639" s="38"/>
      <c r="AA639" s="38"/>
      <c r="AB639" s="38"/>
    </row>
    <row r="640" spans="1:28">
      <c r="A640" s="42"/>
      <c r="B640" s="39"/>
      <c r="C640" s="40"/>
      <c r="D640" s="42"/>
      <c r="E640" s="38"/>
      <c r="F640" s="43"/>
      <c r="G640" s="63"/>
      <c r="H640" s="58"/>
      <c r="I640" s="38"/>
      <c r="J640" s="38"/>
      <c r="K640" s="46"/>
      <c r="L640" s="47"/>
      <c r="M640" s="93"/>
      <c r="N640" s="93"/>
      <c r="O640" s="38"/>
      <c r="P640" s="38"/>
      <c r="Q640" s="14"/>
      <c r="R640" s="39"/>
      <c r="S640" s="39"/>
      <c r="T640" s="39"/>
      <c r="U640" s="40"/>
      <c r="V640" s="54"/>
      <c r="W640" s="55"/>
      <c r="X640" s="56"/>
      <c r="Y640" s="38"/>
      <c r="Z640" s="38"/>
      <c r="AA640" s="38"/>
      <c r="AB640" s="38"/>
    </row>
    <row r="641" spans="1:28">
      <c r="A641" s="42"/>
      <c r="B641" s="39"/>
      <c r="C641" s="40"/>
      <c r="D641" s="42"/>
      <c r="E641" s="38"/>
      <c r="F641" s="43"/>
      <c r="G641" s="63"/>
      <c r="H641" s="58"/>
      <c r="I641" s="38"/>
      <c r="J641" s="38"/>
      <c r="K641" s="46"/>
      <c r="L641" s="47"/>
      <c r="M641" s="93"/>
      <c r="N641" s="93"/>
      <c r="O641" s="38"/>
      <c r="P641" s="38"/>
      <c r="Q641" s="14"/>
      <c r="R641" s="39"/>
      <c r="S641" s="39"/>
      <c r="T641" s="39"/>
      <c r="U641" s="40"/>
      <c r="V641" s="54"/>
      <c r="W641" s="55"/>
      <c r="X641" s="56"/>
      <c r="Y641" s="38"/>
      <c r="Z641" s="38"/>
      <c r="AA641" s="38"/>
      <c r="AB641" s="38"/>
    </row>
    <row r="642" spans="1:28">
      <c r="A642" s="42"/>
      <c r="B642" s="39"/>
      <c r="C642" s="40"/>
      <c r="D642" s="42"/>
      <c r="E642" s="38"/>
      <c r="F642" s="43"/>
      <c r="G642" s="63"/>
      <c r="H642" s="58"/>
      <c r="I642" s="38"/>
      <c r="J642" s="38"/>
      <c r="K642" s="46"/>
      <c r="L642" s="47"/>
      <c r="M642" s="93"/>
      <c r="N642" s="93"/>
      <c r="O642" s="38"/>
      <c r="P642" s="38"/>
      <c r="Q642" s="14"/>
      <c r="R642" s="39"/>
      <c r="S642" s="39"/>
      <c r="T642" s="39"/>
      <c r="U642" s="40"/>
      <c r="V642" s="54"/>
      <c r="W642" s="55"/>
      <c r="X642" s="56"/>
      <c r="Y642" s="38"/>
      <c r="Z642" s="38"/>
      <c r="AA642" s="38"/>
      <c r="AB642" s="38"/>
    </row>
    <row r="643" spans="1:28">
      <c r="A643" s="42"/>
      <c r="B643" s="39"/>
      <c r="C643" s="40"/>
      <c r="D643" s="42"/>
      <c r="E643" s="38"/>
      <c r="F643" s="43"/>
      <c r="G643" s="63"/>
      <c r="H643" s="58"/>
      <c r="I643" s="38"/>
      <c r="J643" s="38"/>
      <c r="K643" s="46"/>
      <c r="L643" s="47"/>
      <c r="M643" s="93"/>
      <c r="N643" s="93"/>
      <c r="O643" s="38"/>
      <c r="P643" s="38"/>
      <c r="Q643" s="14"/>
      <c r="R643" s="39"/>
      <c r="S643" s="39"/>
      <c r="T643" s="39"/>
      <c r="U643" s="40"/>
      <c r="V643" s="54"/>
      <c r="W643" s="55"/>
      <c r="X643" s="56"/>
      <c r="Y643" s="38"/>
      <c r="Z643" s="38"/>
      <c r="AA643" s="38"/>
      <c r="AB643" s="38"/>
    </row>
    <row r="644" spans="1:28">
      <c r="A644" s="42"/>
      <c r="B644" s="39"/>
      <c r="C644" s="40"/>
      <c r="D644" s="42"/>
      <c r="E644" s="38"/>
      <c r="F644" s="43"/>
      <c r="G644" s="63"/>
      <c r="H644" s="58"/>
      <c r="I644" s="38"/>
      <c r="J644" s="38"/>
      <c r="K644" s="46"/>
      <c r="L644" s="47"/>
      <c r="M644" s="93"/>
      <c r="N644" s="93"/>
      <c r="O644" s="38"/>
      <c r="P644" s="38"/>
      <c r="Q644" s="14"/>
      <c r="R644" s="39"/>
      <c r="S644" s="39"/>
      <c r="T644" s="39"/>
      <c r="U644" s="40"/>
      <c r="V644" s="54"/>
      <c r="W644" s="55"/>
      <c r="X644" s="56"/>
      <c r="Y644" s="38"/>
      <c r="Z644" s="38"/>
      <c r="AA644" s="38"/>
      <c r="AB644" s="38"/>
    </row>
    <row r="645" spans="1:28">
      <c r="A645" s="42"/>
      <c r="B645" s="39"/>
      <c r="C645" s="40"/>
      <c r="D645" s="42"/>
      <c r="E645" s="38"/>
      <c r="F645" s="43"/>
      <c r="G645" s="63"/>
      <c r="H645" s="58"/>
      <c r="I645" s="38"/>
      <c r="J645" s="38"/>
      <c r="K645" s="46"/>
      <c r="L645" s="47"/>
      <c r="M645" s="93"/>
      <c r="N645" s="93"/>
      <c r="O645" s="38"/>
      <c r="P645" s="38"/>
      <c r="Q645" s="14"/>
      <c r="R645" s="39"/>
      <c r="S645" s="39"/>
      <c r="T645" s="39"/>
      <c r="U645" s="40"/>
      <c r="V645" s="54"/>
      <c r="W645" s="55"/>
      <c r="X645" s="56"/>
      <c r="Y645" s="38"/>
      <c r="Z645" s="38"/>
      <c r="AA645" s="38"/>
      <c r="AB645" s="38"/>
    </row>
    <row r="646" spans="1:28">
      <c r="A646" s="42"/>
      <c r="B646" s="39"/>
      <c r="C646" s="40"/>
      <c r="D646" s="42"/>
      <c r="E646" s="38"/>
      <c r="F646" s="43"/>
      <c r="G646" s="63"/>
      <c r="H646" s="58"/>
      <c r="I646" s="38"/>
      <c r="J646" s="38"/>
      <c r="K646" s="46"/>
      <c r="L646" s="47"/>
      <c r="M646" s="93"/>
      <c r="N646" s="93"/>
      <c r="O646" s="38"/>
      <c r="P646" s="38"/>
      <c r="Q646" s="14"/>
      <c r="R646" s="39"/>
      <c r="S646" s="39"/>
      <c r="T646" s="39"/>
      <c r="U646" s="40"/>
      <c r="V646" s="54"/>
      <c r="W646" s="55"/>
      <c r="X646" s="56"/>
      <c r="Y646" s="38"/>
      <c r="Z646" s="38"/>
      <c r="AA646" s="38"/>
      <c r="AB646" s="38"/>
    </row>
    <row r="647" spans="1:28">
      <c r="A647" s="42"/>
      <c r="B647" s="39"/>
      <c r="C647" s="40"/>
      <c r="D647" s="42"/>
      <c r="E647" s="38"/>
      <c r="F647" s="43"/>
      <c r="G647" s="63"/>
      <c r="H647" s="58"/>
      <c r="I647" s="38"/>
      <c r="J647" s="38"/>
      <c r="K647" s="46"/>
      <c r="L647" s="47"/>
      <c r="M647" s="93"/>
      <c r="N647" s="93"/>
      <c r="O647" s="38"/>
      <c r="P647" s="38"/>
      <c r="Q647" s="14"/>
      <c r="R647" s="39"/>
      <c r="S647" s="39"/>
      <c r="T647" s="39"/>
      <c r="U647" s="40"/>
      <c r="V647" s="54"/>
      <c r="W647" s="55"/>
      <c r="X647" s="56"/>
      <c r="Y647" s="38"/>
      <c r="Z647" s="38"/>
      <c r="AA647" s="38"/>
      <c r="AB647" s="38"/>
    </row>
    <row r="648" spans="1:28">
      <c r="A648" s="42"/>
      <c r="B648" s="39"/>
      <c r="C648" s="40"/>
      <c r="D648" s="42"/>
      <c r="E648" s="38"/>
      <c r="F648" s="43"/>
      <c r="G648" s="63"/>
      <c r="H648" s="58"/>
      <c r="I648" s="38"/>
      <c r="J648" s="38"/>
      <c r="K648" s="46"/>
      <c r="L648" s="47"/>
      <c r="M648" s="93"/>
      <c r="N648" s="93"/>
      <c r="O648" s="38"/>
      <c r="P648" s="38"/>
      <c r="Q648" s="14"/>
      <c r="R648" s="39"/>
      <c r="S648" s="39"/>
      <c r="T648" s="39"/>
      <c r="U648" s="40"/>
      <c r="V648" s="54"/>
      <c r="W648" s="55"/>
      <c r="X648" s="56"/>
      <c r="Y648" s="38"/>
      <c r="Z648" s="38"/>
      <c r="AA648" s="38"/>
      <c r="AB648" s="38"/>
    </row>
    <row r="649" spans="1:28">
      <c r="A649" s="42"/>
      <c r="B649" s="39"/>
      <c r="C649" s="40"/>
      <c r="D649" s="42"/>
      <c r="E649" s="38"/>
      <c r="F649" s="43"/>
      <c r="G649" s="63"/>
      <c r="H649" s="58"/>
      <c r="I649" s="38"/>
      <c r="J649" s="38"/>
      <c r="K649" s="46"/>
      <c r="L649" s="47"/>
      <c r="M649" s="93"/>
      <c r="N649" s="93"/>
      <c r="O649" s="38"/>
      <c r="P649" s="38"/>
      <c r="Q649" s="14"/>
      <c r="R649" s="39"/>
      <c r="S649" s="39"/>
      <c r="T649" s="39"/>
      <c r="U649" s="40"/>
      <c r="V649" s="54"/>
      <c r="W649" s="55"/>
      <c r="X649" s="56"/>
      <c r="Y649" s="38"/>
      <c r="Z649" s="38"/>
      <c r="AA649" s="38"/>
      <c r="AB649" s="38"/>
    </row>
    <row r="650" spans="1:28">
      <c r="A650" s="42"/>
      <c r="B650" s="39"/>
      <c r="C650" s="40"/>
      <c r="D650" s="42"/>
      <c r="E650" s="38"/>
      <c r="F650" s="43"/>
      <c r="G650" s="63"/>
      <c r="H650" s="58"/>
      <c r="I650" s="38"/>
      <c r="J650" s="38"/>
      <c r="K650" s="46"/>
      <c r="L650" s="47"/>
      <c r="M650" s="93"/>
      <c r="N650" s="93"/>
      <c r="O650" s="38"/>
      <c r="P650" s="38"/>
      <c r="Q650" s="14"/>
      <c r="R650" s="39"/>
      <c r="S650" s="39"/>
      <c r="T650" s="39"/>
      <c r="U650" s="40"/>
      <c r="V650" s="54"/>
      <c r="W650" s="55"/>
      <c r="X650" s="56"/>
      <c r="Y650" s="38"/>
      <c r="Z650" s="38"/>
      <c r="AA650" s="38"/>
      <c r="AB650" s="38"/>
    </row>
    <row r="651" spans="1:28">
      <c r="A651" s="42"/>
      <c r="B651" s="39"/>
      <c r="C651" s="40"/>
      <c r="D651" s="42"/>
      <c r="E651" s="38"/>
      <c r="F651" s="43"/>
      <c r="G651" s="63"/>
      <c r="H651" s="58"/>
      <c r="I651" s="38"/>
      <c r="J651" s="38"/>
      <c r="K651" s="46"/>
      <c r="L651" s="47"/>
      <c r="M651" s="93"/>
      <c r="N651" s="93"/>
      <c r="O651" s="38"/>
      <c r="P651" s="38"/>
      <c r="Q651" s="14"/>
      <c r="R651" s="39"/>
      <c r="S651" s="39"/>
      <c r="T651" s="39"/>
      <c r="U651" s="40"/>
      <c r="V651" s="54"/>
      <c r="W651" s="55"/>
      <c r="X651" s="56"/>
      <c r="Y651" s="38"/>
      <c r="Z651" s="38"/>
      <c r="AA651" s="38"/>
      <c r="AB651" s="38"/>
    </row>
    <row r="652" spans="1:28">
      <c r="A652" s="42"/>
      <c r="B652" s="39"/>
      <c r="C652" s="40"/>
      <c r="D652" s="42"/>
      <c r="E652" s="38"/>
      <c r="F652" s="43"/>
      <c r="G652" s="63"/>
      <c r="H652" s="58"/>
      <c r="I652" s="38"/>
      <c r="J652" s="38"/>
      <c r="K652" s="46"/>
      <c r="L652" s="47"/>
      <c r="M652" s="93"/>
      <c r="N652" s="93"/>
      <c r="O652" s="38"/>
      <c r="P652" s="38"/>
      <c r="Q652" s="14"/>
      <c r="R652" s="39"/>
      <c r="S652" s="39"/>
      <c r="T652" s="39"/>
      <c r="U652" s="40"/>
      <c r="V652" s="54"/>
      <c r="W652" s="55"/>
      <c r="X652" s="56"/>
      <c r="Y652" s="38"/>
      <c r="Z652" s="38"/>
      <c r="AA652" s="38"/>
      <c r="AB652" s="38"/>
    </row>
    <row r="653" spans="1:28">
      <c r="A653" s="42"/>
      <c r="B653" s="39"/>
      <c r="C653" s="40"/>
      <c r="D653" s="42"/>
      <c r="E653" s="38"/>
      <c r="F653" s="43"/>
      <c r="G653" s="63"/>
      <c r="H653" s="58"/>
      <c r="I653" s="38"/>
      <c r="J653" s="38"/>
      <c r="K653" s="46"/>
      <c r="L653" s="47"/>
      <c r="M653" s="93"/>
      <c r="N653" s="93"/>
      <c r="O653" s="38"/>
      <c r="P653" s="38"/>
      <c r="Q653" s="14"/>
      <c r="R653" s="39"/>
      <c r="S653" s="39"/>
      <c r="T653" s="39"/>
      <c r="U653" s="40"/>
      <c r="V653" s="54"/>
      <c r="W653" s="55"/>
      <c r="X653" s="56"/>
      <c r="Y653" s="38"/>
      <c r="Z653" s="38"/>
      <c r="AA653" s="38"/>
      <c r="AB653" s="38"/>
    </row>
    <row r="654" spans="1:28">
      <c r="A654" s="42"/>
      <c r="B654" s="39"/>
      <c r="C654" s="40"/>
      <c r="D654" s="42"/>
      <c r="E654" s="38"/>
      <c r="F654" s="43"/>
      <c r="G654" s="63"/>
      <c r="H654" s="58"/>
      <c r="I654" s="38"/>
      <c r="J654" s="38"/>
      <c r="K654" s="46"/>
      <c r="L654" s="47"/>
      <c r="M654" s="93"/>
      <c r="N654" s="93"/>
      <c r="O654" s="38"/>
      <c r="P654" s="38"/>
      <c r="Q654" s="14"/>
      <c r="R654" s="39"/>
      <c r="S654" s="39"/>
      <c r="T654" s="39"/>
      <c r="U654" s="40"/>
      <c r="V654" s="54"/>
      <c r="W654" s="55"/>
      <c r="X654" s="56"/>
      <c r="Y654" s="38"/>
      <c r="Z654" s="38"/>
      <c r="AA654" s="38"/>
      <c r="AB654" s="38"/>
    </row>
    <row r="655" spans="1:28">
      <c r="A655" s="42"/>
      <c r="B655" s="39"/>
      <c r="C655" s="40"/>
      <c r="D655" s="42"/>
      <c r="E655" s="38"/>
      <c r="F655" s="43"/>
      <c r="G655" s="63"/>
      <c r="H655" s="58"/>
      <c r="I655" s="38"/>
      <c r="J655" s="38"/>
      <c r="K655" s="46"/>
      <c r="L655" s="47"/>
      <c r="M655" s="93"/>
      <c r="N655" s="93"/>
      <c r="O655" s="38"/>
      <c r="P655" s="38"/>
      <c r="Q655" s="14"/>
      <c r="R655" s="39"/>
      <c r="S655" s="39"/>
      <c r="T655" s="39"/>
      <c r="U655" s="40"/>
      <c r="V655" s="54"/>
      <c r="W655" s="55"/>
      <c r="X655" s="56"/>
      <c r="Y655" s="38"/>
      <c r="Z655" s="38"/>
      <c r="AA655" s="38"/>
      <c r="AB655" s="38"/>
    </row>
    <row r="656" spans="1:28">
      <c r="A656" s="42"/>
      <c r="B656" s="39"/>
      <c r="C656" s="40"/>
      <c r="D656" s="42"/>
      <c r="E656" s="38"/>
      <c r="F656" s="43"/>
      <c r="G656" s="63"/>
      <c r="H656" s="58"/>
      <c r="I656" s="38"/>
      <c r="J656" s="38"/>
      <c r="K656" s="46"/>
      <c r="L656" s="47"/>
      <c r="M656" s="93"/>
      <c r="N656" s="93"/>
      <c r="O656" s="38"/>
      <c r="P656" s="38"/>
      <c r="Q656" s="14"/>
      <c r="R656" s="39"/>
      <c r="S656" s="39"/>
      <c r="T656" s="39"/>
      <c r="U656" s="40"/>
      <c r="V656" s="54"/>
      <c r="W656" s="55"/>
      <c r="X656" s="56"/>
      <c r="Y656" s="38"/>
      <c r="Z656" s="38"/>
      <c r="AA656" s="38"/>
      <c r="AB656" s="38"/>
    </row>
    <row r="657" spans="1:28">
      <c r="A657" s="42"/>
      <c r="B657" s="39"/>
      <c r="C657" s="40"/>
      <c r="D657" s="42"/>
      <c r="E657" s="38"/>
      <c r="F657" s="43"/>
      <c r="G657" s="63"/>
      <c r="H657" s="58"/>
      <c r="I657" s="38"/>
      <c r="J657" s="38"/>
      <c r="K657" s="46"/>
      <c r="L657" s="47"/>
      <c r="M657" s="93"/>
      <c r="N657" s="93"/>
      <c r="O657" s="38"/>
      <c r="P657" s="38"/>
      <c r="Q657" s="14"/>
      <c r="R657" s="39"/>
      <c r="S657" s="39"/>
      <c r="T657" s="39"/>
      <c r="U657" s="40"/>
      <c r="V657" s="54"/>
      <c r="W657" s="55"/>
      <c r="X657" s="56"/>
      <c r="Y657" s="38"/>
      <c r="Z657" s="38"/>
      <c r="AA657" s="38"/>
      <c r="AB657" s="38"/>
    </row>
    <row r="658" spans="1:28">
      <c r="A658" s="42"/>
      <c r="B658" s="39"/>
      <c r="C658" s="40"/>
      <c r="D658" s="42"/>
      <c r="E658" s="38"/>
      <c r="F658" s="43"/>
      <c r="G658" s="63"/>
      <c r="H658" s="58"/>
      <c r="I658" s="38"/>
      <c r="J658" s="38"/>
      <c r="K658" s="46"/>
      <c r="L658" s="47"/>
      <c r="M658" s="93"/>
      <c r="N658" s="93"/>
      <c r="O658" s="38"/>
      <c r="P658" s="38"/>
      <c r="Q658" s="14"/>
      <c r="R658" s="39"/>
      <c r="S658" s="39"/>
      <c r="T658" s="39"/>
      <c r="U658" s="40"/>
      <c r="V658" s="54"/>
      <c r="W658" s="55"/>
      <c r="X658" s="56"/>
      <c r="Y658" s="38"/>
      <c r="Z658" s="38"/>
      <c r="AA658" s="38"/>
      <c r="AB658" s="38"/>
    </row>
    <row r="659" spans="1:28">
      <c r="A659" s="42"/>
      <c r="B659" s="39"/>
      <c r="C659" s="40"/>
      <c r="D659" s="42"/>
      <c r="E659" s="38"/>
      <c r="F659" s="43"/>
      <c r="G659" s="63"/>
      <c r="H659" s="58"/>
      <c r="I659" s="38"/>
      <c r="J659" s="38"/>
      <c r="K659" s="46"/>
      <c r="L659" s="47"/>
      <c r="M659" s="93"/>
      <c r="N659" s="93"/>
      <c r="O659" s="38"/>
      <c r="P659" s="38"/>
      <c r="Q659" s="14"/>
      <c r="R659" s="39"/>
      <c r="S659" s="39"/>
      <c r="T659" s="39"/>
      <c r="U659" s="40"/>
      <c r="V659" s="54"/>
      <c r="W659" s="55"/>
      <c r="X659" s="56"/>
      <c r="Y659" s="38"/>
      <c r="Z659" s="38"/>
      <c r="AA659" s="38"/>
      <c r="AB659" s="38"/>
    </row>
    <row r="660" spans="1:28">
      <c r="A660" s="42"/>
      <c r="B660" s="39"/>
      <c r="C660" s="40"/>
      <c r="D660" s="42"/>
      <c r="E660" s="38"/>
      <c r="F660" s="43"/>
      <c r="G660" s="63"/>
      <c r="H660" s="58"/>
      <c r="I660" s="38"/>
      <c r="J660" s="38"/>
      <c r="K660" s="46"/>
      <c r="L660" s="47"/>
      <c r="M660" s="93"/>
      <c r="N660" s="93"/>
      <c r="O660" s="38"/>
      <c r="P660" s="38"/>
      <c r="Q660" s="14"/>
      <c r="R660" s="39"/>
      <c r="S660" s="39"/>
      <c r="T660" s="39"/>
      <c r="U660" s="40"/>
      <c r="V660" s="54"/>
      <c r="W660" s="55"/>
      <c r="X660" s="56"/>
      <c r="Y660" s="38"/>
      <c r="Z660" s="38"/>
      <c r="AA660" s="38"/>
      <c r="AB660" s="38"/>
    </row>
    <row r="661" spans="1:28">
      <c r="A661" s="42"/>
      <c r="B661" s="39"/>
      <c r="C661" s="40"/>
      <c r="D661" s="42"/>
      <c r="E661" s="38"/>
      <c r="F661" s="43"/>
      <c r="G661" s="63"/>
      <c r="H661" s="58"/>
      <c r="I661" s="38"/>
      <c r="J661" s="38"/>
      <c r="K661" s="46"/>
      <c r="L661" s="47"/>
      <c r="M661" s="93"/>
      <c r="N661" s="93"/>
      <c r="O661" s="38"/>
      <c r="P661" s="38"/>
      <c r="Q661" s="14"/>
      <c r="R661" s="39"/>
      <c r="S661" s="39"/>
      <c r="T661" s="39"/>
      <c r="U661" s="40"/>
      <c r="V661" s="54"/>
      <c r="W661" s="55"/>
      <c r="X661" s="56"/>
      <c r="Y661" s="38"/>
      <c r="Z661" s="38"/>
      <c r="AA661" s="38"/>
      <c r="AB661" s="38"/>
    </row>
    <row r="662" spans="1:28">
      <c r="A662" s="42"/>
      <c r="B662" s="39"/>
      <c r="C662" s="40"/>
      <c r="D662" s="42"/>
      <c r="E662" s="38"/>
      <c r="F662" s="43"/>
      <c r="G662" s="63"/>
      <c r="H662" s="58"/>
      <c r="I662" s="38"/>
      <c r="J662" s="38"/>
      <c r="K662" s="46"/>
      <c r="L662" s="47"/>
      <c r="M662" s="93"/>
      <c r="N662" s="93"/>
      <c r="O662" s="38"/>
      <c r="P662" s="38"/>
      <c r="Q662" s="14"/>
      <c r="R662" s="39"/>
      <c r="S662" s="39"/>
      <c r="T662" s="39"/>
      <c r="U662" s="40"/>
      <c r="V662" s="54"/>
      <c r="W662" s="55"/>
      <c r="X662" s="56"/>
      <c r="Y662" s="38"/>
      <c r="Z662" s="38"/>
      <c r="AA662" s="38"/>
      <c r="AB662" s="38"/>
    </row>
    <row r="663" spans="1:28">
      <c r="A663" s="42"/>
      <c r="B663" s="39"/>
      <c r="C663" s="40"/>
      <c r="D663" s="42"/>
      <c r="E663" s="38"/>
      <c r="F663" s="43"/>
      <c r="G663" s="63"/>
      <c r="H663" s="58"/>
      <c r="I663" s="38"/>
      <c r="J663" s="38"/>
      <c r="K663" s="46"/>
      <c r="L663" s="47"/>
      <c r="M663" s="93"/>
      <c r="N663" s="93"/>
      <c r="O663" s="38"/>
      <c r="P663" s="38"/>
      <c r="Q663" s="14"/>
      <c r="R663" s="39"/>
      <c r="S663" s="39"/>
      <c r="T663" s="39"/>
      <c r="U663" s="40"/>
      <c r="V663" s="54"/>
      <c r="W663" s="55"/>
      <c r="X663" s="56"/>
      <c r="Y663" s="38"/>
      <c r="Z663" s="38"/>
      <c r="AA663" s="38"/>
      <c r="AB663" s="38"/>
    </row>
    <row r="664" spans="1:28">
      <c r="A664" s="42"/>
      <c r="B664" s="39"/>
      <c r="C664" s="40"/>
      <c r="D664" s="42"/>
      <c r="E664" s="38"/>
      <c r="F664" s="43"/>
      <c r="G664" s="63"/>
      <c r="H664" s="58"/>
      <c r="I664" s="38"/>
      <c r="J664" s="38"/>
      <c r="K664" s="46"/>
      <c r="L664" s="47"/>
      <c r="M664" s="93"/>
      <c r="N664" s="93"/>
      <c r="O664" s="38"/>
      <c r="P664" s="38"/>
      <c r="Q664" s="14"/>
      <c r="R664" s="39"/>
      <c r="S664" s="39"/>
      <c r="T664" s="39"/>
      <c r="U664" s="40"/>
      <c r="V664" s="54"/>
      <c r="W664" s="55"/>
      <c r="X664" s="56"/>
      <c r="Y664" s="38"/>
      <c r="Z664" s="38"/>
      <c r="AA664" s="38"/>
      <c r="AB664" s="38"/>
    </row>
    <row r="665" spans="1:28">
      <c r="A665" s="42"/>
      <c r="B665" s="39"/>
      <c r="C665" s="40"/>
      <c r="D665" s="42"/>
      <c r="E665" s="38"/>
      <c r="F665" s="43"/>
      <c r="G665" s="63"/>
      <c r="H665" s="58"/>
      <c r="I665" s="38"/>
      <c r="J665" s="38"/>
      <c r="K665" s="46"/>
      <c r="L665" s="47"/>
      <c r="M665" s="93"/>
      <c r="N665" s="93"/>
      <c r="O665" s="38"/>
      <c r="P665" s="38"/>
      <c r="Q665" s="14"/>
      <c r="R665" s="39"/>
      <c r="S665" s="39"/>
      <c r="T665" s="39"/>
      <c r="U665" s="40"/>
      <c r="V665" s="54"/>
      <c r="W665" s="55"/>
      <c r="X665" s="56"/>
      <c r="Y665" s="38"/>
      <c r="Z665" s="38"/>
      <c r="AA665" s="38"/>
      <c r="AB665" s="38"/>
    </row>
    <row r="666" spans="1:28">
      <c r="A666" s="42"/>
      <c r="B666" s="39"/>
      <c r="C666" s="40"/>
      <c r="D666" s="42"/>
      <c r="E666" s="38"/>
      <c r="F666" s="43"/>
      <c r="G666" s="63"/>
      <c r="H666" s="58"/>
      <c r="I666" s="38"/>
      <c r="J666" s="38"/>
      <c r="K666" s="46"/>
      <c r="L666" s="47"/>
      <c r="M666" s="93"/>
      <c r="N666" s="93"/>
      <c r="O666" s="38"/>
      <c r="P666" s="38"/>
      <c r="Q666" s="14"/>
      <c r="R666" s="39"/>
      <c r="S666" s="39"/>
      <c r="T666" s="39"/>
      <c r="U666" s="40"/>
      <c r="V666" s="54"/>
      <c r="W666" s="55"/>
      <c r="X666" s="56"/>
      <c r="Y666" s="38"/>
      <c r="Z666" s="38"/>
      <c r="AA666" s="38"/>
      <c r="AB666" s="38"/>
    </row>
    <row r="667" spans="1:28">
      <c r="A667" s="42"/>
      <c r="B667" s="39"/>
      <c r="C667" s="40"/>
      <c r="D667" s="42"/>
      <c r="E667" s="38"/>
      <c r="F667" s="43"/>
      <c r="G667" s="63"/>
      <c r="H667" s="58"/>
      <c r="I667" s="38"/>
      <c r="J667" s="38"/>
      <c r="K667" s="46"/>
      <c r="L667" s="47"/>
      <c r="M667" s="93"/>
      <c r="N667" s="93"/>
      <c r="O667" s="38"/>
      <c r="P667" s="38"/>
      <c r="Q667" s="14"/>
      <c r="R667" s="39"/>
      <c r="S667" s="39"/>
      <c r="T667" s="39"/>
      <c r="U667" s="40"/>
      <c r="V667" s="54"/>
      <c r="W667" s="55"/>
      <c r="X667" s="56"/>
      <c r="Y667" s="38"/>
      <c r="Z667" s="38"/>
      <c r="AA667" s="38"/>
      <c r="AB667" s="38"/>
    </row>
    <row r="668" spans="1:28">
      <c r="A668" s="42"/>
      <c r="B668" s="39"/>
      <c r="C668" s="40"/>
      <c r="D668" s="42"/>
      <c r="E668" s="38"/>
      <c r="F668" s="43"/>
      <c r="G668" s="63"/>
      <c r="H668" s="58"/>
      <c r="I668" s="38"/>
      <c r="J668" s="38"/>
      <c r="K668" s="46"/>
      <c r="L668" s="47"/>
      <c r="M668" s="93"/>
      <c r="N668" s="93"/>
      <c r="O668" s="38"/>
      <c r="P668" s="38"/>
      <c r="Q668" s="14"/>
      <c r="R668" s="39"/>
      <c r="S668" s="39"/>
      <c r="T668" s="39"/>
      <c r="U668" s="40"/>
      <c r="V668" s="54"/>
      <c r="W668" s="55"/>
      <c r="X668" s="56"/>
      <c r="Y668" s="38"/>
      <c r="Z668" s="38"/>
      <c r="AA668" s="38"/>
      <c r="AB668" s="38"/>
    </row>
    <row r="669" spans="1:28">
      <c r="A669" s="42"/>
      <c r="B669" s="39"/>
      <c r="C669" s="40"/>
      <c r="D669" s="42"/>
      <c r="E669" s="38"/>
      <c r="F669" s="43"/>
      <c r="G669" s="63"/>
      <c r="H669" s="58"/>
      <c r="I669" s="38"/>
      <c r="J669" s="38"/>
      <c r="K669" s="46"/>
      <c r="L669" s="47"/>
      <c r="M669" s="93"/>
      <c r="N669" s="93"/>
      <c r="O669" s="38"/>
      <c r="P669" s="38"/>
      <c r="Q669" s="14"/>
      <c r="R669" s="39"/>
      <c r="S669" s="39"/>
      <c r="T669" s="39"/>
      <c r="U669" s="40"/>
      <c r="V669" s="54"/>
      <c r="W669" s="55"/>
      <c r="X669" s="56"/>
      <c r="Y669" s="38"/>
      <c r="Z669" s="38"/>
      <c r="AA669" s="38"/>
      <c r="AB669" s="38"/>
    </row>
    <row r="670" spans="1:28">
      <c r="A670" s="42"/>
      <c r="B670" s="39"/>
      <c r="C670" s="40"/>
      <c r="D670" s="42"/>
      <c r="E670" s="38"/>
      <c r="F670" s="43"/>
      <c r="G670" s="63"/>
      <c r="H670" s="58"/>
      <c r="I670" s="38"/>
      <c r="J670" s="38"/>
      <c r="K670" s="46"/>
      <c r="L670" s="47"/>
      <c r="M670" s="93"/>
      <c r="N670" s="93"/>
      <c r="O670" s="38"/>
      <c r="P670" s="38"/>
      <c r="Q670" s="14"/>
      <c r="R670" s="39"/>
      <c r="S670" s="39"/>
      <c r="T670" s="39"/>
      <c r="U670" s="40"/>
      <c r="V670" s="54"/>
      <c r="W670" s="55"/>
      <c r="X670" s="56"/>
      <c r="Y670" s="38"/>
      <c r="Z670" s="38"/>
      <c r="AA670" s="38"/>
      <c r="AB670" s="38"/>
    </row>
    <row r="671" spans="1:28">
      <c r="A671" s="42"/>
      <c r="B671" s="39"/>
      <c r="C671" s="40"/>
      <c r="D671" s="42"/>
      <c r="E671" s="38"/>
      <c r="F671" s="43"/>
      <c r="G671" s="63"/>
      <c r="H671" s="58"/>
      <c r="I671" s="38"/>
      <c r="J671" s="38"/>
      <c r="K671" s="46"/>
      <c r="L671" s="47"/>
      <c r="M671" s="93"/>
      <c r="N671" s="93"/>
      <c r="O671" s="38"/>
      <c r="P671" s="38"/>
      <c r="Q671" s="14"/>
      <c r="R671" s="39"/>
      <c r="S671" s="39"/>
      <c r="T671" s="39"/>
      <c r="U671" s="40"/>
      <c r="V671" s="54"/>
      <c r="W671" s="55"/>
      <c r="X671" s="56"/>
      <c r="Y671" s="38"/>
      <c r="Z671" s="38"/>
      <c r="AA671" s="38"/>
      <c r="AB671" s="38"/>
    </row>
    <row r="672" spans="1:28">
      <c r="A672" s="42"/>
      <c r="B672" s="39"/>
      <c r="C672" s="40"/>
      <c r="D672" s="42"/>
      <c r="E672" s="38"/>
      <c r="F672" s="43"/>
      <c r="G672" s="63"/>
      <c r="H672" s="58"/>
      <c r="I672" s="38"/>
      <c r="J672" s="38"/>
      <c r="K672" s="46"/>
      <c r="L672" s="47"/>
      <c r="M672" s="93"/>
      <c r="N672" s="93"/>
      <c r="O672" s="38"/>
      <c r="P672" s="38"/>
      <c r="Q672" s="14"/>
      <c r="R672" s="39"/>
      <c r="S672" s="39"/>
      <c r="T672" s="39"/>
      <c r="U672" s="40"/>
      <c r="V672" s="54"/>
      <c r="W672" s="55"/>
      <c r="X672" s="56"/>
      <c r="Y672" s="38"/>
      <c r="Z672" s="38"/>
      <c r="AA672" s="38"/>
      <c r="AB672" s="38"/>
    </row>
    <row r="673" spans="1:28">
      <c r="A673" s="42"/>
      <c r="B673" s="39"/>
      <c r="C673" s="40"/>
      <c r="D673" s="42"/>
      <c r="E673" s="38"/>
      <c r="F673" s="43"/>
      <c r="G673" s="63"/>
      <c r="H673" s="58"/>
      <c r="I673" s="38"/>
      <c r="J673" s="38"/>
      <c r="K673" s="46"/>
      <c r="L673" s="47"/>
      <c r="M673" s="93"/>
      <c r="N673" s="93"/>
      <c r="O673" s="38"/>
      <c r="P673" s="38"/>
      <c r="Q673" s="14"/>
      <c r="R673" s="39"/>
      <c r="S673" s="39"/>
      <c r="T673" s="39"/>
      <c r="U673" s="40"/>
      <c r="V673" s="54"/>
      <c r="W673" s="55"/>
      <c r="X673" s="56"/>
      <c r="Y673" s="38"/>
      <c r="Z673" s="38"/>
      <c r="AA673" s="38"/>
      <c r="AB673" s="38"/>
    </row>
    <row r="674" spans="1:28">
      <c r="A674" s="42"/>
      <c r="B674" s="39"/>
      <c r="C674" s="40"/>
      <c r="D674" s="42"/>
      <c r="E674" s="38"/>
      <c r="F674" s="43"/>
      <c r="G674" s="63"/>
      <c r="H674" s="58"/>
      <c r="I674" s="38"/>
      <c r="J674" s="38"/>
      <c r="K674" s="46"/>
      <c r="L674" s="47"/>
      <c r="M674" s="93"/>
      <c r="N674" s="93"/>
      <c r="O674" s="38"/>
      <c r="P674" s="38"/>
      <c r="Q674" s="14"/>
      <c r="R674" s="39"/>
      <c r="S674" s="39"/>
      <c r="T674" s="39"/>
      <c r="U674" s="40"/>
      <c r="V674" s="54"/>
      <c r="W674" s="55"/>
      <c r="X674" s="56"/>
      <c r="Y674" s="38"/>
      <c r="Z674" s="38"/>
      <c r="AA674" s="38"/>
      <c r="AB674" s="38"/>
    </row>
    <row r="675" spans="1:28">
      <c r="A675" s="42"/>
      <c r="B675" s="39"/>
      <c r="C675" s="40"/>
      <c r="D675" s="42"/>
      <c r="E675" s="38"/>
      <c r="F675" s="43"/>
      <c r="G675" s="63"/>
      <c r="H675" s="58"/>
      <c r="I675" s="38"/>
      <c r="J675" s="38"/>
      <c r="K675" s="46"/>
      <c r="L675" s="47"/>
      <c r="M675" s="93"/>
      <c r="N675" s="93"/>
      <c r="O675" s="38"/>
      <c r="P675" s="38"/>
      <c r="Q675" s="14"/>
      <c r="R675" s="39"/>
      <c r="S675" s="39"/>
      <c r="T675" s="39"/>
      <c r="U675" s="40"/>
      <c r="V675" s="54"/>
      <c r="W675" s="55"/>
      <c r="X675" s="56"/>
      <c r="Y675" s="38"/>
      <c r="Z675" s="38"/>
      <c r="AA675" s="38"/>
      <c r="AB675" s="38"/>
    </row>
    <row r="676" spans="1:28">
      <c r="A676" s="42"/>
      <c r="B676" s="39"/>
      <c r="C676" s="40"/>
      <c r="D676" s="42"/>
      <c r="E676" s="38"/>
      <c r="F676" s="43"/>
      <c r="G676" s="63"/>
      <c r="H676" s="58"/>
      <c r="I676" s="38"/>
      <c r="J676" s="38"/>
      <c r="K676" s="46"/>
      <c r="L676" s="47"/>
      <c r="M676" s="93"/>
      <c r="N676" s="93"/>
      <c r="O676" s="38"/>
      <c r="P676" s="38"/>
      <c r="Q676" s="14"/>
      <c r="R676" s="39"/>
      <c r="S676" s="39"/>
      <c r="T676" s="39"/>
      <c r="U676" s="40"/>
      <c r="V676" s="54"/>
      <c r="W676" s="55"/>
      <c r="X676" s="56"/>
      <c r="Y676" s="38"/>
      <c r="Z676" s="38"/>
      <c r="AA676" s="38"/>
      <c r="AB676" s="38"/>
    </row>
    <row r="677" spans="1:28">
      <c r="A677" s="42"/>
      <c r="B677" s="39"/>
      <c r="C677" s="40"/>
      <c r="D677" s="42"/>
      <c r="E677" s="38"/>
      <c r="F677" s="43"/>
      <c r="G677" s="63"/>
      <c r="H677" s="58"/>
      <c r="I677" s="38"/>
      <c r="J677" s="38"/>
      <c r="K677" s="46"/>
      <c r="L677" s="47"/>
      <c r="M677" s="93"/>
      <c r="N677" s="93"/>
      <c r="O677" s="38"/>
      <c r="P677" s="38"/>
      <c r="Q677" s="14"/>
      <c r="R677" s="39"/>
      <c r="S677" s="39"/>
      <c r="T677" s="39"/>
      <c r="U677" s="40"/>
      <c r="V677" s="54"/>
      <c r="W677" s="55"/>
      <c r="X677" s="56"/>
      <c r="Y677" s="38"/>
      <c r="Z677" s="38"/>
      <c r="AA677" s="38"/>
      <c r="AB677" s="38"/>
    </row>
    <row r="678" spans="1:28">
      <c r="A678" s="42"/>
      <c r="B678" s="39"/>
      <c r="C678" s="40"/>
      <c r="D678" s="42"/>
      <c r="E678" s="38"/>
      <c r="F678" s="43"/>
      <c r="G678" s="63"/>
      <c r="H678" s="58"/>
      <c r="I678" s="38"/>
      <c r="J678" s="38"/>
      <c r="K678" s="46"/>
      <c r="L678" s="47"/>
      <c r="M678" s="93"/>
      <c r="N678" s="93"/>
      <c r="O678" s="38"/>
      <c r="P678" s="38"/>
      <c r="Q678" s="14"/>
      <c r="R678" s="39"/>
      <c r="S678" s="39"/>
      <c r="T678" s="39"/>
      <c r="U678" s="40"/>
      <c r="V678" s="54"/>
      <c r="W678" s="55"/>
      <c r="X678" s="56"/>
      <c r="Y678" s="38"/>
      <c r="Z678" s="38"/>
      <c r="AA678" s="38"/>
      <c r="AB678" s="38"/>
    </row>
    <row r="679" spans="1:28">
      <c r="A679" s="42"/>
      <c r="B679" s="39"/>
      <c r="C679" s="40"/>
      <c r="D679" s="42"/>
      <c r="E679" s="38"/>
      <c r="F679" s="43"/>
      <c r="G679" s="63"/>
      <c r="H679" s="58"/>
      <c r="I679" s="38"/>
      <c r="J679" s="38"/>
      <c r="K679" s="46"/>
      <c r="L679" s="47"/>
      <c r="M679" s="93"/>
      <c r="N679" s="93"/>
      <c r="O679" s="38"/>
      <c r="P679" s="38"/>
      <c r="Q679" s="14"/>
      <c r="R679" s="39"/>
      <c r="S679" s="39"/>
      <c r="T679" s="39"/>
      <c r="U679" s="40"/>
      <c r="V679" s="54"/>
      <c r="W679" s="55"/>
      <c r="X679" s="56"/>
      <c r="Y679" s="38"/>
      <c r="Z679" s="38"/>
      <c r="AA679" s="38"/>
      <c r="AB679" s="38"/>
    </row>
    <row r="680" spans="1:28">
      <c r="A680" s="42"/>
      <c r="B680" s="39"/>
      <c r="C680" s="40"/>
      <c r="D680" s="42"/>
      <c r="E680" s="38"/>
      <c r="F680" s="43"/>
      <c r="G680" s="63"/>
      <c r="H680" s="58"/>
      <c r="I680" s="38"/>
      <c r="J680" s="38"/>
      <c r="K680" s="46"/>
      <c r="L680" s="47"/>
      <c r="M680" s="93"/>
      <c r="N680" s="93"/>
      <c r="O680" s="38"/>
      <c r="P680" s="38"/>
      <c r="Q680" s="14"/>
      <c r="R680" s="39"/>
      <c r="S680" s="39"/>
      <c r="T680" s="39"/>
      <c r="U680" s="40"/>
      <c r="V680" s="54"/>
      <c r="W680" s="55"/>
      <c r="X680" s="56"/>
      <c r="Y680" s="38"/>
      <c r="Z680" s="38"/>
      <c r="AA680" s="38"/>
      <c r="AB680" s="38"/>
    </row>
    <row r="681" spans="1:28">
      <c r="A681" s="42"/>
      <c r="B681" s="39"/>
      <c r="C681" s="40"/>
      <c r="D681" s="42"/>
      <c r="E681" s="38"/>
      <c r="F681" s="43"/>
      <c r="G681" s="63"/>
      <c r="H681" s="58"/>
      <c r="I681" s="38"/>
      <c r="J681" s="38"/>
      <c r="K681" s="46"/>
      <c r="L681" s="47"/>
      <c r="M681" s="93"/>
      <c r="N681" s="93"/>
      <c r="O681" s="38"/>
      <c r="P681" s="38"/>
      <c r="Q681" s="14"/>
      <c r="R681" s="39"/>
      <c r="S681" s="39"/>
      <c r="T681" s="39"/>
      <c r="U681" s="40"/>
      <c r="V681" s="54"/>
      <c r="W681" s="55"/>
      <c r="X681" s="56"/>
      <c r="Y681" s="38"/>
      <c r="Z681" s="38"/>
      <c r="AA681" s="38"/>
      <c r="AB681" s="38"/>
    </row>
    <row r="682" spans="1:28">
      <c r="A682" s="42"/>
      <c r="B682" s="39"/>
      <c r="C682" s="40"/>
      <c r="D682" s="42"/>
      <c r="E682" s="38"/>
      <c r="F682" s="43"/>
      <c r="G682" s="63"/>
      <c r="H682" s="58"/>
      <c r="I682" s="38"/>
      <c r="J682" s="38"/>
      <c r="K682" s="46"/>
      <c r="L682" s="47"/>
      <c r="M682" s="93"/>
      <c r="N682" s="93"/>
      <c r="O682" s="38"/>
      <c r="P682" s="38"/>
      <c r="Q682" s="14"/>
      <c r="R682" s="39"/>
      <c r="S682" s="39"/>
      <c r="T682" s="39"/>
      <c r="U682" s="40"/>
      <c r="V682" s="54"/>
      <c r="W682" s="55"/>
      <c r="X682" s="56"/>
      <c r="Y682" s="38"/>
      <c r="Z682" s="38"/>
      <c r="AA682" s="38"/>
      <c r="AB682" s="38"/>
    </row>
    <row r="683" spans="1:28">
      <c r="A683" s="42"/>
      <c r="B683" s="39"/>
      <c r="C683" s="40"/>
      <c r="D683" s="42"/>
      <c r="E683" s="38"/>
      <c r="F683" s="43"/>
      <c r="G683" s="63"/>
      <c r="H683" s="58"/>
      <c r="I683" s="38"/>
      <c r="J683" s="38"/>
      <c r="K683" s="46"/>
      <c r="L683" s="47"/>
      <c r="M683" s="93"/>
      <c r="N683" s="93"/>
      <c r="O683" s="38"/>
      <c r="P683" s="38"/>
      <c r="Q683" s="14"/>
      <c r="R683" s="39"/>
      <c r="S683" s="39"/>
      <c r="T683" s="39"/>
      <c r="U683" s="40"/>
      <c r="V683" s="54"/>
      <c r="W683" s="55"/>
      <c r="X683" s="56"/>
      <c r="Y683" s="38"/>
      <c r="Z683" s="38"/>
      <c r="AA683" s="38"/>
      <c r="AB683" s="38"/>
    </row>
    <row r="684" spans="1:28">
      <c r="A684" s="42"/>
      <c r="B684" s="39"/>
      <c r="C684" s="40"/>
      <c r="D684" s="42"/>
      <c r="E684" s="38"/>
      <c r="F684" s="43"/>
      <c r="G684" s="63"/>
      <c r="H684" s="58"/>
      <c r="I684" s="38"/>
      <c r="J684" s="38"/>
      <c r="K684" s="46"/>
      <c r="L684" s="47"/>
      <c r="M684" s="93"/>
      <c r="N684" s="93"/>
      <c r="O684" s="38"/>
      <c r="P684" s="38"/>
      <c r="Q684" s="14"/>
      <c r="R684" s="39"/>
      <c r="S684" s="39"/>
      <c r="T684" s="39"/>
      <c r="U684" s="40"/>
      <c r="V684" s="54"/>
      <c r="W684" s="55"/>
      <c r="X684" s="56"/>
      <c r="Y684" s="38"/>
      <c r="Z684" s="38"/>
      <c r="AA684" s="38"/>
      <c r="AB684" s="38"/>
    </row>
    <row r="685" spans="1:28">
      <c r="A685" s="42"/>
      <c r="B685" s="39"/>
      <c r="C685" s="40"/>
      <c r="D685" s="42"/>
      <c r="E685" s="38"/>
      <c r="F685" s="43"/>
      <c r="G685" s="63"/>
      <c r="H685" s="58"/>
      <c r="I685" s="38"/>
      <c r="J685" s="38"/>
      <c r="K685" s="46"/>
      <c r="L685" s="47"/>
      <c r="M685" s="93"/>
      <c r="N685" s="93"/>
      <c r="O685" s="38"/>
      <c r="P685" s="38"/>
      <c r="Q685" s="14"/>
      <c r="R685" s="39"/>
      <c r="S685" s="39"/>
      <c r="T685" s="39"/>
      <c r="U685" s="40"/>
      <c r="V685" s="54"/>
      <c r="W685" s="55"/>
      <c r="X685" s="56"/>
      <c r="Y685" s="38"/>
      <c r="Z685" s="38"/>
      <c r="AA685" s="38"/>
      <c r="AB685" s="38"/>
    </row>
    <row r="686" spans="1:28">
      <c r="A686" s="42"/>
      <c r="B686" s="39"/>
      <c r="C686" s="40"/>
      <c r="D686" s="42"/>
      <c r="E686" s="38"/>
      <c r="F686" s="43"/>
      <c r="G686" s="63"/>
      <c r="H686" s="58"/>
      <c r="I686" s="38"/>
      <c r="J686" s="38"/>
      <c r="K686" s="46"/>
      <c r="L686" s="47"/>
      <c r="M686" s="93"/>
      <c r="N686" s="93"/>
      <c r="O686" s="38"/>
      <c r="P686" s="38"/>
      <c r="Q686" s="14"/>
      <c r="R686" s="39"/>
      <c r="S686" s="39"/>
      <c r="T686" s="39"/>
      <c r="U686" s="40"/>
      <c r="V686" s="54"/>
      <c r="W686" s="55"/>
      <c r="X686" s="56"/>
      <c r="Y686" s="38"/>
      <c r="Z686" s="38"/>
      <c r="AA686" s="38"/>
      <c r="AB686" s="38"/>
    </row>
    <row r="687" spans="1:28">
      <c r="A687" s="42"/>
      <c r="B687" s="39"/>
      <c r="C687" s="40"/>
      <c r="D687" s="42"/>
      <c r="E687" s="38"/>
      <c r="F687" s="43"/>
      <c r="G687" s="63"/>
      <c r="H687" s="58"/>
      <c r="I687" s="38"/>
      <c r="J687" s="38"/>
      <c r="K687" s="46"/>
      <c r="L687" s="47"/>
      <c r="M687" s="93"/>
      <c r="N687" s="93"/>
      <c r="O687" s="38"/>
      <c r="P687" s="38"/>
      <c r="Q687" s="14"/>
      <c r="R687" s="39"/>
      <c r="S687" s="39"/>
      <c r="T687" s="39"/>
      <c r="U687" s="40"/>
      <c r="V687" s="54"/>
      <c r="W687" s="55"/>
      <c r="X687" s="56"/>
      <c r="Y687" s="38"/>
      <c r="Z687" s="38"/>
      <c r="AA687" s="38"/>
      <c r="AB687" s="38"/>
    </row>
    <row r="688" spans="1:28">
      <c r="A688" s="42"/>
      <c r="B688" s="39"/>
      <c r="C688" s="40"/>
      <c r="D688" s="42"/>
      <c r="E688" s="38"/>
      <c r="F688" s="43"/>
      <c r="G688" s="63"/>
      <c r="H688" s="58"/>
      <c r="I688" s="38"/>
      <c r="J688" s="38"/>
      <c r="K688" s="46"/>
      <c r="L688" s="47"/>
      <c r="M688" s="93"/>
      <c r="N688" s="93"/>
      <c r="O688" s="38"/>
      <c r="P688" s="38"/>
      <c r="Q688" s="14"/>
      <c r="R688" s="39"/>
      <c r="S688" s="39"/>
      <c r="T688" s="39"/>
      <c r="U688" s="40"/>
      <c r="V688" s="54"/>
      <c r="W688" s="55"/>
      <c r="X688" s="56"/>
      <c r="Y688" s="38"/>
      <c r="Z688" s="38"/>
      <c r="AA688" s="38"/>
      <c r="AB688" s="38"/>
    </row>
    <row r="689" spans="1:28">
      <c r="A689" s="42"/>
      <c r="B689" s="39"/>
      <c r="C689" s="40"/>
      <c r="D689" s="42"/>
      <c r="E689" s="38"/>
      <c r="F689" s="43"/>
      <c r="G689" s="63"/>
      <c r="H689" s="58"/>
      <c r="I689" s="38"/>
      <c r="J689" s="38"/>
      <c r="K689" s="46"/>
      <c r="L689" s="47"/>
      <c r="M689" s="93"/>
      <c r="N689" s="93"/>
      <c r="O689" s="38"/>
      <c r="P689" s="38"/>
      <c r="Q689" s="14"/>
      <c r="R689" s="39"/>
      <c r="S689" s="39"/>
      <c r="T689" s="39"/>
      <c r="U689" s="40"/>
      <c r="V689" s="54"/>
      <c r="W689" s="55"/>
      <c r="X689" s="56"/>
      <c r="Y689" s="38"/>
      <c r="Z689" s="38"/>
      <c r="AA689" s="38"/>
      <c r="AB689" s="38"/>
    </row>
    <row r="690" spans="1:28">
      <c r="A690" s="42"/>
      <c r="B690" s="39"/>
      <c r="C690" s="40"/>
      <c r="D690" s="42"/>
      <c r="E690" s="38"/>
      <c r="F690" s="43"/>
      <c r="G690" s="63"/>
      <c r="H690" s="58"/>
      <c r="I690" s="38"/>
      <c r="J690" s="38"/>
      <c r="K690" s="46"/>
      <c r="L690" s="47"/>
      <c r="M690" s="93"/>
      <c r="N690" s="93"/>
      <c r="O690" s="38"/>
      <c r="P690" s="38"/>
      <c r="Q690" s="14"/>
      <c r="R690" s="39"/>
      <c r="S690" s="39"/>
      <c r="T690" s="39"/>
      <c r="U690" s="40"/>
      <c r="V690" s="54"/>
      <c r="W690" s="55"/>
      <c r="X690" s="56"/>
      <c r="Y690" s="38"/>
      <c r="Z690" s="38"/>
      <c r="AA690" s="38"/>
      <c r="AB690" s="38"/>
    </row>
    <row r="691" spans="1:28">
      <c r="A691" s="42"/>
      <c r="B691" s="39"/>
      <c r="C691" s="40"/>
      <c r="D691" s="42"/>
      <c r="E691" s="38"/>
      <c r="F691" s="43"/>
      <c r="G691" s="63"/>
      <c r="H691" s="58"/>
      <c r="I691" s="38"/>
      <c r="J691" s="38"/>
      <c r="K691" s="46"/>
      <c r="L691" s="47"/>
      <c r="M691" s="93"/>
      <c r="N691" s="93"/>
      <c r="O691" s="38"/>
      <c r="P691" s="38"/>
      <c r="Q691" s="14"/>
      <c r="R691" s="39"/>
      <c r="S691" s="39"/>
      <c r="T691" s="39"/>
      <c r="U691" s="40"/>
      <c r="V691" s="54"/>
      <c r="W691" s="55"/>
      <c r="X691" s="56"/>
      <c r="Y691" s="38"/>
      <c r="Z691" s="38"/>
      <c r="AA691" s="38"/>
      <c r="AB691" s="38"/>
    </row>
    <row r="692" spans="1:28">
      <c r="A692" s="42"/>
      <c r="B692" s="39"/>
      <c r="C692" s="40"/>
      <c r="D692" s="42"/>
      <c r="E692" s="38"/>
      <c r="F692" s="43"/>
      <c r="G692" s="63"/>
      <c r="H692" s="58"/>
      <c r="I692" s="38"/>
      <c r="J692" s="38"/>
      <c r="K692" s="46"/>
      <c r="L692" s="47"/>
      <c r="M692" s="93"/>
      <c r="N692" s="93"/>
      <c r="O692" s="38"/>
      <c r="P692" s="38"/>
      <c r="Q692" s="14"/>
      <c r="R692" s="39"/>
      <c r="S692" s="39"/>
      <c r="T692" s="39"/>
      <c r="U692" s="40"/>
      <c r="V692" s="54"/>
      <c r="W692" s="55"/>
      <c r="X692" s="56"/>
      <c r="Y692" s="38"/>
      <c r="Z692" s="38"/>
      <c r="AA692" s="38"/>
      <c r="AB692" s="38"/>
    </row>
    <row r="693" spans="1:28">
      <c r="A693" s="42"/>
      <c r="B693" s="39"/>
      <c r="C693" s="40"/>
      <c r="D693" s="42"/>
      <c r="E693" s="38"/>
      <c r="F693" s="43"/>
      <c r="G693" s="63"/>
      <c r="H693" s="58"/>
      <c r="I693" s="38"/>
      <c r="J693" s="38"/>
      <c r="K693" s="46"/>
      <c r="L693" s="47"/>
      <c r="M693" s="93"/>
      <c r="N693" s="93"/>
      <c r="O693" s="38"/>
      <c r="P693" s="38"/>
      <c r="Q693" s="14"/>
      <c r="R693" s="39"/>
      <c r="S693" s="39"/>
      <c r="T693" s="39"/>
      <c r="U693" s="40"/>
      <c r="V693" s="54"/>
      <c r="W693" s="55"/>
      <c r="X693" s="56"/>
      <c r="Y693" s="38"/>
      <c r="Z693" s="38"/>
      <c r="AA693" s="38"/>
      <c r="AB693" s="38"/>
    </row>
    <row r="694" spans="1:28">
      <c r="A694" s="42"/>
      <c r="B694" s="39"/>
      <c r="C694" s="40"/>
      <c r="D694" s="42"/>
      <c r="E694" s="38"/>
      <c r="F694" s="43"/>
      <c r="G694" s="63"/>
      <c r="H694" s="58"/>
      <c r="I694" s="38"/>
      <c r="J694" s="38"/>
      <c r="K694" s="46"/>
      <c r="L694" s="47"/>
      <c r="M694" s="93"/>
      <c r="N694" s="93"/>
      <c r="O694" s="38"/>
      <c r="P694" s="38"/>
      <c r="Q694" s="14"/>
      <c r="R694" s="39"/>
      <c r="S694" s="39"/>
      <c r="T694" s="39"/>
      <c r="U694" s="40"/>
      <c r="V694" s="54"/>
      <c r="W694" s="55"/>
      <c r="X694" s="56"/>
      <c r="Y694" s="38"/>
      <c r="Z694" s="38"/>
      <c r="AA694" s="38"/>
      <c r="AB694" s="38"/>
    </row>
    <row r="695" spans="1:28">
      <c r="A695" s="42"/>
      <c r="B695" s="39"/>
      <c r="C695" s="40"/>
      <c r="D695" s="42"/>
      <c r="E695" s="38"/>
      <c r="F695" s="43"/>
      <c r="G695" s="63"/>
      <c r="H695" s="58"/>
      <c r="I695" s="38"/>
      <c r="J695" s="38"/>
      <c r="K695" s="46"/>
      <c r="L695" s="47"/>
      <c r="M695" s="93"/>
      <c r="N695" s="93"/>
      <c r="O695" s="38"/>
      <c r="P695" s="38"/>
      <c r="Q695" s="14"/>
      <c r="R695" s="39"/>
      <c r="S695" s="39"/>
      <c r="T695" s="39"/>
      <c r="U695" s="40"/>
      <c r="V695" s="54"/>
      <c r="W695" s="55"/>
      <c r="X695" s="56"/>
      <c r="Y695" s="38"/>
      <c r="Z695" s="38"/>
      <c r="AA695" s="38"/>
      <c r="AB695" s="38"/>
    </row>
    <row r="696" spans="1:28">
      <c r="A696" s="42"/>
      <c r="B696" s="39"/>
      <c r="C696" s="40"/>
      <c r="D696" s="42"/>
      <c r="E696" s="38"/>
      <c r="F696" s="43"/>
      <c r="G696" s="63"/>
      <c r="H696" s="58"/>
      <c r="I696" s="38"/>
      <c r="J696" s="38"/>
      <c r="K696" s="46"/>
      <c r="L696" s="47"/>
      <c r="M696" s="93"/>
      <c r="N696" s="93"/>
      <c r="O696" s="38"/>
      <c r="P696" s="38"/>
      <c r="Q696" s="14"/>
      <c r="R696" s="39"/>
      <c r="S696" s="39"/>
      <c r="T696" s="39"/>
      <c r="U696" s="40"/>
      <c r="V696" s="54"/>
      <c r="W696" s="55"/>
      <c r="X696" s="56"/>
      <c r="Y696" s="38"/>
      <c r="Z696" s="38"/>
      <c r="AA696" s="38"/>
      <c r="AB696" s="38"/>
    </row>
    <row r="697" spans="1:28">
      <c r="A697" s="42"/>
      <c r="B697" s="39"/>
      <c r="C697" s="40"/>
      <c r="D697" s="42"/>
      <c r="E697" s="38"/>
      <c r="F697" s="43"/>
      <c r="G697" s="63"/>
      <c r="H697" s="58"/>
      <c r="I697" s="38"/>
      <c r="J697" s="38"/>
      <c r="K697" s="46"/>
      <c r="L697" s="47"/>
      <c r="M697" s="93"/>
      <c r="N697" s="93"/>
      <c r="O697" s="38"/>
      <c r="P697" s="38"/>
      <c r="Q697" s="14"/>
      <c r="R697" s="39"/>
      <c r="S697" s="39"/>
      <c r="T697" s="39"/>
      <c r="U697" s="40"/>
      <c r="V697" s="54"/>
      <c r="W697" s="55"/>
      <c r="X697" s="56"/>
      <c r="Y697" s="38"/>
      <c r="Z697" s="38"/>
      <c r="AA697" s="38"/>
      <c r="AB697" s="38"/>
    </row>
    <row r="698" spans="1:28">
      <c r="A698" s="42"/>
      <c r="B698" s="39"/>
      <c r="C698" s="40"/>
      <c r="D698" s="42"/>
      <c r="E698" s="38"/>
      <c r="F698" s="43"/>
      <c r="G698" s="63"/>
      <c r="H698" s="58"/>
      <c r="I698" s="38"/>
      <c r="J698" s="38"/>
      <c r="K698" s="46"/>
      <c r="L698" s="47"/>
      <c r="M698" s="93"/>
      <c r="N698" s="93"/>
      <c r="O698" s="38"/>
      <c r="P698" s="38"/>
      <c r="Q698" s="14"/>
      <c r="R698" s="39"/>
      <c r="S698" s="39"/>
      <c r="T698" s="39"/>
      <c r="U698" s="40"/>
      <c r="V698" s="54"/>
      <c r="W698" s="55"/>
      <c r="X698" s="56"/>
      <c r="Y698" s="38"/>
      <c r="Z698" s="38"/>
      <c r="AA698" s="38"/>
      <c r="AB698" s="38"/>
    </row>
    <row r="699" spans="1:28">
      <c r="A699" s="42"/>
      <c r="B699" s="39"/>
      <c r="C699" s="40"/>
      <c r="D699" s="42"/>
      <c r="E699" s="38"/>
      <c r="F699" s="43"/>
      <c r="G699" s="63"/>
      <c r="H699" s="58"/>
      <c r="I699" s="38"/>
      <c r="J699" s="38"/>
      <c r="K699" s="46"/>
      <c r="L699" s="47"/>
      <c r="M699" s="93"/>
      <c r="N699" s="93"/>
      <c r="O699" s="38"/>
      <c r="P699" s="38"/>
      <c r="Q699" s="14"/>
      <c r="R699" s="39"/>
      <c r="S699" s="39"/>
      <c r="T699" s="39"/>
      <c r="U699" s="40"/>
      <c r="V699" s="54"/>
      <c r="W699" s="55"/>
      <c r="X699" s="56"/>
      <c r="Y699" s="38"/>
      <c r="Z699" s="38"/>
      <c r="AA699" s="38"/>
      <c r="AB699" s="38"/>
    </row>
    <row r="700" spans="1:28">
      <c r="A700" s="42"/>
      <c r="B700" s="39"/>
      <c r="C700" s="40"/>
      <c r="D700" s="42"/>
      <c r="E700" s="38"/>
      <c r="F700" s="43"/>
      <c r="G700" s="63"/>
      <c r="H700" s="58"/>
      <c r="I700" s="38"/>
      <c r="J700" s="38"/>
      <c r="K700" s="46"/>
      <c r="L700" s="47"/>
      <c r="M700" s="93"/>
      <c r="N700" s="93"/>
      <c r="O700" s="38"/>
      <c r="P700" s="38"/>
      <c r="Q700" s="14"/>
      <c r="R700" s="39"/>
      <c r="S700" s="39"/>
      <c r="T700" s="39"/>
      <c r="U700" s="40"/>
      <c r="V700" s="54"/>
      <c r="W700" s="55"/>
      <c r="X700" s="56"/>
      <c r="Y700" s="38"/>
      <c r="Z700" s="38"/>
      <c r="AA700" s="38"/>
      <c r="AB700" s="38"/>
    </row>
    <row r="701" spans="1:28">
      <c r="A701" s="42"/>
      <c r="B701" s="39"/>
      <c r="C701" s="40"/>
      <c r="D701" s="42"/>
      <c r="E701" s="38"/>
      <c r="F701" s="43"/>
      <c r="G701" s="63"/>
      <c r="H701" s="58"/>
      <c r="I701" s="38"/>
      <c r="J701" s="38"/>
      <c r="K701" s="46"/>
      <c r="L701" s="47"/>
      <c r="M701" s="93"/>
      <c r="N701" s="93"/>
      <c r="O701" s="38"/>
      <c r="P701" s="38"/>
      <c r="Q701" s="14"/>
      <c r="R701" s="39"/>
      <c r="S701" s="39"/>
      <c r="T701" s="39"/>
      <c r="U701" s="40"/>
      <c r="V701" s="54"/>
      <c r="W701" s="55"/>
      <c r="X701" s="56"/>
      <c r="Y701" s="38"/>
      <c r="Z701" s="38"/>
      <c r="AA701" s="38"/>
      <c r="AB701" s="38"/>
    </row>
    <row r="702" spans="1:28">
      <c r="A702" s="42"/>
      <c r="B702" s="39"/>
      <c r="C702" s="40"/>
      <c r="D702" s="42"/>
      <c r="E702" s="38"/>
      <c r="F702" s="43"/>
      <c r="G702" s="63"/>
      <c r="H702" s="58"/>
      <c r="I702" s="38"/>
      <c r="J702" s="38"/>
      <c r="K702" s="46"/>
      <c r="L702" s="47"/>
      <c r="M702" s="93"/>
      <c r="N702" s="93"/>
      <c r="O702" s="38"/>
      <c r="P702" s="38"/>
      <c r="Q702" s="14"/>
      <c r="R702" s="39"/>
      <c r="S702" s="39"/>
      <c r="T702" s="39"/>
      <c r="U702" s="40"/>
      <c r="V702" s="54"/>
      <c r="W702" s="55"/>
      <c r="X702" s="56"/>
      <c r="Y702" s="38"/>
      <c r="Z702" s="38"/>
      <c r="AA702" s="38"/>
      <c r="AB702" s="38"/>
    </row>
    <row r="703" spans="1:28">
      <c r="A703" s="42"/>
      <c r="B703" s="39"/>
      <c r="C703" s="40"/>
      <c r="D703" s="42"/>
      <c r="E703" s="38"/>
      <c r="F703" s="43"/>
      <c r="G703" s="63"/>
      <c r="H703" s="58"/>
      <c r="I703" s="38"/>
      <c r="J703" s="38"/>
      <c r="K703" s="46"/>
      <c r="L703" s="47"/>
      <c r="M703" s="93"/>
      <c r="N703" s="93"/>
      <c r="O703" s="38"/>
      <c r="P703" s="38"/>
      <c r="Q703" s="14"/>
      <c r="R703" s="39"/>
      <c r="S703" s="39"/>
      <c r="T703" s="39"/>
      <c r="U703" s="40"/>
      <c r="V703" s="54"/>
      <c r="W703" s="55"/>
      <c r="X703" s="56"/>
      <c r="Y703" s="38"/>
      <c r="Z703" s="38"/>
      <c r="AA703" s="38"/>
      <c r="AB703" s="38"/>
    </row>
    <row r="704" spans="1:28">
      <c r="A704" s="42"/>
      <c r="B704" s="39"/>
      <c r="C704" s="40"/>
      <c r="D704" s="42"/>
      <c r="E704" s="38"/>
      <c r="F704" s="43"/>
      <c r="G704" s="63"/>
      <c r="H704" s="58"/>
      <c r="I704" s="38"/>
      <c r="J704" s="38"/>
      <c r="K704" s="46"/>
      <c r="L704" s="47"/>
      <c r="M704" s="93"/>
      <c r="N704" s="93"/>
      <c r="O704" s="38"/>
      <c r="P704" s="38"/>
      <c r="Q704" s="14"/>
      <c r="R704" s="39"/>
      <c r="S704" s="39"/>
      <c r="T704" s="39"/>
      <c r="U704" s="40"/>
      <c r="V704" s="54"/>
      <c r="W704" s="55"/>
      <c r="X704" s="56"/>
      <c r="Y704" s="38"/>
      <c r="Z704" s="38"/>
      <c r="AA704" s="38"/>
      <c r="AB704" s="38"/>
    </row>
    <row r="705" spans="1:28">
      <c r="A705" s="42"/>
      <c r="B705" s="39"/>
      <c r="C705" s="40"/>
      <c r="D705" s="42"/>
      <c r="E705" s="38"/>
      <c r="F705" s="43"/>
      <c r="G705" s="63"/>
      <c r="H705" s="58"/>
      <c r="I705" s="38"/>
      <c r="J705" s="38"/>
      <c r="K705" s="46"/>
      <c r="L705" s="47"/>
      <c r="M705" s="93"/>
      <c r="N705" s="93"/>
      <c r="O705" s="38"/>
      <c r="P705" s="38"/>
      <c r="Q705" s="14"/>
      <c r="R705" s="39"/>
      <c r="S705" s="39"/>
      <c r="T705" s="39"/>
      <c r="U705" s="40"/>
      <c r="V705" s="54"/>
      <c r="W705" s="55"/>
      <c r="X705" s="56"/>
      <c r="Y705" s="38"/>
      <c r="Z705" s="38"/>
      <c r="AA705" s="38"/>
      <c r="AB705" s="38"/>
    </row>
    <row r="706" spans="1:28">
      <c r="A706" s="42"/>
      <c r="B706" s="39"/>
      <c r="C706" s="40"/>
      <c r="D706" s="42"/>
      <c r="E706" s="38"/>
      <c r="F706" s="43"/>
      <c r="G706" s="63"/>
      <c r="H706" s="58"/>
      <c r="I706" s="38"/>
      <c r="J706" s="38"/>
      <c r="K706" s="46"/>
      <c r="L706" s="47"/>
      <c r="M706" s="93"/>
      <c r="N706" s="93"/>
      <c r="O706" s="38"/>
      <c r="P706" s="38"/>
      <c r="Q706" s="14"/>
      <c r="R706" s="39"/>
      <c r="S706" s="39"/>
      <c r="T706" s="39"/>
      <c r="U706" s="40"/>
      <c r="V706" s="54"/>
      <c r="W706" s="55"/>
      <c r="X706" s="56"/>
      <c r="Y706" s="38"/>
      <c r="Z706" s="38"/>
      <c r="AA706" s="38"/>
      <c r="AB706" s="38"/>
    </row>
    <row r="707" spans="1:28">
      <c r="A707" s="42"/>
      <c r="B707" s="39"/>
      <c r="C707" s="40"/>
      <c r="D707" s="42"/>
      <c r="E707" s="38"/>
      <c r="F707" s="43"/>
      <c r="G707" s="63"/>
      <c r="H707" s="58"/>
      <c r="I707" s="38"/>
      <c r="J707" s="38"/>
      <c r="K707" s="46"/>
      <c r="L707" s="47"/>
      <c r="M707" s="93"/>
      <c r="N707" s="93"/>
      <c r="O707" s="38"/>
      <c r="P707" s="38"/>
      <c r="Q707" s="14"/>
      <c r="R707" s="39"/>
      <c r="S707" s="39"/>
      <c r="T707" s="39"/>
      <c r="U707" s="40"/>
      <c r="V707" s="54"/>
      <c r="W707" s="55"/>
      <c r="X707" s="56"/>
      <c r="Y707" s="38"/>
      <c r="Z707" s="38"/>
      <c r="AA707" s="38"/>
      <c r="AB707" s="38"/>
    </row>
    <row r="708" spans="1:28">
      <c r="A708" s="42"/>
      <c r="B708" s="39"/>
      <c r="C708" s="40"/>
      <c r="D708" s="42"/>
      <c r="E708" s="38"/>
      <c r="F708" s="43"/>
      <c r="G708" s="63"/>
      <c r="H708" s="58"/>
      <c r="I708" s="38"/>
      <c r="J708" s="38"/>
      <c r="K708" s="46"/>
      <c r="L708" s="47"/>
      <c r="M708" s="93"/>
      <c r="N708" s="93"/>
      <c r="O708" s="38"/>
      <c r="P708" s="38"/>
      <c r="Q708" s="14"/>
      <c r="R708" s="39"/>
      <c r="S708" s="39"/>
      <c r="T708" s="39"/>
      <c r="U708" s="40"/>
      <c r="V708" s="54"/>
      <c r="W708" s="55"/>
      <c r="X708" s="56"/>
      <c r="Y708" s="38"/>
      <c r="Z708" s="38"/>
      <c r="AA708" s="38"/>
      <c r="AB708" s="38"/>
    </row>
    <row r="709" spans="1:28">
      <c r="A709" s="42"/>
      <c r="B709" s="39"/>
      <c r="C709" s="40"/>
      <c r="D709" s="42"/>
      <c r="E709" s="38"/>
      <c r="F709" s="43"/>
      <c r="G709" s="63"/>
      <c r="H709" s="58"/>
      <c r="I709" s="38"/>
      <c r="J709" s="38"/>
      <c r="K709" s="46"/>
      <c r="L709" s="47"/>
      <c r="M709" s="93"/>
      <c r="N709" s="93"/>
      <c r="O709" s="38"/>
      <c r="P709" s="38"/>
      <c r="Q709" s="14"/>
      <c r="R709" s="39"/>
      <c r="S709" s="39"/>
      <c r="T709" s="39"/>
      <c r="U709" s="40"/>
      <c r="V709" s="54"/>
      <c r="W709" s="55"/>
      <c r="X709" s="56"/>
      <c r="Y709" s="38"/>
      <c r="Z709" s="38"/>
      <c r="AA709" s="38"/>
      <c r="AB709" s="38"/>
    </row>
    <row r="710" spans="1:28">
      <c r="A710" s="42"/>
      <c r="B710" s="39"/>
      <c r="C710" s="40"/>
      <c r="D710" s="42"/>
      <c r="E710" s="38"/>
      <c r="F710" s="43"/>
      <c r="G710" s="63"/>
      <c r="H710" s="58"/>
      <c r="I710" s="38"/>
      <c r="J710" s="38"/>
      <c r="K710" s="46"/>
      <c r="L710" s="47"/>
      <c r="M710" s="93"/>
      <c r="N710" s="93"/>
      <c r="O710" s="38"/>
      <c r="P710" s="38"/>
      <c r="Q710" s="14"/>
      <c r="R710" s="39"/>
      <c r="S710" s="39"/>
      <c r="T710" s="39"/>
      <c r="U710" s="40"/>
      <c r="V710" s="54"/>
      <c r="W710" s="55"/>
      <c r="X710" s="56"/>
      <c r="Y710" s="38"/>
      <c r="Z710" s="38"/>
      <c r="AA710" s="38"/>
      <c r="AB710" s="38"/>
    </row>
    <row r="711" spans="1:28">
      <c r="A711" s="42"/>
      <c r="B711" s="39"/>
      <c r="C711" s="40"/>
      <c r="D711" s="42"/>
      <c r="E711" s="38"/>
      <c r="F711" s="43"/>
      <c r="G711" s="63"/>
      <c r="H711" s="58"/>
      <c r="I711" s="38"/>
      <c r="J711" s="38"/>
      <c r="K711" s="46"/>
      <c r="L711" s="47"/>
      <c r="M711" s="93"/>
      <c r="N711" s="93"/>
      <c r="O711" s="38"/>
      <c r="P711" s="38"/>
      <c r="Q711" s="14"/>
      <c r="R711" s="39"/>
      <c r="S711" s="39"/>
      <c r="T711" s="39"/>
      <c r="U711" s="40"/>
      <c r="V711" s="54"/>
      <c r="W711" s="55"/>
      <c r="X711" s="56"/>
      <c r="Y711" s="38"/>
      <c r="Z711" s="38"/>
      <c r="AA711" s="38"/>
      <c r="AB711" s="38"/>
    </row>
    <row r="712" spans="1:28">
      <c r="A712" s="42"/>
      <c r="B712" s="39"/>
      <c r="C712" s="40"/>
      <c r="D712" s="42"/>
      <c r="E712" s="38"/>
      <c r="F712" s="43"/>
      <c r="G712" s="63"/>
      <c r="H712" s="58"/>
      <c r="I712" s="38"/>
      <c r="J712" s="38"/>
      <c r="K712" s="46"/>
      <c r="L712" s="47"/>
      <c r="M712" s="93"/>
      <c r="N712" s="93"/>
      <c r="O712" s="38"/>
      <c r="P712" s="38"/>
      <c r="Q712" s="14"/>
      <c r="R712" s="39"/>
      <c r="S712" s="39"/>
      <c r="T712" s="39"/>
      <c r="U712" s="40"/>
      <c r="V712" s="54"/>
      <c r="W712" s="55"/>
      <c r="X712" s="56"/>
      <c r="Y712" s="38"/>
      <c r="Z712" s="38"/>
      <c r="AA712" s="38"/>
      <c r="AB712" s="38"/>
    </row>
    <row r="713" spans="1:28">
      <c r="A713" s="42"/>
      <c r="B713" s="39"/>
      <c r="C713" s="40"/>
      <c r="D713" s="42"/>
      <c r="E713" s="38"/>
      <c r="F713" s="43"/>
      <c r="G713" s="63"/>
      <c r="H713" s="58"/>
      <c r="I713" s="38"/>
      <c r="J713" s="38"/>
      <c r="K713" s="46"/>
      <c r="L713" s="47"/>
      <c r="M713" s="93"/>
      <c r="N713" s="93"/>
      <c r="O713" s="38"/>
      <c r="P713" s="38"/>
      <c r="Q713" s="14"/>
      <c r="R713" s="39"/>
      <c r="S713" s="39"/>
      <c r="T713" s="39"/>
      <c r="U713" s="40"/>
      <c r="V713" s="54"/>
      <c r="W713" s="55"/>
      <c r="X713" s="56"/>
      <c r="Y713" s="38"/>
      <c r="Z713" s="38"/>
      <c r="AA713" s="38"/>
      <c r="AB713" s="38"/>
    </row>
    <row r="714" spans="1:28">
      <c r="A714" s="42"/>
      <c r="B714" s="39"/>
      <c r="C714" s="40"/>
      <c r="D714" s="42"/>
      <c r="E714" s="38"/>
      <c r="F714" s="43"/>
      <c r="G714" s="63"/>
      <c r="H714" s="58"/>
      <c r="I714" s="38"/>
      <c r="J714" s="38"/>
      <c r="K714" s="46"/>
      <c r="L714" s="47"/>
      <c r="M714" s="93"/>
      <c r="N714" s="93"/>
      <c r="O714" s="38"/>
      <c r="P714" s="38"/>
      <c r="Q714" s="14"/>
      <c r="R714" s="39"/>
      <c r="S714" s="39"/>
      <c r="T714" s="39"/>
      <c r="U714" s="40"/>
      <c r="V714" s="54"/>
      <c r="W714" s="55"/>
      <c r="X714" s="56"/>
      <c r="Y714" s="38"/>
      <c r="Z714" s="38"/>
      <c r="AA714" s="38"/>
      <c r="AB714" s="38"/>
    </row>
    <row r="715" spans="1:28">
      <c r="A715" s="42"/>
      <c r="B715" s="39"/>
      <c r="C715" s="40"/>
      <c r="D715" s="42"/>
      <c r="E715" s="38"/>
      <c r="F715" s="43"/>
      <c r="G715" s="63"/>
      <c r="H715" s="58"/>
      <c r="I715" s="38"/>
      <c r="J715" s="38"/>
      <c r="K715" s="46"/>
      <c r="L715" s="47"/>
      <c r="M715" s="93"/>
      <c r="N715" s="93"/>
      <c r="O715" s="38"/>
      <c r="P715" s="38"/>
      <c r="Q715" s="14"/>
      <c r="R715" s="39"/>
      <c r="S715" s="39"/>
      <c r="T715" s="39"/>
      <c r="U715" s="40"/>
      <c r="V715" s="54"/>
      <c r="W715" s="55"/>
      <c r="X715" s="56"/>
      <c r="Y715" s="38"/>
      <c r="Z715" s="38"/>
      <c r="AA715" s="38"/>
      <c r="AB715" s="38"/>
    </row>
    <row r="716" spans="1:28">
      <c r="A716" s="42"/>
      <c r="B716" s="39"/>
      <c r="C716" s="40"/>
      <c r="D716" s="42"/>
      <c r="E716" s="38"/>
      <c r="F716" s="43"/>
      <c r="G716" s="63"/>
      <c r="H716" s="58"/>
      <c r="I716" s="38"/>
      <c r="J716" s="38"/>
      <c r="K716" s="46"/>
      <c r="L716" s="47"/>
      <c r="M716" s="93"/>
      <c r="N716" s="93"/>
      <c r="O716" s="38"/>
      <c r="P716" s="38"/>
      <c r="Q716" s="14"/>
      <c r="R716" s="39"/>
      <c r="S716" s="39"/>
      <c r="T716" s="39"/>
      <c r="U716" s="40"/>
      <c r="V716" s="54"/>
      <c r="W716" s="55"/>
      <c r="X716" s="56"/>
      <c r="Y716" s="38"/>
      <c r="Z716" s="38"/>
      <c r="AA716" s="38"/>
      <c r="AB716" s="38"/>
    </row>
    <row r="717" spans="1:28">
      <c r="A717" s="42"/>
      <c r="B717" s="39"/>
      <c r="C717" s="40"/>
      <c r="D717" s="42"/>
      <c r="E717" s="38"/>
      <c r="F717" s="43"/>
      <c r="G717" s="63"/>
      <c r="H717" s="58"/>
      <c r="I717" s="38"/>
      <c r="J717" s="38"/>
      <c r="K717" s="46"/>
      <c r="L717" s="47"/>
      <c r="M717" s="93"/>
      <c r="N717" s="93"/>
      <c r="O717" s="38"/>
      <c r="P717" s="38"/>
      <c r="Q717" s="14"/>
      <c r="R717" s="39"/>
      <c r="S717" s="39"/>
      <c r="T717" s="39"/>
      <c r="U717" s="40"/>
      <c r="V717" s="54"/>
      <c r="W717" s="55"/>
      <c r="X717" s="56"/>
      <c r="Y717" s="38"/>
      <c r="Z717" s="38"/>
      <c r="AA717" s="38"/>
      <c r="AB717" s="38"/>
    </row>
    <row r="718" spans="1:28">
      <c r="A718" s="42"/>
      <c r="B718" s="39"/>
      <c r="C718" s="40"/>
      <c r="D718" s="42"/>
      <c r="E718" s="38"/>
      <c r="F718" s="43"/>
      <c r="G718" s="63"/>
      <c r="H718" s="58"/>
      <c r="I718" s="38"/>
      <c r="J718" s="38"/>
      <c r="K718" s="46"/>
      <c r="L718" s="47"/>
      <c r="M718" s="93"/>
      <c r="N718" s="93"/>
      <c r="O718" s="38"/>
      <c r="P718" s="38"/>
      <c r="Q718" s="14"/>
      <c r="R718" s="39"/>
      <c r="S718" s="39"/>
      <c r="T718" s="39"/>
      <c r="U718" s="40"/>
      <c r="V718" s="54"/>
      <c r="W718" s="55"/>
      <c r="X718" s="56"/>
      <c r="Y718" s="38"/>
      <c r="Z718" s="38"/>
      <c r="AA718" s="38"/>
      <c r="AB718" s="38"/>
    </row>
    <row r="719" spans="1:28">
      <c r="A719" s="42"/>
      <c r="B719" s="39"/>
      <c r="C719" s="40"/>
      <c r="D719" s="42"/>
      <c r="E719" s="38"/>
      <c r="F719" s="43"/>
      <c r="G719" s="63"/>
      <c r="H719" s="58"/>
      <c r="I719" s="38"/>
      <c r="J719" s="38"/>
      <c r="K719" s="46"/>
      <c r="L719" s="47"/>
      <c r="M719" s="93"/>
      <c r="N719" s="93"/>
      <c r="O719" s="38"/>
      <c r="P719" s="38"/>
      <c r="Q719" s="14"/>
      <c r="R719" s="39"/>
      <c r="S719" s="39"/>
      <c r="T719" s="39"/>
      <c r="U719" s="40"/>
      <c r="V719" s="54"/>
      <c r="W719" s="55"/>
      <c r="X719" s="56"/>
      <c r="Y719" s="38"/>
      <c r="Z719" s="38"/>
      <c r="AA719" s="38"/>
      <c r="AB719" s="38"/>
    </row>
    <row r="720" spans="1:28">
      <c r="A720" s="42"/>
      <c r="B720" s="39"/>
      <c r="C720" s="40"/>
      <c r="D720" s="42"/>
      <c r="E720" s="38"/>
      <c r="F720" s="43"/>
      <c r="G720" s="63"/>
      <c r="H720" s="58"/>
      <c r="I720" s="38"/>
      <c r="J720" s="38"/>
      <c r="K720" s="46"/>
      <c r="L720" s="47"/>
      <c r="M720" s="93"/>
      <c r="N720" s="93"/>
      <c r="O720" s="38"/>
      <c r="P720" s="38"/>
      <c r="Q720" s="14"/>
      <c r="R720" s="39"/>
      <c r="S720" s="39"/>
      <c r="T720" s="39"/>
      <c r="U720" s="40"/>
      <c r="V720" s="54"/>
      <c r="W720" s="55"/>
      <c r="X720" s="56"/>
      <c r="Y720" s="38"/>
      <c r="Z720" s="38"/>
      <c r="AA720" s="38"/>
      <c r="AB720" s="38"/>
    </row>
    <row r="721" spans="1:28">
      <c r="A721" s="42"/>
      <c r="B721" s="39"/>
      <c r="C721" s="40"/>
      <c r="D721" s="42"/>
      <c r="E721" s="38"/>
      <c r="F721" s="43"/>
      <c r="G721" s="63"/>
      <c r="H721" s="58"/>
      <c r="I721" s="38"/>
      <c r="J721" s="38"/>
      <c r="K721" s="46"/>
      <c r="L721" s="47"/>
      <c r="M721" s="93"/>
      <c r="N721" s="93"/>
      <c r="O721" s="38"/>
      <c r="P721" s="38"/>
      <c r="Q721" s="14"/>
      <c r="R721" s="39"/>
      <c r="S721" s="39"/>
      <c r="T721" s="39"/>
      <c r="U721" s="40"/>
      <c r="V721" s="54"/>
      <c r="W721" s="55"/>
      <c r="X721" s="56"/>
      <c r="Y721" s="38"/>
      <c r="Z721" s="38"/>
      <c r="AA721" s="38"/>
      <c r="AB721" s="38"/>
    </row>
    <row r="722" spans="1:28">
      <c r="A722" s="42"/>
      <c r="B722" s="39"/>
      <c r="C722" s="40"/>
      <c r="D722" s="42"/>
      <c r="E722" s="38"/>
      <c r="F722" s="43"/>
      <c r="G722" s="63"/>
      <c r="H722" s="58"/>
      <c r="I722" s="38"/>
      <c r="J722" s="38"/>
      <c r="K722" s="46"/>
      <c r="L722" s="47"/>
      <c r="M722" s="93"/>
      <c r="N722" s="93"/>
      <c r="O722" s="38"/>
      <c r="P722" s="38"/>
      <c r="Q722" s="14"/>
      <c r="R722" s="39"/>
      <c r="S722" s="39"/>
      <c r="T722" s="39"/>
      <c r="U722" s="40"/>
      <c r="V722" s="54"/>
      <c r="W722" s="55"/>
      <c r="X722" s="56"/>
      <c r="Y722" s="38"/>
      <c r="Z722" s="38"/>
      <c r="AA722" s="38"/>
      <c r="AB722" s="38"/>
    </row>
    <row r="723" spans="1:28">
      <c r="A723" s="42"/>
      <c r="B723" s="39"/>
      <c r="C723" s="40"/>
      <c r="D723" s="42"/>
      <c r="E723" s="38"/>
      <c r="F723" s="43"/>
      <c r="G723" s="63"/>
      <c r="H723" s="58"/>
      <c r="I723" s="38"/>
      <c r="J723" s="38"/>
      <c r="K723" s="46"/>
      <c r="L723" s="47"/>
      <c r="M723" s="93"/>
      <c r="N723" s="93"/>
      <c r="O723" s="38"/>
      <c r="P723" s="38"/>
      <c r="Q723" s="14"/>
      <c r="R723" s="39"/>
      <c r="S723" s="39"/>
      <c r="T723" s="39"/>
      <c r="U723" s="40"/>
      <c r="V723" s="54"/>
      <c r="W723" s="55"/>
      <c r="X723" s="56"/>
      <c r="Y723" s="38"/>
      <c r="Z723" s="38"/>
      <c r="AA723" s="38"/>
      <c r="AB723" s="38"/>
    </row>
    <row r="724" spans="1:28">
      <c r="A724" s="42"/>
      <c r="B724" s="39"/>
      <c r="C724" s="40"/>
      <c r="D724" s="42"/>
      <c r="E724" s="38"/>
      <c r="F724" s="43"/>
      <c r="G724" s="63"/>
      <c r="H724" s="58"/>
      <c r="I724" s="38"/>
      <c r="J724" s="38"/>
      <c r="K724" s="46"/>
      <c r="L724" s="47"/>
      <c r="M724" s="93"/>
      <c r="N724" s="93"/>
      <c r="O724" s="38"/>
      <c r="P724" s="38"/>
      <c r="Q724" s="14"/>
      <c r="R724" s="39"/>
      <c r="S724" s="39"/>
      <c r="T724" s="39"/>
      <c r="U724" s="40"/>
      <c r="V724" s="54"/>
      <c r="W724" s="55"/>
      <c r="X724" s="56"/>
      <c r="Y724" s="38"/>
      <c r="Z724" s="38"/>
      <c r="AA724" s="38"/>
      <c r="AB724" s="38"/>
    </row>
    <row r="725" spans="1:28">
      <c r="A725" s="42"/>
      <c r="B725" s="39"/>
      <c r="C725" s="40"/>
      <c r="D725" s="42"/>
      <c r="E725" s="38"/>
      <c r="F725" s="43"/>
      <c r="G725" s="63"/>
      <c r="H725" s="58"/>
      <c r="I725" s="38"/>
      <c r="J725" s="38"/>
      <c r="K725" s="46"/>
      <c r="L725" s="47"/>
      <c r="M725" s="93"/>
      <c r="N725" s="93"/>
      <c r="O725" s="38"/>
      <c r="P725" s="38"/>
      <c r="Q725" s="14"/>
      <c r="R725" s="39"/>
      <c r="S725" s="39"/>
      <c r="T725" s="39"/>
      <c r="U725" s="40"/>
      <c r="V725" s="54"/>
      <c r="W725" s="55"/>
      <c r="X725" s="56"/>
      <c r="Y725" s="38"/>
      <c r="Z725" s="38"/>
      <c r="AA725" s="38"/>
      <c r="AB725" s="38"/>
    </row>
    <row r="726" spans="1:28">
      <c r="A726" s="42"/>
      <c r="B726" s="39"/>
      <c r="C726" s="40"/>
      <c r="D726" s="42"/>
      <c r="E726" s="38"/>
      <c r="F726" s="43"/>
      <c r="G726" s="63"/>
      <c r="H726" s="58"/>
      <c r="I726" s="38"/>
      <c r="J726" s="38"/>
      <c r="K726" s="46"/>
      <c r="L726" s="47"/>
      <c r="M726" s="93"/>
      <c r="N726" s="93"/>
      <c r="O726" s="38"/>
      <c r="P726" s="38"/>
      <c r="Q726" s="14"/>
      <c r="R726" s="39"/>
      <c r="S726" s="39"/>
      <c r="T726" s="39"/>
      <c r="U726" s="40"/>
      <c r="V726" s="54"/>
      <c r="W726" s="55"/>
      <c r="X726" s="56"/>
      <c r="Y726" s="38"/>
      <c r="Z726" s="38"/>
      <c r="AA726" s="38"/>
      <c r="AB726" s="38"/>
    </row>
    <row r="727" spans="1:28">
      <c r="A727" s="42"/>
      <c r="B727" s="39"/>
      <c r="C727" s="40"/>
      <c r="D727" s="42"/>
      <c r="E727" s="38"/>
      <c r="F727" s="43"/>
      <c r="G727" s="63"/>
      <c r="H727" s="58"/>
      <c r="I727" s="38"/>
      <c r="J727" s="38"/>
      <c r="K727" s="46"/>
      <c r="L727" s="47"/>
      <c r="M727" s="93"/>
      <c r="N727" s="93"/>
      <c r="O727" s="38"/>
      <c r="P727" s="38"/>
      <c r="Q727" s="14"/>
      <c r="R727" s="39"/>
      <c r="S727" s="39"/>
      <c r="T727" s="39"/>
      <c r="U727" s="40"/>
      <c r="V727" s="54"/>
      <c r="W727" s="55"/>
      <c r="X727" s="56"/>
      <c r="Y727" s="38"/>
      <c r="Z727" s="38"/>
      <c r="AA727" s="38"/>
      <c r="AB727" s="38"/>
    </row>
    <row r="728" spans="1:28">
      <c r="A728" s="42"/>
      <c r="B728" s="39"/>
      <c r="C728" s="40"/>
      <c r="D728" s="42"/>
      <c r="E728" s="38"/>
      <c r="F728" s="43"/>
      <c r="G728" s="63"/>
      <c r="H728" s="58"/>
      <c r="I728" s="38"/>
      <c r="J728" s="38"/>
      <c r="K728" s="46"/>
      <c r="L728" s="47"/>
      <c r="M728" s="93"/>
      <c r="N728" s="93"/>
      <c r="O728" s="38"/>
      <c r="P728" s="38"/>
      <c r="Q728" s="14"/>
      <c r="R728" s="39"/>
      <c r="S728" s="39"/>
      <c r="T728" s="39"/>
      <c r="U728" s="40"/>
      <c r="V728" s="54"/>
      <c r="W728" s="55"/>
      <c r="X728" s="56"/>
      <c r="Y728" s="38"/>
      <c r="Z728" s="38"/>
      <c r="AA728" s="38"/>
      <c r="AB728" s="38"/>
    </row>
    <row r="729" spans="1:28">
      <c r="A729" s="42"/>
      <c r="B729" s="39"/>
      <c r="C729" s="40"/>
      <c r="D729" s="42"/>
      <c r="E729" s="38"/>
      <c r="F729" s="43"/>
      <c r="G729" s="63"/>
      <c r="H729" s="58"/>
      <c r="I729" s="38"/>
      <c r="J729" s="38"/>
      <c r="K729" s="46"/>
      <c r="L729" s="47"/>
      <c r="M729" s="93"/>
      <c r="N729" s="93"/>
      <c r="O729" s="38"/>
      <c r="P729" s="38"/>
      <c r="Q729" s="14"/>
      <c r="R729" s="39"/>
      <c r="S729" s="39"/>
      <c r="T729" s="39"/>
      <c r="U729" s="40"/>
      <c r="V729" s="54"/>
      <c r="W729" s="55"/>
      <c r="X729" s="56"/>
      <c r="Y729" s="38"/>
      <c r="Z729" s="38"/>
      <c r="AA729" s="38"/>
      <c r="AB729" s="38"/>
    </row>
    <row r="730" spans="1:28">
      <c r="A730" s="42"/>
      <c r="B730" s="39"/>
      <c r="C730" s="40"/>
      <c r="D730" s="42"/>
      <c r="E730" s="38"/>
      <c r="F730" s="43"/>
      <c r="G730" s="63"/>
      <c r="H730" s="58"/>
      <c r="I730" s="38"/>
      <c r="J730" s="38"/>
      <c r="K730" s="46"/>
      <c r="L730" s="47"/>
      <c r="M730" s="93"/>
      <c r="N730" s="93"/>
      <c r="O730" s="38"/>
      <c r="P730" s="38"/>
      <c r="Q730" s="14"/>
      <c r="R730" s="39"/>
      <c r="S730" s="39"/>
      <c r="T730" s="39"/>
      <c r="U730" s="40"/>
      <c r="V730" s="54"/>
      <c r="W730" s="55"/>
      <c r="X730" s="56"/>
      <c r="Y730" s="38"/>
      <c r="Z730" s="38"/>
      <c r="AA730" s="38"/>
      <c r="AB730" s="38"/>
    </row>
    <row r="731" spans="1:28">
      <c r="A731" s="42"/>
      <c r="B731" s="39"/>
      <c r="C731" s="40"/>
      <c r="D731" s="42"/>
      <c r="E731" s="38"/>
      <c r="F731" s="43"/>
      <c r="G731" s="63"/>
      <c r="H731" s="58"/>
      <c r="I731" s="38"/>
      <c r="J731" s="38"/>
      <c r="K731" s="46"/>
      <c r="L731" s="47"/>
      <c r="M731" s="93"/>
      <c r="N731" s="93"/>
      <c r="O731" s="38"/>
      <c r="P731" s="38"/>
      <c r="Q731" s="14"/>
      <c r="R731" s="39"/>
      <c r="S731" s="39"/>
      <c r="T731" s="39"/>
      <c r="U731" s="40"/>
      <c r="V731" s="54"/>
      <c r="W731" s="55"/>
      <c r="X731" s="56"/>
      <c r="Y731" s="38"/>
      <c r="Z731" s="38"/>
      <c r="AA731" s="38"/>
      <c r="AB731" s="38"/>
    </row>
    <row r="732" spans="1:28">
      <c r="A732" s="42"/>
      <c r="B732" s="39"/>
      <c r="C732" s="40"/>
      <c r="D732" s="42"/>
      <c r="E732" s="38"/>
      <c r="F732" s="43"/>
      <c r="G732" s="63"/>
      <c r="H732" s="58"/>
      <c r="I732" s="38"/>
      <c r="J732" s="38"/>
      <c r="K732" s="46"/>
      <c r="L732" s="47"/>
      <c r="M732" s="93"/>
      <c r="N732" s="93"/>
      <c r="O732" s="38"/>
      <c r="P732" s="38"/>
      <c r="Q732" s="14"/>
      <c r="R732" s="39"/>
      <c r="S732" s="39"/>
      <c r="T732" s="39"/>
      <c r="U732" s="40"/>
      <c r="V732" s="54"/>
      <c r="W732" s="55"/>
      <c r="X732" s="56"/>
      <c r="Y732" s="38"/>
      <c r="Z732" s="38"/>
      <c r="AA732" s="38"/>
      <c r="AB732" s="38"/>
    </row>
    <row r="733" spans="1:28">
      <c r="A733" s="42"/>
      <c r="B733" s="39"/>
      <c r="C733" s="40"/>
      <c r="D733" s="42"/>
      <c r="E733" s="38"/>
      <c r="F733" s="43"/>
      <c r="G733" s="63"/>
      <c r="H733" s="58"/>
      <c r="I733" s="38"/>
      <c r="J733" s="38"/>
      <c r="K733" s="46"/>
      <c r="L733" s="47"/>
      <c r="M733" s="93"/>
      <c r="N733" s="93"/>
      <c r="O733" s="38"/>
      <c r="P733" s="38"/>
      <c r="Q733" s="14"/>
      <c r="R733" s="39"/>
      <c r="S733" s="39"/>
      <c r="T733" s="39"/>
      <c r="U733" s="40"/>
      <c r="V733" s="54"/>
      <c r="W733" s="55"/>
      <c r="X733" s="56"/>
      <c r="Y733" s="38"/>
      <c r="Z733" s="38"/>
      <c r="AA733" s="38"/>
      <c r="AB733" s="38"/>
    </row>
    <row r="734" spans="1:28">
      <c r="A734" s="42"/>
      <c r="B734" s="39"/>
      <c r="C734" s="40"/>
      <c r="D734" s="42"/>
      <c r="E734" s="38"/>
      <c r="F734" s="43"/>
      <c r="G734" s="63"/>
      <c r="H734" s="58"/>
      <c r="I734" s="38"/>
      <c r="J734" s="38"/>
      <c r="K734" s="46"/>
      <c r="L734" s="47"/>
      <c r="M734" s="93"/>
      <c r="N734" s="93"/>
      <c r="O734" s="38"/>
      <c r="P734" s="38"/>
      <c r="Q734" s="14"/>
      <c r="R734" s="39"/>
      <c r="S734" s="39"/>
      <c r="T734" s="39"/>
      <c r="U734" s="40"/>
      <c r="V734" s="54"/>
      <c r="W734" s="55"/>
      <c r="X734" s="56"/>
      <c r="Y734" s="38"/>
      <c r="Z734" s="38"/>
      <c r="AA734" s="38"/>
      <c r="AB734" s="38"/>
    </row>
    <row r="735" spans="1:28">
      <c r="A735" s="42"/>
      <c r="B735" s="39"/>
      <c r="C735" s="40"/>
      <c r="D735" s="42"/>
      <c r="E735" s="38"/>
      <c r="F735" s="43"/>
      <c r="G735" s="63"/>
      <c r="H735" s="58"/>
      <c r="I735" s="38"/>
      <c r="J735" s="38"/>
      <c r="K735" s="46"/>
      <c r="L735" s="47"/>
      <c r="M735" s="93"/>
      <c r="N735" s="93"/>
      <c r="O735" s="38"/>
      <c r="P735" s="38"/>
      <c r="Q735" s="14"/>
      <c r="R735" s="39"/>
      <c r="S735" s="39"/>
      <c r="T735" s="39"/>
      <c r="U735" s="40"/>
      <c r="V735" s="54"/>
      <c r="W735" s="55"/>
      <c r="X735" s="56"/>
      <c r="Y735" s="38"/>
      <c r="Z735" s="38"/>
      <c r="AA735" s="38"/>
      <c r="AB735" s="38"/>
    </row>
    <row r="736" spans="1:28">
      <c r="A736" s="42"/>
      <c r="B736" s="39"/>
      <c r="C736" s="40"/>
      <c r="D736" s="42"/>
      <c r="E736" s="38"/>
      <c r="F736" s="43"/>
      <c r="G736" s="63"/>
      <c r="H736" s="58"/>
      <c r="I736" s="38"/>
      <c r="J736" s="38"/>
      <c r="K736" s="46"/>
      <c r="L736" s="47"/>
      <c r="M736" s="93"/>
      <c r="N736" s="93"/>
      <c r="O736" s="38"/>
      <c r="P736" s="38"/>
      <c r="Q736" s="14"/>
      <c r="R736" s="39"/>
      <c r="S736" s="39"/>
      <c r="T736" s="39"/>
      <c r="U736" s="40"/>
      <c r="V736" s="54"/>
      <c r="W736" s="55"/>
      <c r="X736" s="56"/>
      <c r="Y736" s="38"/>
      <c r="Z736" s="38"/>
      <c r="AA736" s="38"/>
      <c r="AB736" s="38"/>
    </row>
    <row r="737" spans="1:28">
      <c r="A737" s="42"/>
      <c r="B737" s="39"/>
      <c r="C737" s="40"/>
      <c r="D737" s="42"/>
      <c r="E737" s="38"/>
      <c r="F737" s="43"/>
      <c r="G737" s="63"/>
      <c r="H737" s="58"/>
      <c r="I737" s="38"/>
      <c r="J737" s="38"/>
      <c r="K737" s="46"/>
      <c r="L737" s="47"/>
      <c r="M737" s="93"/>
      <c r="N737" s="93"/>
      <c r="O737" s="38"/>
      <c r="P737" s="38"/>
      <c r="Q737" s="14"/>
      <c r="R737" s="39"/>
      <c r="S737" s="39"/>
      <c r="T737" s="39"/>
      <c r="U737" s="40"/>
      <c r="V737" s="54"/>
      <c r="W737" s="55"/>
      <c r="X737" s="56"/>
      <c r="Y737" s="38"/>
      <c r="Z737" s="38"/>
      <c r="AA737" s="38"/>
      <c r="AB737" s="38"/>
    </row>
    <row r="738" spans="1:28">
      <c r="A738" s="42"/>
      <c r="B738" s="39"/>
      <c r="C738" s="40"/>
      <c r="D738" s="42"/>
      <c r="E738" s="38"/>
      <c r="F738" s="43"/>
      <c r="G738" s="63"/>
      <c r="H738" s="58"/>
      <c r="I738" s="38"/>
      <c r="J738" s="38"/>
      <c r="K738" s="46"/>
      <c r="L738" s="47"/>
      <c r="M738" s="93"/>
      <c r="N738" s="93"/>
      <c r="O738" s="38"/>
      <c r="P738" s="38"/>
      <c r="Q738" s="14"/>
      <c r="R738" s="39"/>
      <c r="S738" s="39"/>
      <c r="T738" s="39"/>
      <c r="U738" s="40"/>
      <c r="V738" s="54"/>
      <c r="W738" s="55"/>
      <c r="X738" s="56"/>
      <c r="Y738" s="38"/>
      <c r="Z738" s="38"/>
      <c r="AA738" s="38"/>
      <c r="AB738" s="38"/>
    </row>
    <row r="739" spans="1:28">
      <c r="A739" s="42"/>
      <c r="B739" s="39"/>
      <c r="C739" s="40"/>
      <c r="D739" s="42"/>
      <c r="E739" s="38"/>
      <c r="F739" s="43"/>
      <c r="G739" s="63"/>
      <c r="H739" s="58"/>
      <c r="I739" s="38"/>
      <c r="J739" s="38"/>
      <c r="K739" s="46"/>
      <c r="L739" s="47"/>
      <c r="M739" s="93"/>
      <c r="N739" s="93"/>
      <c r="O739" s="38"/>
      <c r="P739" s="38"/>
      <c r="Q739" s="14"/>
      <c r="R739" s="39"/>
      <c r="S739" s="39"/>
      <c r="T739" s="39"/>
      <c r="U739" s="40"/>
      <c r="V739" s="54"/>
      <c r="W739" s="55"/>
      <c r="X739" s="56"/>
      <c r="Y739" s="38"/>
      <c r="Z739" s="38"/>
      <c r="AA739" s="38"/>
      <c r="AB739" s="38"/>
    </row>
    <row r="740" spans="1:28">
      <c r="A740" s="42"/>
      <c r="B740" s="39"/>
      <c r="C740" s="40"/>
      <c r="D740" s="42"/>
      <c r="E740" s="38"/>
      <c r="F740" s="43"/>
      <c r="G740" s="63"/>
      <c r="H740" s="58"/>
      <c r="I740" s="38"/>
      <c r="J740" s="38"/>
      <c r="K740" s="46"/>
      <c r="L740" s="47"/>
      <c r="M740" s="93"/>
      <c r="N740" s="93"/>
      <c r="O740" s="38"/>
      <c r="P740" s="38"/>
      <c r="Q740" s="14"/>
      <c r="R740" s="39"/>
      <c r="S740" s="39"/>
      <c r="T740" s="39"/>
      <c r="U740" s="40"/>
      <c r="V740" s="54"/>
      <c r="W740" s="55"/>
      <c r="X740" s="56"/>
      <c r="Y740" s="38"/>
      <c r="Z740" s="38"/>
      <c r="AA740" s="38"/>
      <c r="AB740" s="38"/>
    </row>
    <row r="741" spans="1:28">
      <c r="A741" s="42"/>
      <c r="B741" s="39"/>
      <c r="C741" s="40"/>
      <c r="D741" s="42"/>
      <c r="E741" s="38"/>
      <c r="F741" s="43"/>
      <c r="G741" s="63"/>
      <c r="H741" s="58"/>
      <c r="I741" s="38"/>
      <c r="J741" s="38"/>
      <c r="K741" s="46"/>
      <c r="L741" s="47"/>
      <c r="M741" s="93"/>
      <c r="N741" s="93"/>
      <c r="O741" s="38"/>
      <c r="P741" s="38"/>
      <c r="Q741" s="14"/>
      <c r="R741" s="39"/>
      <c r="S741" s="39"/>
      <c r="T741" s="39"/>
      <c r="U741" s="40"/>
      <c r="V741" s="54"/>
      <c r="W741" s="55"/>
      <c r="X741" s="56"/>
      <c r="Y741" s="38"/>
      <c r="Z741" s="38"/>
      <c r="AA741" s="38"/>
      <c r="AB741" s="38"/>
    </row>
    <row r="742" spans="1:28">
      <c r="A742" s="42"/>
      <c r="B742" s="39"/>
      <c r="C742" s="40"/>
      <c r="D742" s="42"/>
      <c r="E742" s="38"/>
      <c r="F742" s="43"/>
      <c r="G742" s="63"/>
      <c r="H742" s="58"/>
      <c r="I742" s="38"/>
      <c r="J742" s="38"/>
      <c r="K742" s="46"/>
      <c r="L742" s="47"/>
      <c r="M742" s="93"/>
      <c r="N742" s="93"/>
      <c r="O742" s="38"/>
      <c r="P742" s="38"/>
      <c r="Q742" s="14"/>
      <c r="R742" s="39"/>
      <c r="S742" s="39"/>
      <c r="T742" s="39"/>
      <c r="U742" s="40"/>
      <c r="V742" s="54"/>
      <c r="W742" s="55"/>
      <c r="X742" s="56"/>
      <c r="Y742" s="38"/>
      <c r="Z742" s="38"/>
      <c r="AA742" s="38"/>
      <c r="AB742" s="38"/>
    </row>
    <row r="743" spans="1:28">
      <c r="A743" s="42"/>
      <c r="B743" s="39"/>
      <c r="C743" s="40"/>
      <c r="D743" s="42"/>
      <c r="E743" s="38"/>
      <c r="F743" s="43"/>
      <c r="G743" s="63"/>
      <c r="H743" s="58"/>
      <c r="I743" s="38"/>
      <c r="J743" s="38"/>
      <c r="K743" s="46"/>
      <c r="L743" s="47"/>
      <c r="M743" s="93"/>
      <c r="N743" s="93"/>
      <c r="O743" s="38"/>
      <c r="P743" s="38"/>
      <c r="Q743" s="14"/>
      <c r="R743" s="39"/>
      <c r="S743" s="39"/>
      <c r="T743" s="39"/>
      <c r="U743" s="40"/>
      <c r="V743" s="54"/>
      <c r="W743" s="55"/>
      <c r="X743" s="56"/>
      <c r="Y743" s="38"/>
      <c r="Z743" s="38"/>
      <c r="AA743" s="38"/>
      <c r="AB743" s="38"/>
    </row>
    <row r="744" spans="1:28">
      <c r="A744" s="42"/>
      <c r="B744" s="39"/>
      <c r="C744" s="40"/>
      <c r="D744" s="42"/>
      <c r="E744" s="38"/>
      <c r="F744" s="43"/>
      <c r="G744" s="63"/>
      <c r="H744" s="58"/>
      <c r="I744" s="38"/>
      <c r="J744" s="38"/>
      <c r="K744" s="46"/>
      <c r="L744" s="47"/>
      <c r="M744" s="93"/>
      <c r="N744" s="93"/>
      <c r="O744" s="38"/>
      <c r="P744" s="38"/>
      <c r="Q744" s="14"/>
      <c r="R744" s="39"/>
      <c r="S744" s="39"/>
      <c r="T744" s="39"/>
      <c r="U744" s="40"/>
      <c r="V744" s="54"/>
      <c r="W744" s="55"/>
      <c r="X744" s="56"/>
      <c r="Y744" s="38"/>
      <c r="Z744" s="38"/>
      <c r="AA744" s="38"/>
      <c r="AB744" s="38"/>
    </row>
    <row r="745" spans="1:28">
      <c r="A745" s="42"/>
      <c r="B745" s="39"/>
      <c r="C745" s="40"/>
      <c r="D745" s="42"/>
      <c r="E745" s="38"/>
      <c r="F745" s="43"/>
      <c r="G745" s="63"/>
      <c r="H745" s="58"/>
      <c r="I745" s="38"/>
      <c r="J745" s="38"/>
      <c r="K745" s="46"/>
      <c r="L745" s="47"/>
      <c r="M745" s="93"/>
      <c r="N745" s="93"/>
      <c r="O745" s="38"/>
      <c r="P745" s="38"/>
      <c r="Q745" s="14"/>
      <c r="R745" s="39"/>
      <c r="S745" s="39"/>
      <c r="T745" s="39"/>
      <c r="U745" s="40"/>
      <c r="V745" s="54"/>
      <c r="W745" s="55"/>
      <c r="X745" s="56"/>
      <c r="Y745" s="38"/>
      <c r="Z745" s="38"/>
      <c r="AA745" s="38"/>
      <c r="AB745" s="38"/>
    </row>
    <row r="746" spans="1:28">
      <c r="A746" s="42"/>
      <c r="B746" s="39"/>
      <c r="C746" s="40"/>
      <c r="D746" s="42"/>
      <c r="E746" s="38"/>
      <c r="F746" s="43"/>
      <c r="G746" s="63"/>
      <c r="H746" s="58"/>
      <c r="I746" s="38"/>
      <c r="J746" s="38"/>
      <c r="K746" s="46"/>
      <c r="L746" s="47"/>
      <c r="M746" s="93"/>
      <c r="N746" s="93"/>
      <c r="O746" s="38"/>
      <c r="P746" s="38"/>
      <c r="Q746" s="14"/>
      <c r="R746" s="39"/>
      <c r="S746" s="39"/>
      <c r="T746" s="39"/>
      <c r="U746" s="40"/>
      <c r="V746" s="54"/>
      <c r="W746" s="55"/>
      <c r="X746" s="56"/>
      <c r="Y746" s="38"/>
      <c r="Z746" s="38"/>
      <c r="AA746" s="38"/>
      <c r="AB746" s="38"/>
    </row>
    <row r="747" spans="1:28">
      <c r="A747" s="42"/>
      <c r="B747" s="39"/>
      <c r="C747" s="40"/>
      <c r="D747" s="42"/>
      <c r="E747" s="38"/>
      <c r="F747" s="43"/>
      <c r="G747" s="63"/>
      <c r="H747" s="58"/>
      <c r="I747" s="38"/>
      <c r="J747" s="38"/>
      <c r="K747" s="46"/>
      <c r="L747" s="47"/>
      <c r="M747" s="93"/>
      <c r="N747" s="93"/>
      <c r="O747" s="38"/>
      <c r="P747" s="38"/>
      <c r="Q747" s="14"/>
      <c r="R747" s="39"/>
      <c r="S747" s="39"/>
      <c r="T747" s="39"/>
      <c r="U747" s="40"/>
      <c r="V747" s="54"/>
      <c r="W747" s="55"/>
      <c r="X747" s="56"/>
      <c r="Y747" s="38"/>
      <c r="Z747" s="38"/>
      <c r="AA747" s="38"/>
      <c r="AB747" s="38"/>
    </row>
    <row r="748" spans="1:28">
      <c r="A748" s="42"/>
      <c r="B748" s="39"/>
      <c r="C748" s="40"/>
      <c r="D748" s="42"/>
      <c r="E748" s="38"/>
      <c r="F748" s="43"/>
      <c r="G748" s="63"/>
      <c r="H748" s="58"/>
      <c r="I748" s="38"/>
      <c r="J748" s="38"/>
      <c r="K748" s="46"/>
      <c r="L748" s="47"/>
      <c r="M748" s="93"/>
      <c r="N748" s="93"/>
      <c r="O748" s="38"/>
      <c r="P748" s="38"/>
      <c r="Q748" s="14"/>
      <c r="R748" s="39"/>
      <c r="S748" s="39"/>
      <c r="T748" s="39"/>
      <c r="U748" s="40"/>
      <c r="V748" s="54"/>
      <c r="W748" s="55"/>
      <c r="X748" s="56"/>
      <c r="Y748" s="38"/>
      <c r="Z748" s="38"/>
      <c r="AA748" s="38"/>
      <c r="AB748" s="38"/>
    </row>
    <row r="749" spans="1:28">
      <c r="A749" s="42"/>
      <c r="B749" s="39"/>
      <c r="C749" s="40"/>
      <c r="D749" s="42"/>
      <c r="E749" s="38"/>
      <c r="F749" s="43"/>
      <c r="G749" s="63"/>
      <c r="H749" s="58"/>
      <c r="I749" s="38"/>
      <c r="J749" s="38"/>
      <c r="K749" s="46"/>
      <c r="L749" s="47"/>
      <c r="M749" s="93"/>
      <c r="N749" s="93"/>
      <c r="O749" s="38"/>
      <c r="P749" s="38"/>
      <c r="Q749" s="14"/>
      <c r="R749" s="39"/>
      <c r="S749" s="39"/>
      <c r="T749" s="39"/>
      <c r="U749" s="40"/>
      <c r="V749" s="54"/>
      <c r="W749" s="55"/>
      <c r="X749" s="56"/>
      <c r="Y749" s="38"/>
      <c r="Z749" s="38"/>
      <c r="AA749" s="38"/>
      <c r="AB749" s="38"/>
    </row>
    <row r="750" spans="1:28">
      <c r="A750" s="42"/>
      <c r="B750" s="39"/>
      <c r="C750" s="40"/>
      <c r="D750" s="42"/>
      <c r="E750" s="38"/>
      <c r="F750" s="43"/>
      <c r="G750" s="63"/>
      <c r="H750" s="58"/>
      <c r="I750" s="38"/>
      <c r="J750" s="38"/>
      <c r="K750" s="46"/>
      <c r="L750" s="47"/>
      <c r="M750" s="93"/>
      <c r="N750" s="93"/>
      <c r="O750" s="38"/>
      <c r="P750" s="38"/>
      <c r="Q750" s="14"/>
      <c r="R750" s="39"/>
      <c r="S750" s="39"/>
      <c r="T750" s="39"/>
      <c r="U750" s="40"/>
      <c r="V750" s="54"/>
      <c r="W750" s="55"/>
      <c r="X750" s="56"/>
      <c r="Y750" s="38"/>
      <c r="Z750" s="38"/>
      <c r="AA750" s="38"/>
      <c r="AB750" s="38"/>
    </row>
    <row r="751" spans="1:28">
      <c r="A751" s="42"/>
      <c r="B751" s="39"/>
      <c r="C751" s="40"/>
      <c r="D751" s="42"/>
      <c r="E751" s="38"/>
      <c r="F751" s="43"/>
      <c r="G751" s="63"/>
      <c r="H751" s="58"/>
      <c r="I751" s="38"/>
      <c r="J751" s="38"/>
      <c r="K751" s="46"/>
      <c r="L751" s="47"/>
      <c r="M751" s="93"/>
      <c r="N751" s="93"/>
      <c r="O751" s="38"/>
      <c r="P751" s="38"/>
      <c r="Q751" s="14"/>
      <c r="R751" s="39"/>
      <c r="S751" s="39"/>
      <c r="T751" s="39"/>
      <c r="U751" s="40"/>
      <c r="V751" s="54"/>
      <c r="W751" s="55"/>
      <c r="X751" s="56"/>
      <c r="Y751" s="38"/>
      <c r="Z751" s="38"/>
      <c r="AA751" s="38"/>
      <c r="AB751" s="38"/>
    </row>
    <row r="752" spans="1:28">
      <c r="A752" s="42"/>
      <c r="B752" s="39"/>
      <c r="C752" s="40"/>
      <c r="D752" s="42"/>
      <c r="E752" s="38"/>
      <c r="F752" s="43"/>
      <c r="G752" s="63"/>
      <c r="H752" s="58"/>
      <c r="I752" s="38"/>
      <c r="J752" s="38"/>
      <c r="K752" s="46"/>
      <c r="L752" s="47"/>
      <c r="M752" s="93"/>
      <c r="N752" s="93"/>
      <c r="O752" s="38"/>
      <c r="P752" s="38"/>
      <c r="Q752" s="14"/>
      <c r="R752" s="39"/>
      <c r="S752" s="39"/>
      <c r="T752" s="39"/>
      <c r="U752" s="40"/>
      <c r="V752" s="54"/>
      <c r="W752" s="55"/>
      <c r="X752" s="56"/>
      <c r="Y752" s="38"/>
      <c r="Z752" s="38"/>
      <c r="AA752" s="38"/>
      <c r="AB752" s="38"/>
    </row>
    <row r="753" spans="1:28">
      <c r="A753" s="42"/>
      <c r="B753" s="39"/>
      <c r="C753" s="40"/>
      <c r="D753" s="42"/>
      <c r="E753" s="38"/>
      <c r="F753" s="43"/>
      <c r="G753" s="63"/>
      <c r="H753" s="58"/>
      <c r="I753" s="38"/>
      <c r="J753" s="38"/>
      <c r="K753" s="46"/>
      <c r="L753" s="47"/>
      <c r="M753" s="93"/>
      <c r="N753" s="93"/>
      <c r="O753" s="38"/>
      <c r="P753" s="38"/>
      <c r="Q753" s="14"/>
      <c r="R753" s="39"/>
      <c r="S753" s="39"/>
      <c r="T753" s="39"/>
      <c r="U753" s="40"/>
      <c r="V753" s="54"/>
      <c r="W753" s="55"/>
      <c r="X753" s="56"/>
      <c r="Y753" s="38"/>
      <c r="Z753" s="38"/>
      <c r="AA753" s="38"/>
      <c r="AB753" s="38"/>
    </row>
    <row r="754" spans="1:28">
      <c r="A754" s="42"/>
      <c r="B754" s="39"/>
      <c r="C754" s="40"/>
      <c r="D754" s="42"/>
      <c r="E754" s="38"/>
      <c r="F754" s="43"/>
      <c r="G754" s="63"/>
      <c r="H754" s="58"/>
      <c r="I754" s="38"/>
      <c r="J754" s="38"/>
      <c r="K754" s="46"/>
      <c r="L754" s="47"/>
      <c r="M754" s="93"/>
      <c r="N754" s="93"/>
      <c r="O754" s="38"/>
      <c r="P754" s="38"/>
      <c r="Q754" s="14"/>
      <c r="R754" s="39"/>
      <c r="S754" s="39"/>
      <c r="T754" s="39"/>
      <c r="U754" s="40"/>
      <c r="V754" s="54"/>
      <c r="W754" s="55"/>
      <c r="X754" s="56"/>
      <c r="Y754" s="38"/>
      <c r="Z754" s="38"/>
      <c r="AA754" s="38"/>
      <c r="AB754" s="38"/>
    </row>
    <row r="755" spans="1:28">
      <c r="A755" s="42"/>
      <c r="B755" s="39"/>
      <c r="C755" s="40"/>
      <c r="D755" s="42"/>
      <c r="E755" s="38"/>
      <c r="F755" s="43"/>
      <c r="G755" s="63"/>
      <c r="H755" s="58"/>
      <c r="I755" s="38"/>
      <c r="J755" s="38"/>
      <c r="K755" s="46"/>
      <c r="L755" s="47"/>
      <c r="M755" s="93"/>
      <c r="N755" s="93"/>
      <c r="O755" s="38"/>
      <c r="P755" s="38"/>
      <c r="Q755" s="14"/>
      <c r="R755" s="39"/>
      <c r="S755" s="39"/>
      <c r="T755" s="39"/>
      <c r="U755" s="40"/>
      <c r="V755" s="54"/>
      <c r="W755" s="55"/>
      <c r="X755" s="56"/>
      <c r="Y755" s="38"/>
      <c r="Z755" s="38"/>
      <c r="AA755" s="38"/>
      <c r="AB755" s="38"/>
    </row>
    <row r="756" spans="1:28">
      <c r="A756" s="42"/>
      <c r="B756" s="39"/>
      <c r="C756" s="40"/>
      <c r="D756" s="42"/>
      <c r="E756" s="38"/>
      <c r="F756" s="43"/>
      <c r="G756" s="63"/>
      <c r="H756" s="58"/>
      <c r="I756" s="38"/>
      <c r="J756" s="38"/>
      <c r="K756" s="46"/>
      <c r="L756" s="47"/>
      <c r="M756" s="93"/>
      <c r="N756" s="93"/>
      <c r="O756" s="38"/>
      <c r="P756" s="38"/>
      <c r="Q756" s="14"/>
      <c r="R756" s="39"/>
      <c r="S756" s="39"/>
      <c r="T756" s="39"/>
      <c r="U756" s="40"/>
      <c r="V756" s="54"/>
      <c r="W756" s="55"/>
      <c r="X756" s="56"/>
      <c r="Y756" s="38"/>
      <c r="Z756" s="38"/>
      <c r="AA756" s="38"/>
      <c r="AB756" s="38"/>
    </row>
    <row r="757" spans="1:28">
      <c r="A757" s="42"/>
      <c r="B757" s="39"/>
      <c r="C757" s="40"/>
      <c r="D757" s="42"/>
      <c r="E757" s="38"/>
      <c r="F757" s="43"/>
      <c r="G757" s="63"/>
      <c r="H757" s="58"/>
      <c r="I757" s="38"/>
      <c r="J757" s="38"/>
      <c r="K757" s="46"/>
      <c r="L757" s="47"/>
      <c r="M757" s="93"/>
      <c r="N757" s="93"/>
      <c r="O757" s="38"/>
      <c r="P757" s="38"/>
      <c r="Q757" s="14"/>
      <c r="R757" s="39"/>
      <c r="S757" s="39"/>
      <c r="T757" s="39"/>
      <c r="U757" s="40"/>
      <c r="V757" s="54"/>
      <c r="W757" s="55"/>
      <c r="X757" s="56"/>
      <c r="Y757" s="38"/>
      <c r="Z757" s="38"/>
      <c r="AA757" s="38"/>
      <c r="AB757" s="38"/>
    </row>
    <row r="758" spans="1:28">
      <c r="A758" s="42"/>
      <c r="B758" s="39"/>
      <c r="C758" s="40"/>
      <c r="D758" s="42"/>
      <c r="E758" s="38"/>
      <c r="F758" s="43"/>
      <c r="G758" s="63"/>
      <c r="H758" s="58"/>
      <c r="I758" s="38"/>
      <c r="J758" s="38"/>
      <c r="K758" s="46"/>
      <c r="L758" s="47"/>
      <c r="M758" s="93"/>
      <c r="N758" s="93"/>
      <c r="O758" s="38"/>
      <c r="P758" s="38"/>
      <c r="Q758" s="14"/>
      <c r="R758" s="39"/>
      <c r="S758" s="39"/>
      <c r="T758" s="39"/>
      <c r="U758" s="40"/>
      <c r="V758" s="54"/>
      <c r="W758" s="55"/>
      <c r="X758" s="56"/>
      <c r="Y758" s="38"/>
      <c r="Z758" s="38"/>
      <c r="AA758" s="38"/>
      <c r="AB758" s="38"/>
    </row>
    <row r="759" spans="1:28">
      <c r="A759" s="42"/>
      <c r="B759" s="39"/>
      <c r="C759" s="40"/>
      <c r="D759" s="42"/>
      <c r="E759" s="38"/>
      <c r="F759" s="43"/>
      <c r="G759" s="63"/>
      <c r="H759" s="58"/>
      <c r="I759" s="38"/>
      <c r="J759" s="38"/>
      <c r="K759" s="46"/>
      <c r="L759" s="47"/>
      <c r="M759" s="93"/>
      <c r="N759" s="93"/>
      <c r="O759" s="38"/>
      <c r="P759" s="38"/>
      <c r="Q759" s="14"/>
      <c r="R759" s="39"/>
      <c r="S759" s="39"/>
      <c r="T759" s="39"/>
      <c r="U759" s="40"/>
      <c r="V759" s="54"/>
      <c r="W759" s="55"/>
      <c r="X759" s="56"/>
      <c r="Y759" s="38"/>
      <c r="Z759" s="38"/>
      <c r="AA759" s="38"/>
      <c r="AB759" s="38"/>
    </row>
    <row r="760" spans="1:28">
      <c r="A760" s="42"/>
      <c r="B760" s="39"/>
      <c r="C760" s="40"/>
      <c r="D760" s="42"/>
      <c r="E760" s="38"/>
      <c r="F760" s="43"/>
      <c r="G760" s="63"/>
      <c r="H760" s="58"/>
      <c r="I760" s="38"/>
      <c r="J760" s="38"/>
      <c r="K760" s="46"/>
      <c r="L760" s="47"/>
      <c r="M760" s="93"/>
      <c r="N760" s="93"/>
      <c r="O760" s="38"/>
      <c r="P760" s="38"/>
      <c r="Q760" s="14"/>
      <c r="R760" s="39"/>
      <c r="S760" s="39"/>
      <c r="T760" s="39"/>
      <c r="U760" s="40"/>
      <c r="V760" s="54"/>
      <c r="W760" s="55"/>
      <c r="X760" s="56"/>
      <c r="Y760" s="38"/>
      <c r="Z760" s="38"/>
      <c r="AA760" s="38"/>
      <c r="AB760" s="38"/>
    </row>
    <row r="761" spans="1:28">
      <c r="A761" s="42"/>
      <c r="B761" s="39"/>
      <c r="C761" s="40"/>
      <c r="D761" s="42"/>
      <c r="E761" s="38"/>
      <c r="F761" s="43"/>
      <c r="G761" s="63"/>
      <c r="H761" s="58"/>
      <c r="I761" s="38"/>
      <c r="J761" s="38"/>
      <c r="K761" s="46"/>
      <c r="L761" s="47"/>
      <c r="M761" s="93"/>
      <c r="N761" s="93"/>
      <c r="O761" s="38"/>
      <c r="P761" s="38"/>
      <c r="Q761" s="14"/>
      <c r="R761" s="39"/>
      <c r="S761" s="39"/>
      <c r="T761" s="39"/>
      <c r="U761" s="40"/>
      <c r="V761" s="54"/>
      <c r="W761" s="55"/>
      <c r="X761" s="56"/>
      <c r="Y761" s="38"/>
      <c r="Z761" s="38"/>
      <c r="AA761" s="38"/>
      <c r="AB761" s="38"/>
    </row>
    <row r="762" spans="1:28">
      <c r="A762" s="42"/>
      <c r="B762" s="39"/>
      <c r="C762" s="40"/>
      <c r="D762" s="42"/>
      <c r="E762" s="38"/>
      <c r="F762" s="43"/>
      <c r="G762" s="63"/>
      <c r="H762" s="58"/>
      <c r="I762" s="38"/>
      <c r="J762" s="38"/>
      <c r="K762" s="46"/>
      <c r="L762" s="47"/>
      <c r="M762" s="93"/>
      <c r="N762" s="93"/>
      <c r="O762" s="38"/>
      <c r="P762" s="38"/>
      <c r="Q762" s="14"/>
      <c r="R762" s="39"/>
      <c r="S762" s="39"/>
      <c r="T762" s="39"/>
      <c r="U762" s="40"/>
      <c r="V762" s="54"/>
      <c r="W762" s="55"/>
      <c r="X762" s="56"/>
      <c r="Y762" s="38"/>
      <c r="Z762" s="38"/>
      <c r="AA762" s="38"/>
      <c r="AB762" s="38"/>
    </row>
    <row r="763" spans="1:28">
      <c r="A763" s="42"/>
      <c r="B763" s="39"/>
      <c r="C763" s="40"/>
      <c r="D763" s="42"/>
      <c r="E763" s="38"/>
      <c r="F763" s="43"/>
      <c r="G763" s="63"/>
      <c r="H763" s="58"/>
      <c r="I763" s="38"/>
      <c r="J763" s="38"/>
      <c r="K763" s="46"/>
      <c r="L763" s="47"/>
      <c r="M763" s="93"/>
      <c r="N763" s="93"/>
      <c r="O763" s="38"/>
      <c r="P763" s="38"/>
      <c r="Q763" s="14"/>
      <c r="R763" s="39"/>
      <c r="S763" s="39"/>
      <c r="T763" s="39"/>
      <c r="U763" s="40"/>
      <c r="V763" s="54"/>
      <c r="W763" s="55"/>
      <c r="X763" s="56"/>
      <c r="Y763" s="38"/>
      <c r="Z763" s="38"/>
      <c r="AA763" s="38"/>
      <c r="AB763" s="38"/>
    </row>
    <row r="764" spans="1:28">
      <c r="A764" s="42"/>
      <c r="B764" s="39"/>
      <c r="C764" s="40"/>
      <c r="D764" s="42"/>
      <c r="E764" s="38"/>
      <c r="F764" s="43"/>
      <c r="G764" s="63"/>
      <c r="H764" s="58"/>
      <c r="I764" s="38"/>
      <c r="J764" s="38"/>
      <c r="K764" s="46"/>
      <c r="L764" s="47"/>
      <c r="M764" s="93"/>
      <c r="N764" s="93"/>
      <c r="O764" s="38"/>
      <c r="P764" s="38"/>
      <c r="Q764" s="14"/>
      <c r="R764" s="39"/>
      <c r="S764" s="39"/>
      <c r="T764" s="39"/>
      <c r="U764" s="40"/>
      <c r="V764" s="54"/>
      <c r="W764" s="55"/>
      <c r="X764" s="56"/>
      <c r="Y764" s="38"/>
      <c r="Z764" s="38"/>
      <c r="AA764" s="38"/>
      <c r="AB764" s="38"/>
    </row>
    <row r="765" spans="1:28">
      <c r="A765" s="42"/>
      <c r="B765" s="39"/>
      <c r="C765" s="40"/>
      <c r="D765" s="42"/>
      <c r="E765" s="38"/>
      <c r="F765" s="43"/>
      <c r="G765" s="63"/>
      <c r="H765" s="58"/>
      <c r="I765" s="38"/>
      <c r="J765" s="38"/>
      <c r="K765" s="46"/>
      <c r="L765" s="47"/>
      <c r="M765" s="93"/>
      <c r="N765" s="93"/>
      <c r="O765" s="38"/>
      <c r="P765" s="38"/>
      <c r="Q765" s="14"/>
      <c r="R765" s="39"/>
      <c r="S765" s="39"/>
      <c r="T765" s="39"/>
      <c r="U765" s="40"/>
      <c r="V765" s="54"/>
      <c r="W765" s="55"/>
      <c r="X765" s="56"/>
      <c r="Y765" s="38"/>
      <c r="Z765" s="38"/>
      <c r="AA765" s="38"/>
      <c r="AB765" s="38"/>
    </row>
    <row r="766" spans="1:28">
      <c r="A766" s="42"/>
      <c r="B766" s="39"/>
      <c r="C766" s="40"/>
      <c r="D766" s="42"/>
      <c r="E766" s="38"/>
      <c r="F766" s="43"/>
      <c r="G766" s="63"/>
      <c r="H766" s="58"/>
      <c r="I766" s="38"/>
      <c r="J766" s="38"/>
      <c r="K766" s="46"/>
      <c r="L766" s="47"/>
      <c r="M766" s="93"/>
      <c r="N766" s="93"/>
      <c r="O766" s="38"/>
      <c r="P766" s="38"/>
      <c r="Q766" s="14"/>
      <c r="R766" s="39"/>
      <c r="S766" s="39"/>
      <c r="T766" s="39"/>
      <c r="U766" s="40"/>
      <c r="V766" s="54"/>
      <c r="W766" s="55"/>
      <c r="X766" s="56"/>
      <c r="Y766" s="38"/>
      <c r="Z766" s="38"/>
      <c r="AA766" s="38"/>
      <c r="AB766" s="38"/>
    </row>
    <row r="767" spans="1:28">
      <c r="A767" s="42"/>
      <c r="B767" s="39"/>
      <c r="C767" s="40"/>
      <c r="D767" s="42"/>
      <c r="E767" s="38"/>
      <c r="F767" s="43"/>
      <c r="G767" s="63"/>
      <c r="H767" s="58"/>
      <c r="I767" s="38"/>
      <c r="J767" s="38"/>
      <c r="K767" s="46"/>
      <c r="L767" s="47"/>
      <c r="M767" s="93"/>
      <c r="N767" s="93"/>
      <c r="O767" s="38"/>
      <c r="P767" s="38"/>
      <c r="Q767" s="14"/>
      <c r="R767" s="39"/>
      <c r="S767" s="39"/>
      <c r="T767" s="39"/>
      <c r="U767" s="40"/>
      <c r="V767" s="54"/>
      <c r="W767" s="55"/>
      <c r="X767" s="56"/>
      <c r="Y767" s="38"/>
      <c r="Z767" s="38"/>
      <c r="AA767" s="38"/>
      <c r="AB767" s="38"/>
    </row>
    <row r="768" spans="1:28">
      <c r="A768" s="42"/>
      <c r="B768" s="39"/>
      <c r="C768" s="40"/>
      <c r="D768" s="42"/>
      <c r="E768" s="38"/>
      <c r="F768" s="43"/>
      <c r="G768" s="63"/>
      <c r="H768" s="58"/>
      <c r="I768" s="38"/>
      <c r="J768" s="38"/>
      <c r="K768" s="46"/>
      <c r="L768" s="47"/>
      <c r="M768" s="93"/>
      <c r="N768" s="93"/>
      <c r="O768" s="38"/>
      <c r="P768" s="38"/>
      <c r="Q768" s="14"/>
      <c r="R768" s="39"/>
      <c r="S768" s="39"/>
      <c r="T768" s="39"/>
      <c r="U768" s="40"/>
      <c r="V768" s="54"/>
      <c r="W768" s="55"/>
      <c r="X768" s="56"/>
      <c r="Y768" s="38"/>
      <c r="Z768" s="38"/>
      <c r="AA768" s="38"/>
      <c r="AB768" s="38"/>
    </row>
    <row r="769" spans="1:28">
      <c r="A769" s="42"/>
      <c r="B769" s="39"/>
      <c r="C769" s="40"/>
      <c r="D769" s="42"/>
      <c r="E769" s="38"/>
      <c r="F769" s="43"/>
      <c r="G769" s="63"/>
      <c r="H769" s="58"/>
      <c r="I769" s="38"/>
      <c r="J769" s="38"/>
      <c r="K769" s="46"/>
      <c r="L769" s="47"/>
      <c r="M769" s="93"/>
      <c r="N769" s="93"/>
      <c r="O769" s="38"/>
      <c r="P769" s="38"/>
      <c r="Q769" s="14"/>
      <c r="R769" s="39"/>
      <c r="S769" s="39"/>
      <c r="T769" s="39"/>
      <c r="U769" s="40"/>
      <c r="V769" s="54"/>
      <c r="W769" s="55"/>
      <c r="X769" s="56"/>
      <c r="Y769" s="38"/>
      <c r="Z769" s="38"/>
      <c r="AA769" s="38"/>
      <c r="AB769" s="38"/>
    </row>
    <row r="770" spans="1:28">
      <c r="A770" s="42"/>
      <c r="B770" s="39"/>
      <c r="C770" s="40"/>
      <c r="D770" s="42"/>
      <c r="E770" s="38"/>
      <c r="F770" s="43"/>
      <c r="G770" s="63"/>
      <c r="H770" s="58"/>
      <c r="I770" s="38"/>
      <c r="J770" s="38"/>
      <c r="K770" s="46"/>
      <c r="L770" s="47"/>
      <c r="M770" s="93"/>
      <c r="N770" s="93"/>
      <c r="O770" s="38"/>
      <c r="P770" s="38"/>
      <c r="Q770" s="14"/>
      <c r="R770" s="39"/>
      <c r="S770" s="39"/>
      <c r="T770" s="39"/>
      <c r="U770" s="40"/>
      <c r="V770" s="54"/>
      <c r="W770" s="55"/>
      <c r="X770" s="56"/>
      <c r="Y770" s="38"/>
      <c r="Z770" s="38"/>
      <c r="AA770" s="38"/>
      <c r="AB770" s="38"/>
    </row>
    <row r="771" spans="1:28">
      <c r="A771" s="42"/>
      <c r="B771" s="39"/>
      <c r="C771" s="40"/>
      <c r="D771" s="42"/>
      <c r="E771" s="38"/>
      <c r="F771" s="43"/>
      <c r="G771" s="63"/>
      <c r="H771" s="58"/>
      <c r="I771" s="38"/>
      <c r="J771" s="38"/>
      <c r="K771" s="46"/>
      <c r="L771" s="47"/>
      <c r="M771" s="93"/>
      <c r="N771" s="93"/>
      <c r="O771" s="38"/>
      <c r="P771" s="38"/>
      <c r="Q771" s="14"/>
      <c r="R771" s="39"/>
      <c r="S771" s="39"/>
      <c r="T771" s="39"/>
      <c r="U771" s="40"/>
      <c r="V771" s="54"/>
      <c r="W771" s="55"/>
      <c r="X771" s="56"/>
      <c r="Y771" s="38"/>
      <c r="Z771" s="38"/>
      <c r="AA771" s="38"/>
      <c r="AB771" s="38"/>
    </row>
    <row r="772" spans="1:28">
      <c r="A772" s="42"/>
      <c r="B772" s="39"/>
      <c r="C772" s="40"/>
      <c r="D772" s="42"/>
      <c r="E772" s="38"/>
      <c r="F772" s="43"/>
      <c r="G772" s="63"/>
      <c r="H772" s="58"/>
      <c r="I772" s="38"/>
      <c r="J772" s="38"/>
      <c r="K772" s="46"/>
      <c r="L772" s="47"/>
      <c r="M772" s="93"/>
      <c r="N772" s="93"/>
      <c r="O772" s="38"/>
      <c r="P772" s="38"/>
      <c r="Q772" s="14"/>
      <c r="R772" s="39"/>
      <c r="S772" s="39"/>
      <c r="T772" s="39"/>
      <c r="U772" s="40"/>
      <c r="V772" s="54"/>
      <c r="W772" s="55"/>
      <c r="X772" s="56"/>
      <c r="Y772" s="38"/>
      <c r="Z772" s="38"/>
      <c r="AA772" s="38"/>
      <c r="AB772" s="38"/>
    </row>
    <row r="773" spans="1:28">
      <c r="A773" s="42"/>
      <c r="B773" s="39"/>
      <c r="C773" s="40"/>
      <c r="D773" s="42"/>
      <c r="E773" s="38"/>
      <c r="F773" s="43"/>
      <c r="G773" s="63"/>
      <c r="H773" s="58"/>
      <c r="I773" s="38"/>
      <c r="J773" s="38"/>
      <c r="K773" s="46"/>
      <c r="L773" s="47"/>
      <c r="M773" s="93"/>
      <c r="N773" s="93"/>
      <c r="O773" s="38"/>
      <c r="P773" s="38"/>
      <c r="Q773" s="14"/>
      <c r="R773" s="39"/>
      <c r="S773" s="39"/>
      <c r="T773" s="39"/>
      <c r="U773" s="40"/>
      <c r="V773" s="54"/>
      <c r="W773" s="55"/>
      <c r="X773" s="56"/>
      <c r="Y773" s="38"/>
      <c r="Z773" s="38"/>
      <c r="AA773" s="38"/>
      <c r="AB773" s="38"/>
    </row>
    <row r="774" spans="1:28">
      <c r="A774" s="42"/>
      <c r="B774" s="39"/>
      <c r="C774" s="40"/>
      <c r="D774" s="42"/>
      <c r="E774" s="38"/>
      <c r="F774" s="43"/>
      <c r="G774" s="63"/>
      <c r="H774" s="58"/>
      <c r="I774" s="38"/>
      <c r="J774" s="38"/>
      <c r="K774" s="46"/>
      <c r="L774" s="47"/>
      <c r="M774" s="93"/>
      <c r="N774" s="93"/>
      <c r="O774" s="38"/>
      <c r="P774" s="38"/>
      <c r="Q774" s="14"/>
      <c r="R774" s="39"/>
      <c r="S774" s="39"/>
      <c r="T774" s="39"/>
      <c r="U774" s="40"/>
      <c r="V774" s="54"/>
      <c r="W774" s="55"/>
      <c r="X774" s="56"/>
      <c r="Y774" s="38"/>
      <c r="Z774" s="38"/>
      <c r="AA774" s="38"/>
      <c r="AB774" s="38"/>
    </row>
    <row r="775" spans="1:28">
      <c r="A775" s="42"/>
      <c r="B775" s="39"/>
      <c r="C775" s="40"/>
      <c r="D775" s="42"/>
      <c r="E775" s="38"/>
      <c r="F775" s="43"/>
      <c r="G775" s="63"/>
      <c r="H775" s="58"/>
      <c r="I775" s="38"/>
      <c r="J775" s="38"/>
      <c r="K775" s="46"/>
      <c r="L775" s="47"/>
      <c r="M775" s="93"/>
      <c r="N775" s="93"/>
      <c r="O775" s="38"/>
      <c r="P775" s="38"/>
      <c r="Q775" s="14"/>
      <c r="R775" s="39"/>
      <c r="S775" s="39"/>
      <c r="T775" s="39"/>
      <c r="U775" s="40"/>
      <c r="V775" s="54"/>
      <c r="W775" s="55"/>
      <c r="X775" s="56"/>
      <c r="Y775" s="38"/>
      <c r="Z775" s="38"/>
      <c r="AA775" s="38"/>
      <c r="AB775" s="38"/>
    </row>
    <row r="776" spans="1:28">
      <c r="A776" s="42"/>
      <c r="B776" s="39"/>
      <c r="C776" s="40"/>
      <c r="D776" s="42"/>
      <c r="E776" s="38"/>
      <c r="F776" s="43"/>
      <c r="G776" s="63"/>
      <c r="H776" s="58"/>
      <c r="I776" s="38"/>
      <c r="J776" s="38"/>
      <c r="K776" s="46"/>
      <c r="L776" s="47"/>
      <c r="M776" s="93"/>
      <c r="N776" s="93"/>
      <c r="O776" s="38"/>
      <c r="P776" s="38"/>
      <c r="Q776" s="14"/>
      <c r="R776" s="39"/>
      <c r="S776" s="39"/>
      <c r="T776" s="39"/>
      <c r="U776" s="40"/>
      <c r="V776" s="54"/>
      <c r="W776" s="55"/>
      <c r="X776" s="56"/>
      <c r="Y776" s="38"/>
      <c r="Z776" s="38"/>
      <c r="AA776" s="38"/>
      <c r="AB776" s="38"/>
    </row>
    <row r="777" spans="1:28">
      <c r="A777" s="42"/>
      <c r="B777" s="39"/>
      <c r="C777" s="40"/>
      <c r="D777" s="42"/>
      <c r="E777" s="38"/>
      <c r="F777" s="43"/>
      <c r="G777" s="63"/>
      <c r="H777" s="58"/>
      <c r="I777" s="38"/>
      <c r="J777" s="38"/>
      <c r="K777" s="46"/>
      <c r="L777" s="47"/>
      <c r="M777" s="93"/>
      <c r="N777" s="93"/>
      <c r="O777" s="38"/>
      <c r="P777" s="38"/>
      <c r="Q777" s="14"/>
      <c r="R777" s="39"/>
      <c r="S777" s="39"/>
      <c r="T777" s="39"/>
      <c r="U777" s="40"/>
      <c r="V777" s="54"/>
      <c r="W777" s="55"/>
      <c r="X777" s="56"/>
      <c r="Y777" s="38"/>
      <c r="Z777" s="38"/>
      <c r="AA777" s="38"/>
      <c r="AB777" s="38"/>
    </row>
    <row r="778" spans="1:28">
      <c r="A778" s="42"/>
      <c r="B778" s="39"/>
      <c r="C778" s="40"/>
      <c r="D778" s="42"/>
      <c r="E778" s="38"/>
      <c r="F778" s="43"/>
      <c r="G778" s="63"/>
      <c r="H778" s="58"/>
      <c r="I778" s="38"/>
      <c r="J778" s="38"/>
      <c r="K778" s="46"/>
      <c r="L778" s="47"/>
      <c r="M778" s="93"/>
      <c r="N778" s="93"/>
      <c r="O778" s="38"/>
      <c r="P778" s="38"/>
      <c r="Q778" s="14"/>
      <c r="R778" s="39"/>
      <c r="S778" s="39"/>
      <c r="T778" s="39"/>
      <c r="U778" s="40"/>
      <c r="V778" s="54"/>
      <c r="W778" s="55"/>
      <c r="X778" s="56"/>
      <c r="Y778" s="38"/>
      <c r="Z778" s="38"/>
      <c r="AA778" s="38"/>
      <c r="AB778" s="38"/>
    </row>
    <row r="779" spans="1:28">
      <c r="A779" s="42"/>
      <c r="B779" s="39"/>
      <c r="C779" s="40"/>
      <c r="D779" s="42"/>
      <c r="E779" s="38"/>
      <c r="F779" s="43"/>
      <c r="G779" s="63"/>
      <c r="H779" s="58"/>
      <c r="I779" s="38"/>
      <c r="J779" s="38"/>
      <c r="K779" s="46"/>
      <c r="L779" s="47"/>
      <c r="M779" s="93"/>
      <c r="N779" s="93"/>
      <c r="O779" s="38"/>
      <c r="P779" s="38"/>
      <c r="Q779" s="14"/>
      <c r="R779" s="39"/>
      <c r="S779" s="39"/>
      <c r="T779" s="39"/>
      <c r="U779" s="40"/>
      <c r="V779" s="54"/>
      <c r="W779" s="55"/>
      <c r="X779" s="56"/>
      <c r="Y779" s="38"/>
      <c r="Z779" s="38"/>
      <c r="AA779" s="38"/>
      <c r="AB779" s="38"/>
    </row>
    <row r="780" spans="1:28">
      <c r="A780" s="42"/>
      <c r="B780" s="39"/>
      <c r="C780" s="40"/>
      <c r="D780" s="42"/>
      <c r="E780" s="38"/>
      <c r="F780" s="43"/>
      <c r="G780" s="63"/>
      <c r="H780" s="58"/>
      <c r="I780" s="38"/>
      <c r="J780" s="38"/>
      <c r="K780" s="46"/>
      <c r="L780" s="47"/>
      <c r="M780" s="93"/>
      <c r="N780" s="93"/>
      <c r="O780" s="38"/>
      <c r="P780" s="38"/>
      <c r="Q780" s="14"/>
      <c r="R780" s="39"/>
      <c r="S780" s="39"/>
      <c r="T780" s="39"/>
      <c r="U780" s="40"/>
      <c r="V780" s="54"/>
      <c r="W780" s="55"/>
      <c r="X780" s="56"/>
      <c r="Y780" s="38"/>
      <c r="Z780" s="38"/>
      <c r="AA780" s="38"/>
      <c r="AB780" s="38"/>
    </row>
    <row r="781" spans="1:28">
      <c r="A781" s="42"/>
      <c r="B781" s="39"/>
      <c r="C781" s="40"/>
      <c r="D781" s="42"/>
      <c r="E781" s="38"/>
      <c r="F781" s="43"/>
      <c r="G781" s="63"/>
      <c r="H781" s="58"/>
      <c r="I781" s="38"/>
      <c r="J781" s="38"/>
      <c r="K781" s="46"/>
      <c r="L781" s="47"/>
      <c r="M781" s="93"/>
      <c r="N781" s="93"/>
      <c r="O781" s="38"/>
      <c r="P781" s="38"/>
      <c r="Q781" s="14"/>
      <c r="R781" s="39"/>
      <c r="S781" s="39"/>
      <c r="T781" s="39"/>
      <c r="U781" s="40"/>
      <c r="V781" s="54"/>
      <c r="W781" s="55"/>
      <c r="X781" s="56"/>
      <c r="Y781" s="38"/>
      <c r="Z781" s="38"/>
      <c r="AA781" s="38"/>
      <c r="AB781" s="38"/>
    </row>
    <row r="782" spans="1:28">
      <c r="A782" s="42"/>
      <c r="B782" s="39"/>
      <c r="C782" s="40"/>
      <c r="D782" s="42"/>
      <c r="E782" s="38"/>
      <c r="F782" s="43"/>
      <c r="G782" s="63"/>
      <c r="H782" s="58"/>
      <c r="I782" s="38"/>
      <c r="J782" s="38"/>
      <c r="K782" s="46"/>
      <c r="L782" s="47"/>
      <c r="M782" s="93"/>
      <c r="N782" s="93"/>
      <c r="O782" s="38"/>
      <c r="P782" s="38"/>
      <c r="Q782" s="14"/>
      <c r="R782" s="39"/>
      <c r="S782" s="39"/>
      <c r="T782" s="39"/>
      <c r="U782" s="40"/>
      <c r="V782" s="54"/>
      <c r="W782" s="55"/>
      <c r="X782" s="56"/>
      <c r="Y782" s="38"/>
      <c r="Z782" s="38"/>
      <c r="AA782" s="38"/>
      <c r="AB782" s="38"/>
    </row>
    <row r="783" spans="1:28">
      <c r="A783" s="42"/>
      <c r="B783" s="39"/>
      <c r="C783" s="40"/>
      <c r="D783" s="42"/>
      <c r="E783" s="38"/>
      <c r="F783" s="43"/>
      <c r="G783" s="63"/>
      <c r="H783" s="58"/>
      <c r="I783" s="38"/>
      <c r="J783" s="38"/>
      <c r="K783" s="46"/>
      <c r="L783" s="47"/>
      <c r="M783" s="93"/>
      <c r="N783" s="93"/>
      <c r="O783" s="38"/>
      <c r="P783" s="38"/>
      <c r="Q783" s="14"/>
      <c r="R783" s="39"/>
      <c r="S783" s="39"/>
      <c r="T783" s="39"/>
      <c r="U783" s="40"/>
      <c r="V783" s="54"/>
      <c r="W783" s="55"/>
      <c r="X783" s="56"/>
      <c r="Y783" s="38"/>
      <c r="Z783" s="38"/>
      <c r="AA783" s="38"/>
      <c r="AB783" s="38"/>
    </row>
    <row r="784" spans="1:28">
      <c r="A784" s="42"/>
      <c r="B784" s="39"/>
      <c r="C784" s="40"/>
      <c r="D784" s="42"/>
      <c r="E784" s="38"/>
      <c r="F784" s="43"/>
      <c r="G784" s="63"/>
      <c r="H784" s="58"/>
      <c r="I784" s="38"/>
      <c r="J784" s="38"/>
      <c r="K784" s="46"/>
      <c r="L784" s="47"/>
      <c r="M784" s="93"/>
      <c r="N784" s="93"/>
      <c r="O784" s="38"/>
      <c r="P784" s="38"/>
      <c r="Q784" s="14"/>
      <c r="R784" s="39"/>
      <c r="S784" s="39"/>
      <c r="T784" s="39"/>
      <c r="U784" s="40"/>
      <c r="V784" s="54"/>
      <c r="W784" s="55"/>
      <c r="X784" s="56"/>
      <c r="Y784" s="38"/>
      <c r="Z784" s="38"/>
      <c r="AA784" s="38"/>
      <c r="AB784" s="38"/>
    </row>
    <row r="785" spans="1:28">
      <c r="A785" s="42"/>
      <c r="B785" s="39"/>
      <c r="C785" s="40"/>
      <c r="D785" s="42"/>
      <c r="E785" s="38"/>
      <c r="F785" s="43"/>
      <c r="G785" s="63"/>
      <c r="H785" s="58"/>
      <c r="I785" s="38"/>
      <c r="J785" s="38"/>
      <c r="K785" s="46"/>
      <c r="L785" s="47"/>
      <c r="M785" s="93"/>
      <c r="N785" s="93"/>
      <c r="O785" s="38"/>
      <c r="P785" s="38"/>
      <c r="Q785" s="14"/>
      <c r="R785" s="39"/>
      <c r="S785" s="39"/>
      <c r="T785" s="39"/>
      <c r="U785" s="40"/>
      <c r="V785" s="54"/>
      <c r="W785" s="55"/>
      <c r="X785" s="56"/>
      <c r="Y785" s="38"/>
      <c r="Z785" s="38"/>
      <c r="AA785" s="38"/>
      <c r="AB785" s="38"/>
    </row>
    <row r="786" spans="1:28">
      <c r="A786" s="42"/>
      <c r="B786" s="39"/>
      <c r="C786" s="40"/>
      <c r="D786" s="42"/>
      <c r="E786" s="38"/>
      <c r="F786" s="43"/>
      <c r="G786" s="63"/>
      <c r="H786" s="58"/>
      <c r="I786" s="38"/>
      <c r="J786" s="38"/>
      <c r="K786" s="46"/>
      <c r="L786" s="47"/>
      <c r="M786" s="93"/>
      <c r="N786" s="93"/>
      <c r="O786" s="38"/>
      <c r="P786" s="38"/>
      <c r="Q786" s="14"/>
      <c r="R786" s="39"/>
      <c r="S786" s="39"/>
      <c r="T786" s="39"/>
      <c r="U786" s="40"/>
      <c r="V786" s="54"/>
      <c r="W786" s="55"/>
      <c r="X786" s="56"/>
      <c r="Y786" s="38"/>
      <c r="Z786" s="38"/>
      <c r="AA786" s="38"/>
      <c r="AB786" s="38"/>
    </row>
    <row r="787" spans="1:28">
      <c r="A787" s="42"/>
      <c r="B787" s="39"/>
      <c r="C787" s="40"/>
      <c r="D787" s="42"/>
      <c r="E787" s="38"/>
      <c r="F787" s="43"/>
      <c r="G787" s="63"/>
      <c r="H787" s="58"/>
      <c r="I787" s="38"/>
      <c r="J787" s="38"/>
      <c r="K787" s="46"/>
      <c r="L787" s="47"/>
      <c r="M787" s="93"/>
      <c r="N787" s="93"/>
      <c r="O787" s="38"/>
      <c r="P787" s="38"/>
      <c r="Q787" s="14"/>
      <c r="R787" s="39"/>
      <c r="S787" s="39"/>
      <c r="T787" s="39"/>
      <c r="U787" s="40"/>
      <c r="V787" s="54"/>
      <c r="W787" s="55"/>
      <c r="X787" s="56"/>
      <c r="Y787" s="38"/>
      <c r="Z787" s="38"/>
      <c r="AA787" s="38"/>
      <c r="AB787" s="38"/>
    </row>
    <row r="788" spans="1:28">
      <c r="A788" s="42"/>
      <c r="B788" s="39"/>
      <c r="C788" s="40"/>
      <c r="D788" s="42"/>
      <c r="E788" s="38"/>
      <c r="F788" s="43"/>
      <c r="G788" s="63"/>
      <c r="H788" s="58"/>
      <c r="I788" s="38"/>
      <c r="J788" s="38"/>
      <c r="K788" s="46"/>
      <c r="L788" s="47"/>
      <c r="M788" s="93"/>
      <c r="N788" s="93"/>
      <c r="O788" s="38"/>
      <c r="P788" s="38"/>
      <c r="Q788" s="14"/>
      <c r="R788" s="39"/>
      <c r="S788" s="39"/>
      <c r="T788" s="39"/>
      <c r="U788" s="40"/>
      <c r="V788" s="54"/>
      <c r="W788" s="55"/>
      <c r="X788" s="56"/>
      <c r="Y788" s="38"/>
      <c r="Z788" s="38"/>
      <c r="AA788" s="38"/>
      <c r="AB788" s="38"/>
    </row>
    <row r="789" spans="1:28">
      <c r="A789" s="42"/>
      <c r="B789" s="39"/>
      <c r="C789" s="40"/>
      <c r="D789" s="42"/>
      <c r="E789" s="38"/>
      <c r="F789" s="43"/>
      <c r="G789" s="63"/>
      <c r="H789" s="58"/>
      <c r="I789" s="38"/>
      <c r="J789" s="38"/>
      <c r="K789" s="46"/>
      <c r="L789" s="47"/>
      <c r="M789" s="93"/>
      <c r="N789" s="93"/>
      <c r="O789" s="38"/>
      <c r="P789" s="38"/>
      <c r="Q789" s="14"/>
      <c r="R789" s="39"/>
      <c r="S789" s="39"/>
      <c r="T789" s="39"/>
      <c r="U789" s="40"/>
      <c r="V789" s="54"/>
      <c r="W789" s="55"/>
      <c r="X789" s="56"/>
      <c r="Y789" s="38"/>
      <c r="Z789" s="38"/>
      <c r="AA789" s="38"/>
      <c r="AB789" s="38"/>
    </row>
    <row r="790" spans="1:28">
      <c r="A790" s="42"/>
      <c r="B790" s="39"/>
      <c r="C790" s="40"/>
      <c r="D790" s="42"/>
      <c r="E790" s="38"/>
      <c r="F790" s="43"/>
      <c r="G790" s="63"/>
      <c r="H790" s="58"/>
      <c r="I790" s="38"/>
      <c r="J790" s="38"/>
      <c r="K790" s="46"/>
      <c r="L790" s="47"/>
      <c r="M790" s="93"/>
      <c r="N790" s="93"/>
      <c r="O790" s="38"/>
      <c r="P790" s="38"/>
      <c r="Q790" s="14"/>
      <c r="R790" s="39"/>
      <c r="S790" s="39"/>
      <c r="T790" s="39"/>
      <c r="U790" s="40"/>
      <c r="V790" s="54"/>
      <c r="W790" s="55"/>
      <c r="X790" s="56"/>
      <c r="Y790" s="38"/>
      <c r="Z790" s="38"/>
      <c r="AA790" s="38"/>
      <c r="AB790" s="38"/>
    </row>
    <row r="791" spans="1:28">
      <c r="A791" s="42"/>
      <c r="B791" s="39"/>
      <c r="C791" s="40"/>
      <c r="D791" s="42"/>
      <c r="E791" s="38"/>
      <c r="F791" s="43"/>
      <c r="G791" s="63"/>
      <c r="H791" s="58"/>
      <c r="I791" s="38"/>
      <c r="J791" s="38"/>
      <c r="K791" s="46"/>
      <c r="L791" s="47"/>
      <c r="M791" s="93"/>
      <c r="N791" s="93"/>
      <c r="O791" s="38"/>
      <c r="P791" s="38"/>
      <c r="Q791" s="14"/>
      <c r="R791" s="39"/>
      <c r="S791" s="39"/>
      <c r="T791" s="39"/>
      <c r="U791" s="40"/>
      <c r="V791" s="54"/>
      <c r="W791" s="55"/>
      <c r="X791" s="56"/>
      <c r="Y791" s="38"/>
      <c r="Z791" s="38"/>
      <c r="AA791" s="38"/>
      <c r="AB791" s="38"/>
    </row>
    <row r="792" spans="1:28">
      <c r="A792" s="42"/>
      <c r="B792" s="39"/>
      <c r="C792" s="40"/>
      <c r="D792" s="42"/>
      <c r="E792" s="38"/>
      <c r="F792" s="43"/>
      <c r="G792" s="63"/>
      <c r="H792" s="58"/>
      <c r="I792" s="38"/>
      <c r="J792" s="38"/>
      <c r="K792" s="46"/>
      <c r="L792" s="47"/>
      <c r="M792" s="93"/>
      <c r="N792" s="93"/>
      <c r="O792" s="38"/>
      <c r="P792" s="38"/>
      <c r="Q792" s="14"/>
      <c r="R792" s="39"/>
      <c r="S792" s="39"/>
      <c r="T792" s="39"/>
      <c r="U792" s="40"/>
      <c r="V792" s="54"/>
      <c r="W792" s="55"/>
      <c r="X792" s="56"/>
      <c r="Y792" s="38"/>
      <c r="Z792" s="38"/>
      <c r="AA792" s="38"/>
      <c r="AB792" s="38"/>
    </row>
    <row r="793" spans="1:28">
      <c r="A793" s="42"/>
      <c r="B793" s="39"/>
      <c r="C793" s="40"/>
      <c r="D793" s="42"/>
      <c r="E793" s="38"/>
      <c r="F793" s="43"/>
      <c r="G793" s="63"/>
      <c r="H793" s="58"/>
      <c r="I793" s="38"/>
      <c r="J793" s="38"/>
      <c r="K793" s="46"/>
      <c r="L793" s="47"/>
      <c r="M793" s="93"/>
      <c r="N793" s="93"/>
      <c r="O793" s="38"/>
      <c r="P793" s="38"/>
      <c r="Q793" s="14"/>
      <c r="R793" s="39"/>
      <c r="S793" s="39"/>
      <c r="T793" s="39"/>
      <c r="U793" s="40"/>
      <c r="V793" s="54"/>
      <c r="W793" s="55"/>
      <c r="X793" s="56"/>
      <c r="Y793" s="38"/>
      <c r="Z793" s="38"/>
      <c r="AA793" s="38"/>
      <c r="AB793" s="38"/>
    </row>
    <row r="794" spans="1:28">
      <c r="A794" s="42"/>
      <c r="B794" s="39"/>
      <c r="C794" s="40"/>
      <c r="D794" s="42"/>
      <c r="E794" s="38"/>
      <c r="F794" s="43"/>
      <c r="G794" s="63"/>
      <c r="H794" s="58"/>
      <c r="I794" s="38"/>
      <c r="J794" s="38"/>
      <c r="K794" s="46"/>
      <c r="L794" s="47"/>
      <c r="M794" s="93"/>
      <c r="N794" s="93"/>
      <c r="O794" s="38"/>
      <c r="P794" s="38"/>
      <c r="Q794" s="14"/>
      <c r="R794" s="39"/>
      <c r="S794" s="39"/>
      <c r="T794" s="39"/>
      <c r="U794" s="40"/>
      <c r="V794" s="54"/>
      <c r="W794" s="55"/>
      <c r="X794" s="56"/>
      <c r="Y794" s="38"/>
      <c r="Z794" s="38"/>
      <c r="AA794" s="38"/>
      <c r="AB794" s="38"/>
    </row>
    <row r="795" spans="1:28">
      <c r="A795" s="42"/>
      <c r="B795" s="39"/>
      <c r="C795" s="40"/>
      <c r="D795" s="42"/>
      <c r="E795" s="38"/>
      <c r="F795" s="43"/>
      <c r="G795" s="63"/>
      <c r="H795" s="58"/>
      <c r="I795" s="38"/>
      <c r="J795" s="38"/>
      <c r="K795" s="46"/>
      <c r="L795" s="47"/>
      <c r="M795" s="93"/>
      <c r="N795" s="93"/>
      <c r="O795" s="38"/>
      <c r="P795" s="38"/>
      <c r="Q795" s="14"/>
      <c r="R795" s="39"/>
      <c r="S795" s="39"/>
      <c r="T795" s="39"/>
      <c r="U795" s="40"/>
      <c r="V795" s="54"/>
      <c r="W795" s="55"/>
      <c r="X795" s="56"/>
      <c r="Y795" s="38"/>
      <c r="Z795" s="38"/>
      <c r="AA795" s="38"/>
      <c r="AB795" s="38"/>
    </row>
    <row r="796" spans="1:28">
      <c r="A796" s="42"/>
      <c r="B796" s="39"/>
      <c r="C796" s="40"/>
      <c r="D796" s="42"/>
      <c r="E796" s="38"/>
      <c r="F796" s="43"/>
      <c r="G796" s="63"/>
      <c r="H796" s="58"/>
      <c r="I796" s="38"/>
      <c r="J796" s="38"/>
      <c r="K796" s="46"/>
      <c r="L796" s="47"/>
      <c r="M796" s="93"/>
      <c r="N796" s="93"/>
      <c r="O796" s="38"/>
      <c r="P796" s="38"/>
      <c r="Q796" s="14"/>
      <c r="R796" s="39"/>
      <c r="S796" s="39"/>
      <c r="T796" s="39"/>
      <c r="U796" s="40"/>
      <c r="V796" s="54"/>
      <c r="W796" s="55"/>
      <c r="X796" s="56"/>
      <c r="Y796" s="38"/>
      <c r="Z796" s="38"/>
      <c r="AA796" s="38"/>
      <c r="AB796" s="38"/>
    </row>
    <row r="797" spans="1:28">
      <c r="A797" s="42"/>
      <c r="B797" s="39"/>
      <c r="C797" s="40"/>
      <c r="D797" s="42"/>
      <c r="E797" s="38"/>
      <c r="F797" s="43"/>
      <c r="G797" s="63"/>
      <c r="H797" s="58"/>
      <c r="I797" s="38"/>
      <c r="J797" s="38"/>
      <c r="K797" s="46"/>
      <c r="L797" s="47"/>
      <c r="M797" s="93"/>
      <c r="N797" s="93"/>
      <c r="O797" s="38"/>
      <c r="P797" s="38"/>
      <c r="Q797" s="14"/>
      <c r="R797" s="39"/>
      <c r="S797" s="39"/>
      <c r="T797" s="39"/>
      <c r="U797" s="40"/>
      <c r="V797" s="54"/>
      <c r="W797" s="55"/>
      <c r="X797" s="56"/>
      <c r="Y797" s="38"/>
      <c r="Z797" s="38"/>
      <c r="AA797" s="38"/>
      <c r="AB797" s="38"/>
    </row>
    <row r="798" spans="1:28">
      <c r="A798" s="42"/>
      <c r="B798" s="39"/>
      <c r="C798" s="40"/>
      <c r="D798" s="42"/>
      <c r="E798" s="38"/>
      <c r="F798" s="43"/>
      <c r="G798" s="63"/>
      <c r="H798" s="58"/>
      <c r="I798" s="38"/>
      <c r="J798" s="38"/>
      <c r="K798" s="46"/>
      <c r="L798" s="47"/>
      <c r="M798" s="93"/>
      <c r="N798" s="93"/>
      <c r="O798" s="38"/>
      <c r="P798" s="38"/>
      <c r="Q798" s="14"/>
      <c r="R798" s="39"/>
      <c r="S798" s="39"/>
      <c r="T798" s="39"/>
      <c r="U798" s="40"/>
      <c r="V798" s="54"/>
      <c r="W798" s="55"/>
      <c r="X798" s="56"/>
      <c r="Y798" s="38"/>
      <c r="Z798" s="38"/>
      <c r="AA798" s="38"/>
      <c r="AB798" s="38"/>
    </row>
    <row r="799" spans="1:28">
      <c r="A799" s="42"/>
      <c r="B799" s="39"/>
      <c r="C799" s="40"/>
      <c r="D799" s="42"/>
      <c r="E799" s="38"/>
      <c r="F799" s="43"/>
      <c r="G799" s="63"/>
      <c r="H799" s="58"/>
      <c r="I799" s="38"/>
      <c r="J799" s="38"/>
      <c r="K799" s="46"/>
      <c r="L799" s="47"/>
      <c r="M799" s="93"/>
      <c r="N799" s="93"/>
      <c r="O799" s="38"/>
      <c r="P799" s="38"/>
      <c r="Q799" s="14"/>
      <c r="R799" s="39"/>
      <c r="S799" s="39"/>
      <c r="T799" s="39"/>
      <c r="U799" s="40"/>
      <c r="V799" s="54"/>
      <c r="W799" s="55"/>
      <c r="X799" s="56"/>
      <c r="Y799" s="38"/>
      <c r="Z799" s="38"/>
      <c r="AA799" s="38"/>
      <c r="AB799" s="38"/>
    </row>
    <row r="800" spans="1:28">
      <c r="A800" s="42"/>
      <c r="B800" s="39"/>
      <c r="C800" s="40"/>
      <c r="D800" s="42"/>
      <c r="E800" s="38"/>
      <c r="F800" s="43"/>
      <c r="G800" s="63"/>
      <c r="H800" s="58"/>
      <c r="I800" s="38"/>
      <c r="J800" s="38"/>
      <c r="K800" s="46"/>
      <c r="L800" s="47"/>
      <c r="M800" s="93"/>
      <c r="N800" s="93"/>
      <c r="O800" s="38"/>
      <c r="P800" s="38"/>
      <c r="Q800" s="14"/>
      <c r="R800" s="39"/>
      <c r="S800" s="39"/>
      <c r="T800" s="39"/>
      <c r="U800" s="40"/>
      <c r="V800" s="54"/>
      <c r="W800" s="55"/>
      <c r="X800" s="56"/>
      <c r="Y800" s="38"/>
      <c r="Z800" s="38"/>
      <c r="AA800" s="38"/>
      <c r="AB800" s="38"/>
    </row>
    <row r="801" spans="1:28">
      <c r="A801" s="42"/>
      <c r="B801" s="39"/>
      <c r="C801" s="40"/>
      <c r="D801" s="42"/>
      <c r="E801" s="38"/>
      <c r="F801" s="43"/>
      <c r="G801" s="63"/>
      <c r="H801" s="58"/>
      <c r="I801" s="38"/>
      <c r="J801" s="38"/>
      <c r="K801" s="46"/>
      <c r="L801" s="47"/>
      <c r="M801" s="93"/>
      <c r="N801" s="93"/>
      <c r="O801" s="38"/>
      <c r="P801" s="38"/>
      <c r="Q801" s="14"/>
      <c r="R801" s="39"/>
      <c r="S801" s="39"/>
      <c r="T801" s="39"/>
      <c r="U801" s="40"/>
      <c r="V801" s="54"/>
      <c r="W801" s="55"/>
      <c r="X801" s="56"/>
      <c r="Y801" s="38"/>
      <c r="Z801" s="38"/>
      <c r="AA801" s="38"/>
      <c r="AB801" s="38"/>
    </row>
    <row r="802" spans="1:28">
      <c r="A802" s="42"/>
      <c r="B802" s="39"/>
      <c r="C802" s="40"/>
      <c r="D802" s="42"/>
      <c r="E802" s="38"/>
      <c r="F802" s="43"/>
      <c r="G802" s="63"/>
      <c r="H802" s="58"/>
      <c r="I802" s="38"/>
      <c r="J802" s="38"/>
      <c r="K802" s="46"/>
      <c r="L802" s="47"/>
      <c r="M802" s="93"/>
      <c r="N802" s="93"/>
      <c r="O802" s="38"/>
      <c r="P802" s="38"/>
      <c r="Q802" s="14"/>
      <c r="R802" s="39"/>
      <c r="S802" s="39"/>
      <c r="T802" s="39"/>
      <c r="U802" s="40"/>
      <c r="V802" s="54"/>
      <c r="W802" s="55"/>
      <c r="X802" s="56"/>
      <c r="Y802" s="38"/>
      <c r="Z802" s="38"/>
      <c r="AA802" s="38"/>
      <c r="AB802" s="38"/>
    </row>
    <row r="803" spans="1:28">
      <c r="A803" s="42"/>
      <c r="B803" s="39"/>
      <c r="C803" s="40"/>
      <c r="D803" s="42"/>
      <c r="E803" s="38"/>
      <c r="F803" s="43"/>
      <c r="G803" s="63"/>
      <c r="H803" s="58"/>
      <c r="I803" s="38"/>
      <c r="J803" s="38"/>
      <c r="K803" s="46"/>
      <c r="L803" s="47"/>
      <c r="M803" s="93"/>
      <c r="N803" s="93"/>
      <c r="O803" s="38"/>
      <c r="P803" s="38"/>
      <c r="Q803" s="14"/>
      <c r="R803" s="39"/>
      <c r="S803" s="39"/>
      <c r="T803" s="39"/>
      <c r="U803" s="40"/>
      <c r="V803" s="54"/>
      <c r="W803" s="55"/>
      <c r="X803" s="56"/>
      <c r="Y803" s="38"/>
      <c r="Z803" s="38"/>
      <c r="AA803" s="38"/>
      <c r="AB803" s="38"/>
    </row>
    <row r="804" spans="1:28">
      <c r="A804" s="42"/>
      <c r="B804" s="39"/>
      <c r="C804" s="40"/>
      <c r="D804" s="42"/>
      <c r="E804" s="38"/>
      <c r="F804" s="43"/>
      <c r="G804" s="63"/>
      <c r="H804" s="58"/>
      <c r="I804" s="38"/>
      <c r="J804" s="38"/>
      <c r="K804" s="46"/>
      <c r="L804" s="47"/>
      <c r="M804" s="93"/>
      <c r="N804" s="93"/>
      <c r="O804" s="38"/>
      <c r="P804" s="38"/>
      <c r="Q804" s="14"/>
      <c r="R804" s="39"/>
      <c r="S804" s="39"/>
      <c r="T804" s="39"/>
      <c r="U804" s="40"/>
      <c r="V804" s="54"/>
      <c r="W804" s="55"/>
      <c r="X804" s="56"/>
      <c r="Y804" s="38"/>
      <c r="Z804" s="38"/>
      <c r="AA804" s="38"/>
      <c r="AB804" s="38"/>
    </row>
    <row r="805" spans="1:28">
      <c r="A805" s="42"/>
      <c r="B805" s="39"/>
      <c r="C805" s="40"/>
      <c r="D805" s="42"/>
      <c r="E805" s="38"/>
      <c r="F805" s="43"/>
      <c r="G805" s="63"/>
      <c r="H805" s="58"/>
      <c r="I805" s="38"/>
      <c r="J805" s="38"/>
      <c r="K805" s="46"/>
      <c r="L805" s="47"/>
      <c r="M805" s="93"/>
      <c r="N805" s="93"/>
      <c r="O805" s="38"/>
      <c r="P805" s="38"/>
      <c r="Q805" s="14"/>
      <c r="R805" s="39"/>
      <c r="S805" s="39"/>
      <c r="T805" s="39"/>
      <c r="U805" s="40"/>
      <c r="V805" s="54"/>
      <c r="W805" s="55"/>
      <c r="X805" s="56"/>
      <c r="Y805" s="38"/>
      <c r="Z805" s="38"/>
      <c r="AA805" s="38"/>
      <c r="AB805" s="38"/>
    </row>
    <row r="806" spans="1:28">
      <c r="A806" s="42"/>
      <c r="B806" s="39"/>
      <c r="C806" s="40"/>
      <c r="D806" s="42"/>
      <c r="E806" s="38"/>
      <c r="F806" s="43"/>
      <c r="G806" s="63"/>
      <c r="H806" s="58"/>
      <c r="I806" s="38"/>
      <c r="J806" s="38"/>
      <c r="K806" s="46"/>
      <c r="L806" s="47"/>
      <c r="M806" s="93"/>
      <c r="N806" s="93"/>
      <c r="O806" s="38"/>
      <c r="P806" s="38"/>
      <c r="Q806" s="14"/>
      <c r="R806" s="39"/>
      <c r="S806" s="39"/>
      <c r="T806" s="39"/>
      <c r="U806" s="40"/>
      <c r="V806" s="54"/>
      <c r="W806" s="55"/>
      <c r="X806" s="56"/>
      <c r="Y806" s="38"/>
      <c r="Z806" s="38"/>
      <c r="AA806" s="38"/>
      <c r="AB806" s="38"/>
    </row>
    <row r="807" spans="1:28">
      <c r="A807" s="42"/>
      <c r="B807" s="39"/>
      <c r="C807" s="40"/>
      <c r="D807" s="42"/>
      <c r="E807" s="38"/>
      <c r="F807" s="43"/>
      <c r="G807" s="63"/>
      <c r="H807" s="58"/>
      <c r="I807" s="38"/>
      <c r="J807" s="38"/>
      <c r="K807" s="46"/>
      <c r="L807" s="47"/>
      <c r="M807" s="93"/>
      <c r="N807" s="93"/>
      <c r="O807" s="38"/>
      <c r="P807" s="38"/>
      <c r="Q807" s="14"/>
      <c r="R807" s="39"/>
      <c r="S807" s="39"/>
      <c r="T807" s="39"/>
      <c r="U807" s="40"/>
      <c r="V807" s="54"/>
      <c r="W807" s="55"/>
      <c r="X807" s="56"/>
      <c r="Y807" s="38"/>
      <c r="Z807" s="38"/>
      <c r="AA807" s="38"/>
      <c r="AB807" s="38"/>
    </row>
    <row r="808" spans="1:28">
      <c r="A808" s="42"/>
      <c r="B808" s="39"/>
      <c r="C808" s="40"/>
      <c r="D808" s="42"/>
      <c r="E808" s="38"/>
      <c r="F808" s="43"/>
      <c r="G808" s="63"/>
      <c r="H808" s="58"/>
      <c r="I808" s="38"/>
      <c r="J808" s="38"/>
      <c r="K808" s="46"/>
      <c r="L808" s="47"/>
      <c r="M808" s="93"/>
      <c r="N808" s="93"/>
      <c r="O808" s="38"/>
      <c r="P808" s="38"/>
      <c r="Q808" s="14"/>
      <c r="R808" s="39"/>
      <c r="S808" s="39"/>
      <c r="T808" s="39"/>
      <c r="U808" s="40"/>
      <c r="V808" s="54"/>
      <c r="W808" s="55"/>
      <c r="X808" s="56"/>
      <c r="Y808" s="38"/>
      <c r="Z808" s="38"/>
      <c r="AA808" s="38"/>
      <c r="AB808" s="38"/>
    </row>
    <row r="809" spans="1:28">
      <c r="A809" s="42"/>
      <c r="B809" s="39"/>
      <c r="C809" s="40"/>
      <c r="D809" s="42"/>
      <c r="E809" s="38"/>
      <c r="F809" s="43"/>
      <c r="G809" s="63"/>
      <c r="H809" s="58"/>
      <c r="I809" s="38"/>
      <c r="J809" s="38"/>
      <c r="K809" s="46"/>
      <c r="L809" s="47"/>
      <c r="M809" s="93"/>
      <c r="N809" s="93"/>
      <c r="O809" s="38"/>
      <c r="P809" s="38"/>
      <c r="Q809" s="14"/>
      <c r="R809" s="39"/>
      <c r="S809" s="39"/>
      <c r="T809" s="39"/>
      <c r="U809" s="40"/>
      <c r="V809" s="54"/>
      <c r="W809" s="55"/>
      <c r="X809" s="56"/>
      <c r="Y809" s="38"/>
      <c r="Z809" s="38"/>
      <c r="AA809" s="38"/>
      <c r="AB809" s="38"/>
    </row>
    <row r="810" spans="1:28">
      <c r="A810" s="42"/>
      <c r="B810" s="39"/>
      <c r="C810" s="40"/>
      <c r="D810" s="42"/>
      <c r="E810" s="38"/>
      <c r="F810" s="43"/>
      <c r="G810" s="63"/>
      <c r="H810" s="58"/>
      <c r="I810" s="38"/>
      <c r="J810" s="38"/>
      <c r="K810" s="46"/>
      <c r="L810" s="47"/>
      <c r="M810" s="93"/>
      <c r="N810" s="93"/>
      <c r="O810" s="38"/>
      <c r="P810" s="38"/>
      <c r="Q810" s="14"/>
      <c r="R810" s="39"/>
      <c r="S810" s="39"/>
      <c r="T810" s="39"/>
      <c r="U810" s="40"/>
      <c r="V810" s="54"/>
      <c r="W810" s="55"/>
      <c r="X810" s="56"/>
      <c r="Y810" s="38"/>
      <c r="Z810" s="38"/>
      <c r="AA810" s="38"/>
      <c r="AB810" s="38"/>
    </row>
    <row r="811" spans="1:28">
      <c r="A811" s="42"/>
      <c r="B811" s="39"/>
      <c r="C811" s="40"/>
      <c r="D811" s="42"/>
      <c r="E811" s="38"/>
      <c r="F811" s="43"/>
      <c r="G811" s="63"/>
      <c r="H811" s="58"/>
      <c r="I811" s="38"/>
      <c r="J811" s="38"/>
      <c r="K811" s="46"/>
      <c r="L811" s="47"/>
      <c r="M811" s="93"/>
      <c r="N811" s="93"/>
      <c r="O811" s="38"/>
      <c r="P811" s="38"/>
      <c r="Q811" s="14"/>
      <c r="R811" s="39"/>
      <c r="S811" s="39"/>
      <c r="T811" s="39"/>
      <c r="U811" s="40"/>
      <c r="V811" s="54"/>
      <c r="W811" s="55"/>
      <c r="X811" s="56"/>
      <c r="Y811" s="38"/>
      <c r="Z811" s="38"/>
      <c r="AA811" s="38"/>
      <c r="AB811" s="38"/>
    </row>
    <row r="812" spans="1:28">
      <c r="A812" s="42"/>
      <c r="B812" s="39"/>
      <c r="C812" s="40"/>
      <c r="D812" s="42"/>
      <c r="E812" s="38"/>
      <c r="F812" s="43"/>
      <c r="G812" s="63"/>
      <c r="H812" s="58"/>
      <c r="I812" s="38"/>
      <c r="J812" s="38"/>
      <c r="K812" s="46"/>
      <c r="L812" s="47"/>
      <c r="M812" s="93"/>
      <c r="N812" s="93"/>
      <c r="O812" s="38"/>
      <c r="P812" s="38"/>
      <c r="Q812" s="14"/>
      <c r="R812" s="39"/>
      <c r="S812" s="39"/>
      <c r="T812" s="39"/>
      <c r="U812" s="40"/>
      <c r="V812" s="54"/>
      <c r="W812" s="55"/>
      <c r="X812" s="56"/>
      <c r="Y812" s="38"/>
      <c r="Z812" s="38"/>
      <c r="AA812" s="38"/>
      <c r="AB812" s="38"/>
    </row>
    <row r="813" spans="1:28">
      <c r="A813" s="42"/>
      <c r="B813" s="39"/>
      <c r="C813" s="40"/>
      <c r="D813" s="42"/>
      <c r="E813" s="38"/>
      <c r="F813" s="43"/>
      <c r="G813" s="63"/>
      <c r="H813" s="58"/>
      <c r="I813" s="38"/>
      <c r="J813" s="38"/>
      <c r="K813" s="46"/>
      <c r="L813" s="47"/>
      <c r="M813" s="93"/>
      <c r="N813" s="93"/>
      <c r="O813" s="38"/>
      <c r="P813" s="38"/>
      <c r="Q813" s="14"/>
      <c r="R813" s="39"/>
      <c r="S813" s="39"/>
      <c r="T813" s="39"/>
      <c r="U813" s="40"/>
      <c r="V813" s="54"/>
      <c r="W813" s="55"/>
      <c r="X813" s="56"/>
      <c r="Y813" s="38"/>
      <c r="Z813" s="38"/>
      <c r="AA813" s="38"/>
      <c r="AB813" s="38"/>
    </row>
    <row r="814" spans="1:28">
      <c r="A814" s="42"/>
      <c r="B814" s="39"/>
      <c r="C814" s="40"/>
      <c r="D814" s="42"/>
      <c r="E814" s="38"/>
      <c r="F814" s="43"/>
      <c r="G814" s="63"/>
      <c r="H814" s="58"/>
      <c r="I814" s="38"/>
      <c r="J814" s="38"/>
      <c r="K814" s="46"/>
      <c r="L814" s="47"/>
      <c r="M814" s="93"/>
      <c r="N814" s="93"/>
      <c r="O814" s="38"/>
      <c r="P814" s="38"/>
      <c r="Q814" s="14"/>
      <c r="R814" s="39"/>
      <c r="S814" s="39"/>
      <c r="T814" s="39"/>
      <c r="U814" s="40"/>
      <c r="V814" s="54"/>
      <c r="W814" s="55"/>
      <c r="X814" s="56"/>
      <c r="Y814" s="38"/>
      <c r="Z814" s="38"/>
      <c r="AA814" s="38"/>
      <c r="AB814" s="38"/>
    </row>
    <row r="815" spans="1:28">
      <c r="A815" s="42"/>
      <c r="B815" s="39"/>
      <c r="C815" s="40"/>
      <c r="D815" s="42"/>
      <c r="E815" s="38"/>
      <c r="F815" s="43"/>
      <c r="G815" s="63"/>
      <c r="H815" s="58"/>
      <c r="I815" s="38"/>
      <c r="J815" s="38"/>
      <c r="K815" s="46"/>
      <c r="L815" s="47"/>
      <c r="M815" s="93"/>
      <c r="N815" s="93"/>
      <c r="O815" s="38"/>
      <c r="P815" s="38"/>
      <c r="Q815" s="14"/>
      <c r="R815" s="39"/>
      <c r="S815" s="39"/>
      <c r="T815" s="39"/>
      <c r="U815" s="40"/>
      <c r="V815" s="54"/>
      <c r="W815" s="55"/>
      <c r="X815" s="56"/>
      <c r="Y815" s="38"/>
      <c r="Z815" s="38"/>
      <c r="AA815" s="38"/>
      <c r="AB815" s="38"/>
    </row>
    <row r="816" spans="1:28">
      <c r="A816" s="42"/>
      <c r="B816" s="39"/>
      <c r="C816" s="40"/>
      <c r="D816" s="42"/>
      <c r="E816" s="38"/>
      <c r="F816" s="43"/>
      <c r="G816" s="63"/>
      <c r="H816" s="58"/>
      <c r="I816" s="38"/>
      <c r="J816" s="38"/>
      <c r="K816" s="46"/>
      <c r="L816" s="47"/>
      <c r="M816" s="93"/>
      <c r="N816" s="93"/>
      <c r="O816" s="38"/>
      <c r="P816" s="38"/>
      <c r="Q816" s="14"/>
      <c r="R816" s="39"/>
      <c r="S816" s="39"/>
      <c r="T816" s="39"/>
      <c r="U816" s="40"/>
      <c r="V816" s="54"/>
      <c r="W816" s="55"/>
      <c r="X816" s="56"/>
      <c r="Y816" s="38"/>
      <c r="Z816" s="38"/>
      <c r="AA816" s="38"/>
      <c r="AB816" s="38"/>
    </row>
    <row r="817" spans="1:28">
      <c r="A817" s="42"/>
      <c r="B817" s="39"/>
      <c r="C817" s="40"/>
      <c r="D817" s="42"/>
      <c r="E817" s="38"/>
      <c r="F817" s="43"/>
      <c r="G817" s="63"/>
      <c r="H817" s="58"/>
      <c r="I817" s="38"/>
      <c r="J817" s="38"/>
      <c r="K817" s="46"/>
      <c r="L817" s="47"/>
      <c r="M817" s="93"/>
      <c r="N817" s="93"/>
      <c r="O817" s="38"/>
      <c r="P817" s="38"/>
      <c r="Q817" s="14"/>
      <c r="R817" s="39"/>
      <c r="S817" s="39"/>
      <c r="T817" s="39"/>
      <c r="U817" s="40"/>
      <c r="V817" s="54"/>
      <c r="W817" s="55"/>
      <c r="X817" s="56"/>
      <c r="Y817" s="38"/>
      <c r="Z817" s="38"/>
      <c r="AA817" s="38"/>
      <c r="AB817" s="38"/>
    </row>
    <row r="818" spans="1:28">
      <c r="A818" s="42"/>
      <c r="B818" s="39"/>
      <c r="C818" s="40"/>
      <c r="D818" s="42"/>
      <c r="E818" s="38"/>
      <c r="F818" s="43"/>
      <c r="G818" s="63"/>
      <c r="H818" s="58"/>
      <c r="I818" s="38"/>
      <c r="J818" s="38"/>
      <c r="K818" s="46"/>
      <c r="L818" s="47"/>
      <c r="M818" s="93"/>
      <c r="N818" s="93"/>
      <c r="O818" s="38"/>
      <c r="P818" s="38"/>
      <c r="Q818" s="14"/>
      <c r="R818" s="39"/>
      <c r="S818" s="39"/>
      <c r="T818" s="39"/>
      <c r="U818" s="40"/>
      <c r="V818" s="54"/>
      <c r="W818" s="55"/>
      <c r="X818" s="56"/>
      <c r="Y818" s="38"/>
      <c r="Z818" s="38"/>
      <c r="AA818" s="38"/>
      <c r="AB818" s="38"/>
    </row>
    <row r="819" spans="1:28">
      <c r="A819" s="42"/>
      <c r="B819" s="39"/>
      <c r="C819" s="40"/>
      <c r="D819" s="42"/>
      <c r="E819" s="38"/>
      <c r="F819" s="43"/>
      <c r="G819" s="63"/>
      <c r="H819" s="58"/>
      <c r="I819" s="38"/>
      <c r="J819" s="38"/>
      <c r="K819" s="46"/>
      <c r="L819" s="47"/>
      <c r="M819" s="93"/>
      <c r="N819" s="93"/>
      <c r="O819" s="38"/>
      <c r="P819" s="38"/>
      <c r="Q819" s="14"/>
      <c r="R819" s="39"/>
      <c r="S819" s="39"/>
      <c r="T819" s="39"/>
      <c r="U819" s="40"/>
      <c r="V819" s="54"/>
      <c r="W819" s="55"/>
      <c r="X819" s="56"/>
      <c r="Y819" s="38"/>
      <c r="Z819" s="38"/>
      <c r="AA819" s="38"/>
      <c r="AB819" s="38"/>
    </row>
    <row r="820" spans="1:28">
      <c r="A820" s="42"/>
      <c r="B820" s="39"/>
      <c r="C820" s="40"/>
      <c r="D820" s="42"/>
      <c r="E820" s="38"/>
      <c r="F820" s="43"/>
      <c r="G820" s="63"/>
      <c r="H820" s="58"/>
      <c r="I820" s="38"/>
      <c r="J820" s="38"/>
      <c r="K820" s="46"/>
      <c r="L820" s="47"/>
      <c r="M820" s="93"/>
      <c r="N820" s="93"/>
      <c r="O820" s="38"/>
      <c r="P820" s="38"/>
      <c r="Q820" s="14"/>
      <c r="R820" s="39"/>
      <c r="S820" s="39"/>
      <c r="T820" s="39"/>
      <c r="U820" s="40"/>
      <c r="V820" s="54"/>
      <c r="W820" s="55"/>
      <c r="X820" s="56"/>
      <c r="Y820" s="38"/>
      <c r="Z820" s="38"/>
      <c r="AA820" s="38"/>
      <c r="AB820" s="38"/>
    </row>
    <row r="821" spans="1:28">
      <c r="A821" s="42"/>
      <c r="B821" s="39"/>
      <c r="C821" s="40"/>
      <c r="D821" s="42"/>
      <c r="E821" s="38"/>
      <c r="F821" s="43"/>
      <c r="G821" s="63"/>
      <c r="H821" s="58"/>
      <c r="I821" s="38"/>
      <c r="J821" s="38"/>
      <c r="K821" s="46"/>
      <c r="L821" s="47"/>
      <c r="M821" s="93"/>
      <c r="N821" s="93"/>
      <c r="O821" s="38"/>
      <c r="P821" s="38"/>
      <c r="Q821" s="14"/>
      <c r="R821" s="39"/>
      <c r="S821" s="39"/>
      <c r="T821" s="39"/>
      <c r="U821" s="40"/>
      <c r="V821" s="54"/>
      <c r="W821" s="55"/>
      <c r="X821" s="56"/>
      <c r="Y821" s="38"/>
      <c r="Z821" s="38"/>
      <c r="AA821" s="38"/>
      <c r="AB821" s="38"/>
    </row>
    <row r="822" spans="1:28">
      <c r="A822" s="42"/>
      <c r="B822" s="39"/>
      <c r="C822" s="40"/>
      <c r="D822" s="42"/>
      <c r="E822" s="38"/>
      <c r="F822" s="43"/>
      <c r="G822" s="63"/>
      <c r="H822" s="58"/>
      <c r="I822" s="38"/>
      <c r="J822" s="38"/>
      <c r="K822" s="46"/>
      <c r="L822" s="47"/>
      <c r="M822" s="93"/>
      <c r="N822" s="93"/>
      <c r="O822" s="38"/>
      <c r="P822" s="38"/>
      <c r="Q822" s="14"/>
      <c r="R822" s="39"/>
      <c r="S822" s="39"/>
      <c r="T822" s="39"/>
      <c r="U822" s="40"/>
      <c r="V822" s="54"/>
      <c r="W822" s="55"/>
      <c r="X822" s="56"/>
      <c r="Y822" s="38"/>
      <c r="Z822" s="38"/>
      <c r="AA822" s="38"/>
      <c r="AB822" s="38"/>
    </row>
    <row r="823" spans="1:28">
      <c r="A823" s="42"/>
      <c r="B823" s="39"/>
      <c r="C823" s="40"/>
      <c r="D823" s="42"/>
      <c r="E823" s="38"/>
      <c r="F823" s="43"/>
      <c r="G823" s="63"/>
      <c r="H823" s="58"/>
      <c r="I823" s="38"/>
      <c r="J823" s="38"/>
      <c r="K823" s="46"/>
      <c r="L823" s="47"/>
      <c r="M823" s="93"/>
      <c r="N823" s="93"/>
      <c r="O823" s="38"/>
      <c r="P823" s="38"/>
      <c r="Q823" s="14"/>
      <c r="R823" s="39"/>
      <c r="S823" s="39"/>
      <c r="T823" s="39"/>
      <c r="U823" s="40"/>
      <c r="V823" s="54"/>
      <c r="W823" s="55"/>
      <c r="X823" s="56"/>
      <c r="Y823" s="38"/>
      <c r="Z823" s="38"/>
      <c r="AA823" s="38"/>
      <c r="AB823" s="38"/>
    </row>
    <row r="824" spans="1:28">
      <c r="A824" s="42"/>
      <c r="B824" s="39"/>
      <c r="C824" s="40"/>
      <c r="D824" s="42"/>
      <c r="E824" s="38"/>
      <c r="F824" s="43"/>
      <c r="G824" s="63"/>
      <c r="H824" s="58"/>
      <c r="I824" s="38"/>
      <c r="J824" s="38"/>
      <c r="K824" s="46"/>
      <c r="L824" s="47"/>
      <c r="M824" s="93"/>
      <c r="N824" s="93"/>
      <c r="O824" s="38"/>
      <c r="P824" s="38"/>
      <c r="Q824" s="14"/>
      <c r="R824" s="39"/>
      <c r="S824" s="39"/>
      <c r="T824" s="39"/>
      <c r="U824" s="40"/>
      <c r="V824" s="54"/>
      <c r="W824" s="55"/>
      <c r="X824" s="56"/>
      <c r="Y824" s="38"/>
      <c r="Z824" s="38"/>
      <c r="AA824" s="38"/>
      <c r="AB824" s="38"/>
    </row>
    <row r="825" spans="1:28">
      <c r="A825" s="42"/>
      <c r="B825" s="39"/>
      <c r="C825" s="40"/>
      <c r="D825" s="42"/>
      <c r="E825" s="38"/>
      <c r="F825" s="43"/>
      <c r="G825" s="63"/>
      <c r="H825" s="58"/>
      <c r="I825" s="38"/>
      <c r="J825" s="38"/>
      <c r="K825" s="46"/>
      <c r="L825" s="47"/>
      <c r="M825" s="93"/>
      <c r="N825" s="93"/>
      <c r="O825" s="38"/>
      <c r="P825" s="38"/>
      <c r="Q825" s="14"/>
      <c r="R825" s="39"/>
      <c r="S825" s="39"/>
      <c r="T825" s="39"/>
      <c r="U825" s="40"/>
      <c r="V825" s="54"/>
      <c r="W825" s="55"/>
      <c r="X825" s="56"/>
      <c r="Y825" s="38"/>
      <c r="Z825" s="38"/>
      <c r="AA825" s="38"/>
      <c r="AB825" s="38"/>
    </row>
    <row r="826" spans="1:28">
      <c r="A826" s="42"/>
      <c r="B826" s="39"/>
      <c r="C826" s="40"/>
      <c r="D826" s="42"/>
      <c r="E826" s="38"/>
      <c r="F826" s="43"/>
      <c r="G826" s="63"/>
      <c r="H826" s="58"/>
      <c r="I826" s="38"/>
      <c r="J826" s="38"/>
      <c r="K826" s="46"/>
      <c r="L826" s="47"/>
      <c r="M826" s="93"/>
      <c r="N826" s="93"/>
      <c r="O826" s="38"/>
      <c r="P826" s="38"/>
      <c r="Q826" s="14"/>
      <c r="R826" s="39"/>
      <c r="S826" s="39"/>
      <c r="T826" s="39"/>
      <c r="U826" s="40"/>
      <c r="V826" s="54"/>
      <c r="W826" s="55"/>
      <c r="X826" s="56"/>
      <c r="Y826" s="38"/>
      <c r="Z826" s="38"/>
      <c r="AA826" s="38"/>
      <c r="AB826" s="38"/>
    </row>
    <row r="827" spans="1:28">
      <c r="A827" s="42"/>
      <c r="B827" s="39"/>
      <c r="C827" s="40"/>
      <c r="D827" s="42"/>
      <c r="E827" s="38"/>
      <c r="F827" s="43"/>
      <c r="G827" s="63"/>
      <c r="H827" s="58"/>
      <c r="I827" s="38"/>
      <c r="J827" s="38"/>
      <c r="K827" s="46"/>
      <c r="L827" s="47"/>
      <c r="M827" s="93"/>
      <c r="N827" s="93"/>
      <c r="O827" s="38"/>
      <c r="P827" s="38"/>
      <c r="Q827" s="14"/>
      <c r="R827" s="39"/>
      <c r="S827" s="39"/>
      <c r="T827" s="39"/>
      <c r="U827" s="40"/>
      <c r="V827" s="54"/>
      <c r="W827" s="55"/>
      <c r="X827" s="56"/>
      <c r="Y827" s="38"/>
      <c r="Z827" s="38"/>
      <c r="AA827" s="38"/>
      <c r="AB827" s="38"/>
    </row>
    <row r="828" spans="1:28">
      <c r="A828" s="42"/>
      <c r="B828" s="39"/>
      <c r="C828" s="40"/>
      <c r="D828" s="42"/>
      <c r="E828" s="38"/>
      <c r="F828" s="43"/>
      <c r="G828" s="63"/>
      <c r="H828" s="58"/>
      <c r="I828" s="38"/>
      <c r="J828" s="38"/>
      <c r="K828" s="46"/>
      <c r="L828" s="47"/>
      <c r="M828" s="93"/>
      <c r="N828" s="93"/>
      <c r="O828" s="38"/>
      <c r="P828" s="38"/>
      <c r="Q828" s="14"/>
      <c r="R828" s="39"/>
      <c r="S828" s="39"/>
      <c r="T828" s="39"/>
      <c r="U828" s="40"/>
      <c r="V828" s="54"/>
      <c r="W828" s="55"/>
      <c r="X828" s="56"/>
      <c r="Y828" s="38"/>
      <c r="Z828" s="38"/>
      <c r="AA828" s="38"/>
      <c r="AB828" s="38"/>
    </row>
    <row r="829" spans="1:28">
      <c r="A829" s="42"/>
      <c r="B829" s="39"/>
      <c r="C829" s="40"/>
      <c r="D829" s="42"/>
      <c r="E829" s="38"/>
      <c r="F829" s="43"/>
      <c r="G829" s="63"/>
      <c r="H829" s="58"/>
      <c r="I829" s="38"/>
      <c r="J829" s="38"/>
      <c r="K829" s="46"/>
      <c r="L829" s="47"/>
      <c r="M829" s="93"/>
      <c r="N829" s="93"/>
      <c r="O829" s="38"/>
      <c r="P829" s="38"/>
      <c r="Q829" s="14"/>
      <c r="R829" s="39"/>
      <c r="S829" s="39"/>
      <c r="T829" s="39"/>
      <c r="U829" s="40"/>
      <c r="V829" s="54"/>
      <c r="W829" s="55"/>
      <c r="X829" s="56"/>
      <c r="Y829" s="38"/>
      <c r="Z829" s="38"/>
      <c r="AA829" s="38"/>
      <c r="AB829" s="38"/>
    </row>
    <row r="830" spans="1:28">
      <c r="A830" s="42"/>
      <c r="B830" s="39"/>
      <c r="C830" s="40"/>
      <c r="D830" s="42"/>
      <c r="E830" s="38"/>
      <c r="F830" s="43"/>
      <c r="G830" s="63"/>
      <c r="H830" s="58"/>
      <c r="I830" s="38"/>
      <c r="J830" s="38"/>
      <c r="K830" s="46"/>
      <c r="L830" s="47"/>
      <c r="M830" s="93"/>
      <c r="N830" s="93"/>
      <c r="O830" s="38"/>
      <c r="P830" s="38"/>
      <c r="Q830" s="14"/>
      <c r="R830" s="39"/>
      <c r="S830" s="39"/>
      <c r="T830" s="39"/>
      <c r="U830" s="40"/>
      <c r="V830" s="54"/>
      <c r="W830" s="55"/>
      <c r="X830" s="56"/>
      <c r="Y830" s="38"/>
      <c r="Z830" s="38"/>
      <c r="AA830" s="38"/>
      <c r="AB830" s="38"/>
    </row>
    <row r="831" spans="1:28">
      <c r="A831" s="42"/>
      <c r="B831" s="39"/>
      <c r="C831" s="40"/>
      <c r="D831" s="42"/>
      <c r="E831" s="38"/>
      <c r="F831" s="43"/>
      <c r="G831" s="63"/>
      <c r="H831" s="58"/>
      <c r="I831" s="38"/>
      <c r="J831" s="38"/>
      <c r="K831" s="46"/>
      <c r="L831" s="47"/>
      <c r="M831" s="93"/>
      <c r="N831" s="93"/>
      <c r="O831" s="38"/>
      <c r="P831" s="38"/>
      <c r="Q831" s="14"/>
      <c r="R831" s="39"/>
      <c r="S831" s="39"/>
      <c r="T831" s="39"/>
      <c r="U831" s="40"/>
      <c r="V831" s="54"/>
      <c r="W831" s="55"/>
      <c r="X831" s="56"/>
      <c r="Y831" s="38"/>
      <c r="Z831" s="38"/>
      <c r="AA831" s="38"/>
      <c r="AB831" s="38"/>
    </row>
    <row r="832" spans="1:28">
      <c r="A832" s="42"/>
      <c r="B832" s="39"/>
      <c r="C832" s="40"/>
      <c r="D832" s="42"/>
      <c r="E832" s="38"/>
      <c r="F832" s="43"/>
      <c r="G832" s="63"/>
      <c r="H832" s="58"/>
      <c r="I832" s="38"/>
      <c r="J832" s="38"/>
      <c r="K832" s="46"/>
      <c r="L832" s="47"/>
      <c r="M832" s="93"/>
      <c r="N832" s="93"/>
      <c r="O832" s="38"/>
      <c r="P832" s="38"/>
      <c r="Q832" s="14"/>
      <c r="R832" s="39"/>
      <c r="S832" s="39"/>
      <c r="T832" s="39"/>
      <c r="U832" s="40"/>
      <c r="V832" s="54"/>
      <c r="W832" s="55"/>
      <c r="X832" s="56"/>
      <c r="Y832" s="38"/>
      <c r="Z832" s="38"/>
      <c r="AA832" s="38"/>
      <c r="AB832" s="38"/>
    </row>
    <row r="833" spans="1:28">
      <c r="A833" s="42"/>
      <c r="B833" s="39"/>
      <c r="C833" s="40"/>
      <c r="D833" s="42"/>
      <c r="E833" s="38"/>
      <c r="F833" s="43"/>
      <c r="G833" s="63"/>
      <c r="H833" s="58"/>
      <c r="I833" s="38"/>
      <c r="J833" s="38"/>
      <c r="K833" s="46"/>
      <c r="L833" s="47"/>
      <c r="M833" s="93"/>
      <c r="N833" s="93"/>
      <c r="O833" s="38"/>
      <c r="P833" s="38"/>
      <c r="Q833" s="14"/>
      <c r="R833" s="39"/>
      <c r="S833" s="39"/>
      <c r="T833" s="39"/>
      <c r="U833" s="40"/>
      <c r="V833" s="54"/>
      <c r="W833" s="55"/>
      <c r="X833" s="56"/>
      <c r="Y833" s="38"/>
      <c r="Z833" s="38"/>
      <c r="AA833" s="38"/>
      <c r="AB833" s="38"/>
    </row>
    <row r="834" spans="1:28">
      <c r="A834" s="42"/>
      <c r="B834" s="39"/>
      <c r="C834" s="40"/>
      <c r="D834" s="42"/>
      <c r="E834" s="38"/>
      <c r="F834" s="43"/>
      <c r="G834" s="63"/>
      <c r="H834" s="58"/>
      <c r="I834" s="38"/>
      <c r="J834" s="38"/>
      <c r="K834" s="46"/>
      <c r="L834" s="47"/>
      <c r="M834" s="93"/>
      <c r="N834" s="93"/>
      <c r="O834" s="38"/>
      <c r="P834" s="38"/>
      <c r="Q834" s="14"/>
      <c r="R834" s="39"/>
      <c r="S834" s="39"/>
      <c r="T834" s="39"/>
      <c r="U834" s="40"/>
      <c r="V834" s="54"/>
      <c r="W834" s="55"/>
      <c r="X834" s="56"/>
      <c r="Y834" s="38"/>
      <c r="Z834" s="38"/>
      <c r="AA834" s="38"/>
      <c r="AB834" s="38"/>
    </row>
    <row r="835" spans="1:28">
      <c r="A835" s="42"/>
      <c r="B835" s="39"/>
      <c r="C835" s="40"/>
      <c r="D835" s="42"/>
      <c r="E835" s="38"/>
      <c r="F835" s="43"/>
      <c r="G835" s="63"/>
      <c r="H835" s="58"/>
      <c r="I835" s="38"/>
      <c r="J835" s="38"/>
      <c r="K835" s="46"/>
      <c r="L835" s="47"/>
      <c r="M835" s="93"/>
      <c r="N835" s="93"/>
      <c r="O835" s="38"/>
      <c r="P835" s="38"/>
      <c r="Q835" s="14"/>
      <c r="R835" s="39"/>
      <c r="S835" s="39"/>
      <c r="T835" s="39"/>
      <c r="U835" s="40"/>
      <c r="V835" s="54"/>
      <c r="W835" s="55"/>
      <c r="X835" s="56"/>
      <c r="Y835" s="38"/>
      <c r="Z835" s="38"/>
      <c r="AA835" s="38"/>
      <c r="AB835" s="38"/>
    </row>
    <row r="836" spans="1:28">
      <c r="A836" s="42"/>
      <c r="B836" s="39"/>
      <c r="C836" s="40"/>
      <c r="D836" s="42"/>
      <c r="E836" s="38"/>
      <c r="F836" s="43"/>
      <c r="G836" s="63"/>
      <c r="H836" s="58"/>
      <c r="I836" s="38"/>
      <c r="J836" s="38"/>
      <c r="K836" s="46"/>
      <c r="L836" s="47"/>
      <c r="M836" s="93"/>
      <c r="N836" s="93"/>
      <c r="O836" s="38"/>
      <c r="P836" s="38"/>
      <c r="Q836" s="14"/>
      <c r="R836" s="39"/>
      <c r="S836" s="39"/>
      <c r="T836" s="39"/>
      <c r="U836" s="40"/>
      <c r="V836" s="54"/>
      <c r="W836" s="55"/>
      <c r="X836" s="56"/>
      <c r="Y836" s="38"/>
      <c r="Z836" s="38"/>
      <c r="AA836" s="38"/>
      <c r="AB836" s="38"/>
    </row>
    <row r="837" spans="1:28">
      <c r="A837" s="42"/>
      <c r="B837" s="39"/>
      <c r="C837" s="40"/>
      <c r="D837" s="42"/>
      <c r="E837" s="38"/>
      <c r="F837" s="43"/>
      <c r="G837" s="63"/>
      <c r="H837" s="58"/>
      <c r="I837" s="38"/>
      <c r="J837" s="38"/>
      <c r="K837" s="46"/>
      <c r="L837" s="47"/>
      <c r="M837" s="93"/>
      <c r="N837" s="93"/>
      <c r="O837" s="38"/>
      <c r="P837" s="38"/>
      <c r="Q837" s="14"/>
      <c r="R837" s="39"/>
      <c r="S837" s="39"/>
      <c r="T837" s="39"/>
      <c r="U837" s="40"/>
      <c r="V837" s="54"/>
      <c r="W837" s="55"/>
      <c r="X837" s="56"/>
      <c r="Y837" s="38"/>
      <c r="Z837" s="38"/>
      <c r="AA837" s="38"/>
      <c r="AB837" s="38"/>
    </row>
    <row r="838" spans="1:28">
      <c r="A838" s="42"/>
      <c r="B838" s="39"/>
      <c r="C838" s="40"/>
      <c r="D838" s="42"/>
      <c r="E838" s="38"/>
      <c r="F838" s="43"/>
      <c r="G838" s="63"/>
      <c r="H838" s="58"/>
      <c r="I838" s="38"/>
      <c r="J838" s="38"/>
      <c r="K838" s="46"/>
      <c r="L838" s="47"/>
      <c r="M838" s="93"/>
      <c r="N838" s="93"/>
      <c r="O838" s="38"/>
      <c r="P838" s="38"/>
      <c r="Q838" s="14"/>
      <c r="R838" s="39"/>
      <c r="S838" s="39"/>
      <c r="T838" s="39"/>
      <c r="U838" s="40"/>
      <c r="V838" s="54"/>
      <c r="W838" s="55"/>
      <c r="X838" s="56"/>
      <c r="Y838" s="38"/>
      <c r="Z838" s="38"/>
      <c r="AA838" s="38"/>
      <c r="AB838" s="38"/>
    </row>
    <row r="839" spans="1:28">
      <c r="A839" s="42"/>
      <c r="B839" s="39"/>
      <c r="C839" s="40"/>
      <c r="D839" s="42"/>
      <c r="E839" s="38"/>
      <c r="F839" s="43"/>
      <c r="G839" s="63"/>
      <c r="H839" s="58"/>
      <c r="I839" s="38"/>
      <c r="J839" s="38"/>
      <c r="K839" s="46"/>
      <c r="L839" s="47"/>
      <c r="M839" s="93"/>
      <c r="N839" s="93"/>
      <c r="O839" s="38"/>
      <c r="P839" s="38"/>
      <c r="Q839" s="14"/>
      <c r="R839" s="39"/>
      <c r="S839" s="39"/>
      <c r="T839" s="39"/>
      <c r="U839" s="40"/>
      <c r="V839" s="54"/>
      <c r="W839" s="55"/>
      <c r="X839" s="56"/>
      <c r="Y839" s="38"/>
      <c r="Z839" s="38"/>
      <c r="AA839" s="38"/>
      <c r="AB839" s="38"/>
    </row>
    <row r="840" spans="1:28">
      <c r="A840" s="42"/>
      <c r="B840" s="39"/>
      <c r="C840" s="40"/>
      <c r="D840" s="42"/>
      <c r="E840" s="38"/>
      <c r="F840" s="43"/>
      <c r="G840" s="63"/>
      <c r="H840" s="58"/>
      <c r="I840" s="38"/>
      <c r="J840" s="38"/>
      <c r="K840" s="46"/>
      <c r="L840" s="47"/>
      <c r="M840" s="93"/>
      <c r="N840" s="93"/>
      <c r="O840" s="38"/>
      <c r="P840" s="38"/>
      <c r="Q840" s="14"/>
      <c r="R840" s="39"/>
      <c r="S840" s="39"/>
      <c r="T840" s="39"/>
      <c r="U840" s="40"/>
      <c r="V840" s="54"/>
      <c r="W840" s="55"/>
      <c r="X840" s="56"/>
      <c r="Y840" s="38"/>
      <c r="Z840" s="38"/>
      <c r="AA840" s="38"/>
      <c r="AB840" s="38"/>
    </row>
    <row r="841" spans="1:28">
      <c r="A841" s="42"/>
      <c r="B841" s="39"/>
      <c r="C841" s="40"/>
      <c r="D841" s="42"/>
      <c r="E841" s="38"/>
      <c r="F841" s="43"/>
      <c r="G841" s="63"/>
      <c r="H841" s="58"/>
      <c r="I841" s="38"/>
      <c r="J841" s="38"/>
      <c r="K841" s="46"/>
      <c r="L841" s="47"/>
      <c r="M841" s="93"/>
      <c r="N841" s="93"/>
      <c r="O841" s="38"/>
      <c r="P841" s="38"/>
      <c r="Q841" s="14"/>
      <c r="R841" s="39"/>
      <c r="S841" s="39"/>
      <c r="T841" s="39"/>
      <c r="U841" s="40"/>
      <c r="V841" s="54"/>
      <c r="W841" s="55"/>
      <c r="X841" s="56"/>
      <c r="Y841" s="38"/>
      <c r="Z841" s="38"/>
      <c r="AA841" s="38"/>
      <c r="AB841" s="38"/>
    </row>
    <row r="842" spans="1:28">
      <c r="A842" s="42"/>
      <c r="B842" s="39"/>
      <c r="C842" s="40"/>
      <c r="D842" s="42"/>
      <c r="E842" s="38"/>
      <c r="F842" s="43"/>
      <c r="G842" s="63"/>
      <c r="H842" s="58"/>
      <c r="I842" s="38"/>
      <c r="J842" s="38"/>
      <c r="K842" s="46"/>
      <c r="L842" s="47"/>
      <c r="M842" s="93"/>
      <c r="N842" s="93"/>
      <c r="O842" s="38"/>
      <c r="P842" s="38"/>
      <c r="Q842" s="14"/>
      <c r="R842" s="39"/>
      <c r="S842" s="39"/>
      <c r="T842" s="39"/>
      <c r="U842" s="40"/>
      <c r="V842" s="54"/>
      <c r="W842" s="55"/>
      <c r="X842" s="56"/>
      <c r="Y842" s="38"/>
      <c r="Z842" s="38"/>
      <c r="AA842" s="38"/>
      <c r="AB842" s="38"/>
    </row>
    <row r="843" spans="1:28">
      <c r="A843" s="42"/>
      <c r="B843" s="39"/>
      <c r="C843" s="40"/>
      <c r="D843" s="42"/>
      <c r="E843" s="38"/>
      <c r="F843" s="43"/>
      <c r="G843" s="63"/>
      <c r="H843" s="58"/>
      <c r="I843" s="38"/>
      <c r="J843" s="38"/>
      <c r="K843" s="46"/>
      <c r="L843" s="47"/>
      <c r="M843" s="93"/>
      <c r="N843" s="93"/>
      <c r="O843" s="38"/>
      <c r="P843" s="38"/>
      <c r="Q843" s="14"/>
      <c r="R843" s="39"/>
      <c r="S843" s="39"/>
      <c r="T843" s="39"/>
      <c r="U843" s="40"/>
      <c r="V843" s="54"/>
      <c r="W843" s="55"/>
      <c r="X843" s="56"/>
      <c r="Y843" s="38"/>
      <c r="Z843" s="38"/>
      <c r="AA843" s="38"/>
      <c r="AB843" s="38"/>
    </row>
    <row r="844" spans="1:28">
      <c r="A844" s="42"/>
      <c r="B844" s="39"/>
      <c r="C844" s="40"/>
      <c r="D844" s="42"/>
      <c r="E844" s="38"/>
      <c r="F844" s="43"/>
      <c r="G844" s="63"/>
      <c r="H844" s="58"/>
      <c r="I844" s="38"/>
      <c r="J844" s="38"/>
      <c r="K844" s="46"/>
      <c r="L844" s="47"/>
      <c r="M844" s="93"/>
      <c r="N844" s="93"/>
      <c r="O844" s="38"/>
      <c r="P844" s="38"/>
      <c r="Q844" s="14"/>
      <c r="R844" s="39"/>
      <c r="S844" s="39"/>
      <c r="T844" s="39"/>
      <c r="U844" s="40"/>
      <c r="V844" s="54"/>
      <c r="W844" s="55"/>
      <c r="X844" s="56"/>
      <c r="Y844" s="38"/>
      <c r="Z844" s="38"/>
      <c r="AA844" s="38"/>
      <c r="AB844" s="38"/>
    </row>
    <row r="845" spans="1:28">
      <c r="A845" s="42"/>
      <c r="B845" s="39"/>
      <c r="C845" s="40"/>
      <c r="D845" s="42"/>
      <c r="E845" s="38"/>
      <c r="F845" s="43"/>
      <c r="G845" s="63"/>
      <c r="H845" s="58"/>
      <c r="I845" s="38"/>
      <c r="J845" s="38"/>
      <c r="K845" s="46"/>
      <c r="L845" s="47"/>
      <c r="M845" s="93"/>
      <c r="N845" s="93"/>
      <c r="O845" s="38"/>
      <c r="P845" s="38"/>
      <c r="Q845" s="14"/>
      <c r="R845" s="39"/>
      <c r="S845" s="39"/>
      <c r="T845" s="39"/>
      <c r="U845" s="40"/>
      <c r="V845" s="54"/>
      <c r="W845" s="55"/>
      <c r="X845" s="56"/>
      <c r="Y845" s="38"/>
      <c r="Z845" s="38"/>
      <c r="AA845" s="38"/>
      <c r="AB845" s="38"/>
    </row>
    <row r="846" spans="1:28">
      <c r="A846" s="42"/>
      <c r="B846" s="39"/>
      <c r="C846" s="40"/>
      <c r="D846" s="42"/>
      <c r="E846" s="38"/>
      <c r="F846" s="43"/>
      <c r="G846" s="63"/>
      <c r="H846" s="58"/>
      <c r="I846" s="38"/>
      <c r="J846" s="38"/>
      <c r="K846" s="46"/>
      <c r="L846" s="47"/>
      <c r="M846" s="93"/>
      <c r="N846" s="93"/>
      <c r="O846" s="38"/>
      <c r="P846" s="38"/>
      <c r="Q846" s="14"/>
      <c r="R846" s="39"/>
      <c r="S846" s="39"/>
      <c r="T846" s="39"/>
      <c r="U846" s="40"/>
      <c r="V846" s="54"/>
      <c r="W846" s="55"/>
      <c r="X846" s="56"/>
      <c r="Y846" s="38"/>
      <c r="Z846" s="38"/>
      <c r="AA846" s="38"/>
      <c r="AB846" s="38"/>
    </row>
    <row r="847" spans="1:28">
      <c r="A847" s="42"/>
      <c r="B847" s="39"/>
      <c r="C847" s="40"/>
      <c r="D847" s="42"/>
      <c r="E847" s="38"/>
      <c r="F847" s="43"/>
      <c r="G847" s="63"/>
      <c r="H847" s="58"/>
      <c r="I847" s="38"/>
      <c r="J847" s="38"/>
      <c r="K847" s="46"/>
      <c r="L847" s="47"/>
      <c r="M847" s="93"/>
      <c r="N847" s="93"/>
      <c r="O847" s="38"/>
      <c r="P847" s="38"/>
      <c r="Q847" s="14"/>
      <c r="R847" s="39"/>
      <c r="S847" s="39"/>
      <c r="T847" s="39"/>
      <c r="U847" s="40"/>
      <c r="V847" s="54"/>
      <c r="W847" s="55"/>
      <c r="X847" s="56"/>
      <c r="Y847" s="38"/>
      <c r="Z847" s="38"/>
      <c r="AA847" s="38"/>
      <c r="AB847" s="38"/>
    </row>
    <row r="848" spans="1:28">
      <c r="A848" s="42"/>
      <c r="B848" s="39"/>
      <c r="C848" s="40"/>
      <c r="D848" s="42"/>
      <c r="E848" s="38"/>
      <c r="F848" s="43"/>
      <c r="G848" s="63"/>
      <c r="H848" s="58"/>
      <c r="I848" s="38"/>
      <c r="J848" s="38"/>
      <c r="K848" s="46"/>
      <c r="L848" s="47"/>
      <c r="M848" s="93"/>
      <c r="N848" s="93"/>
      <c r="O848" s="38"/>
      <c r="P848" s="38"/>
      <c r="Q848" s="14"/>
      <c r="R848" s="39"/>
      <c r="S848" s="39"/>
      <c r="T848" s="39"/>
      <c r="U848" s="40"/>
      <c r="V848" s="54"/>
      <c r="W848" s="55"/>
      <c r="X848" s="56"/>
      <c r="Y848" s="38"/>
      <c r="Z848" s="38"/>
      <c r="AA848" s="38"/>
      <c r="AB848" s="38"/>
    </row>
    <row r="849" spans="1:28">
      <c r="A849" s="42"/>
      <c r="B849" s="39"/>
      <c r="C849" s="40"/>
      <c r="D849" s="42"/>
      <c r="E849" s="38"/>
      <c r="F849" s="43"/>
      <c r="G849" s="63"/>
      <c r="H849" s="58"/>
      <c r="I849" s="38"/>
      <c r="J849" s="38"/>
      <c r="K849" s="46"/>
      <c r="L849" s="47"/>
      <c r="M849" s="93"/>
      <c r="N849" s="93"/>
      <c r="O849" s="38"/>
      <c r="P849" s="38"/>
      <c r="Q849" s="14"/>
      <c r="R849" s="39"/>
      <c r="S849" s="39"/>
      <c r="T849" s="39"/>
      <c r="U849" s="40"/>
      <c r="V849" s="54"/>
      <c r="W849" s="55"/>
      <c r="X849" s="56"/>
      <c r="Y849" s="38"/>
      <c r="Z849" s="38"/>
      <c r="AA849" s="38"/>
      <c r="AB849" s="38"/>
    </row>
    <row r="850" spans="1:28">
      <c r="A850" s="42"/>
      <c r="B850" s="39"/>
      <c r="C850" s="40"/>
      <c r="D850" s="42"/>
      <c r="E850" s="38"/>
      <c r="F850" s="43"/>
      <c r="G850" s="63"/>
      <c r="H850" s="58"/>
      <c r="I850" s="38"/>
      <c r="J850" s="38"/>
      <c r="K850" s="46"/>
      <c r="L850" s="47"/>
      <c r="M850" s="93"/>
      <c r="N850" s="93"/>
      <c r="O850" s="38"/>
      <c r="P850" s="38"/>
      <c r="Q850" s="14"/>
      <c r="R850" s="39"/>
      <c r="S850" s="39"/>
      <c r="T850" s="39"/>
      <c r="U850" s="40"/>
      <c r="V850" s="54"/>
      <c r="W850" s="55"/>
      <c r="X850" s="56"/>
      <c r="Y850" s="38"/>
      <c r="Z850" s="38"/>
      <c r="AA850" s="38"/>
      <c r="AB850" s="38"/>
    </row>
    <row r="851" spans="1:28">
      <c r="A851" s="42"/>
      <c r="B851" s="39"/>
      <c r="C851" s="40"/>
      <c r="D851" s="42"/>
      <c r="E851" s="38"/>
      <c r="F851" s="43"/>
      <c r="G851" s="63"/>
      <c r="H851" s="58"/>
      <c r="I851" s="38"/>
      <c r="J851" s="38"/>
      <c r="K851" s="46"/>
      <c r="L851" s="47"/>
      <c r="M851" s="93"/>
      <c r="N851" s="93"/>
      <c r="O851" s="38"/>
      <c r="P851" s="38"/>
      <c r="Q851" s="14"/>
      <c r="R851" s="39"/>
      <c r="S851" s="39"/>
      <c r="T851" s="39"/>
      <c r="U851" s="40"/>
      <c r="V851" s="54"/>
      <c r="W851" s="55"/>
      <c r="X851" s="56"/>
      <c r="Y851" s="38"/>
      <c r="Z851" s="38"/>
      <c r="AA851" s="38"/>
      <c r="AB851" s="38"/>
    </row>
    <row r="852" spans="1:28">
      <c r="A852" s="42"/>
      <c r="B852" s="39"/>
      <c r="C852" s="40"/>
      <c r="D852" s="42"/>
      <c r="E852" s="38"/>
      <c r="F852" s="43"/>
      <c r="G852" s="63"/>
      <c r="H852" s="58"/>
      <c r="I852" s="38"/>
      <c r="J852" s="38"/>
      <c r="K852" s="46"/>
      <c r="L852" s="47"/>
      <c r="M852" s="93"/>
      <c r="N852" s="93"/>
      <c r="O852" s="38"/>
      <c r="P852" s="38"/>
      <c r="Q852" s="14"/>
      <c r="R852" s="39"/>
      <c r="S852" s="39"/>
      <c r="T852" s="39"/>
      <c r="U852" s="40"/>
      <c r="V852" s="54"/>
      <c r="W852" s="55"/>
      <c r="X852" s="56"/>
      <c r="Y852" s="38"/>
      <c r="Z852" s="38"/>
      <c r="AA852" s="38"/>
      <c r="AB852" s="38"/>
    </row>
    <row r="853" spans="1:28">
      <c r="A853" s="42"/>
      <c r="B853" s="39"/>
      <c r="C853" s="40"/>
      <c r="D853" s="42"/>
      <c r="E853" s="38"/>
      <c r="F853" s="43"/>
      <c r="G853" s="63"/>
      <c r="H853" s="58"/>
      <c r="I853" s="38"/>
      <c r="J853" s="38"/>
      <c r="K853" s="46"/>
      <c r="L853" s="47"/>
      <c r="M853" s="93"/>
      <c r="N853" s="93"/>
      <c r="O853" s="38"/>
      <c r="P853" s="38"/>
      <c r="Q853" s="14"/>
      <c r="R853" s="39"/>
      <c r="S853" s="39"/>
      <c r="T853" s="39"/>
      <c r="U853" s="40"/>
      <c r="V853" s="54"/>
      <c r="W853" s="55"/>
      <c r="X853" s="56"/>
      <c r="Y853" s="38"/>
      <c r="Z853" s="38"/>
      <c r="AA853" s="38"/>
      <c r="AB853" s="38"/>
    </row>
    <row r="854" spans="1:28">
      <c r="A854" s="42"/>
      <c r="B854" s="39"/>
      <c r="C854" s="40"/>
      <c r="D854" s="42"/>
      <c r="E854" s="38"/>
      <c r="F854" s="43"/>
      <c r="G854" s="63"/>
      <c r="H854" s="58"/>
      <c r="I854" s="38"/>
      <c r="J854" s="38"/>
      <c r="K854" s="46"/>
      <c r="L854" s="47"/>
      <c r="M854" s="93"/>
      <c r="N854" s="93"/>
      <c r="O854" s="38"/>
      <c r="P854" s="38"/>
      <c r="Q854" s="14"/>
      <c r="R854" s="39"/>
      <c r="S854" s="39"/>
      <c r="T854" s="39"/>
      <c r="U854" s="40"/>
      <c r="V854" s="54"/>
      <c r="W854" s="55"/>
      <c r="X854" s="56"/>
      <c r="Y854" s="38"/>
      <c r="Z854" s="38"/>
      <c r="AA854" s="38"/>
      <c r="AB854" s="38"/>
    </row>
    <row r="855" spans="1:28">
      <c r="A855" s="42"/>
      <c r="B855" s="39"/>
      <c r="C855" s="40"/>
      <c r="D855" s="42"/>
      <c r="E855" s="38"/>
      <c r="F855" s="43"/>
      <c r="G855" s="63"/>
      <c r="H855" s="58"/>
      <c r="I855" s="38"/>
      <c r="J855" s="38"/>
      <c r="K855" s="46"/>
      <c r="L855" s="47"/>
      <c r="M855" s="93"/>
      <c r="N855" s="93"/>
      <c r="O855" s="38"/>
      <c r="P855" s="38"/>
      <c r="Q855" s="14"/>
      <c r="R855" s="39"/>
      <c r="S855" s="39"/>
      <c r="T855" s="39"/>
      <c r="U855" s="40"/>
      <c r="V855" s="54"/>
      <c r="W855" s="55"/>
      <c r="X855" s="56"/>
      <c r="Y855" s="38"/>
      <c r="Z855" s="38"/>
      <c r="AA855" s="38"/>
      <c r="AB855" s="38"/>
    </row>
    <row r="856" spans="1:28">
      <c r="A856" s="42"/>
      <c r="B856" s="39"/>
      <c r="C856" s="40"/>
      <c r="D856" s="42"/>
      <c r="E856" s="38"/>
      <c r="F856" s="43"/>
      <c r="G856" s="63"/>
      <c r="H856" s="58"/>
      <c r="I856" s="38"/>
      <c r="J856" s="38"/>
      <c r="K856" s="46"/>
      <c r="L856" s="47"/>
      <c r="M856" s="93"/>
      <c r="N856" s="93"/>
      <c r="O856" s="38"/>
      <c r="P856" s="38"/>
      <c r="Q856" s="14"/>
      <c r="R856" s="39"/>
      <c r="S856" s="39"/>
      <c r="T856" s="39"/>
      <c r="U856" s="40"/>
      <c r="V856" s="54"/>
      <c r="W856" s="55"/>
      <c r="X856" s="56"/>
      <c r="Y856" s="38"/>
      <c r="Z856" s="38"/>
      <c r="AA856" s="38"/>
      <c r="AB856" s="38"/>
    </row>
    <row r="857" spans="1:28">
      <c r="A857" s="42"/>
      <c r="B857" s="39"/>
      <c r="C857" s="40"/>
      <c r="D857" s="42"/>
      <c r="E857" s="38"/>
      <c r="F857" s="43"/>
      <c r="G857" s="63"/>
      <c r="H857" s="58"/>
      <c r="I857" s="38"/>
      <c r="J857" s="38"/>
      <c r="K857" s="46"/>
      <c r="L857" s="47"/>
      <c r="M857" s="93"/>
      <c r="N857" s="93"/>
      <c r="O857" s="38"/>
      <c r="P857" s="38"/>
      <c r="Q857" s="14"/>
      <c r="R857" s="39"/>
      <c r="S857" s="39"/>
      <c r="T857" s="39"/>
      <c r="U857" s="40"/>
      <c r="V857" s="54"/>
      <c r="W857" s="55"/>
      <c r="X857" s="56"/>
      <c r="Y857" s="38"/>
      <c r="Z857" s="38"/>
      <c r="AA857" s="38"/>
      <c r="AB857" s="38"/>
    </row>
    <row r="858" spans="1:28">
      <c r="A858" s="42"/>
      <c r="B858" s="39"/>
      <c r="C858" s="40"/>
      <c r="D858" s="42"/>
      <c r="E858" s="38"/>
      <c r="F858" s="43"/>
      <c r="G858" s="63"/>
      <c r="H858" s="58"/>
      <c r="I858" s="38"/>
      <c r="J858" s="38"/>
      <c r="K858" s="46"/>
      <c r="L858" s="47"/>
      <c r="M858" s="93"/>
      <c r="N858" s="93"/>
      <c r="O858" s="38"/>
      <c r="P858" s="38"/>
      <c r="Q858" s="14"/>
      <c r="R858" s="39"/>
      <c r="S858" s="39"/>
      <c r="T858" s="39"/>
      <c r="U858" s="40"/>
      <c r="V858" s="54"/>
      <c r="W858" s="55"/>
      <c r="X858" s="56"/>
      <c r="Y858" s="38"/>
      <c r="Z858" s="38"/>
      <c r="AA858" s="38"/>
      <c r="AB858" s="38"/>
    </row>
    <row r="859" spans="1:28">
      <c r="A859" s="42"/>
      <c r="B859" s="39"/>
      <c r="C859" s="40"/>
      <c r="D859" s="42"/>
      <c r="E859" s="38"/>
      <c r="F859" s="43"/>
      <c r="G859" s="63"/>
      <c r="H859" s="58"/>
      <c r="I859" s="38"/>
      <c r="J859" s="38"/>
      <c r="K859" s="46"/>
      <c r="L859" s="47"/>
      <c r="M859" s="93"/>
      <c r="N859" s="93"/>
      <c r="O859" s="38"/>
      <c r="P859" s="38"/>
      <c r="Q859" s="14"/>
      <c r="R859" s="39"/>
      <c r="S859" s="39"/>
      <c r="T859" s="39"/>
      <c r="U859" s="40"/>
      <c r="V859" s="54"/>
      <c r="W859" s="55"/>
      <c r="X859" s="56"/>
      <c r="Y859" s="38"/>
      <c r="Z859" s="38"/>
      <c r="AA859" s="38"/>
      <c r="AB859" s="38"/>
    </row>
    <row r="860" spans="1:28">
      <c r="A860" s="42"/>
      <c r="B860" s="39"/>
      <c r="C860" s="40"/>
      <c r="D860" s="42"/>
      <c r="E860" s="38"/>
      <c r="F860" s="43"/>
      <c r="G860" s="63"/>
      <c r="H860" s="58"/>
      <c r="I860" s="38"/>
      <c r="J860" s="38"/>
      <c r="K860" s="46"/>
      <c r="L860" s="47"/>
      <c r="M860" s="93"/>
      <c r="N860" s="93"/>
      <c r="O860" s="38"/>
      <c r="P860" s="38"/>
      <c r="Q860" s="14"/>
      <c r="R860" s="39"/>
      <c r="S860" s="39"/>
      <c r="T860" s="39"/>
      <c r="U860" s="40"/>
      <c r="V860" s="54"/>
      <c r="W860" s="55"/>
      <c r="X860" s="56"/>
      <c r="Y860" s="38"/>
      <c r="Z860" s="38"/>
      <c r="AA860" s="38"/>
      <c r="AB860" s="38"/>
    </row>
    <row r="861" spans="1:28">
      <c r="A861" s="42"/>
      <c r="B861" s="39"/>
      <c r="C861" s="40"/>
      <c r="D861" s="42"/>
      <c r="E861" s="38"/>
      <c r="F861" s="43"/>
      <c r="G861" s="63"/>
      <c r="H861" s="58"/>
      <c r="I861" s="38"/>
      <c r="J861" s="38"/>
      <c r="K861" s="46"/>
      <c r="L861" s="47"/>
      <c r="M861" s="93"/>
      <c r="N861" s="93"/>
      <c r="O861" s="38"/>
      <c r="P861" s="38"/>
      <c r="Q861" s="14"/>
      <c r="R861" s="39"/>
      <c r="S861" s="39"/>
      <c r="T861" s="39"/>
      <c r="U861" s="40"/>
      <c r="V861" s="54"/>
      <c r="W861" s="55"/>
      <c r="X861" s="56"/>
      <c r="Y861" s="38"/>
      <c r="Z861" s="38"/>
      <c r="AA861" s="38"/>
      <c r="AB861" s="38"/>
    </row>
    <row r="862" spans="1:28">
      <c r="A862" s="42"/>
      <c r="B862" s="39"/>
      <c r="C862" s="40"/>
      <c r="D862" s="42"/>
      <c r="E862" s="38"/>
      <c r="F862" s="43"/>
      <c r="G862" s="63"/>
      <c r="H862" s="58"/>
      <c r="I862" s="38"/>
      <c r="J862" s="38"/>
      <c r="K862" s="46"/>
      <c r="L862" s="47"/>
      <c r="M862" s="93"/>
      <c r="N862" s="93"/>
      <c r="O862" s="38"/>
      <c r="P862" s="38"/>
      <c r="Q862" s="14"/>
      <c r="R862" s="39"/>
      <c r="S862" s="39"/>
      <c r="T862" s="39"/>
      <c r="U862" s="40"/>
      <c r="V862" s="54"/>
      <c r="W862" s="55"/>
      <c r="X862" s="56"/>
      <c r="Y862" s="38"/>
      <c r="Z862" s="38"/>
      <c r="AA862" s="38"/>
      <c r="AB862" s="38"/>
    </row>
    <row r="863" spans="1:28">
      <c r="A863" s="42"/>
      <c r="B863" s="39"/>
      <c r="C863" s="40"/>
      <c r="D863" s="42"/>
      <c r="E863" s="38"/>
      <c r="F863" s="43"/>
      <c r="G863" s="63"/>
      <c r="H863" s="58"/>
      <c r="I863" s="38"/>
      <c r="J863" s="38"/>
      <c r="K863" s="46"/>
      <c r="L863" s="47"/>
      <c r="M863" s="93"/>
      <c r="N863" s="93"/>
      <c r="O863" s="38"/>
      <c r="P863" s="38"/>
      <c r="Q863" s="14"/>
      <c r="R863" s="39"/>
      <c r="S863" s="39"/>
      <c r="T863" s="39"/>
      <c r="U863" s="40"/>
      <c r="V863" s="54"/>
      <c r="W863" s="55"/>
      <c r="X863" s="56"/>
      <c r="Y863" s="38"/>
      <c r="Z863" s="38"/>
      <c r="AA863" s="38"/>
      <c r="AB863" s="38"/>
    </row>
    <row r="864" spans="1:28">
      <c r="A864" s="42"/>
      <c r="B864" s="39"/>
      <c r="C864" s="40"/>
      <c r="D864" s="42"/>
      <c r="E864" s="38"/>
      <c r="F864" s="43"/>
      <c r="G864" s="63"/>
      <c r="H864" s="58"/>
      <c r="I864" s="38"/>
      <c r="J864" s="38"/>
      <c r="K864" s="46"/>
      <c r="L864" s="47"/>
      <c r="M864" s="93"/>
      <c r="N864" s="93"/>
      <c r="O864" s="38"/>
      <c r="P864" s="38"/>
      <c r="Q864" s="14"/>
      <c r="R864" s="39"/>
      <c r="S864" s="39"/>
      <c r="T864" s="39"/>
      <c r="U864" s="40"/>
      <c r="V864" s="54"/>
      <c r="W864" s="55"/>
      <c r="X864" s="56"/>
      <c r="Y864" s="38"/>
      <c r="Z864" s="38"/>
      <c r="AA864" s="38"/>
      <c r="AB864" s="38"/>
    </row>
    <row r="865" spans="1:28">
      <c r="A865" s="42"/>
      <c r="B865" s="39"/>
      <c r="C865" s="40"/>
      <c r="D865" s="42"/>
      <c r="E865" s="38"/>
      <c r="F865" s="43"/>
      <c r="G865" s="63"/>
      <c r="H865" s="58"/>
      <c r="I865" s="38"/>
      <c r="J865" s="38"/>
      <c r="K865" s="46"/>
      <c r="L865" s="47"/>
      <c r="M865" s="93"/>
      <c r="N865" s="93"/>
      <c r="O865" s="38"/>
      <c r="P865" s="38"/>
      <c r="Q865" s="14"/>
      <c r="R865" s="39"/>
      <c r="S865" s="39"/>
      <c r="T865" s="39"/>
      <c r="U865" s="40"/>
      <c r="V865" s="54"/>
      <c r="W865" s="55"/>
      <c r="X865" s="56"/>
      <c r="Y865" s="38"/>
      <c r="Z865" s="38"/>
      <c r="AA865" s="38"/>
      <c r="AB865" s="38"/>
    </row>
    <row r="866" spans="1:28">
      <c r="A866" s="42"/>
      <c r="B866" s="39"/>
      <c r="C866" s="40"/>
      <c r="D866" s="42"/>
      <c r="E866" s="38"/>
      <c r="F866" s="43"/>
      <c r="G866" s="63"/>
      <c r="H866" s="58"/>
      <c r="I866" s="38"/>
      <c r="J866" s="38"/>
      <c r="K866" s="46"/>
      <c r="L866" s="47"/>
      <c r="M866" s="93"/>
      <c r="N866" s="93"/>
      <c r="O866" s="38"/>
      <c r="P866" s="38"/>
      <c r="Q866" s="14"/>
      <c r="R866" s="39"/>
      <c r="S866" s="39"/>
      <c r="T866" s="39"/>
      <c r="U866" s="40"/>
      <c r="V866" s="54"/>
      <c r="W866" s="55"/>
      <c r="X866" s="56"/>
      <c r="Y866" s="38"/>
      <c r="Z866" s="38"/>
      <c r="AA866" s="38"/>
      <c r="AB866" s="38"/>
    </row>
    <row r="867" spans="1:28">
      <c r="A867" s="42"/>
      <c r="B867" s="39"/>
      <c r="C867" s="40"/>
      <c r="D867" s="42"/>
      <c r="E867" s="38"/>
      <c r="F867" s="43"/>
      <c r="G867" s="63"/>
      <c r="H867" s="58"/>
      <c r="I867" s="38"/>
      <c r="J867" s="38"/>
      <c r="K867" s="46"/>
      <c r="L867" s="47"/>
      <c r="M867" s="93"/>
      <c r="N867" s="93"/>
      <c r="O867" s="38"/>
      <c r="P867" s="38"/>
      <c r="Q867" s="14"/>
      <c r="R867" s="39"/>
      <c r="S867" s="39"/>
      <c r="T867" s="39"/>
      <c r="U867" s="40"/>
      <c r="V867" s="54"/>
      <c r="W867" s="55"/>
      <c r="X867" s="56"/>
      <c r="Y867" s="38"/>
      <c r="Z867" s="38"/>
      <c r="AA867" s="38"/>
      <c r="AB867" s="38"/>
    </row>
    <row r="868" spans="1:28">
      <c r="A868" s="42"/>
      <c r="B868" s="39"/>
      <c r="C868" s="40"/>
      <c r="D868" s="42"/>
      <c r="E868" s="38"/>
      <c r="F868" s="43"/>
      <c r="G868" s="63"/>
      <c r="H868" s="58"/>
      <c r="I868" s="38"/>
      <c r="J868" s="38"/>
      <c r="K868" s="46"/>
      <c r="L868" s="47"/>
      <c r="M868" s="93"/>
      <c r="N868" s="93"/>
      <c r="O868" s="38"/>
      <c r="P868" s="38"/>
      <c r="Q868" s="14"/>
      <c r="R868" s="39"/>
      <c r="S868" s="39"/>
      <c r="T868" s="39"/>
      <c r="U868" s="40"/>
      <c r="V868" s="54"/>
      <c r="W868" s="55"/>
      <c r="X868" s="56"/>
      <c r="Y868" s="38"/>
      <c r="Z868" s="38"/>
      <c r="AA868" s="38"/>
      <c r="AB868" s="38"/>
    </row>
    <row r="869" spans="1:28">
      <c r="A869" s="42"/>
      <c r="B869" s="39"/>
      <c r="C869" s="40"/>
      <c r="D869" s="42"/>
      <c r="E869" s="38"/>
      <c r="F869" s="43"/>
      <c r="G869" s="63"/>
      <c r="H869" s="58"/>
      <c r="I869" s="38"/>
      <c r="J869" s="38"/>
      <c r="K869" s="46"/>
      <c r="L869" s="47"/>
      <c r="M869" s="93"/>
      <c r="N869" s="93"/>
      <c r="O869" s="38"/>
      <c r="P869" s="38"/>
      <c r="Q869" s="14"/>
      <c r="R869" s="39"/>
      <c r="S869" s="39"/>
      <c r="T869" s="39"/>
      <c r="U869" s="40"/>
      <c r="V869" s="54"/>
      <c r="W869" s="55"/>
      <c r="X869" s="56"/>
      <c r="Y869" s="38"/>
      <c r="Z869" s="38"/>
      <c r="AA869" s="38"/>
      <c r="AB869" s="38"/>
    </row>
    <row r="870" spans="1:28">
      <c r="A870" s="42"/>
      <c r="B870" s="39"/>
      <c r="C870" s="40"/>
      <c r="D870" s="42"/>
      <c r="E870" s="38"/>
      <c r="F870" s="43"/>
      <c r="G870" s="63"/>
      <c r="H870" s="58"/>
      <c r="I870" s="38"/>
      <c r="J870" s="38"/>
      <c r="K870" s="46"/>
      <c r="L870" s="47"/>
      <c r="M870" s="93"/>
      <c r="N870" s="93"/>
      <c r="O870" s="38"/>
      <c r="P870" s="38"/>
      <c r="Q870" s="14"/>
      <c r="R870" s="39"/>
      <c r="S870" s="39"/>
      <c r="T870" s="39"/>
      <c r="U870" s="40"/>
      <c r="V870" s="54"/>
      <c r="W870" s="55"/>
      <c r="X870" s="56"/>
      <c r="Y870" s="38"/>
      <c r="Z870" s="38"/>
      <c r="AA870" s="38"/>
      <c r="AB870" s="38"/>
    </row>
    <row r="871" spans="1:28">
      <c r="A871" s="42"/>
      <c r="B871" s="39"/>
      <c r="C871" s="40"/>
      <c r="D871" s="42"/>
      <c r="E871" s="38"/>
      <c r="F871" s="43"/>
      <c r="G871" s="63"/>
      <c r="H871" s="58"/>
      <c r="I871" s="38"/>
      <c r="J871" s="38"/>
      <c r="K871" s="46"/>
      <c r="L871" s="47"/>
      <c r="M871" s="93"/>
      <c r="N871" s="93"/>
      <c r="O871" s="38"/>
      <c r="P871" s="38"/>
      <c r="Q871" s="14"/>
      <c r="R871" s="39"/>
      <c r="S871" s="39"/>
      <c r="T871" s="39"/>
      <c r="U871" s="40"/>
      <c r="V871" s="54"/>
      <c r="W871" s="55"/>
      <c r="X871" s="56"/>
      <c r="Y871" s="38"/>
      <c r="Z871" s="38"/>
      <c r="AA871" s="38"/>
      <c r="AB871" s="38"/>
    </row>
    <row r="872" spans="1:28">
      <c r="A872" s="42"/>
      <c r="B872" s="39"/>
      <c r="C872" s="40"/>
      <c r="D872" s="42"/>
      <c r="E872" s="38"/>
      <c r="F872" s="43"/>
      <c r="G872" s="63"/>
      <c r="H872" s="58"/>
      <c r="I872" s="38"/>
      <c r="J872" s="38"/>
      <c r="K872" s="46"/>
      <c r="L872" s="47"/>
      <c r="M872" s="93"/>
      <c r="N872" s="93"/>
      <c r="O872" s="38"/>
      <c r="P872" s="38"/>
      <c r="Q872" s="14"/>
      <c r="R872" s="39"/>
      <c r="S872" s="39"/>
      <c r="T872" s="39"/>
      <c r="U872" s="40"/>
      <c r="V872" s="54"/>
      <c r="W872" s="55"/>
      <c r="X872" s="56"/>
      <c r="Y872" s="38"/>
      <c r="Z872" s="38"/>
      <c r="AA872" s="38"/>
      <c r="AB872" s="38"/>
    </row>
    <row r="873" spans="1:28">
      <c r="A873" s="42"/>
      <c r="B873" s="39"/>
      <c r="C873" s="40"/>
      <c r="D873" s="42"/>
      <c r="E873" s="38"/>
      <c r="F873" s="43"/>
      <c r="G873" s="63"/>
      <c r="H873" s="58"/>
      <c r="I873" s="38"/>
      <c r="J873" s="38"/>
      <c r="K873" s="46"/>
      <c r="L873" s="47"/>
      <c r="M873" s="93"/>
      <c r="N873" s="93"/>
      <c r="O873" s="38"/>
      <c r="P873" s="38"/>
      <c r="Q873" s="14"/>
      <c r="R873" s="39"/>
      <c r="S873" s="39"/>
      <c r="T873" s="39"/>
      <c r="U873" s="40"/>
      <c r="V873" s="54"/>
      <c r="W873" s="55"/>
      <c r="X873" s="56"/>
      <c r="Y873" s="38"/>
      <c r="Z873" s="38"/>
      <c r="AA873" s="38"/>
      <c r="AB873" s="38"/>
    </row>
    <row r="874" spans="1:28">
      <c r="A874" s="42"/>
      <c r="B874" s="39"/>
      <c r="C874" s="40"/>
      <c r="D874" s="42"/>
      <c r="E874" s="38"/>
      <c r="F874" s="43"/>
      <c r="G874" s="63"/>
      <c r="H874" s="58"/>
      <c r="I874" s="38"/>
      <c r="J874" s="38"/>
      <c r="K874" s="46"/>
      <c r="L874" s="47"/>
      <c r="M874" s="93"/>
      <c r="N874" s="93"/>
      <c r="O874" s="38"/>
      <c r="P874" s="38"/>
      <c r="Q874" s="14"/>
      <c r="R874" s="39"/>
      <c r="S874" s="39"/>
      <c r="T874" s="39"/>
      <c r="U874" s="40"/>
      <c r="V874" s="54"/>
      <c r="W874" s="55"/>
      <c r="X874" s="56"/>
      <c r="Y874" s="38"/>
      <c r="Z874" s="38"/>
      <c r="AA874" s="38"/>
      <c r="AB874" s="38"/>
    </row>
    <row r="875" spans="1:28">
      <c r="A875" s="42"/>
      <c r="B875" s="39"/>
      <c r="C875" s="40"/>
      <c r="D875" s="42"/>
      <c r="E875" s="38"/>
      <c r="F875" s="43"/>
      <c r="G875" s="63"/>
      <c r="H875" s="58"/>
      <c r="I875" s="38"/>
      <c r="J875" s="38"/>
      <c r="K875" s="46"/>
      <c r="L875" s="47"/>
      <c r="M875" s="93"/>
      <c r="N875" s="93"/>
      <c r="O875" s="38"/>
      <c r="P875" s="38"/>
      <c r="Q875" s="14"/>
      <c r="R875" s="39"/>
      <c r="S875" s="39"/>
      <c r="T875" s="39"/>
      <c r="U875" s="40"/>
      <c r="V875" s="54"/>
      <c r="W875" s="55"/>
      <c r="X875" s="56"/>
      <c r="Y875" s="38"/>
      <c r="Z875" s="38"/>
      <c r="AA875" s="38"/>
      <c r="AB875" s="38"/>
    </row>
    <row r="876" spans="1:28">
      <c r="A876" s="42"/>
      <c r="B876" s="39"/>
      <c r="C876" s="40"/>
      <c r="D876" s="42"/>
      <c r="E876" s="38"/>
      <c r="F876" s="43"/>
      <c r="G876" s="63"/>
      <c r="H876" s="58"/>
      <c r="I876" s="38"/>
      <c r="J876" s="38"/>
      <c r="K876" s="46"/>
      <c r="L876" s="47"/>
      <c r="M876" s="93"/>
      <c r="N876" s="93"/>
      <c r="O876" s="38"/>
      <c r="P876" s="38"/>
      <c r="Q876" s="14"/>
      <c r="R876" s="39"/>
      <c r="S876" s="39"/>
      <c r="T876" s="39"/>
      <c r="U876" s="40"/>
      <c r="V876" s="54"/>
      <c r="W876" s="55"/>
      <c r="X876" s="56"/>
      <c r="Y876" s="38"/>
      <c r="Z876" s="38"/>
      <c r="AA876" s="38"/>
      <c r="AB876" s="38"/>
    </row>
    <row r="877" spans="1:28">
      <c r="A877" s="42"/>
      <c r="B877" s="39"/>
      <c r="C877" s="40"/>
      <c r="D877" s="42"/>
      <c r="E877" s="38"/>
      <c r="F877" s="43"/>
      <c r="G877" s="63"/>
      <c r="H877" s="58"/>
      <c r="I877" s="38"/>
      <c r="J877" s="38"/>
      <c r="K877" s="46"/>
      <c r="L877" s="47"/>
      <c r="M877" s="93"/>
      <c r="N877" s="93"/>
      <c r="O877" s="38"/>
      <c r="P877" s="38"/>
      <c r="Q877" s="14"/>
      <c r="R877" s="39"/>
      <c r="S877" s="39"/>
      <c r="T877" s="39"/>
      <c r="U877" s="40"/>
      <c r="V877" s="54"/>
      <c r="W877" s="55"/>
      <c r="X877" s="56"/>
      <c r="Y877" s="38"/>
      <c r="Z877" s="38"/>
      <c r="AA877" s="38"/>
      <c r="AB877" s="38"/>
    </row>
    <row r="878" spans="1:28">
      <c r="A878" s="42"/>
      <c r="B878" s="39"/>
      <c r="C878" s="40"/>
      <c r="D878" s="42"/>
      <c r="E878" s="38"/>
      <c r="F878" s="43"/>
      <c r="G878" s="63"/>
      <c r="H878" s="58"/>
      <c r="I878" s="38"/>
      <c r="J878" s="38"/>
      <c r="K878" s="46"/>
      <c r="L878" s="47"/>
      <c r="M878" s="93"/>
      <c r="N878" s="93"/>
      <c r="O878" s="38"/>
      <c r="P878" s="38"/>
      <c r="Q878" s="14"/>
      <c r="R878" s="39"/>
      <c r="S878" s="39"/>
      <c r="T878" s="39"/>
      <c r="U878" s="40"/>
      <c r="V878" s="54"/>
      <c r="W878" s="55"/>
      <c r="X878" s="56"/>
      <c r="Y878" s="38"/>
      <c r="Z878" s="38"/>
      <c r="AA878" s="38"/>
      <c r="AB878" s="38"/>
    </row>
    <row r="879" spans="1:28">
      <c r="A879" s="42"/>
      <c r="B879" s="39"/>
      <c r="C879" s="40"/>
      <c r="D879" s="42"/>
      <c r="E879" s="38"/>
      <c r="F879" s="43"/>
      <c r="G879" s="63"/>
      <c r="H879" s="58"/>
      <c r="I879" s="38"/>
      <c r="J879" s="38"/>
      <c r="K879" s="46"/>
      <c r="L879" s="47"/>
      <c r="M879" s="93"/>
      <c r="N879" s="93"/>
      <c r="O879" s="38"/>
      <c r="P879" s="38"/>
      <c r="Q879" s="14"/>
      <c r="R879" s="39"/>
      <c r="S879" s="39"/>
      <c r="T879" s="39"/>
      <c r="U879" s="40"/>
      <c r="V879" s="54"/>
      <c r="W879" s="55"/>
      <c r="X879" s="56"/>
      <c r="Y879" s="38"/>
      <c r="Z879" s="38"/>
      <c r="AA879" s="38"/>
      <c r="AB879" s="38"/>
    </row>
    <row r="880" spans="1:28">
      <c r="A880" s="42"/>
      <c r="B880" s="39"/>
      <c r="C880" s="40"/>
      <c r="D880" s="42"/>
      <c r="E880" s="38"/>
      <c r="F880" s="43"/>
      <c r="G880" s="63"/>
      <c r="H880" s="58"/>
      <c r="I880" s="38"/>
      <c r="J880" s="38"/>
      <c r="K880" s="46"/>
      <c r="L880" s="47"/>
      <c r="M880" s="93"/>
      <c r="N880" s="93"/>
      <c r="O880" s="38"/>
      <c r="P880" s="38"/>
      <c r="Q880" s="14"/>
      <c r="R880" s="39"/>
      <c r="S880" s="39"/>
      <c r="T880" s="39"/>
      <c r="U880" s="40"/>
      <c r="V880" s="54"/>
      <c r="W880" s="55"/>
      <c r="X880" s="56"/>
      <c r="Y880" s="38"/>
      <c r="Z880" s="38"/>
      <c r="AA880" s="38"/>
      <c r="AB880" s="38"/>
    </row>
    <row r="881" spans="1:28">
      <c r="A881" s="42"/>
      <c r="B881" s="39"/>
      <c r="C881" s="40"/>
      <c r="D881" s="42"/>
      <c r="E881" s="38"/>
      <c r="F881" s="43"/>
      <c r="G881" s="63"/>
      <c r="H881" s="58"/>
      <c r="I881" s="38"/>
      <c r="J881" s="38"/>
      <c r="K881" s="46"/>
      <c r="L881" s="47"/>
      <c r="M881" s="93"/>
      <c r="N881" s="93"/>
      <c r="O881" s="38"/>
      <c r="P881" s="38"/>
      <c r="Q881" s="14"/>
      <c r="R881" s="39"/>
      <c r="S881" s="39"/>
      <c r="T881" s="39"/>
      <c r="U881" s="40"/>
      <c r="V881" s="54"/>
      <c r="W881" s="55"/>
      <c r="X881" s="56"/>
      <c r="Y881" s="38"/>
      <c r="Z881" s="38"/>
      <c r="AA881" s="38"/>
      <c r="AB881" s="38"/>
    </row>
    <row r="882" spans="1:28">
      <c r="A882" s="42"/>
      <c r="B882" s="39"/>
      <c r="C882" s="40"/>
      <c r="D882" s="42"/>
      <c r="E882" s="38"/>
      <c r="F882" s="43"/>
      <c r="G882" s="63"/>
      <c r="H882" s="58"/>
      <c r="I882" s="38"/>
      <c r="J882" s="38"/>
      <c r="K882" s="46"/>
      <c r="L882" s="47"/>
      <c r="M882" s="93"/>
      <c r="N882" s="93"/>
      <c r="O882" s="38"/>
      <c r="P882" s="38"/>
      <c r="Q882" s="14"/>
      <c r="R882" s="39"/>
      <c r="S882" s="39"/>
      <c r="T882" s="39"/>
      <c r="U882" s="40"/>
      <c r="V882" s="54"/>
      <c r="W882" s="55"/>
      <c r="X882" s="56"/>
      <c r="Y882" s="38"/>
      <c r="Z882" s="38"/>
      <c r="AA882" s="38"/>
      <c r="AB882" s="38"/>
    </row>
    <row r="883" spans="1:28">
      <c r="A883" s="42"/>
      <c r="B883" s="39"/>
      <c r="C883" s="40"/>
      <c r="D883" s="42"/>
      <c r="E883" s="38"/>
      <c r="F883" s="43"/>
      <c r="G883" s="63"/>
      <c r="H883" s="58"/>
      <c r="I883" s="38"/>
      <c r="J883" s="38"/>
      <c r="K883" s="46"/>
      <c r="L883" s="47"/>
      <c r="M883" s="93"/>
      <c r="N883" s="93"/>
      <c r="O883" s="38"/>
      <c r="P883" s="38"/>
      <c r="Q883" s="14"/>
      <c r="R883" s="39"/>
      <c r="S883" s="39"/>
      <c r="T883" s="39"/>
      <c r="U883" s="40"/>
      <c r="V883" s="54"/>
      <c r="W883" s="55"/>
      <c r="X883" s="56"/>
      <c r="Y883" s="38"/>
      <c r="Z883" s="38"/>
      <c r="AA883" s="38"/>
      <c r="AB883" s="38"/>
    </row>
    <row r="884" spans="1:28">
      <c r="A884" s="42"/>
      <c r="B884" s="39"/>
      <c r="C884" s="40"/>
      <c r="D884" s="42"/>
      <c r="E884" s="38"/>
      <c r="F884" s="43"/>
      <c r="G884" s="63"/>
      <c r="H884" s="58"/>
      <c r="I884" s="38"/>
      <c r="J884" s="38"/>
      <c r="K884" s="46"/>
      <c r="L884" s="47"/>
      <c r="M884" s="93"/>
      <c r="N884" s="93"/>
      <c r="O884" s="38"/>
      <c r="P884" s="38"/>
      <c r="Q884" s="14"/>
      <c r="R884" s="39"/>
      <c r="S884" s="39"/>
      <c r="T884" s="39"/>
      <c r="U884" s="40"/>
      <c r="V884" s="54"/>
      <c r="W884" s="55"/>
      <c r="X884" s="56"/>
      <c r="Y884" s="38"/>
      <c r="Z884" s="38"/>
      <c r="AA884" s="38"/>
      <c r="AB884" s="38"/>
    </row>
    <row r="885" spans="1:28">
      <c r="A885" s="42"/>
      <c r="B885" s="39"/>
      <c r="C885" s="40"/>
      <c r="D885" s="42"/>
      <c r="E885" s="38"/>
      <c r="F885" s="43"/>
      <c r="G885" s="63"/>
      <c r="H885" s="58"/>
      <c r="I885" s="38"/>
      <c r="J885" s="38"/>
      <c r="K885" s="46"/>
      <c r="L885" s="47"/>
      <c r="M885" s="93"/>
      <c r="N885" s="93"/>
      <c r="O885" s="38"/>
      <c r="P885" s="38"/>
      <c r="Q885" s="14"/>
      <c r="R885" s="39"/>
      <c r="S885" s="39"/>
      <c r="T885" s="39"/>
      <c r="U885" s="40"/>
      <c r="V885" s="54"/>
      <c r="W885" s="55"/>
      <c r="X885" s="56"/>
      <c r="Y885" s="38"/>
      <c r="Z885" s="38"/>
      <c r="AA885" s="38"/>
      <c r="AB885" s="38"/>
    </row>
    <row r="886" spans="1:28">
      <c r="A886" s="42"/>
      <c r="B886" s="39"/>
      <c r="C886" s="40"/>
      <c r="D886" s="42"/>
      <c r="E886" s="38"/>
      <c r="F886" s="43"/>
      <c r="G886" s="63"/>
      <c r="H886" s="58"/>
      <c r="I886" s="38"/>
      <c r="J886" s="38"/>
      <c r="K886" s="46"/>
      <c r="L886" s="47"/>
      <c r="M886" s="93"/>
      <c r="N886" s="93"/>
      <c r="O886" s="38"/>
      <c r="P886" s="38"/>
      <c r="Q886" s="14"/>
      <c r="R886" s="39"/>
      <c r="S886" s="39"/>
      <c r="T886" s="39"/>
      <c r="U886" s="40"/>
      <c r="V886" s="54"/>
      <c r="W886" s="55"/>
      <c r="X886" s="56"/>
      <c r="Y886" s="38"/>
      <c r="Z886" s="38"/>
      <c r="AA886" s="38"/>
      <c r="AB886" s="38"/>
    </row>
    <row r="887" spans="1:28">
      <c r="A887" s="42"/>
      <c r="B887" s="39"/>
      <c r="C887" s="40"/>
      <c r="D887" s="42"/>
      <c r="E887" s="38"/>
      <c r="F887" s="43"/>
      <c r="G887" s="63"/>
      <c r="H887" s="58"/>
      <c r="I887" s="38"/>
      <c r="J887" s="38"/>
      <c r="K887" s="46"/>
      <c r="L887" s="47"/>
      <c r="M887" s="93"/>
      <c r="N887" s="93"/>
      <c r="O887" s="38"/>
      <c r="P887" s="38"/>
      <c r="Q887" s="14"/>
      <c r="R887" s="39"/>
      <c r="S887" s="39"/>
      <c r="T887" s="39"/>
      <c r="U887" s="40"/>
      <c r="V887" s="54"/>
      <c r="W887" s="55"/>
      <c r="X887" s="56"/>
      <c r="Y887" s="38"/>
      <c r="Z887" s="38"/>
      <c r="AA887" s="38"/>
      <c r="AB887" s="38"/>
    </row>
    <row r="888" spans="1:28">
      <c r="A888" s="42"/>
      <c r="B888" s="39"/>
      <c r="C888" s="40"/>
      <c r="D888" s="42"/>
      <c r="E888" s="38"/>
      <c r="F888" s="43"/>
      <c r="G888" s="63"/>
      <c r="H888" s="58"/>
      <c r="I888" s="38"/>
      <c r="J888" s="38"/>
      <c r="K888" s="46"/>
      <c r="L888" s="47"/>
      <c r="M888" s="93"/>
      <c r="N888" s="93"/>
      <c r="O888" s="38"/>
      <c r="P888" s="38"/>
      <c r="Q888" s="14"/>
      <c r="R888" s="39"/>
      <c r="S888" s="39"/>
      <c r="T888" s="39"/>
      <c r="U888" s="40"/>
      <c r="V888" s="54"/>
      <c r="W888" s="55"/>
      <c r="X888" s="56"/>
      <c r="Y888" s="38"/>
      <c r="Z888" s="38"/>
      <c r="AA888" s="38"/>
      <c r="AB888" s="38"/>
    </row>
    <row r="889" spans="1:28">
      <c r="A889" s="42"/>
      <c r="B889" s="39"/>
      <c r="C889" s="40"/>
      <c r="D889" s="42"/>
      <c r="E889" s="38"/>
      <c r="F889" s="43"/>
      <c r="G889" s="63"/>
      <c r="H889" s="58"/>
      <c r="I889" s="38"/>
      <c r="J889" s="38"/>
      <c r="K889" s="46"/>
      <c r="L889" s="47"/>
      <c r="M889" s="93"/>
      <c r="N889" s="93"/>
      <c r="O889" s="38"/>
      <c r="P889" s="38"/>
      <c r="Q889" s="14"/>
      <c r="R889" s="39"/>
      <c r="S889" s="39"/>
      <c r="T889" s="39"/>
      <c r="U889" s="40"/>
      <c r="V889" s="54"/>
      <c r="W889" s="55"/>
      <c r="X889" s="56"/>
      <c r="Y889" s="38"/>
      <c r="Z889" s="38"/>
      <c r="AA889" s="38"/>
      <c r="AB889" s="38"/>
    </row>
    <row r="890" spans="1:28">
      <c r="A890" s="42"/>
      <c r="B890" s="39"/>
      <c r="C890" s="40"/>
      <c r="D890" s="42"/>
      <c r="E890" s="38"/>
      <c r="F890" s="43"/>
      <c r="G890" s="63"/>
      <c r="H890" s="58"/>
      <c r="I890" s="38"/>
      <c r="J890" s="38"/>
      <c r="K890" s="46"/>
      <c r="L890" s="47"/>
      <c r="M890" s="93"/>
      <c r="N890" s="93"/>
      <c r="O890" s="38"/>
      <c r="P890" s="38"/>
      <c r="Q890" s="14"/>
      <c r="R890" s="39"/>
      <c r="S890" s="39"/>
      <c r="T890" s="39"/>
      <c r="U890" s="40"/>
      <c r="V890" s="54"/>
      <c r="W890" s="55"/>
      <c r="X890" s="56"/>
      <c r="Y890" s="38"/>
      <c r="Z890" s="38"/>
      <c r="AA890" s="38"/>
      <c r="AB890" s="38"/>
    </row>
    <row r="891" spans="1:28">
      <c r="A891" s="42"/>
      <c r="B891" s="39"/>
      <c r="C891" s="40"/>
      <c r="D891" s="42"/>
      <c r="E891" s="38"/>
      <c r="F891" s="43"/>
      <c r="G891" s="63"/>
      <c r="H891" s="58"/>
      <c r="I891" s="38"/>
      <c r="J891" s="38"/>
      <c r="K891" s="46"/>
      <c r="L891" s="47"/>
      <c r="M891" s="93"/>
      <c r="N891" s="93"/>
      <c r="O891" s="38"/>
      <c r="P891" s="38"/>
      <c r="Q891" s="14"/>
      <c r="R891" s="39"/>
      <c r="S891" s="39"/>
      <c r="T891" s="39"/>
      <c r="U891" s="40"/>
      <c r="V891" s="54"/>
      <c r="W891" s="55"/>
      <c r="X891" s="56"/>
      <c r="Y891" s="38"/>
      <c r="Z891" s="38"/>
      <c r="AA891" s="38"/>
      <c r="AB891" s="38"/>
    </row>
    <row r="892" spans="1:28">
      <c r="A892" s="42"/>
      <c r="B892" s="39"/>
      <c r="C892" s="40"/>
      <c r="D892" s="42"/>
      <c r="E892" s="38"/>
      <c r="F892" s="43"/>
      <c r="G892" s="63"/>
      <c r="H892" s="58"/>
      <c r="I892" s="38"/>
      <c r="J892" s="38"/>
      <c r="K892" s="46"/>
      <c r="L892" s="47"/>
      <c r="M892" s="93"/>
      <c r="N892" s="93"/>
      <c r="O892" s="38"/>
      <c r="P892" s="38"/>
      <c r="Q892" s="14"/>
      <c r="R892" s="39"/>
      <c r="S892" s="39"/>
      <c r="T892" s="39"/>
      <c r="U892" s="40"/>
      <c r="V892" s="54"/>
      <c r="W892" s="55"/>
      <c r="X892" s="56"/>
      <c r="Y892" s="38"/>
      <c r="Z892" s="38"/>
      <c r="AA892" s="38"/>
      <c r="AB892" s="38"/>
    </row>
    <row r="893" spans="1:28">
      <c r="A893" s="42"/>
      <c r="B893" s="39"/>
      <c r="C893" s="40"/>
      <c r="D893" s="42"/>
      <c r="E893" s="38"/>
      <c r="F893" s="43"/>
      <c r="G893" s="63"/>
      <c r="H893" s="58"/>
      <c r="I893" s="38"/>
      <c r="J893" s="38"/>
      <c r="K893" s="46"/>
      <c r="L893" s="47"/>
      <c r="M893" s="93"/>
      <c r="N893" s="93"/>
      <c r="O893" s="38"/>
      <c r="P893" s="38"/>
      <c r="Q893" s="14"/>
      <c r="R893" s="39"/>
      <c r="S893" s="39"/>
      <c r="T893" s="39"/>
      <c r="U893" s="40"/>
      <c r="V893" s="54"/>
      <c r="W893" s="55"/>
      <c r="X893" s="56"/>
      <c r="Y893" s="38"/>
      <c r="Z893" s="38"/>
      <c r="AA893" s="38"/>
      <c r="AB893" s="38"/>
    </row>
    <row r="894" spans="1:28">
      <c r="A894" s="42"/>
      <c r="B894" s="39"/>
      <c r="C894" s="40"/>
      <c r="D894" s="42"/>
      <c r="E894" s="38"/>
      <c r="F894" s="43"/>
      <c r="G894" s="63"/>
      <c r="H894" s="58"/>
      <c r="I894" s="38"/>
      <c r="J894" s="38"/>
      <c r="K894" s="46"/>
      <c r="L894" s="47"/>
      <c r="M894" s="93"/>
      <c r="N894" s="93"/>
      <c r="O894" s="38"/>
      <c r="P894" s="38"/>
      <c r="Q894" s="14"/>
      <c r="R894" s="39"/>
      <c r="S894" s="39"/>
      <c r="T894" s="39"/>
      <c r="U894" s="40"/>
      <c r="V894" s="54"/>
      <c r="W894" s="55"/>
      <c r="X894" s="56"/>
      <c r="Y894" s="38"/>
      <c r="Z894" s="38"/>
      <c r="AA894" s="38"/>
      <c r="AB894" s="38"/>
    </row>
    <row r="895" spans="1:28">
      <c r="A895" s="42"/>
      <c r="B895" s="39"/>
      <c r="C895" s="40"/>
      <c r="D895" s="42"/>
      <c r="E895" s="38"/>
      <c r="F895" s="43"/>
      <c r="G895" s="63"/>
      <c r="H895" s="58"/>
      <c r="I895" s="38"/>
      <c r="J895" s="38"/>
      <c r="K895" s="46"/>
      <c r="L895" s="47"/>
      <c r="M895" s="93"/>
      <c r="N895" s="93"/>
      <c r="O895" s="38"/>
      <c r="P895" s="38"/>
      <c r="Q895" s="14"/>
      <c r="R895" s="39"/>
      <c r="S895" s="39"/>
      <c r="T895" s="39"/>
      <c r="U895" s="40"/>
      <c r="V895" s="54"/>
      <c r="W895" s="55"/>
      <c r="X895" s="56"/>
      <c r="Y895" s="38"/>
      <c r="Z895" s="38"/>
      <c r="AA895" s="38"/>
      <c r="AB895" s="38"/>
    </row>
    <row r="896" spans="1:28">
      <c r="A896" s="42"/>
      <c r="B896" s="39"/>
      <c r="C896" s="40"/>
      <c r="D896" s="42"/>
      <c r="E896" s="38"/>
      <c r="F896" s="43"/>
      <c r="G896" s="63"/>
      <c r="H896" s="58"/>
      <c r="I896" s="38"/>
      <c r="J896" s="38"/>
      <c r="K896" s="46"/>
      <c r="L896" s="47"/>
      <c r="M896" s="93"/>
      <c r="N896" s="93"/>
      <c r="O896" s="38"/>
      <c r="P896" s="38"/>
      <c r="Q896" s="14"/>
      <c r="R896" s="39"/>
      <c r="S896" s="39"/>
      <c r="T896" s="39"/>
      <c r="U896" s="40"/>
      <c r="V896" s="54"/>
      <c r="W896" s="55"/>
      <c r="X896" s="56"/>
      <c r="Y896" s="38"/>
      <c r="Z896" s="38"/>
      <c r="AA896" s="38"/>
      <c r="AB896" s="38"/>
    </row>
    <row r="897" spans="1:28">
      <c r="A897" s="42"/>
      <c r="B897" s="39"/>
      <c r="C897" s="40"/>
      <c r="D897" s="42"/>
      <c r="E897" s="38"/>
      <c r="F897" s="43"/>
      <c r="G897" s="63"/>
      <c r="H897" s="58"/>
      <c r="I897" s="38"/>
      <c r="J897" s="38"/>
      <c r="K897" s="46"/>
      <c r="L897" s="47"/>
      <c r="M897" s="93"/>
      <c r="N897" s="93"/>
      <c r="O897" s="38"/>
      <c r="P897" s="38"/>
      <c r="Q897" s="14"/>
      <c r="R897" s="39"/>
      <c r="S897" s="39"/>
      <c r="T897" s="39"/>
      <c r="U897" s="40"/>
      <c r="V897" s="54"/>
      <c r="W897" s="55"/>
      <c r="X897" s="56"/>
      <c r="Y897" s="38"/>
      <c r="Z897" s="38"/>
      <c r="AA897" s="38"/>
      <c r="AB897" s="38"/>
    </row>
    <row r="898" spans="1:28">
      <c r="A898" s="42"/>
      <c r="B898" s="39"/>
      <c r="C898" s="40"/>
      <c r="D898" s="42"/>
      <c r="E898" s="38"/>
      <c r="F898" s="43"/>
      <c r="G898" s="63"/>
      <c r="H898" s="58"/>
      <c r="I898" s="38"/>
      <c r="J898" s="38"/>
      <c r="K898" s="46"/>
      <c r="L898" s="47"/>
      <c r="M898" s="93"/>
      <c r="N898" s="93"/>
      <c r="O898" s="38"/>
      <c r="P898" s="38"/>
      <c r="Q898" s="14"/>
      <c r="R898" s="39"/>
      <c r="S898" s="39"/>
      <c r="T898" s="39"/>
      <c r="U898" s="40"/>
      <c r="V898" s="54"/>
      <c r="W898" s="55"/>
      <c r="X898" s="56"/>
      <c r="Y898" s="38"/>
      <c r="Z898" s="38"/>
      <c r="AA898" s="38"/>
      <c r="AB898" s="38"/>
    </row>
    <row r="899" spans="1:28">
      <c r="A899" s="42"/>
      <c r="B899" s="39"/>
      <c r="C899" s="40"/>
      <c r="D899" s="42"/>
      <c r="E899" s="38"/>
      <c r="F899" s="43"/>
      <c r="G899" s="63"/>
      <c r="H899" s="58"/>
      <c r="I899" s="38"/>
      <c r="J899" s="38"/>
      <c r="K899" s="46"/>
      <c r="L899" s="47"/>
      <c r="M899" s="93"/>
      <c r="N899" s="93"/>
      <c r="O899" s="38"/>
      <c r="P899" s="38"/>
      <c r="Q899" s="14"/>
      <c r="R899" s="39"/>
      <c r="S899" s="39"/>
      <c r="T899" s="39"/>
      <c r="U899" s="40"/>
      <c r="V899" s="54"/>
      <c r="W899" s="55"/>
      <c r="X899" s="56"/>
      <c r="Y899" s="38"/>
      <c r="Z899" s="38"/>
      <c r="AA899" s="38"/>
      <c r="AB899" s="38"/>
    </row>
    <row r="900" spans="1:28">
      <c r="A900" s="42"/>
      <c r="B900" s="39"/>
      <c r="C900" s="40"/>
      <c r="D900" s="42"/>
      <c r="E900" s="38"/>
      <c r="F900" s="43"/>
      <c r="G900" s="63"/>
      <c r="H900" s="58"/>
      <c r="I900" s="38"/>
      <c r="J900" s="38"/>
      <c r="K900" s="46"/>
      <c r="L900" s="47"/>
      <c r="M900" s="93"/>
      <c r="N900" s="93"/>
      <c r="O900" s="38"/>
      <c r="P900" s="38"/>
      <c r="Q900" s="14"/>
      <c r="R900" s="39"/>
      <c r="S900" s="39"/>
      <c r="T900" s="39"/>
      <c r="U900" s="40"/>
      <c r="V900" s="54"/>
      <c r="W900" s="55"/>
      <c r="X900" s="56"/>
      <c r="Y900" s="38"/>
      <c r="Z900" s="38"/>
      <c r="AA900" s="38"/>
      <c r="AB900" s="38"/>
    </row>
    <row r="901" spans="1:28">
      <c r="A901" s="42"/>
      <c r="B901" s="39"/>
      <c r="C901" s="40"/>
      <c r="D901" s="42"/>
      <c r="E901" s="38"/>
      <c r="F901" s="43"/>
      <c r="G901" s="63"/>
      <c r="H901" s="58"/>
      <c r="I901" s="38"/>
      <c r="J901" s="38"/>
      <c r="K901" s="46"/>
      <c r="L901" s="47"/>
      <c r="M901" s="93"/>
      <c r="N901" s="93"/>
      <c r="O901" s="38"/>
      <c r="P901" s="38"/>
      <c r="Q901" s="14"/>
      <c r="R901" s="39"/>
      <c r="S901" s="39"/>
      <c r="T901" s="39"/>
      <c r="U901" s="40"/>
      <c r="V901" s="54"/>
      <c r="W901" s="55"/>
      <c r="X901" s="56"/>
      <c r="Y901" s="38"/>
      <c r="Z901" s="38"/>
      <c r="AA901" s="38"/>
      <c r="AB901" s="38"/>
    </row>
    <row r="902" spans="1:28">
      <c r="A902" s="42"/>
      <c r="B902" s="39"/>
      <c r="C902" s="40"/>
      <c r="D902" s="42"/>
      <c r="E902" s="38"/>
      <c r="F902" s="43"/>
      <c r="G902" s="63"/>
      <c r="H902" s="58"/>
      <c r="I902" s="38"/>
      <c r="J902" s="38"/>
      <c r="K902" s="46"/>
      <c r="L902" s="47"/>
      <c r="M902" s="93"/>
      <c r="N902" s="93"/>
      <c r="O902" s="38"/>
      <c r="P902" s="38"/>
      <c r="Q902" s="14"/>
      <c r="R902" s="39"/>
      <c r="S902" s="39"/>
      <c r="T902" s="39"/>
      <c r="U902" s="40"/>
      <c r="V902" s="54"/>
      <c r="W902" s="55"/>
      <c r="X902" s="56"/>
      <c r="Y902" s="38"/>
      <c r="Z902" s="38"/>
      <c r="AA902" s="38"/>
      <c r="AB902" s="38"/>
    </row>
    <row r="903" spans="1:28">
      <c r="A903" s="42"/>
      <c r="B903" s="39"/>
      <c r="C903" s="40"/>
      <c r="D903" s="42"/>
      <c r="E903" s="38"/>
      <c r="F903" s="43"/>
      <c r="G903" s="63"/>
      <c r="H903" s="58"/>
      <c r="I903" s="38"/>
      <c r="J903" s="38"/>
      <c r="K903" s="46"/>
      <c r="L903" s="47"/>
      <c r="M903" s="93"/>
      <c r="N903" s="93"/>
      <c r="O903" s="38"/>
      <c r="P903" s="38"/>
      <c r="Q903" s="14"/>
      <c r="R903" s="39"/>
      <c r="S903" s="39"/>
      <c r="T903" s="39"/>
      <c r="U903" s="40"/>
      <c r="V903" s="54"/>
      <c r="W903" s="55"/>
      <c r="X903" s="56"/>
      <c r="Y903" s="38"/>
      <c r="Z903" s="38"/>
      <c r="AA903" s="38"/>
      <c r="AB903" s="38"/>
    </row>
    <row r="904" spans="1:28">
      <c r="A904" s="42"/>
      <c r="B904" s="39"/>
      <c r="C904" s="40"/>
      <c r="D904" s="42"/>
      <c r="E904" s="38"/>
      <c r="F904" s="43"/>
      <c r="G904" s="63"/>
      <c r="H904" s="58"/>
      <c r="I904" s="38"/>
      <c r="J904" s="38"/>
      <c r="K904" s="46"/>
      <c r="L904" s="47"/>
      <c r="M904" s="93"/>
      <c r="N904" s="93"/>
      <c r="O904" s="38"/>
      <c r="P904" s="38"/>
      <c r="Q904" s="14"/>
      <c r="R904" s="39"/>
      <c r="S904" s="39"/>
      <c r="T904" s="39"/>
      <c r="U904" s="40"/>
      <c r="V904" s="54"/>
      <c r="W904" s="55"/>
      <c r="X904" s="56"/>
      <c r="Y904" s="38"/>
      <c r="Z904" s="38"/>
      <c r="AA904" s="38"/>
      <c r="AB904" s="38"/>
    </row>
    <row r="905" spans="1:28">
      <c r="A905" s="42"/>
      <c r="B905" s="39"/>
      <c r="C905" s="40"/>
      <c r="D905" s="42"/>
      <c r="E905" s="38"/>
      <c r="F905" s="43"/>
      <c r="G905" s="63"/>
      <c r="H905" s="58"/>
      <c r="I905" s="38"/>
      <c r="J905" s="38"/>
      <c r="K905" s="46"/>
      <c r="L905" s="47"/>
      <c r="M905" s="93"/>
      <c r="N905" s="93"/>
      <c r="O905" s="38"/>
      <c r="P905" s="38"/>
      <c r="Q905" s="14"/>
      <c r="R905" s="39"/>
      <c r="S905" s="39"/>
      <c r="T905" s="39"/>
      <c r="U905" s="40"/>
      <c r="V905" s="54"/>
      <c r="W905" s="55"/>
      <c r="X905" s="56"/>
      <c r="Y905" s="38"/>
      <c r="Z905" s="38"/>
      <c r="AA905" s="38"/>
      <c r="AB905" s="38"/>
    </row>
    <row r="906" spans="1:28">
      <c r="A906" s="42"/>
      <c r="B906" s="39"/>
      <c r="C906" s="40"/>
      <c r="D906" s="42"/>
      <c r="E906" s="38"/>
      <c r="F906" s="43"/>
      <c r="G906" s="63"/>
      <c r="H906" s="58"/>
      <c r="I906" s="38"/>
      <c r="J906" s="38"/>
      <c r="K906" s="46"/>
      <c r="L906" s="47"/>
      <c r="M906" s="93"/>
      <c r="N906" s="93"/>
      <c r="O906" s="38"/>
      <c r="P906" s="38"/>
      <c r="Q906" s="14"/>
      <c r="R906" s="39"/>
      <c r="S906" s="39"/>
      <c r="T906" s="39"/>
      <c r="U906" s="40"/>
      <c r="V906" s="54"/>
      <c r="W906" s="55"/>
      <c r="X906" s="56"/>
      <c r="Y906" s="38"/>
      <c r="Z906" s="38"/>
      <c r="AA906" s="38"/>
      <c r="AB906" s="38"/>
    </row>
    <row r="907" spans="1:28">
      <c r="A907" s="42"/>
      <c r="B907" s="39"/>
      <c r="C907" s="40"/>
      <c r="D907" s="42"/>
      <c r="E907" s="38"/>
      <c r="F907" s="43"/>
      <c r="G907" s="63"/>
      <c r="H907" s="58"/>
      <c r="I907" s="38"/>
      <c r="J907" s="38"/>
      <c r="K907" s="46"/>
      <c r="L907" s="47"/>
      <c r="M907" s="93"/>
      <c r="N907" s="93"/>
      <c r="O907" s="38"/>
      <c r="P907" s="38"/>
      <c r="Q907" s="14"/>
      <c r="R907" s="39"/>
      <c r="S907" s="39"/>
      <c r="T907" s="39"/>
      <c r="U907" s="40"/>
      <c r="V907" s="54"/>
      <c r="W907" s="55"/>
      <c r="X907" s="56"/>
      <c r="Y907" s="38"/>
      <c r="Z907" s="38"/>
      <c r="AA907" s="38"/>
      <c r="AB907" s="38"/>
    </row>
    <row r="908" spans="1:28">
      <c r="A908" s="42"/>
      <c r="B908" s="39"/>
      <c r="C908" s="40"/>
      <c r="D908" s="42"/>
      <c r="E908" s="38"/>
      <c r="F908" s="43"/>
      <c r="G908" s="63"/>
      <c r="H908" s="58"/>
      <c r="I908" s="38"/>
      <c r="J908" s="38"/>
      <c r="K908" s="46"/>
      <c r="L908" s="47"/>
      <c r="M908" s="93"/>
      <c r="N908" s="93"/>
      <c r="O908" s="38"/>
      <c r="P908" s="38"/>
      <c r="Q908" s="14"/>
      <c r="R908" s="39"/>
      <c r="S908" s="39"/>
      <c r="T908" s="39"/>
      <c r="U908" s="40"/>
      <c r="V908" s="54"/>
      <c r="W908" s="55"/>
      <c r="X908" s="56"/>
      <c r="Y908" s="38"/>
      <c r="Z908" s="38"/>
      <c r="AA908" s="38"/>
      <c r="AB908" s="38"/>
    </row>
    <row r="909" spans="1:28">
      <c r="A909" s="42"/>
      <c r="B909" s="39"/>
      <c r="C909" s="40"/>
      <c r="D909" s="42"/>
      <c r="E909" s="38"/>
      <c r="F909" s="43"/>
      <c r="G909" s="63"/>
      <c r="H909" s="58"/>
      <c r="I909" s="38"/>
      <c r="J909" s="38"/>
      <c r="K909" s="46"/>
      <c r="L909" s="47"/>
      <c r="M909" s="93"/>
      <c r="N909" s="93"/>
      <c r="O909" s="38"/>
      <c r="P909" s="38"/>
      <c r="Q909" s="14"/>
      <c r="R909" s="39"/>
      <c r="S909" s="39"/>
      <c r="T909" s="39"/>
      <c r="U909" s="40"/>
      <c r="V909" s="54"/>
      <c r="W909" s="55"/>
      <c r="X909" s="56"/>
      <c r="Y909" s="38"/>
      <c r="Z909" s="38"/>
      <c r="AA909" s="38"/>
      <c r="AB909" s="38"/>
    </row>
    <row r="910" spans="1:28">
      <c r="A910" s="42"/>
      <c r="B910" s="39"/>
      <c r="C910" s="40"/>
      <c r="D910" s="42"/>
      <c r="E910" s="38"/>
      <c r="F910" s="43"/>
      <c r="G910" s="63"/>
      <c r="H910" s="58"/>
      <c r="I910" s="38"/>
      <c r="J910" s="38"/>
      <c r="K910" s="46"/>
      <c r="L910" s="47"/>
      <c r="M910" s="93"/>
      <c r="N910" s="93"/>
      <c r="O910" s="38"/>
      <c r="P910" s="38"/>
      <c r="Q910" s="14"/>
      <c r="R910" s="39"/>
      <c r="S910" s="39"/>
      <c r="T910" s="39"/>
      <c r="U910" s="40"/>
      <c r="V910" s="54"/>
      <c r="W910" s="55"/>
      <c r="X910" s="56"/>
      <c r="Y910" s="38"/>
      <c r="Z910" s="38"/>
      <c r="AA910" s="38"/>
      <c r="AB910" s="38"/>
    </row>
    <row r="911" spans="1:28">
      <c r="A911" s="42"/>
      <c r="B911" s="39"/>
      <c r="C911" s="40"/>
      <c r="D911" s="42"/>
      <c r="E911" s="38"/>
      <c r="F911" s="43"/>
      <c r="G911" s="63"/>
      <c r="H911" s="58"/>
      <c r="I911" s="38"/>
      <c r="J911" s="38"/>
      <c r="K911" s="46"/>
      <c r="L911" s="47"/>
      <c r="M911" s="93"/>
      <c r="N911" s="93"/>
      <c r="O911" s="38"/>
      <c r="P911" s="38"/>
      <c r="Q911" s="14"/>
      <c r="R911" s="39"/>
      <c r="S911" s="39"/>
      <c r="T911" s="39"/>
      <c r="U911" s="40"/>
      <c r="V911" s="54"/>
      <c r="W911" s="55"/>
      <c r="X911" s="56"/>
      <c r="Y911" s="38"/>
      <c r="Z911" s="38"/>
      <c r="AA911" s="38"/>
      <c r="AB911" s="38"/>
    </row>
    <row r="912" spans="1:28">
      <c r="A912" s="42"/>
      <c r="B912" s="39"/>
      <c r="C912" s="40"/>
      <c r="D912" s="42"/>
      <c r="E912" s="38"/>
      <c r="F912" s="43"/>
      <c r="G912" s="63"/>
      <c r="H912" s="58"/>
      <c r="I912" s="38"/>
      <c r="J912" s="38"/>
      <c r="K912" s="46"/>
      <c r="L912" s="47"/>
      <c r="M912" s="93"/>
      <c r="N912" s="93"/>
      <c r="O912" s="38"/>
      <c r="P912" s="38"/>
      <c r="Q912" s="14"/>
      <c r="R912" s="39"/>
      <c r="S912" s="39"/>
      <c r="T912" s="39"/>
      <c r="U912" s="40"/>
      <c r="V912" s="54"/>
      <c r="W912" s="55"/>
      <c r="X912" s="56"/>
      <c r="Y912" s="38"/>
      <c r="Z912" s="38"/>
      <c r="AA912" s="38"/>
      <c r="AB912" s="38"/>
    </row>
    <row r="913" spans="1:28">
      <c r="A913" s="42"/>
      <c r="B913" s="39"/>
      <c r="C913" s="40"/>
      <c r="D913" s="42"/>
      <c r="E913" s="38"/>
      <c r="F913" s="43"/>
      <c r="G913" s="63"/>
      <c r="H913" s="58"/>
      <c r="I913" s="38"/>
      <c r="J913" s="38"/>
      <c r="K913" s="46"/>
      <c r="L913" s="47"/>
      <c r="M913" s="93"/>
      <c r="N913" s="93"/>
      <c r="O913" s="38"/>
      <c r="P913" s="38"/>
      <c r="Q913" s="14"/>
      <c r="R913" s="39"/>
      <c r="S913" s="39"/>
      <c r="T913" s="39"/>
      <c r="U913" s="40"/>
      <c r="V913" s="54"/>
      <c r="W913" s="55"/>
      <c r="X913" s="56"/>
      <c r="Y913" s="38"/>
      <c r="Z913" s="38"/>
      <c r="AA913" s="38"/>
      <c r="AB913" s="38"/>
    </row>
    <row r="914" spans="1:28">
      <c r="A914" s="42"/>
      <c r="B914" s="39"/>
      <c r="C914" s="40"/>
      <c r="D914" s="42"/>
      <c r="E914" s="38"/>
      <c r="F914" s="43"/>
      <c r="G914" s="63"/>
      <c r="H914" s="58"/>
      <c r="I914" s="38"/>
      <c r="J914" s="38"/>
      <c r="K914" s="46"/>
      <c r="L914" s="47"/>
      <c r="M914" s="93"/>
      <c r="N914" s="93"/>
      <c r="O914" s="38"/>
      <c r="P914" s="38"/>
      <c r="Q914" s="14"/>
      <c r="R914" s="39"/>
      <c r="S914" s="39"/>
      <c r="T914" s="39"/>
      <c r="U914" s="40"/>
      <c r="V914" s="54"/>
      <c r="W914" s="55"/>
      <c r="X914" s="56"/>
      <c r="Y914" s="38"/>
      <c r="Z914" s="38"/>
      <c r="AA914" s="38"/>
      <c r="AB914" s="38"/>
    </row>
    <row r="915" spans="1:28">
      <c r="A915" s="42"/>
      <c r="B915" s="39"/>
      <c r="C915" s="40"/>
      <c r="D915" s="42"/>
      <c r="E915" s="38"/>
      <c r="F915" s="43"/>
      <c r="G915" s="63"/>
      <c r="H915" s="58"/>
      <c r="I915" s="38"/>
      <c r="J915" s="38"/>
      <c r="K915" s="46"/>
      <c r="L915" s="47"/>
      <c r="M915" s="93"/>
      <c r="N915" s="93"/>
      <c r="O915" s="38"/>
      <c r="P915" s="38"/>
      <c r="Q915" s="14"/>
      <c r="R915" s="39"/>
      <c r="S915" s="39"/>
      <c r="T915" s="39"/>
      <c r="U915" s="40"/>
      <c r="V915" s="54"/>
      <c r="W915" s="55"/>
      <c r="X915" s="56"/>
      <c r="Y915" s="38"/>
      <c r="Z915" s="38"/>
      <c r="AA915" s="38"/>
      <c r="AB915" s="38"/>
    </row>
    <row r="916" spans="1:28">
      <c r="A916" s="42"/>
      <c r="B916" s="39"/>
      <c r="C916" s="40"/>
      <c r="D916" s="42"/>
      <c r="E916" s="38"/>
      <c r="F916" s="43"/>
      <c r="G916" s="63"/>
      <c r="H916" s="58"/>
      <c r="I916" s="38"/>
      <c r="J916" s="38"/>
      <c r="K916" s="46"/>
      <c r="L916" s="47"/>
      <c r="M916" s="93"/>
      <c r="N916" s="93"/>
      <c r="O916" s="38"/>
      <c r="P916" s="38"/>
      <c r="Q916" s="14"/>
      <c r="R916" s="39"/>
      <c r="S916" s="39"/>
      <c r="T916" s="39"/>
      <c r="U916" s="40"/>
      <c r="V916" s="54"/>
      <c r="W916" s="55"/>
      <c r="X916" s="56"/>
      <c r="Y916" s="38"/>
      <c r="Z916" s="38"/>
      <c r="AA916" s="38"/>
      <c r="AB916" s="38"/>
    </row>
    <row r="917" spans="1:28">
      <c r="A917" s="42"/>
      <c r="B917" s="39"/>
      <c r="C917" s="40"/>
      <c r="D917" s="42"/>
      <c r="E917" s="38"/>
      <c r="F917" s="43"/>
      <c r="G917" s="63"/>
      <c r="H917" s="58"/>
      <c r="I917" s="38"/>
      <c r="J917" s="38"/>
      <c r="K917" s="46"/>
      <c r="L917" s="47"/>
      <c r="M917" s="93"/>
      <c r="N917" s="93"/>
      <c r="O917" s="38"/>
      <c r="P917" s="38"/>
      <c r="Q917" s="14"/>
      <c r="R917" s="39"/>
      <c r="S917" s="39"/>
      <c r="T917" s="39"/>
      <c r="U917" s="40"/>
      <c r="V917" s="54"/>
      <c r="W917" s="55"/>
      <c r="X917" s="56"/>
      <c r="Y917" s="38"/>
      <c r="Z917" s="38"/>
      <c r="AA917" s="38"/>
      <c r="AB917" s="38"/>
    </row>
    <row r="918" spans="1:28">
      <c r="A918" s="42"/>
      <c r="B918" s="39"/>
      <c r="C918" s="40"/>
      <c r="D918" s="42"/>
      <c r="E918" s="38"/>
      <c r="F918" s="43"/>
      <c r="G918" s="63"/>
      <c r="H918" s="58"/>
      <c r="I918" s="38"/>
      <c r="J918" s="38"/>
      <c r="K918" s="46"/>
      <c r="L918" s="47"/>
      <c r="M918" s="93"/>
      <c r="N918" s="93"/>
      <c r="O918" s="38"/>
      <c r="P918" s="38"/>
      <c r="Q918" s="14"/>
      <c r="R918" s="39"/>
      <c r="S918" s="39"/>
      <c r="T918" s="39"/>
      <c r="U918" s="40"/>
      <c r="V918" s="54"/>
      <c r="W918" s="55"/>
      <c r="X918" s="56"/>
      <c r="Y918" s="38"/>
      <c r="Z918" s="38"/>
      <c r="AA918" s="38"/>
      <c r="AB918" s="38"/>
    </row>
    <row r="919" spans="1:28">
      <c r="A919" s="42"/>
      <c r="B919" s="39"/>
      <c r="C919" s="40"/>
      <c r="D919" s="42"/>
      <c r="E919" s="38"/>
      <c r="F919" s="43"/>
      <c r="G919" s="63"/>
      <c r="H919" s="58"/>
      <c r="I919" s="38"/>
      <c r="J919" s="38"/>
      <c r="K919" s="46"/>
      <c r="L919" s="47"/>
      <c r="M919" s="93"/>
      <c r="N919" s="93"/>
      <c r="O919" s="38"/>
      <c r="P919" s="38"/>
      <c r="Q919" s="14"/>
      <c r="R919" s="39"/>
      <c r="S919" s="39"/>
      <c r="T919" s="39"/>
      <c r="U919" s="40"/>
      <c r="V919" s="54"/>
      <c r="W919" s="55"/>
      <c r="X919" s="56"/>
      <c r="Y919" s="38"/>
      <c r="Z919" s="38"/>
      <c r="AA919" s="38"/>
      <c r="AB919" s="38"/>
    </row>
    <row r="920" spans="1:28">
      <c r="A920" s="42"/>
      <c r="B920" s="39"/>
      <c r="C920" s="40"/>
      <c r="D920" s="42"/>
      <c r="E920" s="38"/>
      <c r="F920" s="43"/>
      <c r="G920" s="63"/>
      <c r="H920" s="58"/>
      <c r="I920" s="38"/>
      <c r="J920" s="38"/>
      <c r="K920" s="46"/>
      <c r="L920" s="47"/>
      <c r="M920" s="93"/>
      <c r="N920" s="93"/>
      <c r="O920" s="38"/>
      <c r="P920" s="38"/>
      <c r="Q920" s="14"/>
      <c r="R920" s="39"/>
      <c r="S920" s="39"/>
      <c r="T920" s="39"/>
      <c r="U920" s="40"/>
      <c r="V920" s="54"/>
      <c r="W920" s="55"/>
      <c r="X920" s="56"/>
      <c r="Y920" s="38"/>
      <c r="Z920" s="38"/>
      <c r="AA920" s="38"/>
      <c r="AB920" s="38"/>
    </row>
    <row r="921" spans="1:28">
      <c r="A921" s="42"/>
      <c r="B921" s="39"/>
      <c r="C921" s="40"/>
      <c r="D921" s="42"/>
      <c r="E921" s="38"/>
      <c r="F921" s="43"/>
      <c r="G921" s="63"/>
      <c r="H921" s="58"/>
      <c r="I921" s="38"/>
      <c r="J921" s="38"/>
      <c r="K921" s="46"/>
      <c r="L921" s="47"/>
      <c r="M921" s="93"/>
      <c r="N921" s="93"/>
      <c r="O921" s="38"/>
      <c r="P921" s="38"/>
      <c r="Q921" s="14"/>
      <c r="R921" s="39"/>
      <c r="S921" s="39"/>
      <c r="T921" s="39"/>
      <c r="U921" s="40"/>
      <c r="V921" s="54"/>
      <c r="W921" s="55"/>
      <c r="X921" s="56"/>
      <c r="Y921" s="38"/>
      <c r="Z921" s="38"/>
      <c r="AA921" s="38"/>
      <c r="AB921" s="38"/>
    </row>
    <row r="922" spans="1:28">
      <c r="A922" s="42"/>
      <c r="B922" s="39"/>
      <c r="C922" s="40"/>
      <c r="D922" s="42"/>
      <c r="E922" s="38"/>
      <c r="F922" s="43"/>
      <c r="G922" s="63"/>
      <c r="H922" s="58"/>
      <c r="I922" s="38"/>
      <c r="J922" s="38"/>
      <c r="K922" s="46"/>
      <c r="L922" s="47"/>
      <c r="M922" s="93"/>
      <c r="N922" s="93"/>
      <c r="O922" s="38"/>
      <c r="P922" s="38"/>
      <c r="Q922" s="14"/>
      <c r="R922" s="39"/>
      <c r="S922" s="39"/>
      <c r="T922" s="39"/>
      <c r="U922" s="40"/>
      <c r="V922" s="54"/>
      <c r="W922" s="55"/>
      <c r="X922" s="56"/>
      <c r="Y922" s="38"/>
      <c r="Z922" s="38"/>
      <c r="AA922" s="38"/>
      <c r="AB922" s="38"/>
    </row>
    <row r="923" spans="1:28">
      <c r="A923" s="42"/>
      <c r="B923" s="39"/>
      <c r="C923" s="40"/>
      <c r="D923" s="42"/>
      <c r="E923" s="38"/>
      <c r="F923" s="43"/>
      <c r="G923" s="63"/>
      <c r="H923" s="58"/>
      <c r="I923" s="38"/>
      <c r="J923" s="38"/>
      <c r="K923" s="46"/>
      <c r="L923" s="47"/>
      <c r="M923" s="93"/>
      <c r="N923" s="93"/>
      <c r="O923" s="38"/>
      <c r="P923" s="38"/>
      <c r="Q923" s="14"/>
      <c r="R923" s="39"/>
      <c r="S923" s="39"/>
      <c r="T923" s="39"/>
      <c r="U923" s="40"/>
      <c r="V923" s="54"/>
      <c r="W923" s="55"/>
      <c r="X923" s="56"/>
      <c r="Y923" s="38"/>
      <c r="Z923" s="38"/>
      <c r="AA923" s="38"/>
      <c r="AB923" s="38"/>
    </row>
    <row r="924" spans="1:28">
      <c r="A924" s="42"/>
      <c r="B924" s="39"/>
      <c r="C924" s="40"/>
      <c r="D924" s="42"/>
      <c r="E924" s="38"/>
      <c r="F924" s="43"/>
      <c r="G924" s="63"/>
      <c r="H924" s="58"/>
      <c r="I924" s="38"/>
      <c r="J924" s="38"/>
      <c r="K924" s="46"/>
      <c r="L924" s="47"/>
      <c r="M924" s="93"/>
      <c r="N924" s="93"/>
      <c r="O924" s="38"/>
      <c r="P924" s="38"/>
      <c r="Q924" s="14"/>
      <c r="R924" s="39"/>
      <c r="S924" s="39"/>
      <c r="T924" s="39"/>
      <c r="U924" s="40"/>
      <c r="V924" s="54"/>
      <c r="W924" s="55"/>
      <c r="X924" s="56"/>
      <c r="Y924" s="38"/>
      <c r="Z924" s="38"/>
      <c r="AA924" s="38"/>
      <c r="AB924" s="38"/>
    </row>
    <row r="925" spans="1:28">
      <c r="A925" s="42"/>
      <c r="B925" s="39"/>
      <c r="C925" s="40"/>
      <c r="D925" s="42"/>
      <c r="E925" s="38"/>
      <c r="F925" s="43"/>
      <c r="G925" s="63"/>
      <c r="H925" s="58"/>
      <c r="I925" s="38"/>
      <c r="J925" s="38"/>
      <c r="K925" s="46"/>
      <c r="L925" s="47"/>
      <c r="M925" s="93"/>
      <c r="N925" s="93"/>
      <c r="O925" s="38"/>
      <c r="P925" s="38"/>
      <c r="Q925" s="14"/>
      <c r="R925" s="39"/>
      <c r="S925" s="39"/>
      <c r="T925" s="39"/>
      <c r="U925" s="40"/>
      <c r="V925" s="54"/>
      <c r="W925" s="55"/>
      <c r="X925" s="56"/>
      <c r="Y925" s="38"/>
      <c r="Z925" s="38"/>
      <c r="AA925" s="38"/>
      <c r="AB925" s="38"/>
    </row>
    <row r="926" spans="1:28">
      <c r="A926" s="42"/>
      <c r="B926" s="39"/>
      <c r="C926" s="40"/>
      <c r="D926" s="42"/>
      <c r="E926" s="38"/>
      <c r="F926" s="43"/>
      <c r="G926" s="63"/>
      <c r="H926" s="58"/>
      <c r="I926" s="38"/>
      <c r="J926" s="38"/>
      <c r="K926" s="46"/>
      <c r="L926" s="47"/>
      <c r="M926" s="93"/>
      <c r="N926" s="93"/>
      <c r="O926" s="38"/>
      <c r="P926" s="38"/>
      <c r="Q926" s="14"/>
      <c r="R926" s="39"/>
      <c r="S926" s="39"/>
      <c r="T926" s="39"/>
      <c r="U926" s="40"/>
      <c r="V926" s="54"/>
      <c r="W926" s="55"/>
      <c r="X926" s="56"/>
      <c r="Y926" s="38"/>
      <c r="Z926" s="38"/>
      <c r="AA926" s="38"/>
      <c r="AB926" s="38"/>
    </row>
    <row r="927" spans="1:28">
      <c r="A927" s="42"/>
      <c r="B927" s="39"/>
      <c r="C927" s="40"/>
      <c r="D927" s="42"/>
      <c r="E927" s="38"/>
      <c r="F927" s="43"/>
      <c r="G927" s="63"/>
      <c r="H927" s="58"/>
      <c r="I927" s="38"/>
      <c r="J927" s="38"/>
      <c r="K927" s="46"/>
      <c r="L927" s="47"/>
      <c r="M927" s="93"/>
      <c r="N927" s="93"/>
      <c r="O927" s="38"/>
      <c r="P927" s="38"/>
      <c r="Q927" s="14"/>
      <c r="R927" s="39"/>
      <c r="S927" s="39"/>
      <c r="T927" s="39"/>
      <c r="U927" s="40"/>
      <c r="V927" s="54"/>
      <c r="W927" s="55"/>
      <c r="X927" s="56"/>
      <c r="Y927" s="38"/>
      <c r="Z927" s="38"/>
      <c r="AA927" s="38"/>
      <c r="AB927" s="38"/>
    </row>
    <row r="928" spans="1:28">
      <c r="A928" s="42"/>
      <c r="B928" s="39"/>
      <c r="C928" s="40"/>
      <c r="D928" s="42"/>
      <c r="E928" s="38"/>
      <c r="F928" s="43"/>
      <c r="G928" s="63"/>
      <c r="H928" s="58"/>
      <c r="I928" s="38"/>
      <c r="J928" s="38"/>
      <c r="K928" s="46"/>
      <c r="L928" s="47"/>
      <c r="M928" s="93"/>
      <c r="N928" s="93"/>
      <c r="O928" s="38"/>
      <c r="P928" s="38"/>
      <c r="Q928" s="14"/>
      <c r="R928" s="39"/>
      <c r="S928" s="39"/>
      <c r="T928" s="39"/>
      <c r="U928" s="40"/>
      <c r="V928" s="54"/>
      <c r="W928" s="55"/>
      <c r="X928" s="56"/>
      <c r="Y928" s="38"/>
      <c r="Z928" s="38"/>
      <c r="AA928" s="38"/>
      <c r="AB928" s="38"/>
    </row>
    <row r="929" spans="1:28">
      <c r="A929" s="42"/>
      <c r="B929" s="39"/>
      <c r="C929" s="40"/>
      <c r="D929" s="42"/>
      <c r="E929" s="38"/>
      <c r="F929" s="43"/>
      <c r="G929" s="63"/>
      <c r="H929" s="58"/>
      <c r="I929" s="38"/>
      <c r="J929" s="38"/>
      <c r="K929" s="46"/>
      <c r="L929" s="47"/>
      <c r="M929" s="93"/>
      <c r="N929" s="93"/>
      <c r="O929" s="38"/>
      <c r="P929" s="38"/>
      <c r="Q929" s="14"/>
      <c r="R929" s="39"/>
      <c r="S929" s="39"/>
      <c r="T929" s="39"/>
      <c r="U929" s="40"/>
      <c r="V929" s="54"/>
      <c r="W929" s="55"/>
      <c r="X929" s="56"/>
      <c r="Y929" s="38"/>
      <c r="Z929" s="38"/>
      <c r="AA929" s="38"/>
      <c r="AB929" s="38"/>
    </row>
    <row r="930" spans="1:28">
      <c r="A930" s="42"/>
      <c r="B930" s="39"/>
      <c r="C930" s="40"/>
      <c r="D930" s="42"/>
      <c r="E930" s="38"/>
      <c r="F930" s="43"/>
      <c r="G930" s="63"/>
      <c r="H930" s="58"/>
      <c r="I930" s="38"/>
      <c r="J930" s="38"/>
      <c r="K930" s="46"/>
      <c r="L930" s="47"/>
      <c r="M930" s="93"/>
      <c r="N930" s="93"/>
      <c r="O930" s="38"/>
      <c r="P930" s="38"/>
      <c r="Q930" s="14"/>
      <c r="R930" s="39"/>
      <c r="S930" s="39"/>
      <c r="T930" s="39"/>
      <c r="U930" s="40"/>
      <c r="V930" s="54"/>
      <c r="W930" s="55"/>
      <c r="X930" s="56"/>
      <c r="Y930" s="38"/>
      <c r="Z930" s="38"/>
      <c r="AA930" s="38"/>
      <c r="AB930" s="38"/>
    </row>
    <row r="931" spans="1:28">
      <c r="A931" s="42"/>
      <c r="B931" s="39"/>
      <c r="C931" s="40"/>
      <c r="D931" s="42"/>
      <c r="E931" s="38"/>
      <c r="F931" s="43"/>
      <c r="G931" s="63"/>
      <c r="H931" s="58"/>
      <c r="I931" s="38"/>
      <c r="J931" s="38"/>
      <c r="K931" s="46"/>
      <c r="L931" s="47"/>
      <c r="M931" s="93"/>
      <c r="N931" s="93"/>
      <c r="O931" s="38"/>
      <c r="P931" s="38"/>
      <c r="Q931" s="14"/>
      <c r="R931" s="39"/>
      <c r="S931" s="39"/>
      <c r="T931" s="39"/>
      <c r="U931" s="40"/>
      <c r="V931" s="54"/>
      <c r="W931" s="55"/>
      <c r="X931" s="56"/>
      <c r="Y931" s="38"/>
      <c r="Z931" s="38"/>
      <c r="AA931" s="38"/>
      <c r="AB931" s="38"/>
    </row>
    <row r="932" spans="1:28">
      <c r="A932" s="42"/>
      <c r="B932" s="39"/>
      <c r="C932" s="40"/>
      <c r="D932" s="42"/>
      <c r="E932" s="38"/>
      <c r="F932" s="43"/>
      <c r="G932" s="63"/>
      <c r="H932" s="58"/>
      <c r="I932" s="38"/>
      <c r="J932" s="38"/>
      <c r="K932" s="46"/>
      <c r="L932" s="47"/>
      <c r="M932" s="93"/>
      <c r="N932" s="93"/>
      <c r="O932" s="38"/>
      <c r="P932" s="38"/>
      <c r="Q932" s="14"/>
      <c r="R932" s="39"/>
      <c r="S932" s="39"/>
      <c r="T932" s="39"/>
      <c r="U932" s="40"/>
      <c r="V932" s="54"/>
      <c r="W932" s="55"/>
      <c r="X932" s="56"/>
      <c r="Y932" s="38"/>
      <c r="Z932" s="38"/>
      <c r="AA932" s="38"/>
      <c r="AB932" s="38"/>
    </row>
    <row r="933" spans="1:28">
      <c r="A933" s="42"/>
      <c r="B933" s="39"/>
      <c r="C933" s="40"/>
      <c r="D933" s="42"/>
      <c r="E933" s="38"/>
      <c r="F933" s="43"/>
      <c r="G933" s="63"/>
      <c r="H933" s="58"/>
      <c r="I933" s="38"/>
      <c r="J933" s="38"/>
      <c r="K933" s="46"/>
      <c r="L933" s="47"/>
      <c r="M933" s="93"/>
      <c r="N933" s="93"/>
      <c r="O933" s="38"/>
      <c r="P933" s="38"/>
      <c r="Q933" s="14"/>
      <c r="R933" s="39"/>
      <c r="S933" s="39"/>
      <c r="T933" s="39"/>
      <c r="U933" s="40"/>
      <c r="V933" s="54"/>
      <c r="W933" s="55"/>
      <c r="X933" s="56"/>
      <c r="Y933" s="38"/>
      <c r="Z933" s="38"/>
      <c r="AA933" s="38"/>
      <c r="AB933" s="38"/>
    </row>
    <row r="934" spans="1:28">
      <c r="A934" s="42"/>
      <c r="B934" s="39"/>
      <c r="C934" s="40"/>
      <c r="D934" s="42"/>
      <c r="E934" s="38"/>
      <c r="F934" s="43"/>
      <c r="G934" s="63"/>
      <c r="H934" s="58"/>
      <c r="I934" s="38"/>
      <c r="J934" s="38"/>
      <c r="K934" s="46"/>
      <c r="L934" s="47"/>
      <c r="M934" s="93"/>
      <c r="N934" s="93"/>
      <c r="O934" s="38"/>
      <c r="P934" s="38"/>
      <c r="Q934" s="14"/>
      <c r="R934" s="39"/>
      <c r="S934" s="39"/>
      <c r="T934" s="39"/>
      <c r="U934" s="40"/>
      <c r="V934" s="54"/>
      <c r="W934" s="55"/>
      <c r="X934" s="56"/>
      <c r="Y934" s="38"/>
      <c r="Z934" s="38"/>
      <c r="AA934" s="38"/>
      <c r="AB934" s="38"/>
    </row>
    <row r="935" spans="1:28">
      <c r="A935" s="42"/>
      <c r="B935" s="39"/>
      <c r="C935" s="40"/>
      <c r="D935" s="42"/>
      <c r="E935" s="38"/>
      <c r="F935" s="43"/>
      <c r="G935" s="63"/>
      <c r="H935" s="58"/>
      <c r="I935" s="38"/>
      <c r="J935" s="38"/>
      <c r="K935" s="46"/>
      <c r="L935" s="47"/>
      <c r="M935" s="93"/>
      <c r="N935" s="93"/>
      <c r="O935" s="38"/>
      <c r="P935" s="38"/>
      <c r="Q935" s="14"/>
      <c r="R935" s="39"/>
      <c r="S935" s="39"/>
      <c r="T935" s="39"/>
      <c r="U935" s="40"/>
      <c r="V935" s="54"/>
      <c r="W935" s="55"/>
      <c r="X935" s="56"/>
      <c r="Y935" s="38"/>
      <c r="Z935" s="38"/>
      <c r="AA935" s="38"/>
      <c r="AB935" s="38"/>
    </row>
    <row r="936" spans="1:28">
      <c r="A936" s="42"/>
      <c r="B936" s="39"/>
      <c r="C936" s="40"/>
      <c r="D936" s="42"/>
      <c r="E936" s="38"/>
      <c r="F936" s="43"/>
      <c r="G936" s="63"/>
      <c r="H936" s="58"/>
      <c r="I936" s="38"/>
      <c r="J936" s="38"/>
      <c r="K936" s="46"/>
      <c r="L936" s="47"/>
      <c r="M936" s="93"/>
      <c r="N936" s="93"/>
      <c r="O936" s="38"/>
      <c r="P936" s="38"/>
      <c r="Q936" s="14"/>
      <c r="R936" s="39"/>
      <c r="S936" s="39"/>
      <c r="T936" s="39"/>
      <c r="U936" s="40"/>
      <c r="V936" s="54"/>
      <c r="W936" s="55"/>
      <c r="X936" s="56"/>
      <c r="Y936" s="38"/>
      <c r="Z936" s="38"/>
      <c r="AA936" s="38"/>
      <c r="AB936" s="38"/>
    </row>
    <row r="937" spans="1:28">
      <c r="A937" s="42"/>
      <c r="B937" s="39"/>
      <c r="C937" s="40"/>
      <c r="D937" s="42"/>
      <c r="E937" s="38"/>
      <c r="F937" s="43"/>
      <c r="G937" s="63"/>
      <c r="H937" s="58"/>
      <c r="I937" s="38"/>
      <c r="J937" s="38"/>
      <c r="K937" s="46"/>
      <c r="L937" s="47"/>
      <c r="M937" s="93"/>
      <c r="N937" s="93"/>
      <c r="O937" s="38"/>
      <c r="P937" s="38"/>
      <c r="Q937" s="14"/>
      <c r="R937" s="39"/>
      <c r="S937" s="39"/>
      <c r="T937" s="39"/>
      <c r="U937" s="40"/>
      <c r="V937" s="54"/>
      <c r="W937" s="55"/>
      <c r="X937" s="56"/>
      <c r="Y937" s="38"/>
      <c r="Z937" s="38"/>
      <c r="AA937" s="38"/>
      <c r="AB937" s="38"/>
    </row>
    <row r="938" spans="1:28">
      <c r="A938" s="42"/>
      <c r="B938" s="39"/>
      <c r="C938" s="40"/>
      <c r="D938" s="42"/>
      <c r="E938" s="38"/>
      <c r="F938" s="43"/>
      <c r="G938" s="63"/>
      <c r="H938" s="58"/>
      <c r="I938" s="38"/>
      <c r="J938" s="38"/>
      <c r="K938" s="46"/>
      <c r="L938" s="47"/>
      <c r="M938" s="93"/>
      <c r="N938" s="93"/>
      <c r="O938" s="38"/>
      <c r="P938" s="38"/>
      <c r="Q938" s="14"/>
      <c r="R938" s="39"/>
      <c r="S938" s="39"/>
      <c r="T938" s="39"/>
      <c r="U938" s="40"/>
      <c r="V938" s="54"/>
      <c r="W938" s="55"/>
      <c r="X938" s="56"/>
      <c r="Y938" s="38"/>
      <c r="Z938" s="38"/>
      <c r="AA938" s="38"/>
      <c r="AB938" s="38"/>
    </row>
    <row r="939" spans="1:28">
      <c r="A939" s="42"/>
      <c r="B939" s="39"/>
      <c r="C939" s="40"/>
      <c r="D939" s="42"/>
      <c r="E939" s="38"/>
      <c r="F939" s="43"/>
      <c r="G939" s="63"/>
      <c r="H939" s="58"/>
      <c r="I939" s="38"/>
      <c r="J939" s="38"/>
      <c r="K939" s="46"/>
      <c r="L939" s="47"/>
      <c r="M939" s="93"/>
      <c r="N939" s="93"/>
      <c r="O939" s="38"/>
      <c r="P939" s="38"/>
      <c r="Q939" s="14"/>
      <c r="R939" s="39"/>
      <c r="S939" s="39"/>
      <c r="T939" s="39"/>
      <c r="U939" s="40"/>
      <c r="V939" s="54"/>
      <c r="W939" s="55"/>
      <c r="X939" s="56"/>
      <c r="Y939" s="38"/>
      <c r="Z939" s="38"/>
      <c r="AA939" s="38"/>
      <c r="AB939" s="38"/>
    </row>
    <row r="940" spans="1:28">
      <c r="A940" s="42"/>
      <c r="B940" s="39"/>
      <c r="C940" s="40"/>
      <c r="D940" s="42"/>
      <c r="E940" s="38"/>
      <c r="F940" s="43"/>
      <c r="G940" s="63"/>
      <c r="H940" s="58"/>
      <c r="I940" s="38"/>
      <c r="J940" s="38"/>
      <c r="K940" s="46"/>
      <c r="L940" s="47"/>
      <c r="M940" s="93"/>
      <c r="N940" s="93"/>
      <c r="O940" s="38"/>
      <c r="P940" s="38"/>
      <c r="Q940" s="14"/>
      <c r="R940" s="39"/>
      <c r="S940" s="39"/>
      <c r="T940" s="39"/>
      <c r="U940" s="40"/>
      <c r="V940" s="54"/>
      <c r="W940" s="55"/>
      <c r="X940" s="56"/>
      <c r="Y940" s="38"/>
      <c r="Z940" s="38"/>
      <c r="AA940" s="38"/>
      <c r="AB940" s="38"/>
    </row>
    <row r="941" spans="1:28">
      <c r="A941" s="42"/>
      <c r="B941" s="39"/>
      <c r="C941" s="40"/>
      <c r="D941" s="42"/>
      <c r="E941" s="38"/>
      <c r="F941" s="43"/>
      <c r="G941" s="63"/>
      <c r="H941" s="58"/>
      <c r="I941" s="38"/>
      <c r="J941" s="38"/>
      <c r="K941" s="46"/>
      <c r="L941" s="47"/>
      <c r="M941" s="93"/>
      <c r="N941" s="93"/>
      <c r="O941" s="38"/>
      <c r="P941" s="38"/>
      <c r="Q941" s="14"/>
      <c r="R941" s="39"/>
      <c r="S941" s="39"/>
      <c r="T941" s="39"/>
      <c r="U941" s="40"/>
      <c r="V941" s="54"/>
      <c r="W941" s="55"/>
      <c r="X941" s="56"/>
      <c r="Y941" s="38"/>
      <c r="Z941" s="38"/>
      <c r="AA941" s="38"/>
      <c r="AB941" s="38"/>
    </row>
    <row r="942" spans="1:28">
      <c r="A942" s="42"/>
      <c r="B942" s="39"/>
      <c r="C942" s="40"/>
      <c r="D942" s="42"/>
      <c r="E942" s="38"/>
      <c r="F942" s="43"/>
      <c r="G942" s="63"/>
      <c r="H942" s="58"/>
      <c r="I942" s="38"/>
      <c r="J942" s="38"/>
      <c r="K942" s="46"/>
      <c r="L942" s="47"/>
      <c r="M942" s="93"/>
      <c r="N942" s="93"/>
      <c r="O942" s="38"/>
      <c r="P942" s="38"/>
      <c r="Q942" s="14"/>
      <c r="R942" s="39"/>
      <c r="S942" s="39"/>
      <c r="T942" s="39"/>
      <c r="U942" s="40"/>
      <c r="V942" s="54"/>
      <c r="W942" s="55"/>
      <c r="X942" s="56"/>
      <c r="Y942" s="38"/>
      <c r="Z942" s="38"/>
      <c r="AA942" s="38"/>
      <c r="AB942" s="38"/>
    </row>
    <row r="943" spans="1:28">
      <c r="A943" s="42"/>
      <c r="B943" s="39"/>
      <c r="C943" s="40"/>
      <c r="D943" s="42"/>
      <c r="E943" s="38"/>
      <c r="F943" s="43"/>
      <c r="G943" s="63"/>
      <c r="H943" s="58"/>
      <c r="I943" s="38"/>
      <c r="J943" s="38"/>
      <c r="K943" s="46"/>
      <c r="L943" s="47"/>
      <c r="M943" s="93"/>
      <c r="N943" s="93"/>
      <c r="O943" s="38"/>
      <c r="P943" s="38"/>
      <c r="Q943" s="14"/>
      <c r="R943" s="39"/>
      <c r="S943" s="39"/>
      <c r="T943" s="39"/>
      <c r="U943" s="40"/>
      <c r="V943" s="54"/>
      <c r="W943" s="55"/>
      <c r="X943" s="56"/>
      <c r="Y943" s="38"/>
      <c r="Z943" s="38"/>
      <c r="AA943" s="38"/>
      <c r="AB943" s="38"/>
    </row>
    <row r="944" spans="1:28">
      <c r="A944" s="42"/>
      <c r="B944" s="39"/>
      <c r="C944" s="40"/>
      <c r="D944" s="42"/>
      <c r="E944" s="38"/>
      <c r="F944" s="43"/>
      <c r="G944" s="63"/>
      <c r="H944" s="58"/>
      <c r="I944" s="38"/>
      <c r="J944" s="38"/>
      <c r="K944" s="46"/>
      <c r="L944" s="47"/>
      <c r="M944" s="93"/>
      <c r="N944" s="93"/>
      <c r="O944" s="38"/>
      <c r="P944" s="38"/>
      <c r="Q944" s="14"/>
      <c r="R944" s="39"/>
      <c r="S944" s="39"/>
      <c r="T944" s="39"/>
      <c r="U944" s="40"/>
      <c r="V944" s="54"/>
      <c r="W944" s="55"/>
      <c r="X944" s="56"/>
      <c r="Y944" s="38"/>
      <c r="Z944" s="38"/>
      <c r="AA944" s="38"/>
      <c r="AB944" s="38"/>
    </row>
    <row r="945" spans="1:28">
      <c r="A945" s="42"/>
      <c r="B945" s="39"/>
      <c r="C945" s="40"/>
      <c r="D945" s="42"/>
      <c r="E945" s="38"/>
      <c r="F945" s="43"/>
      <c r="G945" s="63"/>
      <c r="H945" s="58"/>
      <c r="I945" s="38"/>
      <c r="J945" s="38"/>
      <c r="K945" s="46"/>
      <c r="L945" s="47"/>
      <c r="M945" s="93"/>
      <c r="N945" s="93"/>
      <c r="O945" s="38"/>
      <c r="P945" s="38"/>
      <c r="Q945" s="14"/>
      <c r="R945" s="39"/>
      <c r="S945" s="39"/>
      <c r="T945" s="39"/>
      <c r="U945" s="40"/>
      <c r="V945" s="54"/>
      <c r="W945" s="55"/>
      <c r="X945" s="56"/>
      <c r="Y945" s="38"/>
      <c r="Z945" s="38"/>
      <c r="AA945" s="38"/>
      <c r="AB945" s="38"/>
    </row>
    <row r="946" spans="1:28">
      <c r="A946" s="42"/>
      <c r="B946" s="39"/>
      <c r="C946" s="40"/>
      <c r="D946" s="42"/>
      <c r="E946" s="38"/>
      <c r="F946" s="43"/>
      <c r="G946" s="63"/>
      <c r="H946" s="58"/>
      <c r="I946" s="38"/>
      <c r="J946" s="38"/>
      <c r="K946" s="46"/>
      <c r="L946" s="47"/>
      <c r="M946" s="93"/>
      <c r="N946" s="93"/>
      <c r="O946" s="38"/>
      <c r="P946" s="38"/>
      <c r="Q946" s="14"/>
      <c r="R946" s="39"/>
      <c r="S946" s="39"/>
      <c r="T946" s="39"/>
      <c r="U946" s="40"/>
      <c r="V946" s="54"/>
      <c r="W946" s="55"/>
      <c r="X946" s="56"/>
      <c r="Y946" s="38"/>
      <c r="Z946" s="38"/>
      <c r="AA946" s="38"/>
      <c r="AB946" s="38"/>
    </row>
    <row r="947" spans="1:28">
      <c r="A947" s="42"/>
      <c r="B947" s="39"/>
      <c r="C947" s="40"/>
      <c r="D947" s="42"/>
      <c r="E947" s="38"/>
      <c r="F947" s="43"/>
      <c r="G947" s="63"/>
      <c r="H947" s="58"/>
      <c r="I947" s="38"/>
      <c r="J947" s="38"/>
      <c r="K947" s="46"/>
      <c r="L947" s="47"/>
      <c r="M947" s="93"/>
      <c r="N947" s="93"/>
      <c r="O947" s="38"/>
      <c r="P947" s="38"/>
      <c r="Q947" s="14"/>
      <c r="R947" s="39"/>
      <c r="S947" s="39"/>
      <c r="T947" s="39"/>
      <c r="U947" s="40"/>
      <c r="V947" s="54"/>
      <c r="W947" s="55"/>
      <c r="X947" s="56"/>
      <c r="Y947" s="38"/>
      <c r="Z947" s="38"/>
      <c r="AA947" s="38"/>
      <c r="AB947" s="38"/>
    </row>
    <row r="948" spans="1:28">
      <c r="A948" s="42"/>
      <c r="B948" s="39"/>
      <c r="C948" s="40"/>
      <c r="D948" s="42"/>
      <c r="E948" s="38"/>
      <c r="F948" s="43"/>
      <c r="G948" s="63"/>
      <c r="H948" s="58"/>
      <c r="I948" s="38"/>
      <c r="J948" s="38"/>
      <c r="K948" s="46"/>
      <c r="L948" s="47"/>
      <c r="M948" s="93"/>
      <c r="N948" s="93"/>
      <c r="O948" s="38"/>
      <c r="P948" s="38"/>
      <c r="Q948" s="14"/>
      <c r="R948" s="39"/>
      <c r="S948" s="39"/>
      <c r="T948" s="39"/>
      <c r="U948" s="40"/>
      <c r="V948" s="54"/>
      <c r="W948" s="55"/>
      <c r="X948" s="56"/>
      <c r="Y948" s="38"/>
      <c r="Z948" s="38"/>
      <c r="AA948" s="38"/>
      <c r="AB948" s="38"/>
    </row>
    <row r="949" spans="1:28">
      <c r="A949" s="42"/>
      <c r="B949" s="39"/>
      <c r="C949" s="40"/>
      <c r="D949" s="42"/>
      <c r="E949" s="38"/>
      <c r="F949" s="43"/>
      <c r="G949" s="63"/>
      <c r="H949" s="58"/>
      <c r="I949" s="38"/>
      <c r="J949" s="38"/>
      <c r="K949" s="46"/>
      <c r="L949" s="47"/>
      <c r="M949" s="93"/>
      <c r="N949" s="93"/>
      <c r="O949" s="38"/>
      <c r="P949" s="38"/>
      <c r="Q949" s="14"/>
      <c r="R949" s="39"/>
      <c r="S949" s="39"/>
      <c r="T949" s="39"/>
      <c r="U949" s="40"/>
      <c r="V949" s="54"/>
      <c r="W949" s="55"/>
      <c r="X949" s="56"/>
      <c r="Y949" s="38"/>
      <c r="Z949" s="38"/>
      <c r="AA949" s="38"/>
      <c r="AB949" s="38"/>
    </row>
    <row r="950" spans="1:28">
      <c r="A950" s="42"/>
      <c r="B950" s="39"/>
      <c r="C950" s="40"/>
      <c r="D950" s="42"/>
      <c r="E950" s="38"/>
      <c r="F950" s="43"/>
      <c r="G950" s="63"/>
      <c r="H950" s="58"/>
      <c r="I950" s="38"/>
      <c r="J950" s="38"/>
      <c r="K950" s="46"/>
      <c r="L950" s="47"/>
      <c r="M950" s="93"/>
      <c r="N950" s="93"/>
      <c r="O950" s="38"/>
      <c r="P950" s="38"/>
      <c r="Q950" s="14"/>
      <c r="R950" s="39"/>
      <c r="S950" s="39"/>
      <c r="T950" s="39"/>
      <c r="U950" s="40"/>
      <c r="V950" s="54"/>
      <c r="W950" s="55"/>
      <c r="X950" s="56"/>
      <c r="Y950" s="38"/>
      <c r="Z950" s="38"/>
      <c r="AA950" s="38"/>
      <c r="AB950" s="38"/>
    </row>
    <row r="951" spans="1:28">
      <c r="A951" s="42"/>
      <c r="B951" s="39"/>
      <c r="C951" s="40"/>
      <c r="D951" s="42"/>
      <c r="E951" s="38"/>
      <c r="F951" s="43"/>
      <c r="G951" s="63"/>
      <c r="H951" s="58"/>
      <c r="I951" s="38"/>
      <c r="J951" s="38"/>
      <c r="K951" s="46"/>
      <c r="L951" s="47"/>
      <c r="M951" s="93"/>
      <c r="N951" s="93"/>
      <c r="O951" s="38"/>
      <c r="P951" s="38"/>
      <c r="Q951" s="14"/>
      <c r="R951" s="39"/>
      <c r="S951" s="39"/>
      <c r="T951" s="39"/>
      <c r="U951" s="40"/>
      <c r="V951" s="54"/>
      <c r="W951" s="55"/>
      <c r="X951" s="56"/>
      <c r="Y951" s="38"/>
      <c r="Z951" s="38"/>
      <c r="AA951" s="38"/>
      <c r="AB951" s="38"/>
    </row>
    <row r="952" spans="1:28">
      <c r="A952" s="42"/>
      <c r="B952" s="39"/>
      <c r="C952" s="40"/>
      <c r="D952" s="42"/>
      <c r="E952" s="38"/>
      <c r="F952" s="43"/>
      <c r="G952" s="63"/>
      <c r="H952" s="58"/>
      <c r="I952" s="38"/>
      <c r="J952" s="38"/>
      <c r="K952" s="46"/>
      <c r="L952" s="47"/>
      <c r="M952" s="93"/>
      <c r="N952" s="93"/>
      <c r="O952" s="38"/>
      <c r="P952" s="38"/>
      <c r="Q952" s="14"/>
      <c r="R952" s="39"/>
      <c r="S952" s="39"/>
      <c r="T952" s="39"/>
      <c r="U952" s="40"/>
      <c r="V952" s="54"/>
      <c r="W952" s="55"/>
      <c r="X952" s="56"/>
      <c r="Y952" s="38"/>
      <c r="Z952" s="38"/>
      <c r="AA952" s="38"/>
      <c r="AB952" s="38"/>
    </row>
    <row r="953" spans="1:28">
      <c r="A953" s="42"/>
      <c r="B953" s="39"/>
      <c r="C953" s="40"/>
      <c r="D953" s="42"/>
      <c r="E953" s="38"/>
      <c r="F953" s="43"/>
      <c r="G953" s="63"/>
      <c r="H953" s="58"/>
      <c r="I953" s="38"/>
      <c r="J953" s="38"/>
      <c r="K953" s="46"/>
      <c r="L953" s="47"/>
      <c r="M953" s="93"/>
      <c r="N953" s="93"/>
      <c r="O953" s="38"/>
      <c r="P953" s="38"/>
      <c r="Q953" s="14"/>
      <c r="R953" s="39"/>
      <c r="S953" s="39"/>
      <c r="T953" s="39"/>
      <c r="U953" s="40"/>
      <c r="V953" s="54"/>
      <c r="W953" s="55"/>
      <c r="X953" s="56"/>
      <c r="Y953" s="38"/>
      <c r="Z953" s="38"/>
      <c r="AA953" s="38"/>
      <c r="AB953" s="38"/>
    </row>
    <row r="954" spans="1:28">
      <c r="A954" s="42"/>
      <c r="B954" s="39"/>
      <c r="C954" s="40"/>
      <c r="D954" s="42"/>
      <c r="E954" s="38"/>
      <c r="F954" s="43"/>
      <c r="G954" s="63"/>
      <c r="H954" s="58"/>
      <c r="I954" s="38"/>
      <c r="J954" s="38"/>
      <c r="K954" s="46"/>
      <c r="L954" s="47"/>
      <c r="M954" s="93"/>
      <c r="N954" s="93"/>
      <c r="O954" s="38"/>
      <c r="P954" s="38"/>
      <c r="Q954" s="14"/>
      <c r="R954" s="39"/>
      <c r="S954" s="39"/>
      <c r="T954" s="39"/>
      <c r="U954" s="40"/>
      <c r="V954" s="54"/>
      <c r="W954" s="55"/>
      <c r="X954" s="56"/>
      <c r="Y954" s="38"/>
      <c r="Z954" s="38"/>
      <c r="AA954" s="38"/>
      <c r="AB954" s="38"/>
    </row>
    <row r="955" spans="1:28">
      <c r="A955" s="42"/>
      <c r="B955" s="39"/>
      <c r="C955" s="40"/>
      <c r="D955" s="42"/>
      <c r="E955" s="38"/>
      <c r="F955" s="43"/>
      <c r="G955" s="63"/>
      <c r="H955" s="58"/>
      <c r="I955" s="38"/>
      <c r="J955" s="38"/>
      <c r="K955" s="46"/>
      <c r="L955" s="47"/>
      <c r="M955" s="93"/>
      <c r="N955" s="93"/>
      <c r="O955" s="38"/>
      <c r="P955" s="38"/>
      <c r="Q955" s="14"/>
      <c r="R955" s="39"/>
      <c r="S955" s="39"/>
      <c r="T955" s="39"/>
      <c r="U955" s="40"/>
      <c r="V955" s="54"/>
      <c r="W955" s="55"/>
      <c r="X955" s="56"/>
      <c r="Y955" s="38"/>
      <c r="Z955" s="38"/>
      <c r="AA955" s="38"/>
      <c r="AB955" s="38"/>
    </row>
    <row r="956" spans="1:28">
      <c r="A956" s="42"/>
      <c r="B956" s="39"/>
      <c r="C956" s="40"/>
      <c r="D956" s="42"/>
      <c r="E956" s="38"/>
      <c r="F956" s="43"/>
      <c r="G956" s="63"/>
      <c r="H956" s="58"/>
      <c r="I956" s="38"/>
      <c r="J956" s="38"/>
      <c r="K956" s="46"/>
      <c r="L956" s="47"/>
      <c r="M956" s="93"/>
      <c r="N956" s="93"/>
      <c r="O956" s="38"/>
      <c r="P956" s="38"/>
      <c r="Q956" s="14"/>
      <c r="R956" s="39"/>
      <c r="S956" s="39"/>
      <c r="T956" s="39"/>
      <c r="U956" s="40"/>
      <c r="V956" s="54"/>
      <c r="W956" s="55"/>
      <c r="X956" s="56"/>
      <c r="Y956" s="38"/>
      <c r="Z956" s="38"/>
      <c r="AA956" s="38"/>
      <c r="AB956" s="38"/>
    </row>
    <row r="957" spans="1:28">
      <c r="A957" s="42"/>
      <c r="B957" s="39"/>
      <c r="C957" s="40"/>
      <c r="D957" s="42"/>
      <c r="E957" s="38"/>
      <c r="F957" s="43"/>
      <c r="G957" s="63"/>
      <c r="H957" s="58"/>
      <c r="I957" s="38"/>
      <c r="J957" s="38"/>
      <c r="K957" s="46"/>
      <c r="L957" s="47"/>
      <c r="M957" s="93"/>
      <c r="N957" s="93"/>
      <c r="O957" s="38"/>
      <c r="P957" s="38"/>
      <c r="Q957" s="14"/>
      <c r="R957" s="39"/>
      <c r="S957" s="39"/>
      <c r="T957" s="39"/>
      <c r="U957" s="40"/>
      <c r="V957" s="54"/>
      <c r="W957" s="55"/>
      <c r="X957" s="56"/>
      <c r="Y957" s="38"/>
      <c r="Z957" s="38"/>
      <c r="AA957" s="38"/>
      <c r="AB957" s="38"/>
    </row>
    <row r="958" spans="1:28">
      <c r="A958" s="42"/>
      <c r="B958" s="39"/>
      <c r="C958" s="40"/>
      <c r="D958" s="42"/>
      <c r="E958" s="38"/>
      <c r="F958" s="43"/>
      <c r="G958" s="63"/>
      <c r="H958" s="58"/>
      <c r="I958" s="38"/>
      <c r="J958" s="38"/>
      <c r="K958" s="46"/>
      <c r="L958" s="47"/>
      <c r="M958" s="93"/>
      <c r="N958" s="93"/>
      <c r="O958" s="38"/>
      <c r="P958" s="38"/>
      <c r="Q958" s="14"/>
      <c r="R958" s="39"/>
      <c r="S958" s="39"/>
      <c r="T958" s="39"/>
      <c r="U958" s="40"/>
      <c r="V958" s="54"/>
      <c r="W958" s="55"/>
      <c r="X958" s="56"/>
      <c r="Y958" s="38"/>
      <c r="Z958" s="38"/>
      <c r="AA958" s="38"/>
      <c r="AB958" s="38"/>
    </row>
    <row r="959" spans="1:28">
      <c r="A959" s="42"/>
      <c r="B959" s="39"/>
      <c r="C959" s="40"/>
      <c r="D959" s="42"/>
      <c r="E959" s="38"/>
      <c r="F959" s="43"/>
      <c r="G959" s="63"/>
      <c r="H959" s="58"/>
      <c r="I959" s="38"/>
      <c r="J959" s="38"/>
      <c r="K959" s="46"/>
      <c r="L959" s="47"/>
      <c r="M959" s="93"/>
      <c r="N959" s="93"/>
      <c r="O959" s="38"/>
      <c r="P959" s="38"/>
      <c r="Q959" s="14"/>
      <c r="R959" s="39"/>
      <c r="S959" s="39"/>
      <c r="T959" s="39"/>
      <c r="U959" s="40"/>
      <c r="V959" s="54"/>
      <c r="W959" s="55"/>
      <c r="X959" s="56"/>
      <c r="Y959" s="38"/>
      <c r="Z959" s="38"/>
      <c r="AA959" s="38"/>
      <c r="AB959" s="38"/>
    </row>
    <row r="960" spans="1:28">
      <c r="A960" s="42"/>
      <c r="B960" s="39"/>
      <c r="C960" s="40"/>
      <c r="D960" s="42"/>
      <c r="E960" s="38"/>
      <c r="F960" s="43"/>
      <c r="G960" s="63"/>
      <c r="H960" s="58"/>
      <c r="I960" s="38"/>
      <c r="J960" s="38"/>
      <c r="K960" s="46"/>
      <c r="L960" s="47"/>
      <c r="M960" s="93"/>
      <c r="N960" s="93"/>
      <c r="O960" s="38"/>
      <c r="P960" s="38"/>
      <c r="Q960" s="14"/>
      <c r="R960" s="39"/>
      <c r="S960" s="39"/>
      <c r="T960" s="39"/>
      <c r="U960" s="40"/>
      <c r="V960" s="54"/>
      <c r="W960" s="55"/>
      <c r="X960" s="56"/>
      <c r="Y960" s="38"/>
      <c r="Z960" s="38"/>
      <c r="AA960" s="38"/>
      <c r="AB960" s="38"/>
    </row>
    <row r="961" spans="1:28">
      <c r="A961" s="42"/>
      <c r="B961" s="39"/>
      <c r="C961" s="40"/>
      <c r="D961" s="42"/>
      <c r="E961" s="38"/>
      <c r="F961" s="43"/>
      <c r="G961" s="63"/>
      <c r="H961" s="58"/>
      <c r="I961" s="38"/>
      <c r="J961" s="38"/>
      <c r="K961" s="46"/>
      <c r="L961" s="47"/>
      <c r="M961" s="93"/>
      <c r="N961" s="93"/>
      <c r="O961" s="38"/>
      <c r="P961" s="38"/>
      <c r="Q961" s="14"/>
      <c r="R961" s="39"/>
      <c r="S961" s="39"/>
      <c r="T961" s="39"/>
      <c r="U961" s="40"/>
      <c r="V961" s="54"/>
      <c r="W961" s="55"/>
      <c r="X961" s="56"/>
      <c r="Y961" s="38"/>
      <c r="Z961" s="38"/>
      <c r="AA961" s="38"/>
      <c r="AB961" s="38"/>
    </row>
    <row r="962" spans="1:28">
      <c r="A962" s="42"/>
      <c r="B962" s="39"/>
      <c r="C962" s="40"/>
      <c r="D962" s="42"/>
      <c r="E962" s="38"/>
      <c r="F962" s="43"/>
      <c r="G962" s="63"/>
      <c r="H962" s="58"/>
      <c r="I962" s="38"/>
      <c r="J962" s="38"/>
      <c r="K962" s="46"/>
      <c r="L962" s="47"/>
      <c r="M962" s="93"/>
      <c r="N962" s="93"/>
      <c r="O962" s="38"/>
      <c r="P962" s="38"/>
      <c r="Q962" s="14"/>
      <c r="R962" s="39"/>
      <c r="S962" s="39"/>
      <c r="T962" s="39"/>
      <c r="U962" s="40"/>
      <c r="V962" s="54"/>
      <c r="W962" s="55"/>
      <c r="X962" s="56"/>
      <c r="Y962" s="38"/>
      <c r="Z962" s="38"/>
      <c r="AA962" s="38"/>
      <c r="AB962" s="38"/>
    </row>
    <row r="963" spans="1:28">
      <c r="A963" s="42"/>
      <c r="B963" s="39"/>
      <c r="C963" s="40"/>
      <c r="D963" s="42"/>
      <c r="E963" s="38"/>
      <c r="F963" s="43"/>
      <c r="G963" s="63"/>
      <c r="H963" s="58"/>
      <c r="I963" s="38"/>
      <c r="J963" s="38"/>
      <c r="K963" s="46"/>
      <c r="L963" s="47"/>
      <c r="M963" s="93"/>
      <c r="N963" s="93"/>
      <c r="O963" s="38"/>
      <c r="P963" s="38"/>
      <c r="Q963" s="14"/>
      <c r="R963" s="39"/>
      <c r="S963" s="39"/>
      <c r="T963" s="39"/>
      <c r="U963" s="40"/>
      <c r="V963" s="54"/>
      <c r="W963" s="55"/>
      <c r="X963" s="56"/>
      <c r="Y963" s="38"/>
      <c r="Z963" s="38"/>
      <c r="AA963" s="38"/>
      <c r="AB963" s="38"/>
    </row>
    <row r="964" spans="1:28">
      <c r="A964" s="42"/>
      <c r="B964" s="39"/>
      <c r="C964" s="40"/>
      <c r="D964" s="42"/>
      <c r="E964" s="38"/>
      <c r="F964" s="43"/>
      <c r="G964" s="63"/>
      <c r="H964" s="58"/>
      <c r="I964" s="38"/>
      <c r="J964" s="38"/>
      <c r="K964" s="46"/>
      <c r="L964" s="47"/>
      <c r="M964" s="93"/>
      <c r="N964" s="93"/>
      <c r="O964" s="38"/>
      <c r="P964" s="38"/>
      <c r="Q964" s="14"/>
      <c r="R964" s="39"/>
      <c r="S964" s="39"/>
      <c r="T964" s="39"/>
      <c r="U964" s="40"/>
      <c r="V964" s="54"/>
      <c r="W964" s="55"/>
      <c r="X964" s="56"/>
      <c r="Y964" s="38"/>
      <c r="Z964" s="38"/>
      <c r="AA964" s="38"/>
      <c r="AB964" s="38"/>
    </row>
    <row r="965" spans="1:28">
      <c r="A965" s="42"/>
      <c r="B965" s="39"/>
      <c r="C965" s="40"/>
      <c r="D965" s="42"/>
      <c r="E965" s="38"/>
      <c r="F965" s="43"/>
      <c r="G965" s="63"/>
      <c r="H965" s="58"/>
      <c r="I965" s="38"/>
      <c r="J965" s="38"/>
      <c r="K965" s="46"/>
      <c r="L965" s="47"/>
      <c r="M965" s="93"/>
      <c r="N965" s="93"/>
      <c r="O965" s="38"/>
      <c r="P965" s="38"/>
      <c r="Q965" s="14"/>
      <c r="R965" s="39"/>
      <c r="S965" s="39"/>
      <c r="T965" s="39"/>
      <c r="U965" s="40"/>
      <c r="V965" s="54"/>
      <c r="W965" s="55"/>
      <c r="X965" s="56"/>
      <c r="Y965" s="38"/>
      <c r="Z965" s="38"/>
      <c r="AA965" s="38"/>
      <c r="AB965" s="38"/>
    </row>
    <row r="966" spans="1:28">
      <c r="A966" s="42"/>
      <c r="B966" s="39"/>
      <c r="C966" s="40"/>
      <c r="D966" s="42"/>
      <c r="E966" s="38"/>
      <c r="F966" s="43"/>
      <c r="G966" s="63"/>
      <c r="H966" s="58"/>
      <c r="I966" s="38"/>
      <c r="J966" s="38"/>
      <c r="K966" s="46"/>
      <c r="L966" s="47"/>
      <c r="M966" s="93"/>
      <c r="N966" s="93"/>
      <c r="O966" s="38"/>
      <c r="P966" s="38"/>
      <c r="Q966" s="14"/>
      <c r="R966" s="39"/>
      <c r="S966" s="39"/>
      <c r="T966" s="39"/>
      <c r="U966" s="40"/>
      <c r="V966" s="54"/>
      <c r="W966" s="55"/>
      <c r="X966" s="56"/>
      <c r="Y966" s="38"/>
      <c r="Z966" s="38"/>
      <c r="AA966" s="38"/>
      <c r="AB966" s="38"/>
    </row>
    <row r="967" spans="1:28">
      <c r="A967" s="42"/>
      <c r="B967" s="39"/>
      <c r="C967" s="40"/>
      <c r="D967" s="42"/>
      <c r="E967" s="38"/>
      <c r="F967" s="43"/>
      <c r="G967" s="63"/>
      <c r="H967" s="58"/>
      <c r="I967" s="38"/>
      <c r="J967" s="38"/>
      <c r="K967" s="46"/>
      <c r="L967" s="47"/>
      <c r="M967" s="93"/>
      <c r="N967" s="93"/>
      <c r="O967" s="38"/>
      <c r="P967" s="38"/>
      <c r="Q967" s="14"/>
      <c r="R967" s="39"/>
      <c r="S967" s="39"/>
      <c r="T967" s="39"/>
      <c r="U967" s="40"/>
      <c r="V967" s="54"/>
      <c r="W967" s="55"/>
      <c r="X967" s="56"/>
      <c r="Y967" s="38"/>
      <c r="Z967" s="38"/>
      <c r="AA967" s="38"/>
      <c r="AB967" s="38"/>
    </row>
    <row r="968" spans="1:28">
      <c r="A968" s="42"/>
      <c r="B968" s="39"/>
      <c r="C968" s="40"/>
      <c r="D968" s="42"/>
      <c r="E968" s="38"/>
      <c r="F968" s="43"/>
      <c r="G968" s="63"/>
      <c r="H968" s="58"/>
      <c r="I968" s="38"/>
      <c r="J968" s="38"/>
      <c r="K968" s="46"/>
      <c r="L968" s="47"/>
      <c r="M968" s="93"/>
      <c r="N968" s="93"/>
      <c r="O968" s="38"/>
      <c r="P968" s="38"/>
      <c r="Q968" s="14"/>
      <c r="R968" s="39"/>
      <c r="S968" s="39"/>
      <c r="T968" s="39"/>
      <c r="U968" s="40"/>
      <c r="V968" s="54"/>
      <c r="W968" s="55"/>
      <c r="X968" s="56"/>
      <c r="Y968" s="38"/>
      <c r="Z968" s="38"/>
      <c r="AA968" s="38"/>
      <c r="AB968" s="38"/>
    </row>
    <row r="969" spans="1:28">
      <c r="A969" s="42"/>
      <c r="B969" s="39"/>
      <c r="C969" s="40"/>
      <c r="D969" s="42"/>
      <c r="E969" s="38"/>
      <c r="F969" s="43"/>
      <c r="G969" s="63"/>
      <c r="H969" s="58"/>
      <c r="I969" s="38"/>
      <c r="J969" s="38"/>
      <c r="K969" s="46"/>
      <c r="L969" s="47"/>
      <c r="M969" s="93"/>
      <c r="N969" s="93"/>
      <c r="O969" s="38"/>
      <c r="P969" s="38"/>
      <c r="Q969" s="14"/>
      <c r="R969" s="39"/>
      <c r="S969" s="39"/>
      <c r="T969" s="39"/>
      <c r="U969" s="40"/>
      <c r="V969" s="54"/>
      <c r="W969" s="55"/>
      <c r="X969" s="56"/>
      <c r="Y969" s="38"/>
      <c r="Z969" s="38"/>
      <c r="AA969" s="38"/>
      <c r="AB969" s="38"/>
    </row>
    <row r="970" spans="1:28">
      <c r="A970" s="42"/>
      <c r="B970" s="39"/>
      <c r="C970" s="40"/>
      <c r="D970" s="42"/>
      <c r="E970" s="38"/>
      <c r="F970" s="43"/>
      <c r="G970" s="63"/>
      <c r="H970" s="58"/>
      <c r="I970" s="38"/>
      <c r="J970" s="38"/>
      <c r="K970" s="46"/>
      <c r="L970" s="47"/>
      <c r="M970" s="93"/>
      <c r="N970" s="93"/>
      <c r="O970" s="38"/>
      <c r="P970" s="38"/>
      <c r="Q970" s="14"/>
      <c r="R970" s="39"/>
      <c r="S970" s="39"/>
      <c r="T970" s="39"/>
      <c r="U970" s="40"/>
      <c r="V970" s="54"/>
      <c r="W970" s="55"/>
      <c r="X970" s="56"/>
      <c r="Y970" s="38"/>
      <c r="Z970" s="38"/>
      <c r="AA970" s="38"/>
      <c r="AB970" s="38"/>
    </row>
    <row r="971" spans="1:28">
      <c r="A971" s="42"/>
      <c r="B971" s="39"/>
      <c r="C971" s="40"/>
      <c r="D971" s="42"/>
      <c r="E971" s="38"/>
      <c r="F971" s="43"/>
      <c r="G971" s="63"/>
      <c r="H971" s="58"/>
      <c r="I971" s="38"/>
      <c r="J971" s="38"/>
      <c r="K971" s="46"/>
      <c r="L971" s="47"/>
      <c r="M971" s="93"/>
      <c r="N971" s="93"/>
      <c r="O971" s="38"/>
      <c r="P971" s="38"/>
      <c r="Q971" s="14"/>
      <c r="R971" s="39"/>
      <c r="S971" s="39"/>
      <c r="T971" s="39"/>
      <c r="U971" s="40"/>
      <c r="V971" s="54"/>
      <c r="W971" s="55"/>
      <c r="X971" s="56"/>
      <c r="Y971" s="38"/>
      <c r="Z971" s="38"/>
      <c r="AA971" s="38"/>
      <c r="AB971" s="38"/>
    </row>
    <row r="972" spans="1:28">
      <c r="A972" s="42"/>
      <c r="B972" s="39"/>
      <c r="C972" s="40"/>
      <c r="D972" s="42"/>
      <c r="E972" s="38"/>
      <c r="F972" s="43"/>
      <c r="G972" s="63"/>
      <c r="H972" s="58"/>
      <c r="I972" s="38"/>
      <c r="J972" s="38"/>
      <c r="K972" s="46"/>
      <c r="L972" s="47"/>
      <c r="M972" s="93"/>
      <c r="N972" s="93"/>
      <c r="O972" s="38"/>
      <c r="P972" s="38"/>
      <c r="Q972" s="14"/>
      <c r="R972" s="39"/>
      <c r="S972" s="39"/>
      <c r="T972" s="39"/>
      <c r="U972" s="40"/>
      <c r="V972" s="54"/>
      <c r="W972" s="55"/>
      <c r="X972" s="56"/>
      <c r="Y972" s="38"/>
      <c r="Z972" s="38"/>
      <c r="AA972" s="38"/>
      <c r="AB972" s="38"/>
    </row>
    <row r="973" spans="1:28">
      <c r="A973" s="42"/>
      <c r="B973" s="39"/>
      <c r="C973" s="40"/>
      <c r="D973" s="42"/>
      <c r="E973" s="38"/>
      <c r="F973" s="43"/>
      <c r="G973" s="63"/>
      <c r="H973" s="58"/>
      <c r="I973" s="38"/>
      <c r="J973" s="38"/>
      <c r="K973" s="46"/>
      <c r="L973" s="47"/>
      <c r="M973" s="93"/>
      <c r="N973" s="93"/>
      <c r="O973" s="38"/>
      <c r="P973" s="38"/>
      <c r="Q973" s="14"/>
      <c r="R973" s="39"/>
      <c r="S973" s="39"/>
      <c r="T973" s="39"/>
      <c r="U973" s="40"/>
      <c r="V973" s="54"/>
      <c r="W973" s="55"/>
      <c r="X973" s="56"/>
      <c r="Y973" s="38"/>
      <c r="Z973" s="38"/>
      <c r="AA973" s="38"/>
      <c r="AB973" s="38"/>
    </row>
    <row r="974" spans="1:28">
      <c r="A974" s="42"/>
      <c r="B974" s="39"/>
      <c r="C974" s="40"/>
      <c r="D974" s="42"/>
      <c r="E974" s="38"/>
      <c r="F974" s="43"/>
      <c r="G974" s="63"/>
      <c r="H974" s="58"/>
      <c r="I974" s="38"/>
      <c r="J974" s="38"/>
      <c r="K974" s="46"/>
      <c r="L974" s="47"/>
      <c r="M974" s="93"/>
      <c r="N974" s="93"/>
      <c r="O974" s="38"/>
      <c r="P974" s="38"/>
      <c r="Q974" s="14"/>
      <c r="R974" s="39"/>
      <c r="S974" s="39"/>
      <c r="T974" s="39"/>
      <c r="U974" s="40"/>
      <c r="V974" s="54"/>
      <c r="W974" s="55"/>
      <c r="X974" s="56"/>
      <c r="Y974" s="38"/>
      <c r="Z974" s="38"/>
      <c r="AA974" s="38"/>
      <c r="AB974" s="38"/>
    </row>
    <row r="975" spans="1:28">
      <c r="A975" s="42"/>
      <c r="B975" s="39"/>
      <c r="C975" s="40"/>
      <c r="D975" s="42"/>
      <c r="E975" s="38"/>
      <c r="F975" s="43"/>
      <c r="G975" s="63"/>
      <c r="H975" s="58"/>
      <c r="I975" s="38"/>
      <c r="J975" s="38"/>
      <c r="K975" s="46"/>
      <c r="L975" s="47"/>
      <c r="M975" s="93"/>
      <c r="N975" s="93"/>
      <c r="O975" s="38"/>
      <c r="P975" s="38"/>
      <c r="Q975" s="14"/>
      <c r="R975" s="39"/>
      <c r="S975" s="39"/>
      <c r="T975" s="39"/>
      <c r="U975" s="40"/>
      <c r="V975" s="54"/>
      <c r="W975" s="55"/>
      <c r="X975" s="56"/>
      <c r="Y975" s="38"/>
      <c r="Z975" s="38"/>
      <c r="AA975" s="38"/>
      <c r="AB975" s="38"/>
    </row>
    <row r="976" spans="1:28">
      <c r="A976" s="42"/>
      <c r="B976" s="39"/>
      <c r="C976" s="40"/>
      <c r="D976" s="42"/>
      <c r="E976" s="38"/>
      <c r="F976" s="43"/>
      <c r="G976" s="63"/>
      <c r="H976" s="58"/>
      <c r="I976" s="38"/>
      <c r="J976" s="38"/>
      <c r="K976" s="46"/>
      <c r="L976" s="47"/>
      <c r="M976" s="93"/>
      <c r="N976" s="93"/>
      <c r="O976" s="38"/>
      <c r="P976" s="38"/>
      <c r="Q976" s="14"/>
      <c r="R976" s="39"/>
      <c r="S976" s="39"/>
      <c r="T976" s="39"/>
      <c r="U976" s="40"/>
      <c r="V976" s="54"/>
      <c r="W976" s="55"/>
      <c r="X976" s="56"/>
      <c r="Y976" s="38"/>
      <c r="Z976" s="38"/>
      <c r="AA976" s="38"/>
      <c r="AB976" s="38"/>
    </row>
    <row r="977" spans="1:28">
      <c r="A977" s="42"/>
      <c r="B977" s="39"/>
      <c r="C977" s="40"/>
      <c r="D977" s="42"/>
      <c r="E977" s="38"/>
      <c r="F977" s="43"/>
      <c r="G977" s="63"/>
      <c r="H977" s="58"/>
      <c r="I977" s="38"/>
      <c r="J977" s="38"/>
      <c r="K977" s="46"/>
      <c r="L977" s="47"/>
      <c r="M977" s="93"/>
      <c r="N977" s="93"/>
      <c r="O977" s="38"/>
      <c r="P977" s="38"/>
      <c r="Q977" s="14"/>
      <c r="R977" s="39"/>
      <c r="S977" s="39"/>
      <c r="T977" s="39"/>
      <c r="U977" s="40"/>
      <c r="V977" s="54"/>
      <c r="W977" s="55"/>
      <c r="X977" s="56"/>
      <c r="Y977" s="38"/>
      <c r="Z977" s="38"/>
      <c r="AA977" s="38"/>
      <c r="AB977" s="38"/>
    </row>
    <row r="978" spans="1:28">
      <c r="A978" s="42"/>
      <c r="B978" s="39"/>
      <c r="C978" s="40"/>
      <c r="D978" s="42"/>
      <c r="E978" s="38"/>
      <c r="F978" s="43"/>
      <c r="G978" s="63"/>
      <c r="H978" s="58"/>
      <c r="I978" s="38"/>
      <c r="J978" s="38"/>
      <c r="K978" s="46"/>
      <c r="L978" s="47"/>
      <c r="M978" s="93"/>
      <c r="N978" s="93"/>
      <c r="O978" s="38"/>
      <c r="P978" s="38"/>
      <c r="Q978" s="14"/>
      <c r="R978" s="39"/>
      <c r="S978" s="39"/>
      <c r="T978" s="39"/>
      <c r="U978" s="40"/>
      <c r="V978" s="54"/>
      <c r="W978" s="55"/>
      <c r="X978" s="56"/>
      <c r="Y978" s="38"/>
      <c r="Z978" s="38"/>
      <c r="AA978" s="38"/>
      <c r="AB978" s="38"/>
    </row>
    <row r="979" spans="1:28">
      <c r="A979" s="42"/>
      <c r="B979" s="39"/>
      <c r="C979" s="40"/>
      <c r="D979" s="42"/>
      <c r="E979" s="38"/>
      <c r="F979" s="43"/>
      <c r="G979" s="63"/>
      <c r="H979" s="58"/>
      <c r="I979" s="38"/>
      <c r="J979" s="38"/>
      <c r="K979" s="46"/>
      <c r="L979" s="47"/>
      <c r="M979" s="93"/>
      <c r="N979" s="93"/>
      <c r="O979" s="38"/>
      <c r="P979" s="38"/>
      <c r="Q979" s="14"/>
      <c r="R979" s="39"/>
      <c r="S979" s="39"/>
      <c r="T979" s="39"/>
      <c r="U979" s="40"/>
      <c r="V979" s="54"/>
      <c r="W979" s="55"/>
      <c r="X979" s="56"/>
      <c r="Y979" s="38"/>
      <c r="Z979" s="38"/>
      <c r="AA979" s="38"/>
      <c r="AB979" s="38"/>
    </row>
    <row r="980" spans="1:28">
      <c r="A980" s="42"/>
      <c r="B980" s="39"/>
      <c r="C980" s="40"/>
      <c r="D980" s="42"/>
      <c r="E980" s="38"/>
      <c r="F980" s="43"/>
      <c r="G980" s="63"/>
      <c r="H980" s="58"/>
      <c r="I980" s="38"/>
      <c r="J980" s="38"/>
      <c r="K980" s="46"/>
      <c r="L980" s="47"/>
      <c r="M980" s="93"/>
      <c r="N980" s="93"/>
      <c r="O980" s="38"/>
      <c r="P980" s="38"/>
      <c r="Q980" s="14"/>
      <c r="R980" s="39"/>
      <c r="S980" s="39"/>
      <c r="T980" s="39"/>
      <c r="U980" s="40"/>
      <c r="V980" s="54"/>
      <c r="W980" s="55"/>
      <c r="X980" s="56"/>
      <c r="Y980" s="38"/>
      <c r="Z980" s="38"/>
      <c r="AA980" s="38"/>
      <c r="AB980" s="38"/>
    </row>
    <row r="981" spans="1:28">
      <c r="A981" s="42"/>
      <c r="B981" s="39"/>
      <c r="C981" s="40"/>
      <c r="D981" s="42"/>
      <c r="E981" s="38"/>
      <c r="F981" s="43"/>
      <c r="G981" s="63"/>
      <c r="H981" s="58"/>
      <c r="I981" s="38"/>
      <c r="J981" s="38"/>
      <c r="K981" s="46"/>
      <c r="L981" s="47"/>
      <c r="M981" s="93"/>
      <c r="N981" s="93"/>
      <c r="O981" s="38"/>
      <c r="P981" s="38"/>
      <c r="Q981" s="14"/>
      <c r="R981" s="39"/>
      <c r="S981" s="39"/>
      <c r="T981" s="39"/>
      <c r="U981" s="40"/>
      <c r="V981" s="54"/>
      <c r="W981" s="55"/>
      <c r="X981" s="56"/>
      <c r="Y981" s="38"/>
      <c r="Z981" s="38"/>
      <c r="AA981" s="38"/>
      <c r="AB981" s="38"/>
    </row>
    <row r="982" spans="1:28">
      <c r="A982" s="42"/>
      <c r="B982" s="39"/>
      <c r="C982" s="40"/>
      <c r="D982" s="42"/>
      <c r="E982" s="38"/>
      <c r="F982" s="43"/>
      <c r="G982" s="63"/>
      <c r="H982" s="58"/>
      <c r="I982" s="38"/>
      <c r="J982" s="38"/>
      <c r="K982" s="46"/>
      <c r="L982" s="47"/>
      <c r="M982" s="93"/>
      <c r="N982" s="93"/>
      <c r="O982" s="38"/>
      <c r="P982" s="38"/>
      <c r="Q982" s="14"/>
      <c r="R982" s="39"/>
      <c r="S982" s="39"/>
      <c r="T982" s="39"/>
      <c r="U982" s="40"/>
      <c r="V982" s="54"/>
      <c r="W982" s="55"/>
      <c r="X982" s="56"/>
      <c r="Y982" s="38"/>
      <c r="Z982" s="38"/>
      <c r="AA982" s="38"/>
      <c r="AB982" s="38"/>
    </row>
    <row r="983" spans="1:28">
      <c r="A983" s="42"/>
      <c r="B983" s="39"/>
      <c r="C983" s="40"/>
      <c r="D983" s="42"/>
      <c r="E983" s="38"/>
      <c r="F983" s="43"/>
      <c r="G983" s="63"/>
      <c r="H983" s="58"/>
      <c r="I983" s="38"/>
      <c r="J983" s="38"/>
      <c r="K983" s="46"/>
      <c r="L983" s="47"/>
      <c r="M983" s="93"/>
      <c r="N983" s="93"/>
      <c r="O983" s="38"/>
      <c r="P983" s="38"/>
      <c r="Q983" s="14"/>
      <c r="R983" s="39"/>
      <c r="S983" s="39"/>
      <c r="T983" s="39"/>
      <c r="U983" s="40"/>
      <c r="V983" s="54"/>
      <c r="W983" s="55"/>
      <c r="X983" s="56"/>
      <c r="Y983" s="38"/>
      <c r="Z983" s="38"/>
      <c r="AA983" s="38"/>
      <c r="AB983" s="38"/>
    </row>
    <row r="984" spans="1:28">
      <c r="A984" s="42"/>
      <c r="B984" s="39"/>
      <c r="C984" s="40"/>
      <c r="D984" s="42"/>
      <c r="E984" s="38"/>
      <c r="F984" s="43"/>
      <c r="G984" s="63"/>
      <c r="H984" s="58"/>
      <c r="I984" s="38"/>
      <c r="J984" s="38"/>
      <c r="K984" s="46"/>
      <c r="L984" s="47"/>
      <c r="M984" s="93"/>
      <c r="N984" s="93"/>
      <c r="O984" s="38"/>
      <c r="P984" s="38"/>
      <c r="Q984" s="14"/>
      <c r="R984" s="39"/>
      <c r="S984" s="39"/>
      <c r="T984" s="39"/>
      <c r="U984" s="40"/>
      <c r="V984" s="54"/>
      <c r="W984" s="55"/>
      <c r="X984" s="56"/>
      <c r="Y984" s="38"/>
      <c r="Z984" s="38"/>
      <c r="AA984" s="38"/>
      <c r="AB984" s="38"/>
    </row>
    <row r="985" spans="1:28">
      <c r="A985" s="42"/>
      <c r="B985" s="39"/>
      <c r="C985" s="40"/>
      <c r="D985" s="42"/>
      <c r="E985" s="38"/>
      <c r="F985" s="43"/>
      <c r="G985" s="63"/>
      <c r="H985" s="58"/>
      <c r="I985" s="38"/>
      <c r="J985" s="38"/>
      <c r="K985" s="46"/>
      <c r="L985" s="47"/>
      <c r="M985" s="93"/>
      <c r="N985" s="93"/>
      <c r="O985" s="38"/>
      <c r="P985" s="38"/>
      <c r="Q985" s="14"/>
      <c r="R985" s="39"/>
      <c r="S985" s="39"/>
      <c r="T985" s="39"/>
      <c r="U985" s="40"/>
      <c r="V985" s="54"/>
      <c r="W985" s="55"/>
      <c r="X985" s="56"/>
      <c r="Y985" s="38"/>
      <c r="Z985" s="38"/>
      <c r="AA985" s="38"/>
      <c r="AB985" s="38"/>
    </row>
    <row r="986" spans="1:28">
      <c r="A986" s="42"/>
      <c r="B986" s="39"/>
      <c r="C986" s="40"/>
      <c r="D986" s="42"/>
      <c r="E986" s="38"/>
      <c r="F986" s="43"/>
      <c r="G986" s="63"/>
      <c r="H986" s="58"/>
      <c r="I986" s="38"/>
      <c r="J986" s="38"/>
      <c r="K986" s="46"/>
      <c r="L986" s="47"/>
      <c r="M986" s="93"/>
      <c r="N986" s="93"/>
      <c r="O986" s="38"/>
      <c r="P986" s="38"/>
      <c r="Q986" s="14"/>
      <c r="R986" s="39"/>
      <c r="S986" s="39"/>
      <c r="T986" s="39"/>
      <c r="U986" s="40"/>
      <c r="V986" s="54"/>
      <c r="W986" s="55"/>
      <c r="X986" s="56"/>
      <c r="Y986" s="38"/>
      <c r="Z986" s="38"/>
      <c r="AA986" s="38"/>
      <c r="AB986" s="38"/>
    </row>
    <row r="987" spans="1:28">
      <c r="A987" s="42"/>
      <c r="B987" s="39"/>
      <c r="C987" s="40"/>
      <c r="D987" s="42"/>
      <c r="E987" s="38"/>
      <c r="F987" s="43"/>
      <c r="G987" s="63"/>
      <c r="H987" s="58"/>
      <c r="I987" s="38"/>
      <c r="J987" s="38"/>
      <c r="K987" s="46"/>
      <c r="L987" s="47"/>
      <c r="M987" s="93"/>
      <c r="N987" s="93"/>
      <c r="O987" s="38"/>
      <c r="P987" s="38"/>
      <c r="Q987" s="14"/>
      <c r="R987" s="39"/>
      <c r="S987" s="39"/>
      <c r="T987" s="39"/>
      <c r="U987" s="40"/>
      <c r="V987" s="54"/>
      <c r="W987" s="55"/>
      <c r="X987" s="56"/>
      <c r="Y987" s="38"/>
      <c r="Z987" s="38"/>
      <c r="AA987" s="38"/>
      <c r="AB987" s="38"/>
    </row>
    <row r="988" spans="1:28">
      <c r="A988" s="42"/>
      <c r="B988" s="39"/>
      <c r="C988" s="40"/>
      <c r="D988" s="42"/>
      <c r="E988" s="38"/>
      <c r="F988" s="43"/>
      <c r="G988" s="63"/>
      <c r="H988" s="58"/>
      <c r="I988" s="38"/>
      <c r="J988" s="38"/>
      <c r="K988" s="46"/>
      <c r="L988" s="47"/>
      <c r="M988" s="93"/>
      <c r="N988" s="93"/>
      <c r="O988" s="38"/>
      <c r="P988" s="38"/>
      <c r="Q988" s="14"/>
      <c r="R988" s="39"/>
      <c r="S988" s="39"/>
      <c r="T988" s="39"/>
      <c r="U988" s="40"/>
      <c r="V988" s="54"/>
      <c r="W988" s="55"/>
      <c r="X988" s="56"/>
      <c r="Y988" s="38"/>
      <c r="Z988" s="38"/>
      <c r="AA988" s="38"/>
      <c r="AB988" s="38"/>
    </row>
    <row r="989" spans="1:28">
      <c r="A989" s="42"/>
      <c r="B989" s="39"/>
      <c r="C989" s="40"/>
      <c r="D989" s="42"/>
      <c r="E989" s="38"/>
      <c r="F989" s="43"/>
      <c r="G989" s="63"/>
      <c r="H989" s="58"/>
      <c r="I989" s="38"/>
      <c r="J989" s="38"/>
      <c r="K989" s="46"/>
      <c r="L989" s="47"/>
      <c r="M989" s="93"/>
      <c r="N989" s="93"/>
      <c r="O989" s="38"/>
      <c r="P989" s="38"/>
      <c r="Q989" s="14"/>
      <c r="R989" s="39"/>
      <c r="S989" s="39"/>
      <c r="T989" s="39"/>
      <c r="U989" s="40"/>
      <c r="V989" s="54"/>
      <c r="W989" s="55"/>
      <c r="X989" s="56"/>
      <c r="Y989" s="38"/>
      <c r="Z989" s="38"/>
      <c r="AA989" s="38"/>
      <c r="AB989" s="38"/>
    </row>
    <row r="990" spans="1:28">
      <c r="A990" s="42"/>
      <c r="B990" s="39"/>
      <c r="C990" s="40"/>
      <c r="D990" s="42"/>
      <c r="E990" s="38"/>
      <c r="F990" s="43"/>
      <c r="G990" s="63"/>
      <c r="H990" s="58"/>
      <c r="I990" s="38"/>
      <c r="J990" s="38"/>
      <c r="K990" s="46"/>
      <c r="L990" s="47"/>
      <c r="M990" s="93"/>
      <c r="N990" s="93"/>
      <c r="O990" s="38"/>
      <c r="P990" s="38"/>
      <c r="Q990" s="14"/>
      <c r="R990" s="39"/>
      <c r="S990" s="39"/>
      <c r="T990" s="39"/>
      <c r="U990" s="40"/>
      <c r="V990" s="54"/>
      <c r="W990" s="55"/>
      <c r="X990" s="56"/>
      <c r="Y990" s="38"/>
      <c r="Z990" s="38"/>
      <c r="AA990" s="38"/>
      <c r="AB990" s="38"/>
    </row>
    <row r="991" spans="1:28">
      <c r="A991" s="42"/>
      <c r="B991" s="39"/>
      <c r="C991" s="40"/>
      <c r="D991" s="42"/>
      <c r="E991" s="38"/>
      <c r="F991" s="43"/>
      <c r="G991" s="63"/>
      <c r="H991" s="58"/>
      <c r="I991" s="38"/>
      <c r="J991" s="38"/>
      <c r="K991" s="46"/>
      <c r="L991" s="47"/>
      <c r="M991" s="93"/>
      <c r="N991" s="93"/>
      <c r="O991" s="38"/>
      <c r="P991" s="38"/>
      <c r="Q991" s="14"/>
      <c r="R991" s="39"/>
      <c r="S991" s="39"/>
      <c r="T991" s="39"/>
      <c r="U991" s="40"/>
      <c r="V991" s="54"/>
      <c r="W991" s="55"/>
      <c r="X991" s="56"/>
      <c r="Y991" s="38"/>
      <c r="Z991" s="38"/>
      <c r="AA991" s="38"/>
      <c r="AB991" s="38"/>
    </row>
    <row r="992" spans="1:28">
      <c r="A992" s="42"/>
      <c r="B992" s="39"/>
      <c r="C992" s="40"/>
      <c r="D992" s="42"/>
      <c r="E992" s="38"/>
      <c r="F992" s="43"/>
      <c r="G992" s="63"/>
      <c r="H992" s="58"/>
      <c r="I992" s="38"/>
      <c r="J992" s="38"/>
      <c r="K992" s="46"/>
      <c r="L992" s="47"/>
      <c r="M992" s="93"/>
      <c r="N992" s="93"/>
      <c r="O992" s="38"/>
      <c r="P992" s="38"/>
      <c r="Q992" s="14"/>
      <c r="R992" s="39"/>
      <c r="S992" s="39"/>
      <c r="T992" s="39"/>
      <c r="U992" s="40"/>
      <c r="V992" s="54"/>
      <c r="W992" s="55"/>
      <c r="X992" s="56"/>
      <c r="Y992" s="38"/>
      <c r="Z992" s="38"/>
      <c r="AA992" s="38"/>
      <c r="AB992" s="38"/>
    </row>
    <row r="993" spans="1:28">
      <c r="A993" s="42"/>
      <c r="B993" s="39"/>
      <c r="C993" s="40"/>
      <c r="D993" s="42"/>
      <c r="E993" s="38"/>
      <c r="F993" s="43"/>
      <c r="G993" s="63"/>
      <c r="H993" s="58"/>
      <c r="I993" s="38"/>
      <c r="J993" s="38"/>
      <c r="K993" s="46"/>
      <c r="L993" s="47"/>
      <c r="M993" s="93"/>
      <c r="N993" s="93"/>
      <c r="O993" s="38"/>
      <c r="P993" s="38"/>
      <c r="Q993" s="14"/>
      <c r="R993" s="39"/>
      <c r="S993" s="39"/>
      <c r="T993" s="39"/>
      <c r="U993" s="40"/>
      <c r="V993" s="54"/>
      <c r="W993" s="55"/>
      <c r="X993" s="56"/>
      <c r="Y993" s="38"/>
      <c r="Z993" s="38"/>
      <c r="AA993" s="38"/>
      <c r="AB993" s="38"/>
    </row>
    <row r="994" spans="1:28">
      <c r="A994" s="42"/>
      <c r="B994" s="39"/>
      <c r="C994" s="40"/>
      <c r="D994" s="42"/>
      <c r="E994" s="38"/>
      <c r="F994" s="43"/>
      <c r="G994" s="63"/>
      <c r="H994" s="58"/>
      <c r="I994" s="38"/>
      <c r="J994" s="38"/>
      <c r="K994" s="46"/>
      <c r="L994" s="47"/>
      <c r="M994" s="93"/>
      <c r="N994" s="93"/>
      <c r="O994" s="38"/>
      <c r="P994" s="38"/>
      <c r="Q994" s="14"/>
      <c r="R994" s="39"/>
      <c r="S994" s="39"/>
      <c r="T994" s="39"/>
      <c r="U994" s="40"/>
      <c r="V994" s="54"/>
      <c r="W994" s="55"/>
      <c r="X994" s="56"/>
      <c r="Y994" s="38"/>
      <c r="Z994" s="38"/>
      <c r="AA994" s="38"/>
      <c r="AB994" s="38"/>
    </row>
    <row r="995" spans="1:28">
      <c r="A995" s="42"/>
      <c r="B995" s="39"/>
      <c r="C995" s="40"/>
      <c r="D995" s="42"/>
      <c r="E995" s="38"/>
      <c r="F995" s="43"/>
      <c r="G995" s="63"/>
      <c r="H995" s="58"/>
      <c r="I995" s="38"/>
      <c r="J995" s="38"/>
      <c r="K995" s="46"/>
      <c r="L995" s="47"/>
      <c r="M995" s="93"/>
      <c r="N995" s="93"/>
      <c r="O995" s="38"/>
      <c r="P995" s="38"/>
      <c r="Q995" s="14"/>
      <c r="R995" s="39"/>
      <c r="S995" s="39"/>
      <c r="T995" s="39"/>
      <c r="U995" s="40"/>
      <c r="V995" s="54"/>
      <c r="W995" s="55"/>
      <c r="X995" s="56"/>
      <c r="Y995" s="38"/>
      <c r="Z995" s="38"/>
      <c r="AA995" s="38"/>
      <c r="AB995" s="38"/>
    </row>
    <row r="996" spans="1:28">
      <c r="A996" s="42"/>
      <c r="B996" s="39"/>
      <c r="C996" s="40"/>
      <c r="D996" s="42"/>
      <c r="E996" s="38"/>
      <c r="F996" s="43"/>
      <c r="G996" s="63"/>
      <c r="H996" s="58"/>
      <c r="I996" s="38"/>
      <c r="J996" s="38"/>
      <c r="K996" s="46"/>
      <c r="L996" s="47"/>
      <c r="M996" s="93"/>
      <c r="N996" s="93"/>
      <c r="O996" s="38"/>
      <c r="P996" s="38"/>
      <c r="Q996" s="14"/>
      <c r="R996" s="39"/>
      <c r="S996" s="39"/>
      <c r="T996" s="39"/>
      <c r="U996" s="40"/>
      <c r="V996" s="54"/>
      <c r="W996" s="55"/>
      <c r="X996" s="56"/>
      <c r="Y996" s="38"/>
      <c r="Z996" s="38"/>
      <c r="AA996" s="38"/>
      <c r="AB996" s="38"/>
    </row>
    <row r="997" spans="1:28">
      <c r="A997" s="42"/>
      <c r="B997" s="39"/>
      <c r="C997" s="40"/>
      <c r="D997" s="42"/>
      <c r="E997" s="38"/>
      <c r="F997" s="43"/>
      <c r="G997" s="63"/>
      <c r="H997" s="58"/>
      <c r="I997" s="38"/>
      <c r="J997" s="38"/>
      <c r="K997" s="46"/>
      <c r="L997" s="47"/>
      <c r="M997" s="93"/>
      <c r="N997" s="93"/>
      <c r="O997" s="38"/>
      <c r="P997" s="38"/>
      <c r="Q997" s="14"/>
      <c r="R997" s="39"/>
      <c r="S997" s="39"/>
      <c r="T997" s="39"/>
      <c r="U997" s="40"/>
      <c r="V997" s="54"/>
      <c r="W997" s="55"/>
      <c r="X997" s="56"/>
      <c r="Y997" s="38"/>
      <c r="Z997" s="38"/>
      <c r="AA997" s="38"/>
      <c r="AB997" s="38"/>
    </row>
    <row r="998" spans="1:28">
      <c r="A998" s="42"/>
      <c r="B998" s="39"/>
      <c r="C998" s="40"/>
      <c r="D998" s="42"/>
      <c r="E998" s="38"/>
      <c r="F998" s="43"/>
      <c r="G998" s="63"/>
      <c r="H998" s="58"/>
      <c r="I998" s="38"/>
      <c r="J998" s="38"/>
      <c r="K998" s="46"/>
      <c r="L998" s="47"/>
      <c r="M998" s="93"/>
      <c r="N998" s="93"/>
      <c r="O998" s="38"/>
      <c r="P998" s="38"/>
      <c r="Q998" s="14"/>
      <c r="R998" s="39"/>
      <c r="S998" s="39"/>
      <c r="T998" s="39"/>
      <c r="U998" s="40"/>
      <c r="V998" s="54"/>
      <c r="W998" s="55"/>
      <c r="X998" s="56"/>
      <c r="Y998" s="38"/>
      <c r="Z998" s="38"/>
      <c r="AA998" s="38"/>
      <c r="AB998" s="38"/>
    </row>
    <row r="999" spans="1:28">
      <c r="A999" s="42"/>
      <c r="B999" s="39"/>
      <c r="C999" s="40"/>
      <c r="D999" s="42"/>
      <c r="E999" s="38"/>
      <c r="F999" s="43"/>
      <c r="G999" s="63"/>
      <c r="H999" s="58"/>
      <c r="I999" s="38"/>
      <c r="J999" s="38"/>
      <c r="K999" s="46"/>
      <c r="L999" s="47"/>
      <c r="M999" s="93"/>
      <c r="N999" s="93"/>
      <c r="O999" s="38"/>
      <c r="P999" s="38"/>
      <c r="Q999" s="14"/>
      <c r="R999" s="39"/>
      <c r="S999" s="39"/>
      <c r="T999" s="39"/>
      <c r="U999" s="40"/>
      <c r="V999" s="54"/>
      <c r="W999" s="55"/>
      <c r="X999" s="56"/>
      <c r="Y999" s="38"/>
      <c r="Z999" s="38"/>
      <c r="AA999" s="38"/>
      <c r="AB999" s="38"/>
    </row>
    <row r="1000" spans="1:28">
      <c r="A1000" s="42"/>
      <c r="B1000" s="39"/>
      <c r="C1000" s="40"/>
      <c r="D1000" s="42"/>
      <c r="E1000" s="38"/>
      <c r="F1000" s="43"/>
      <c r="G1000" s="63"/>
      <c r="H1000" s="58"/>
      <c r="I1000" s="38"/>
      <c r="J1000" s="38"/>
      <c r="K1000" s="46"/>
      <c r="L1000" s="47"/>
      <c r="M1000" s="93"/>
      <c r="N1000" s="93"/>
      <c r="O1000" s="38"/>
      <c r="P1000" s="38"/>
      <c r="Q1000" s="14"/>
      <c r="R1000" s="39"/>
      <c r="S1000" s="39"/>
      <c r="T1000" s="39"/>
      <c r="U1000" s="40"/>
      <c r="V1000" s="54"/>
      <c r="W1000" s="55"/>
      <c r="X1000" s="56"/>
      <c r="Y1000" s="38"/>
      <c r="Z1000" s="38"/>
      <c r="AA1000" s="38"/>
      <c r="AB1000" s="38"/>
    </row>
    <row r="1001" spans="1:28">
      <c r="A1001" s="42"/>
      <c r="B1001" s="39"/>
      <c r="C1001" s="40"/>
      <c r="D1001" s="42"/>
      <c r="E1001" s="38"/>
      <c r="F1001" s="43"/>
      <c r="G1001" s="63"/>
      <c r="H1001" s="58"/>
      <c r="I1001" s="38"/>
      <c r="J1001" s="38"/>
      <c r="K1001" s="46"/>
      <c r="L1001" s="47"/>
      <c r="M1001" s="93"/>
      <c r="N1001" s="93"/>
      <c r="O1001" s="38"/>
      <c r="P1001" s="38"/>
      <c r="Q1001" s="14"/>
      <c r="R1001" s="39"/>
      <c r="S1001" s="39"/>
      <c r="T1001" s="39"/>
      <c r="U1001" s="40"/>
      <c r="V1001" s="54"/>
      <c r="W1001" s="55"/>
      <c r="X1001" s="56"/>
      <c r="Y1001" s="38"/>
      <c r="Z1001" s="38"/>
      <c r="AA1001" s="38"/>
      <c r="AB1001" s="38"/>
    </row>
    <row r="1002" spans="1:28">
      <c r="A1002" s="42"/>
      <c r="B1002" s="39"/>
      <c r="C1002" s="40"/>
      <c r="D1002" s="42"/>
      <c r="E1002" s="38"/>
      <c r="F1002" s="43"/>
      <c r="G1002" s="63"/>
      <c r="H1002" s="58"/>
      <c r="I1002" s="38"/>
      <c r="J1002" s="38"/>
      <c r="K1002" s="46"/>
      <c r="L1002" s="47"/>
      <c r="M1002" s="93"/>
      <c r="N1002" s="93"/>
      <c r="O1002" s="38"/>
      <c r="P1002" s="38"/>
      <c r="Q1002" s="14"/>
      <c r="R1002" s="39"/>
      <c r="S1002" s="39"/>
      <c r="T1002" s="39"/>
      <c r="U1002" s="40"/>
      <c r="V1002" s="54"/>
      <c r="W1002" s="55"/>
      <c r="X1002" s="56"/>
      <c r="Y1002" s="38"/>
      <c r="Z1002" s="38"/>
      <c r="AA1002" s="38"/>
      <c r="AB1002" s="38"/>
    </row>
    <row r="1003" spans="1:28">
      <c r="A1003" s="42"/>
      <c r="B1003" s="39"/>
      <c r="C1003" s="40"/>
      <c r="D1003" s="42"/>
      <c r="E1003" s="38"/>
      <c r="F1003" s="43"/>
      <c r="G1003" s="63"/>
      <c r="H1003" s="58"/>
      <c r="I1003" s="38"/>
      <c r="J1003" s="38"/>
      <c r="K1003" s="46"/>
      <c r="L1003" s="47"/>
      <c r="M1003" s="93"/>
      <c r="N1003" s="93"/>
      <c r="O1003" s="38"/>
      <c r="P1003" s="38"/>
      <c r="Q1003" s="14"/>
      <c r="R1003" s="39"/>
      <c r="S1003" s="39"/>
      <c r="T1003" s="39"/>
      <c r="U1003" s="40"/>
      <c r="V1003" s="54"/>
      <c r="W1003" s="55"/>
      <c r="X1003" s="56"/>
      <c r="Y1003" s="38"/>
      <c r="Z1003" s="38"/>
      <c r="AA1003" s="38"/>
      <c r="AB1003" s="38"/>
    </row>
    <row r="1004" spans="1:28">
      <c r="A1004" s="42"/>
      <c r="B1004" s="39"/>
      <c r="C1004" s="40"/>
      <c r="D1004" s="42"/>
      <c r="E1004" s="38"/>
      <c r="F1004" s="43"/>
      <c r="G1004" s="63"/>
      <c r="H1004" s="58"/>
      <c r="I1004" s="38"/>
      <c r="J1004" s="38"/>
      <c r="K1004" s="46"/>
      <c r="L1004" s="47"/>
      <c r="M1004" s="93"/>
      <c r="N1004" s="93"/>
      <c r="O1004" s="38"/>
      <c r="P1004" s="38"/>
      <c r="Q1004" s="14"/>
      <c r="R1004" s="39"/>
      <c r="S1004" s="39"/>
      <c r="T1004" s="39"/>
      <c r="U1004" s="40"/>
      <c r="V1004" s="54"/>
      <c r="W1004" s="55"/>
      <c r="X1004" s="56"/>
      <c r="Y1004" s="38"/>
      <c r="Z1004" s="38"/>
      <c r="AA1004" s="38"/>
      <c r="AB1004" s="38"/>
    </row>
    <row r="1005" spans="1:28">
      <c r="A1005" s="42"/>
      <c r="B1005" s="39"/>
      <c r="C1005" s="40"/>
      <c r="D1005" s="42"/>
      <c r="E1005" s="38"/>
      <c r="F1005" s="43"/>
      <c r="G1005" s="63"/>
      <c r="H1005" s="58"/>
      <c r="I1005" s="38"/>
      <c r="J1005" s="38"/>
      <c r="K1005" s="46"/>
      <c r="L1005" s="47"/>
      <c r="M1005" s="93"/>
      <c r="N1005" s="93"/>
      <c r="O1005" s="38"/>
      <c r="P1005" s="38"/>
      <c r="Q1005" s="14"/>
      <c r="R1005" s="39"/>
      <c r="S1005" s="39"/>
      <c r="T1005" s="39"/>
      <c r="U1005" s="40"/>
      <c r="V1005" s="54"/>
      <c r="W1005" s="55"/>
      <c r="X1005" s="56"/>
      <c r="Y1005" s="38"/>
      <c r="Z1005" s="38"/>
      <c r="AA1005" s="38"/>
      <c r="AB1005" s="38"/>
    </row>
    <row r="1006" spans="1:28">
      <c r="A1006" s="42"/>
      <c r="B1006" s="39"/>
      <c r="C1006" s="40"/>
      <c r="D1006" s="42"/>
      <c r="E1006" s="38"/>
      <c r="F1006" s="43"/>
      <c r="G1006" s="63"/>
      <c r="H1006" s="58"/>
      <c r="I1006" s="38"/>
      <c r="J1006" s="38"/>
      <c r="K1006" s="46"/>
      <c r="L1006" s="47"/>
      <c r="M1006" s="93"/>
      <c r="N1006" s="93"/>
      <c r="O1006" s="38"/>
      <c r="P1006" s="38"/>
      <c r="Q1006" s="14"/>
      <c r="R1006" s="39"/>
      <c r="S1006" s="39"/>
      <c r="T1006" s="39"/>
      <c r="U1006" s="40"/>
      <c r="V1006" s="54"/>
      <c r="W1006" s="55"/>
      <c r="X1006" s="56"/>
      <c r="Y1006" s="38"/>
      <c r="Z1006" s="38"/>
      <c r="AA1006" s="38"/>
      <c r="AB1006" s="38"/>
    </row>
    <row r="1007" spans="1:28">
      <c r="A1007" s="42"/>
      <c r="B1007" s="39"/>
      <c r="C1007" s="40"/>
      <c r="D1007" s="42"/>
      <c r="E1007" s="38"/>
      <c r="F1007" s="43"/>
      <c r="G1007" s="63"/>
      <c r="H1007" s="58"/>
      <c r="I1007" s="38"/>
      <c r="J1007" s="38"/>
      <c r="K1007" s="46"/>
      <c r="L1007" s="47"/>
      <c r="M1007" s="93"/>
      <c r="N1007" s="93"/>
      <c r="O1007" s="38"/>
      <c r="P1007" s="38"/>
      <c r="Q1007" s="14"/>
      <c r="R1007" s="39"/>
      <c r="S1007" s="39"/>
      <c r="T1007" s="39"/>
      <c r="U1007" s="40"/>
      <c r="V1007" s="54"/>
      <c r="W1007" s="55"/>
      <c r="X1007" s="56"/>
      <c r="Y1007" s="38"/>
      <c r="Z1007" s="38"/>
      <c r="AA1007" s="38"/>
      <c r="AB1007" s="38"/>
    </row>
    <row r="1008" spans="1:28">
      <c r="A1008" s="42"/>
      <c r="B1008" s="39"/>
      <c r="C1008" s="40"/>
      <c r="D1008" s="42"/>
      <c r="E1008" s="38"/>
      <c r="F1008" s="43"/>
      <c r="G1008" s="63"/>
      <c r="H1008" s="58"/>
      <c r="I1008" s="38"/>
      <c r="J1008" s="38"/>
      <c r="K1008" s="46"/>
      <c r="L1008" s="47"/>
      <c r="M1008" s="93"/>
      <c r="N1008" s="93"/>
      <c r="O1008" s="38"/>
      <c r="P1008" s="38"/>
      <c r="Q1008" s="14"/>
      <c r="R1008" s="39"/>
      <c r="S1008" s="39"/>
      <c r="T1008" s="39"/>
      <c r="U1008" s="40"/>
      <c r="V1008" s="54"/>
      <c r="W1008" s="55"/>
      <c r="X1008" s="56"/>
      <c r="Y1008" s="38"/>
      <c r="Z1008" s="38"/>
      <c r="AA1008" s="38"/>
      <c r="AB1008" s="38"/>
    </row>
    <row r="1009" spans="1:28">
      <c r="A1009" s="42"/>
      <c r="B1009" s="39"/>
      <c r="C1009" s="40"/>
      <c r="D1009" s="42"/>
      <c r="E1009" s="38"/>
      <c r="F1009" s="43"/>
      <c r="G1009" s="63"/>
      <c r="H1009" s="58"/>
      <c r="I1009" s="38"/>
      <c r="J1009" s="38"/>
      <c r="K1009" s="46"/>
      <c r="L1009" s="47"/>
      <c r="M1009" s="93"/>
      <c r="N1009" s="93"/>
      <c r="O1009" s="38"/>
      <c r="P1009" s="38"/>
      <c r="Q1009" s="14"/>
      <c r="R1009" s="39"/>
      <c r="S1009" s="39"/>
      <c r="T1009" s="39"/>
      <c r="U1009" s="40"/>
      <c r="V1009" s="54"/>
      <c r="W1009" s="55"/>
      <c r="X1009" s="56"/>
      <c r="Y1009" s="38"/>
      <c r="Z1009" s="38"/>
      <c r="AA1009" s="38"/>
      <c r="AB1009" s="38"/>
    </row>
    <row r="1010" spans="1:28">
      <c r="A1010" s="42"/>
      <c r="B1010" s="39"/>
      <c r="C1010" s="40"/>
      <c r="D1010" s="42"/>
      <c r="E1010" s="38"/>
      <c r="F1010" s="43"/>
      <c r="G1010" s="63"/>
      <c r="H1010" s="58"/>
      <c r="I1010" s="38"/>
      <c r="J1010" s="38"/>
      <c r="K1010" s="46"/>
      <c r="L1010" s="47"/>
      <c r="M1010" s="93"/>
      <c r="N1010" s="93"/>
      <c r="O1010" s="38"/>
      <c r="P1010" s="38"/>
      <c r="Q1010" s="14"/>
      <c r="R1010" s="39"/>
      <c r="S1010" s="39"/>
      <c r="T1010" s="39"/>
      <c r="U1010" s="40"/>
      <c r="V1010" s="54"/>
      <c r="W1010" s="55"/>
      <c r="X1010" s="56"/>
      <c r="Y1010" s="38"/>
      <c r="Z1010" s="38"/>
      <c r="AA1010" s="38"/>
      <c r="AB1010" s="38"/>
    </row>
    <row r="1011" spans="1:28">
      <c r="A1011" s="42"/>
      <c r="B1011" s="39"/>
      <c r="C1011" s="40"/>
      <c r="D1011" s="42"/>
      <c r="E1011" s="38"/>
      <c r="F1011" s="43"/>
      <c r="G1011" s="63"/>
      <c r="H1011" s="58"/>
      <c r="I1011" s="38"/>
      <c r="J1011" s="38"/>
      <c r="K1011" s="46"/>
      <c r="L1011" s="47"/>
      <c r="M1011" s="93"/>
      <c r="N1011" s="93"/>
      <c r="O1011" s="38"/>
      <c r="P1011" s="38"/>
      <c r="Q1011" s="14"/>
      <c r="R1011" s="39"/>
      <c r="S1011" s="39"/>
      <c r="T1011" s="39"/>
      <c r="U1011" s="40"/>
      <c r="V1011" s="54"/>
      <c r="W1011" s="55"/>
      <c r="X1011" s="56"/>
      <c r="Y1011" s="38"/>
      <c r="Z1011" s="38"/>
      <c r="AA1011" s="38"/>
      <c r="AB1011" s="38"/>
    </row>
    <row r="1012" spans="1:28">
      <c r="A1012" s="42"/>
      <c r="B1012" s="39"/>
      <c r="C1012" s="40"/>
      <c r="D1012" s="42"/>
      <c r="E1012" s="38"/>
      <c r="F1012" s="43"/>
      <c r="G1012" s="63"/>
      <c r="H1012" s="58"/>
      <c r="I1012" s="38"/>
      <c r="J1012" s="38"/>
      <c r="K1012" s="46"/>
      <c r="L1012" s="47"/>
      <c r="M1012" s="93"/>
      <c r="N1012" s="93"/>
      <c r="O1012" s="38"/>
      <c r="P1012" s="38"/>
      <c r="Q1012" s="14"/>
      <c r="R1012" s="39"/>
      <c r="S1012" s="39"/>
      <c r="T1012" s="39"/>
      <c r="U1012" s="40"/>
      <c r="V1012" s="54"/>
      <c r="W1012" s="55"/>
      <c r="X1012" s="56"/>
      <c r="Y1012" s="38"/>
      <c r="Z1012" s="38"/>
      <c r="AA1012" s="38"/>
      <c r="AB1012" s="38"/>
    </row>
    <row r="1013" spans="1:28">
      <c r="A1013" s="42"/>
      <c r="B1013" s="39"/>
      <c r="C1013" s="40"/>
      <c r="D1013" s="42"/>
      <c r="E1013" s="38"/>
      <c r="F1013" s="43"/>
      <c r="G1013" s="63"/>
      <c r="H1013" s="58"/>
      <c r="I1013" s="38"/>
      <c r="J1013" s="38"/>
      <c r="K1013" s="46"/>
      <c r="L1013" s="47"/>
      <c r="M1013" s="93"/>
      <c r="N1013" s="93"/>
      <c r="O1013" s="38"/>
      <c r="P1013" s="38"/>
      <c r="Q1013" s="14"/>
      <c r="R1013" s="39"/>
      <c r="S1013" s="39"/>
      <c r="T1013" s="39"/>
      <c r="U1013" s="40"/>
      <c r="V1013" s="54"/>
      <c r="W1013" s="55"/>
      <c r="X1013" s="56"/>
      <c r="Y1013" s="38"/>
      <c r="Z1013" s="38"/>
      <c r="AA1013" s="38"/>
      <c r="AB1013" s="38"/>
    </row>
    <row r="1014" spans="1:28">
      <c r="A1014" s="42"/>
      <c r="B1014" s="39"/>
      <c r="C1014" s="40"/>
      <c r="D1014" s="42"/>
      <c r="E1014" s="38"/>
      <c r="F1014" s="43"/>
      <c r="G1014" s="63"/>
      <c r="H1014" s="58"/>
      <c r="I1014" s="38"/>
      <c r="J1014" s="38"/>
      <c r="K1014" s="46"/>
      <c r="L1014" s="47"/>
      <c r="M1014" s="93"/>
      <c r="N1014" s="93"/>
      <c r="O1014" s="38"/>
      <c r="P1014" s="38"/>
      <c r="Q1014" s="14"/>
      <c r="R1014" s="39"/>
      <c r="S1014" s="39"/>
      <c r="T1014" s="39"/>
      <c r="U1014" s="40"/>
      <c r="V1014" s="54"/>
      <c r="W1014" s="55"/>
      <c r="X1014" s="56"/>
      <c r="Y1014" s="38"/>
      <c r="Z1014" s="38"/>
      <c r="AA1014" s="38"/>
      <c r="AB1014" s="38"/>
    </row>
    <row r="1015" spans="1:28">
      <c r="A1015" s="42"/>
      <c r="B1015" s="39"/>
      <c r="C1015" s="40"/>
      <c r="D1015" s="42"/>
      <c r="E1015" s="38"/>
      <c r="F1015" s="43"/>
      <c r="G1015" s="63"/>
      <c r="H1015" s="58"/>
      <c r="I1015" s="38"/>
      <c r="J1015" s="38"/>
      <c r="K1015" s="46"/>
      <c r="L1015" s="47"/>
      <c r="M1015" s="93"/>
      <c r="N1015" s="93"/>
      <c r="O1015" s="38"/>
      <c r="P1015" s="38"/>
      <c r="Q1015" s="14"/>
      <c r="R1015" s="39"/>
      <c r="S1015" s="39"/>
      <c r="T1015" s="39"/>
      <c r="U1015" s="40"/>
      <c r="V1015" s="54"/>
      <c r="W1015" s="55"/>
      <c r="X1015" s="56"/>
      <c r="Y1015" s="38"/>
      <c r="Z1015" s="38"/>
      <c r="AA1015" s="38"/>
      <c r="AB1015" s="38"/>
    </row>
    <row r="1016" spans="1:28">
      <c r="A1016" s="42"/>
      <c r="B1016" s="39"/>
      <c r="C1016" s="40"/>
      <c r="D1016" s="42"/>
      <c r="E1016" s="38"/>
      <c r="F1016" s="43"/>
      <c r="G1016" s="63"/>
      <c r="H1016" s="58"/>
      <c r="I1016" s="38"/>
      <c r="J1016" s="38"/>
      <c r="K1016" s="46"/>
      <c r="L1016" s="47"/>
      <c r="M1016" s="93"/>
      <c r="N1016" s="93"/>
      <c r="O1016" s="38"/>
      <c r="P1016" s="38"/>
      <c r="Q1016" s="14"/>
      <c r="R1016" s="39"/>
      <c r="S1016" s="39"/>
      <c r="T1016" s="39"/>
      <c r="U1016" s="40"/>
      <c r="V1016" s="54"/>
      <c r="W1016" s="55"/>
      <c r="X1016" s="56"/>
      <c r="Y1016" s="38"/>
      <c r="Z1016" s="38"/>
      <c r="AA1016" s="38"/>
      <c r="AB1016" s="38"/>
    </row>
    <row r="1017" spans="1:28">
      <c r="A1017" s="42"/>
      <c r="B1017" s="39"/>
      <c r="C1017" s="40"/>
      <c r="D1017" s="42"/>
      <c r="E1017" s="38"/>
      <c r="F1017" s="43"/>
      <c r="G1017" s="63"/>
      <c r="H1017" s="58"/>
      <c r="I1017" s="38"/>
      <c r="J1017" s="38"/>
      <c r="K1017" s="46"/>
      <c r="L1017" s="47"/>
      <c r="M1017" s="93"/>
      <c r="N1017" s="93"/>
      <c r="O1017" s="38"/>
      <c r="P1017" s="38"/>
      <c r="Q1017" s="14"/>
      <c r="R1017" s="39"/>
      <c r="S1017" s="39"/>
      <c r="T1017" s="39"/>
      <c r="U1017" s="40"/>
      <c r="V1017" s="54"/>
      <c r="W1017" s="55"/>
      <c r="X1017" s="56"/>
      <c r="Y1017" s="38"/>
      <c r="Z1017" s="38"/>
      <c r="AA1017" s="38"/>
      <c r="AB1017" s="38"/>
    </row>
    <row r="1018" spans="1:28">
      <c r="A1018" s="42"/>
      <c r="B1018" s="39"/>
      <c r="C1018" s="40"/>
      <c r="D1018" s="42"/>
      <c r="E1018" s="38"/>
      <c r="F1018" s="43"/>
      <c r="G1018" s="63"/>
      <c r="H1018" s="58"/>
      <c r="I1018" s="38"/>
      <c r="J1018" s="38"/>
      <c r="K1018" s="46"/>
      <c r="L1018" s="47"/>
      <c r="M1018" s="93"/>
      <c r="N1018" s="93"/>
      <c r="O1018" s="38"/>
      <c r="P1018" s="38"/>
      <c r="Q1018" s="14"/>
      <c r="R1018" s="39"/>
      <c r="S1018" s="39"/>
      <c r="T1018" s="39"/>
      <c r="U1018" s="40"/>
      <c r="V1018" s="54"/>
      <c r="W1018" s="55"/>
      <c r="X1018" s="56"/>
      <c r="Y1018" s="38"/>
      <c r="Z1018" s="38"/>
      <c r="AA1018" s="38"/>
      <c r="AB1018" s="38"/>
    </row>
    <row r="1019" spans="1:28">
      <c r="A1019" s="42"/>
      <c r="B1019" s="39"/>
      <c r="C1019" s="40"/>
      <c r="D1019" s="42"/>
      <c r="E1019" s="38"/>
      <c r="F1019" s="43"/>
      <c r="G1019" s="63"/>
      <c r="H1019" s="58"/>
      <c r="I1019" s="38"/>
      <c r="J1019" s="38"/>
      <c r="K1019" s="46"/>
      <c r="L1019" s="47"/>
      <c r="M1019" s="93"/>
      <c r="N1019" s="93"/>
      <c r="O1019" s="38"/>
      <c r="P1019" s="38"/>
      <c r="Q1019" s="14"/>
      <c r="R1019" s="39"/>
      <c r="S1019" s="39"/>
      <c r="T1019" s="39"/>
      <c r="U1019" s="40"/>
      <c r="V1019" s="54"/>
      <c r="W1019" s="55"/>
      <c r="X1019" s="56"/>
      <c r="Y1019" s="38"/>
      <c r="Z1019" s="38"/>
      <c r="AA1019" s="38"/>
      <c r="AB1019" s="38"/>
    </row>
    <row r="1020" spans="1:28">
      <c r="A1020" s="42"/>
      <c r="B1020" s="39"/>
      <c r="C1020" s="40"/>
      <c r="D1020" s="42"/>
      <c r="E1020" s="38"/>
      <c r="F1020" s="43"/>
      <c r="G1020" s="63"/>
      <c r="H1020" s="58"/>
      <c r="I1020" s="38"/>
      <c r="J1020" s="38"/>
      <c r="K1020" s="46"/>
      <c r="L1020" s="47"/>
      <c r="M1020" s="93"/>
      <c r="N1020" s="93"/>
      <c r="O1020" s="38"/>
      <c r="P1020" s="38"/>
      <c r="Q1020" s="14"/>
      <c r="R1020" s="39"/>
      <c r="S1020" s="39"/>
      <c r="T1020" s="39"/>
      <c r="U1020" s="40"/>
      <c r="V1020" s="54"/>
      <c r="W1020" s="55"/>
      <c r="X1020" s="56"/>
      <c r="Y1020" s="38"/>
      <c r="Z1020" s="38"/>
      <c r="AA1020" s="38"/>
      <c r="AB1020" s="38"/>
    </row>
    <row r="1021" spans="1:28">
      <c r="A1021" s="42"/>
      <c r="B1021" s="39"/>
      <c r="C1021" s="40"/>
      <c r="D1021" s="42"/>
      <c r="E1021" s="38"/>
      <c r="F1021" s="43"/>
      <c r="G1021" s="63"/>
      <c r="H1021" s="58"/>
      <c r="I1021" s="38"/>
      <c r="J1021" s="38"/>
      <c r="K1021" s="46"/>
      <c r="L1021" s="47"/>
      <c r="M1021" s="93"/>
      <c r="N1021" s="93"/>
      <c r="O1021" s="38"/>
      <c r="P1021" s="38"/>
      <c r="Q1021" s="14"/>
      <c r="R1021" s="39"/>
      <c r="S1021" s="39"/>
      <c r="T1021" s="39"/>
      <c r="U1021" s="40"/>
      <c r="V1021" s="54"/>
      <c r="W1021" s="55"/>
      <c r="X1021" s="56"/>
      <c r="Y1021" s="38"/>
      <c r="Z1021" s="38"/>
      <c r="AA1021" s="38"/>
      <c r="AB1021" s="38"/>
    </row>
    <row r="1022" spans="1:28">
      <c r="A1022" s="42"/>
      <c r="B1022" s="39"/>
      <c r="C1022" s="40"/>
      <c r="D1022" s="42"/>
      <c r="E1022" s="38"/>
      <c r="F1022" s="43"/>
      <c r="G1022" s="63"/>
      <c r="H1022" s="58"/>
      <c r="I1022" s="38"/>
      <c r="J1022" s="38"/>
      <c r="K1022" s="46"/>
      <c r="L1022" s="47"/>
      <c r="M1022" s="93"/>
      <c r="N1022" s="93"/>
      <c r="O1022" s="38"/>
      <c r="P1022" s="38"/>
      <c r="Q1022" s="14"/>
      <c r="R1022" s="39"/>
      <c r="S1022" s="39"/>
      <c r="T1022" s="39"/>
      <c r="U1022" s="40"/>
      <c r="V1022" s="54"/>
      <c r="W1022" s="55"/>
      <c r="X1022" s="56"/>
      <c r="Y1022" s="38"/>
      <c r="Z1022" s="38"/>
      <c r="AA1022" s="38"/>
      <c r="AB1022" s="38"/>
    </row>
    <row r="1023" spans="1:28">
      <c r="A1023" s="42"/>
      <c r="B1023" s="39"/>
      <c r="C1023" s="40"/>
      <c r="D1023" s="42"/>
      <c r="E1023" s="38"/>
      <c r="F1023" s="43"/>
      <c r="G1023" s="63"/>
      <c r="H1023" s="58"/>
      <c r="I1023" s="38"/>
      <c r="J1023" s="38"/>
      <c r="K1023" s="46"/>
      <c r="L1023" s="47"/>
      <c r="M1023" s="93"/>
      <c r="N1023" s="93"/>
      <c r="O1023" s="38"/>
      <c r="P1023" s="38"/>
      <c r="Q1023" s="14"/>
      <c r="R1023" s="39"/>
      <c r="S1023" s="39"/>
      <c r="T1023" s="39"/>
      <c r="U1023" s="40"/>
      <c r="V1023" s="54"/>
      <c r="W1023" s="55"/>
      <c r="X1023" s="56"/>
      <c r="Y1023" s="38"/>
      <c r="Z1023" s="38"/>
      <c r="AA1023" s="38"/>
      <c r="AB1023" s="38"/>
    </row>
  </sheetData>
  <hyperlinks>
    <hyperlink ref="F2" r:id="rId1" xr:uid="{00000000-0004-0000-0700-000000000000}"/>
    <hyperlink ref="F3" r:id="rId2" xr:uid="{00000000-0004-0000-0700-000001000000}"/>
    <hyperlink ref="F5" r:id="rId3" xr:uid="{00000000-0004-0000-0700-000002000000}"/>
    <hyperlink ref="F8" r:id="rId4" xr:uid="{00000000-0004-0000-0700-000003000000}"/>
    <hyperlink ref="F9" r:id="rId5" xr:uid="{00000000-0004-0000-0700-000004000000}"/>
    <hyperlink ref="F12" r:id="rId6" xr:uid="{00000000-0004-0000-0700-000005000000}"/>
    <hyperlink ref="F14" r:id="rId7" xr:uid="{00000000-0004-0000-0700-000006000000}"/>
    <hyperlink ref="F15" r:id="rId8" xr:uid="{00000000-0004-0000-0700-000007000000}"/>
    <hyperlink ref="F16" r:id="rId9" xr:uid="{00000000-0004-0000-0700-000008000000}"/>
    <hyperlink ref="F17" r:id="rId10" xr:uid="{00000000-0004-0000-0700-000009000000}"/>
    <hyperlink ref="F24" r:id="rId11" xr:uid="{00000000-0004-0000-0700-00000A000000}"/>
  </hyperlinks>
  <pageMargins left="0.7" right="0.7" top="0.75" bottom="0.75" header="0.3" footer="0.3"/>
  <drawing r:id="rId12"/>
  <legacyDrawing r:id="rId13"/>
  <extLst>
    <ext xmlns:x14="http://schemas.microsoft.com/office/spreadsheetml/2009/9/main" uri="{CCE6A557-97BC-4b89-ADB6-D9C93CAAB3DF}">
      <x14:dataValidations xmlns:xm="http://schemas.microsoft.com/office/excel/2006/main" count="3">
        <x14:dataValidation type="list" allowBlank="1" xr:uid="{00000000-0002-0000-0700-000000000000}">
          <x14:formula1>
            <xm:f>Fields!$D$2:$D$15</xm:f>
          </x14:formula1>
          <xm:sqref>B2:B1023</xm:sqref>
        </x14:dataValidation>
        <x14:dataValidation type="list" allowBlank="1" xr:uid="{00000000-0002-0000-0700-000001000000}">
          <x14:formula1>
            <xm:f>Fields!$F$2:$F$12</xm:f>
          </x14:formula1>
          <xm:sqref>C2:C1023</xm:sqref>
        </x14:dataValidation>
        <x14:dataValidation type="list" allowBlank="1" xr:uid="{00000000-0002-0000-0700-000002000000}">
          <x14:formula1>
            <xm:f>Fields!$A$2:$A$8</xm:f>
          </x14:formula1>
          <xm:sqref>D2:D1023</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11"/>
  <sheetViews>
    <sheetView workbookViewId="0"/>
  </sheetViews>
  <sheetFormatPr defaultColWidth="14.42578125" defaultRowHeight="15" customHeight="1"/>
  <cols>
    <col min="1" max="1" width="5.85546875" customWidth="1"/>
    <col min="2" max="2" width="7.140625" customWidth="1"/>
    <col min="3" max="3" width="6.28515625" customWidth="1"/>
    <col min="4" max="4" width="12.85546875" customWidth="1"/>
    <col min="5" max="5" width="27.5703125" customWidth="1"/>
    <col min="6" max="6" width="61.85546875"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s>
  <sheetData>
    <row r="1" spans="1:33" ht="45" customHeight="1">
      <c r="A1" s="2" t="s">
        <v>1</v>
      </c>
      <c r="B1" s="7" t="str">
        <f>HYPERLINK("#rangeid=2086300674","Content Owner")</f>
        <v>Content Owner</v>
      </c>
      <c r="C1" s="11" t="str">
        <f>HYPERLINK("#rangeid=632369931","Video Owner")</f>
        <v>Video Owner</v>
      </c>
      <c r="D1" s="13" t="s">
        <v>6</v>
      </c>
      <c r="E1" s="14" t="s">
        <v>12</v>
      </c>
      <c r="F1" s="16" t="s">
        <v>16</v>
      </c>
      <c r="G1" s="2" t="s">
        <v>18</v>
      </c>
      <c r="H1" s="26" t="str">
        <f>HYPERLINK("#rangeid=906849400","Description")</f>
        <v>Description</v>
      </c>
      <c r="I1" s="21" t="s">
        <v>22</v>
      </c>
      <c r="J1" s="2" t="s">
        <v>24</v>
      </c>
      <c r="K1" s="23" t="s">
        <v>25</v>
      </c>
      <c r="L1" s="2" t="s">
        <v>27</v>
      </c>
      <c r="M1" s="2" t="s">
        <v>28</v>
      </c>
      <c r="N1" s="2"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c r="AC1" s="37"/>
      <c r="AD1" s="37"/>
      <c r="AE1" s="37"/>
      <c r="AF1" s="37"/>
      <c r="AG1" s="37"/>
    </row>
    <row r="2" spans="1:33">
      <c r="A2" s="38"/>
      <c r="B2" s="39"/>
      <c r="C2" s="40"/>
      <c r="D2" s="42"/>
      <c r="E2" s="38"/>
      <c r="F2" s="43"/>
      <c r="G2" s="44"/>
      <c r="H2" s="45"/>
      <c r="I2" s="38"/>
      <c r="J2" s="38"/>
      <c r="K2" s="46"/>
      <c r="L2" s="47"/>
      <c r="M2" s="38"/>
      <c r="N2" s="38"/>
      <c r="O2" s="38"/>
      <c r="P2" s="65"/>
      <c r="Q2" s="14"/>
      <c r="R2" s="51"/>
      <c r="S2" s="51"/>
      <c r="T2" s="51"/>
      <c r="U2" s="40"/>
      <c r="V2" s="54"/>
      <c r="W2" s="55"/>
      <c r="X2" s="56"/>
      <c r="Y2" s="88"/>
      <c r="Z2" s="88"/>
      <c r="AA2" s="88"/>
      <c r="AB2" s="88"/>
    </row>
    <row r="3" spans="1:33">
      <c r="A3" s="116"/>
      <c r="B3" s="240"/>
      <c r="C3" s="241"/>
      <c r="D3" s="66"/>
      <c r="E3" s="117"/>
      <c r="F3" s="116"/>
      <c r="G3" s="116"/>
      <c r="H3" s="116"/>
      <c r="I3" s="117"/>
      <c r="J3" s="117"/>
      <c r="K3" s="117"/>
      <c r="L3" s="117"/>
      <c r="M3" s="213"/>
      <c r="N3" s="213"/>
      <c r="O3" s="117"/>
      <c r="P3" s="117"/>
      <c r="Q3" s="14"/>
      <c r="R3" s="119"/>
      <c r="S3" s="119"/>
      <c r="T3" s="119"/>
      <c r="U3" s="120"/>
      <c r="V3" s="121"/>
      <c r="W3" s="122"/>
      <c r="X3" s="123"/>
      <c r="Y3" s="117"/>
      <c r="Z3" s="117"/>
    </row>
    <row r="4" spans="1:33">
      <c r="A4" s="117"/>
      <c r="B4" s="117"/>
      <c r="C4" s="117"/>
      <c r="D4" s="117"/>
      <c r="E4" s="117"/>
      <c r="F4" s="117"/>
      <c r="G4" s="117"/>
      <c r="H4" s="117"/>
      <c r="I4" s="117"/>
      <c r="J4" s="117"/>
      <c r="K4" s="117"/>
      <c r="L4" s="117"/>
      <c r="M4" s="117"/>
      <c r="N4" s="117"/>
      <c r="O4" s="117"/>
      <c r="P4" s="117"/>
      <c r="Q4" s="200"/>
      <c r="R4" s="119"/>
      <c r="S4" s="119"/>
      <c r="T4" s="119"/>
      <c r="U4" s="120"/>
      <c r="V4" s="121"/>
      <c r="W4" s="122"/>
      <c r="X4" s="123"/>
      <c r="Y4" s="117"/>
      <c r="Z4" s="117"/>
    </row>
    <row r="5" spans="1:33">
      <c r="A5" s="117"/>
      <c r="B5" s="117"/>
      <c r="C5" s="117"/>
      <c r="D5" s="117"/>
      <c r="E5" s="117"/>
      <c r="F5" s="117"/>
      <c r="G5" s="117"/>
      <c r="H5" s="117"/>
      <c r="I5" s="117"/>
      <c r="J5" s="117"/>
      <c r="K5" s="117"/>
      <c r="L5" s="117"/>
      <c r="M5" s="117"/>
      <c r="N5" s="117"/>
      <c r="O5" s="117"/>
      <c r="P5" s="117"/>
      <c r="Q5" s="200"/>
      <c r="R5" s="119"/>
      <c r="S5" s="119"/>
      <c r="T5" s="119"/>
      <c r="U5" s="120"/>
      <c r="V5" s="121"/>
      <c r="W5" s="122"/>
      <c r="X5" s="123"/>
      <c r="Y5" s="117"/>
      <c r="Z5" s="117"/>
    </row>
    <row r="6" spans="1:33">
      <c r="A6" s="117"/>
      <c r="B6" s="116" t="s">
        <v>2630</v>
      </c>
      <c r="C6" s="117"/>
      <c r="D6" s="117"/>
      <c r="E6" s="117"/>
      <c r="F6" s="117"/>
      <c r="G6" s="117"/>
      <c r="H6" s="117"/>
      <c r="I6" s="117"/>
      <c r="J6" s="117"/>
      <c r="K6" s="117"/>
      <c r="L6" s="117"/>
      <c r="M6" s="117"/>
      <c r="N6" s="117"/>
      <c r="O6" s="117"/>
      <c r="P6" s="117"/>
      <c r="Q6" s="200"/>
      <c r="R6" s="119"/>
      <c r="S6" s="119"/>
      <c r="T6" s="119"/>
      <c r="U6" s="120"/>
      <c r="V6" s="121"/>
      <c r="W6" s="122"/>
      <c r="X6" s="123"/>
      <c r="Y6" s="117"/>
      <c r="Z6" s="117"/>
    </row>
    <row r="7" spans="1:33">
      <c r="A7" s="117"/>
      <c r="B7" s="117"/>
      <c r="C7" s="117"/>
      <c r="D7" s="117"/>
      <c r="E7" s="117"/>
      <c r="F7" s="117"/>
      <c r="G7" s="117"/>
      <c r="H7" s="117"/>
      <c r="I7" s="117"/>
      <c r="J7" s="117"/>
      <c r="K7" s="117"/>
      <c r="L7" s="117"/>
      <c r="M7" s="117"/>
      <c r="N7" s="117"/>
      <c r="O7" s="117"/>
      <c r="P7" s="117"/>
      <c r="Q7" s="200"/>
      <c r="R7" s="119"/>
      <c r="S7" s="119"/>
      <c r="T7" s="119"/>
      <c r="U7" s="120"/>
      <c r="V7" s="121"/>
      <c r="W7" s="122"/>
      <c r="X7" s="123"/>
      <c r="Y7" s="117"/>
      <c r="Z7" s="117"/>
    </row>
    <row r="8" spans="1:33">
      <c r="A8" s="117"/>
      <c r="B8" s="117"/>
      <c r="C8" s="117"/>
      <c r="D8" s="117"/>
      <c r="E8" s="117"/>
      <c r="F8" s="117"/>
      <c r="G8" s="117"/>
      <c r="H8" s="117"/>
      <c r="I8" s="117"/>
      <c r="J8" s="117"/>
      <c r="K8" s="117"/>
      <c r="L8" s="117"/>
      <c r="M8" s="117"/>
      <c r="N8" s="117"/>
      <c r="O8" s="117"/>
      <c r="P8" s="117"/>
      <c r="Q8" s="200"/>
      <c r="R8" s="119"/>
      <c r="S8" s="119"/>
      <c r="T8" s="119"/>
      <c r="U8" s="120"/>
      <c r="V8" s="121"/>
      <c r="W8" s="122"/>
      <c r="X8" s="123"/>
      <c r="Y8" s="117"/>
      <c r="Z8" s="117"/>
    </row>
    <row r="9" spans="1:33">
      <c r="A9" s="117"/>
      <c r="B9" s="117"/>
      <c r="C9" s="117"/>
      <c r="D9" s="117"/>
      <c r="E9" s="117"/>
      <c r="F9" s="117"/>
      <c r="G9" s="117"/>
      <c r="H9" s="117"/>
      <c r="I9" s="117"/>
      <c r="J9" s="117"/>
      <c r="K9" s="117"/>
      <c r="L9" s="117"/>
      <c r="M9" s="117"/>
      <c r="N9" s="117"/>
      <c r="O9" s="117"/>
      <c r="P9" s="117"/>
      <c r="Q9" s="200"/>
      <c r="R9" s="119"/>
      <c r="S9" s="119"/>
      <c r="T9" s="119"/>
      <c r="U9" s="120"/>
      <c r="V9" s="121"/>
      <c r="W9" s="122"/>
      <c r="X9" s="123"/>
      <c r="Y9" s="117"/>
      <c r="Z9" s="117"/>
    </row>
    <row r="10" spans="1:33">
      <c r="A10" s="117"/>
      <c r="B10" s="117"/>
      <c r="C10" s="117"/>
      <c r="D10" s="117"/>
      <c r="E10" s="117"/>
      <c r="F10" s="117"/>
      <c r="G10" s="117"/>
      <c r="H10" s="117"/>
      <c r="I10" s="117"/>
      <c r="J10" s="117"/>
      <c r="K10" s="117"/>
      <c r="L10" s="117"/>
      <c r="M10" s="117"/>
      <c r="N10" s="117"/>
      <c r="O10" s="117"/>
      <c r="P10" s="117"/>
      <c r="Q10" s="200"/>
      <c r="R10" s="119"/>
      <c r="S10" s="119"/>
      <c r="T10" s="119"/>
      <c r="U10" s="120"/>
      <c r="V10" s="121"/>
      <c r="W10" s="122"/>
      <c r="X10" s="123"/>
      <c r="Y10" s="117"/>
      <c r="Z10" s="117"/>
    </row>
    <row r="11" spans="1:33">
      <c r="A11" s="117"/>
      <c r="B11" s="117"/>
      <c r="C11" s="117"/>
      <c r="D11" s="117"/>
      <c r="E11" s="117"/>
      <c r="F11" s="117"/>
      <c r="G11" s="117"/>
      <c r="H11" s="117"/>
      <c r="I11" s="117"/>
      <c r="J11" s="117"/>
      <c r="K11" s="117"/>
      <c r="L11" s="117"/>
      <c r="M11" s="117"/>
      <c r="N11" s="117"/>
      <c r="O11" s="117"/>
      <c r="P11" s="117"/>
      <c r="Q11" s="200"/>
      <c r="R11" s="119"/>
      <c r="S11" s="119"/>
      <c r="T11" s="119"/>
      <c r="U11" s="120"/>
      <c r="V11" s="121"/>
      <c r="W11" s="122"/>
      <c r="X11" s="123"/>
      <c r="Y11" s="117"/>
      <c r="Z11" s="117"/>
    </row>
  </sheetData>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r:uid="{00000000-0002-0000-0800-000000000000}">
          <x14:formula1>
            <xm:f>Fields!$D$2:$D$15</xm:f>
          </x14:formula1>
          <xm:sqref>B2:B3</xm:sqref>
        </x14:dataValidation>
        <x14:dataValidation type="list" allowBlank="1" xr:uid="{00000000-0002-0000-0800-000001000000}">
          <x14:formula1>
            <xm:f>Fields!$F$2:$F$12</xm:f>
          </x14:formula1>
          <xm:sqref>C2:C3</xm:sqref>
        </x14:dataValidation>
        <x14:dataValidation type="list" allowBlank="1" xr:uid="{00000000-0002-0000-0800-000002000000}">
          <x14:formula1>
            <xm:f>Fields!$A$2:$A$8</xm:f>
          </x14:formula1>
          <xm:sqref>D2:D3</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48"/>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5.71093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3" width="12.5703125" customWidth="1"/>
  </cols>
  <sheetData>
    <row r="1" spans="1:33" ht="45" customHeight="1">
      <c r="A1" s="242" t="s">
        <v>1</v>
      </c>
      <c r="B1" s="243" t="str">
        <f>HYPERLINK("#rangeid=2086300674","Content Owner")</f>
        <v>Content Owner</v>
      </c>
      <c r="C1" s="244" t="str">
        <f>HYPERLINK("#rangeid=632369931","Video Owner")</f>
        <v>Video Owner</v>
      </c>
      <c r="D1" s="245" t="s">
        <v>6</v>
      </c>
      <c r="E1" s="246" t="s">
        <v>12</v>
      </c>
      <c r="F1" s="247" t="s">
        <v>16</v>
      </c>
      <c r="G1" s="242" t="s">
        <v>18</v>
      </c>
      <c r="H1" s="248" t="str">
        <f>HYPERLINK("#rangeid=906849400","Description")</f>
        <v>Description</v>
      </c>
      <c r="I1" s="249" t="s">
        <v>22</v>
      </c>
      <c r="J1" s="242" t="s">
        <v>24</v>
      </c>
      <c r="K1" s="250" t="s">
        <v>25</v>
      </c>
      <c r="L1" s="242" t="s">
        <v>27</v>
      </c>
      <c r="M1" s="242" t="s">
        <v>28</v>
      </c>
      <c r="N1" s="242" t="s">
        <v>29</v>
      </c>
      <c r="O1" s="242" t="s">
        <v>30</v>
      </c>
      <c r="P1" s="242" t="s">
        <v>31</v>
      </c>
      <c r="Q1" s="242" t="s">
        <v>32</v>
      </c>
      <c r="R1" s="251" t="s">
        <v>33</v>
      </c>
      <c r="S1" s="251" t="s">
        <v>34</v>
      </c>
      <c r="T1" s="251" t="s">
        <v>35</v>
      </c>
      <c r="U1" s="251" t="s">
        <v>36</v>
      </c>
      <c r="V1" s="251" t="s">
        <v>37</v>
      </c>
      <c r="W1" s="252" t="str">
        <f>HYPERLINK("#rangeid=120001109","Replay")</f>
        <v>Replay</v>
      </c>
      <c r="X1" s="253" t="s">
        <v>49</v>
      </c>
      <c r="Y1" s="254" t="s">
        <v>52</v>
      </c>
      <c r="Z1" s="253" t="s">
        <v>53</v>
      </c>
      <c r="AA1" s="249"/>
      <c r="AB1" s="249"/>
      <c r="AC1" s="255"/>
      <c r="AD1" s="256"/>
      <c r="AE1" s="256"/>
      <c r="AF1" s="256"/>
      <c r="AG1" s="256"/>
    </row>
    <row r="2" spans="1:33">
      <c r="A2" s="257"/>
      <c r="B2" s="257"/>
      <c r="C2" s="257"/>
      <c r="D2" s="257"/>
      <c r="E2" s="257"/>
      <c r="F2" s="257"/>
      <c r="G2" s="257"/>
      <c r="H2" s="257"/>
      <c r="I2" s="257"/>
      <c r="J2" s="257"/>
      <c r="K2" s="257"/>
      <c r="L2" s="257"/>
      <c r="M2" s="257"/>
      <c r="N2" s="257"/>
      <c r="O2" s="257"/>
      <c r="P2" s="257"/>
      <c r="Q2" s="258"/>
      <c r="R2" s="259"/>
      <c r="S2" s="259"/>
      <c r="T2" s="259"/>
      <c r="U2" s="260"/>
      <c r="V2" s="261"/>
      <c r="W2" s="262"/>
      <c r="X2" s="263"/>
      <c r="Y2" s="257"/>
      <c r="Z2" s="257"/>
      <c r="AA2" s="264"/>
      <c r="AB2" s="264"/>
      <c r="AC2" s="264"/>
      <c r="AD2" s="264"/>
      <c r="AE2" s="264"/>
      <c r="AF2" s="264"/>
      <c r="AG2" s="264"/>
    </row>
    <row r="3" spans="1:33">
      <c r="A3" s="257">
        <v>589</v>
      </c>
      <c r="B3" s="265" t="s">
        <v>497</v>
      </c>
      <c r="C3" s="265"/>
      <c r="D3" s="265" t="s">
        <v>139</v>
      </c>
      <c r="E3" s="257" t="s">
        <v>2390</v>
      </c>
      <c r="F3" s="266" t="s">
        <v>2391</v>
      </c>
      <c r="G3" s="267"/>
      <c r="H3" s="267"/>
      <c r="I3" s="267"/>
      <c r="J3" s="267"/>
      <c r="K3" s="267"/>
      <c r="L3" s="267"/>
      <c r="M3" s="267"/>
      <c r="N3" s="267"/>
      <c r="O3" s="267"/>
      <c r="P3" s="267"/>
      <c r="Q3" s="267"/>
      <c r="R3" s="267"/>
      <c r="S3" s="267"/>
      <c r="T3" s="267"/>
      <c r="U3" s="267"/>
      <c r="V3" s="267"/>
      <c r="W3" s="267"/>
      <c r="X3" s="267"/>
      <c r="Y3" s="267"/>
      <c r="Z3" s="267"/>
      <c r="AA3" s="267"/>
      <c r="AB3" s="267"/>
      <c r="AC3" s="267"/>
      <c r="AD3" s="264"/>
      <c r="AE3" s="264"/>
      <c r="AF3" s="264"/>
      <c r="AG3" s="264"/>
    </row>
    <row r="4" spans="1:33">
      <c r="A4" s="265">
        <v>589.1</v>
      </c>
      <c r="B4" s="257"/>
      <c r="C4" s="257"/>
      <c r="D4" s="257"/>
      <c r="E4" s="257"/>
      <c r="F4" s="257"/>
      <c r="G4" s="268" t="s">
        <v>2653</v>
      </c>
      <c r="H4" s="269"/>
      <c r="I4" s="257"/>
      <c r="J4" s="257">
        <f>25*1000</f>
        <v>25000</v>
      </c>
      <c r="K4" s="270">
        <v>6.9039351851851852E-2</v>
      </c>
      <c r="L4" s="271" t="s">
        <v>2348</v>
      </c>
      <c r="M4" s="272">
        <v>0.20277777777777778</v>
      </c>
      <c r="N4" s="272">
        <v>0.27986111111111112</v>
      </c>
      <c r="O4" s="257"/>
      <c r="P4" s="265" t="s">
        <v>2656</v>
      </c>
      <c r="Q4" s="258" t="str">
        <f ca="1">HYPERLINK(IF(INT(A3)-A3=0,"",REPLACE(INDIRECT("MasterList!e"&amp;INT(A3)+1),25,8,"embed/")&amp;"?start="&amp;HOUR(M4)*3600+MINUTE(M4)*60+SECOND(M4)&amp;"&amp;end="&amp;HOUR(N4)*3600+MINUTE(N4)*60+SECOND(N4)&amp;"&amp;autoplay=1"))</f>
        <v/>
      </c>
      <c r="R4" s="273"/>
      <c r="S4" s="273"/>
      <c r="T4" s="273"/>
      <c r="U4" s="274"/>
      <c r="V4" s="275"/>
      <c r="W4" s="276"/>
      <c r="X4" s="263"/>
      <c r="Y4" s="257"/>
      <c r="Z4" s="257"/>
      <c r="AA4" s="265"/>
      <c r="AB4" s="265"/>
      <c r="AC4" s="264"/>
      <c r="AD4" s="264"/>
      <c r="AE4" s="264"/>
      <c r="AF4" s="264"/>
      <c r="AG4" s="264"/>
    </row>
    <row r="5" spans="1:33">
      <c r="A5" s="265">
        <v>589.20000000000005</v>
      </c>
      <c r="B5" s="257"/>
      <c r="C5" s="257"/>
      <c r="D5" s="257"/>
      <c r="E5" s="257"/>
      <c r="F5" s="257"/>
      <c r="G5" s="265" t="s">
        <v>2660</v>
      </c>
      <c r="H5" s="257"/>
      <c r="I5" s="257"/>
      <c r="J5" s="257"/>
      <c r="K5" s="257"/>
      <c r="L5" s="257"/>
      <c r="M5" s="272">
        <v>0.31527777777777777</v>
      </c>
      <c r="N5" s="272">
        <v>0.40694444444444444</v>
      </c>
      <c r="O5" s="257"/>
      <c r="P5" s="265" t="s">
        <v>2656</v>
      </c>
      <c r="Q5" s="257"/>
      <c r="R5" s="257"/>
      <c r="S5" s="257"/>
      <c r="T5" s="257"/>
      <c r="U5" s="257"/>
      <c r="V5" s="257"/>
      <c r="W5" s="257"/>
      <c r="X5" s="257"/>
      <c r="Y5" s="257"/>
      <c r="Z5" s="257"/>
      <c r="AA5" s="257"/>
      <c r="AB5" s="257"/>
      <c r="AC5" s="257"/>
      <c r="AD5" s="257"/>
      <c r="AE5" s="257"/>
      <c r="AF5" s="257"/>
      <c r="AG5" s="257"/>
    </row>
    <row r="6" spans="1:33">
      <c r="A6" s="265">
        <v>589.29999999999995</v>
      </c>
      <c r="B6" s="257"/>
      <c r="C6" s="257"/>
      <c r="D6" s="267"/>
      <c r="E6" s="257"/>
      <c r="F6" s="257"/>
      <c r="G6" s="265" t="s">
        <v>2661</v>
      </c>
      <c r="H6" s="257"/>
      <c r="I6" s="257"/>
      <c r="J6" s="257"/>
      <c r="K6" s="257"/>
      <c r="L6" s="257"/>
      <c r="M6" s="272">
        <v>0.40833333333333333</v>
      </c>
      <c r="N6" s="272">
        <v>0.4597222222222222</v>
      </c>
      <c r="O6" s="257"/>
      <c r="P6" s="265" t="s">
        <v>2656</v>
      </c>
      <c r="Q6" s="257"/>
      <c r="R6" s="257"/>
      <c r="S6" s="257"/>
      <c r="T6" s="257"/>
      <c r="U6" s="257"/>
      <c r="V6" s="257"/>
      <c r="W6" s="257"/>
      <c r="X6" s="257"/>
      <c r="Y6" s="257"/>
      <c r="Z6" s="257"/>
      <c r="AA6" s="257"/>
      <c r="AB6" s="257"/>
      <c r="AC6" s="257"/>
      <c r="AD6" s="257"/>
      <c r="AE6" s="257"/>
      <c r="AF6" s="257"/>
      <c r="AG6" s="257"/>
    </row>
    <row r="7" spans="1:33">
      <c r="A7" s="265">
        <v>589.4</v>
      </c>
      <c r="B7" s="257"/>
      <c r="C7" s="257"/>
      <c r="D7" s="257"/>
      <c r="E7" s="257"/>
      <c r="F7" s="257"/>
      <c r="G7" s="265" t="s">
        <v>2662</v>
      </c>
      <c r="H7" s="257"/>
      <c r="I7" s="257"/>
      <c r="J7" s="257"/>
      <c r="K7" s="257"/>
      <c r="L7" s="257"/>
      <c r="M7" s="272">
        <v>0.48472222222222222</v>
      </c>
      <c r="N7" s="272">
        <v>0.57222222222222219</v>
      </c>
      <c r="O7" s="257"/>
      <c r="P7" s="265" t="s">
        <v>2656</v>
      </c>
      <c r="Q7" s="257"/>
      <c r="R7" s="257"/>
      <c r="S7" s="257"/>
      <c r="T7" s="257"/>
      <c r="U7" s="257"/>
      <c r="V7" s="257"/>
      <c r="W7" s="257"/>
      <c r="X7" s="257"/>
      <c r="Y7" s="257"/>
      <c r="Z7" s="257"/>
      <c r="AA7" s="257"/>
      <c r="AB7" s="257"/>
      <c r="AC7" s="257"/>
      <c r="AD7" s="257"/>
      <c r="AE7" s="257"/>
      <c r="AF7" s="257"/>
      <c r="AG7" s="257"/>
    </row>
    <row r="8" spans="1:33">
      <c r="A8" s="265">
        <v>589.5</v>
      </c>
      <c r="B8" s="257"/>
      <c r="C8" s="257"/>
      <c r="D8" s="257"/>
      <c r="E8" s="257"/>
      <c r="F8" s="257"/>
      <c r="G8" s="265" t="s">
        <v>2665</v>
      </c>
      <c r="H8" s="257"/>
      <c r="I8" s="257"/>
      <c r="J8" s="257"/>
      <c r="K8" s="257"/>
      <c r="L8" s="257"/>
      <c r="M8" s="272">
        <v>0.57291666666666663</v>
      </c>
      <c r="N8" s="272">
        <v>0.73263888888888884</v>
      </c>
      <c r="O8" s="257"/>
      <c r="P8" s="265" t="s">
        <v>2656</v>
      </c>
      <c r="Q8" s="257"/>
      <c r="R8" s="257"/>
      <c r="S8" s="257"/>
      <c r="T8" s="257"/>
      <c r="U8" s="257"/>
      <c r="V8" s="257"/>
      <c r="W8" s="257"/>
      <c r="X8" s="257"/>
      <c r="Y8" s="257"/>
      <c r="Z8" s="257"/>
      <c r="AA8" s="257"/>
      <c r="AB8" s="257"/>
      <c r="AC8" s="257"/>
      <c r="AD8" s="257"/>
      <c r="AE8" s="257"/>
      <c r="AF8" s="257"/>
      <c r="AG8" s="257"/>
    </row>
    <row r="9" spans="1:33">
      <c r="A9" s="265">
        <v>589.6</v>
      </c>
      <c r="B9" s="257"/>
      <c r="C9" s="257"/>
      <c r="D9" s="257"/>
      <c r="E9" s="257"/>
      <c r="F9" s="257"/>
      <c r="G9" s="265" t="s">
        <v>2666</v>
      </c>
      <c r="H9" s="257"/>
      <c r="I9" s="257"/>
      <c r="J9" s="257"/>
      <c r="K9" s="257"/>
      <c r="L9" s="257"/>
      <c r="M9" s="277">
        <v>1.1875</v>
      </c>
      <c r="N9" s="277">
        <v>1.2652777777777777</v>
      </c>
      <c r="O9" s="257"/>
      <c r="P9" s="265" t="s">
        <v>2667</v>
      </c>
      <c r="Q9" s="257"/>
      <c r="R9" s="257"/>
      <c r="S9" s="257"/>
      <c r="T9" s="257"/>
      <c r="U9" s="257"/>
      <c r="V9" s="257"/>
      <c r="W9" s="257"/>
      <c r="X9" s="257"/>
      <c r="Y9" s="257"/>
      <c r="Z9" s="257"/>
      <c r="AA9" s="257"/>
      <c r="AB9" s="257"/>
      <c r="AC9" s="257"/>
      <c r="AD9" s="257"/>
      <c r="AE9" s="257"/>
      <c r="AF9" s="257"/>
      <c r="AG9" s="257"/>
    </row>
    <row r="10" spans="1:33">
      <c r="A10" s="265">
        <v>589.70000000000005</v>
      </c>
      <c r="B10" s="257"/>
      <c r="C10" s="257"/>
      <c r="D10" s="265"/>
      <c r="E10" s="257"/>
      <c r="F10" s="257"/>
      <c r="G10" s="278" t="s">
        <v>2668</v>
      </c>
      <c r="H10" s="257"/>
      <c r="I10" s="265"/>
      <c r="J10" s="257"/>
      <c r="K10" s="257"/>
      <c r="L10" s="257"/>
      <c r="M10" s="277">
        <v>1.3819444444444444</v>
      </c>
      <c r="N10" s="277">
        <v>1.5381944444444444</v>
      </c>
      <c r="O10" s="257"/>
      <c r="P10" s="265" t="s">
        <v>2667</v>
      </c>
      <c r="Q10" s="258"/>
      <c r="R10" s="273"/>
      <c r="S10" s="273"/>
      <c r="T10" s="273"/>
      <c r="U10" s="274"/>
      <c r="V10" s="275"/>
      <c r="W10" s="276"/>
      <c r="X10" s="263"/>
      <c r="Y10" s="257"/>
      <c r="Z10" s="257"/>
      <c r="AA10" s="264"/>
      <c r="AB10" s="264"/>
      <c r="AC10" s="264"/>
      <c r="AD10" s="264"/>
      <c r="AE10" s="264"/>
      <c r="AF10" s="264"/>
      <c r="AG10" s="264"/>
    </row>
    <row r="11" spans="1:33">
      <c r="A11" s="265">
        <v>589.79999999999995</v>
      </c>
      <c r="B11" s="257"/>
      <c r="C11" s="257"/>
      <c r="D11" s="265"/>
      <c r="E11" s="257"/>
      <c r="F11" s="257"/>
      <c r="G11" s="278" t="s">
        <v>2671</v>
      </c>
      <c r="H11" s="257"/>
      <c r="I11" s="265"/>
      <c r="J11" s="257"/>
      <c r="K11" s="257"/>
      <c r="L11" s="257"/>
      <c r="M11" s="277">
        <v>1.6458333333333333</v>
      </c>
      <c r="N11" s="277">
        <v>1.7333333333333334</v>
      </c>
      <c r="O11" s="257"/>
      <c r="P11" s="265" t="s">
        <v>2667</v>
      </c>
      <c r="Q11" s="258"/>
      <c r="R11" s="273"/>
      <c r="S11" s="273"/>
      <c r="T11" s="273"/>
      <c r="U11" s="274"/>
      <c r="V11" s="275"/>
      <c r="W11" s="276"/>
      <c r="X11" s="263"/>
      <c r="Y11" s="257"/>
      <c r="Z11" s="257"/>
      <c r="AA11" s="264"/>
      <c r="AB11" s="264"/>
      <c r="AC11" s="264"/>
      <c r="AD11" s="264"/>
      <c r="AE11" s="264"/>
      <c r="AF11" s="264"/>
      <c r="AG11" s="264"/>
    </row>
    <row r="12" spans="1:33">
      <c r="A12" s="257"/>
      <c r="B12" s="257"/>
      <c r="C12" s="257"/>
      <c r="D12" s="265"/>
      <c r="E12" s="257"/>
      <c r="F12" s="257"/>
      <c r="G12" s="278"/>
      <c r="H12" s="257"/>
      <c r="I12" s="265"/>
      <c r="J12" s="257"/>
      <c r="K12" s="257"/>
      <c r="L12" s="257"/>
      <c r="M12" s="257"/>
      <c r="N12" s="257"/>
      <c r="O12" s="257"/>
      <c r="P12" s="257"/>
      <c r="Q12" s="258"/>
      <c r="R12" s="273"/>
      <c r="S12" s="273"/>
      <c r="T12" s="273"/>
      <c r="U12" s="274"/>
      <c r="V12" s="275"/>
      <c r="W12" s="276"/>
      <c r="X12" s="263"/>
      <c r="Y12" s="257"/>
      <c r="Z12" s="257"/>
      <c r="AA12" s="264"/>
      <c r="AB12" s="264"/>
      <c r="AC12" s="264"/>
      <c r="AD12" s="264"/>
      <c r="AE12" s="264"/>
      <c r="AF12" s="264"/>
      <c r="AG12" s="264"/>
    </row>
    <row r="13" spans="1:33">
      <c r="A13" s="257"/>
      <c r="B13" s="257"/>
      <c r="C13" s="257"/>
      <c r="D13" s="265"/>
      <c r="E13" s="257"/>
      <c r="F13" s="257"/>
      <c r="G13" s="278"/>
      <c r="H13" s="257"/>
      <c r="I13" s="265"/>
      <c r="J13" s="257"/>
      <c r="K13" s="257"/>
      <c r="L13" s="257"/>
      <c r="M13" s="257"/>
      <c r="N13" s="257"/>
      <c r="O13" s="257"/>
      <c r="P13" s="257"/>
      <c r="Q13" s="258"/>
      <c r="R13" s="273"/>
      <c r="S13" s="273"/>
      <c r="T13" s="273"/>
      <c r="U13" s="274"/>
      <c r="V13" s="275"/>
      <c r="W13" s="276"/>
      <c r="X13" s="263"/>
      <c r="Y13" s="257"/>
      <c r="Z13" s="257"/>
      <c r="AA13" s="264"/>
      <c r="AB13" s="264"/>
      <c r="AC13" s="264"/>
      <c r="AD13" s="264"/>
      <c r="AE13" s="264"/>
      <c r="AF13" s="264"/>
      <c r="AG13" s="264"/>
    </row>
    <row r="14" spans="1:33">
      <c r="A14" s="257"/>
      <c r="B14" s="257"/>
      <c r="C14" s="257"/>
      <c r="D14" s="265" t="s">
        <v>2672</v>
      </c>
      <c r="E14" s="257"/>
      <c r="F14" s="257"/>
      <c r="G14" s="278"/>
      <c r="H14" s="257"/>
      <c r="I14" s="265"/>
      <c r="J14" s="257"/>
      <c r="K14" s="257"/>
      <c r="L14" s="257"/>
      <c r="M14" s="257"/>
      <c r="N14" s="257"/>
      <c r="O14" s="257"/>
      <c r="P14" s="257"/>
      <c r="Q14" s="258"/>
      <c r="R14" s="259"/>
      <c r="S14" s="259"/>
      <c r="T14" s="259"/>
      <c r="U14" s="260"/>
      <c r="V14" s="261"/>
      <c r="W14" s="262"/>
      <c r="X14" s="263"/>
      <c r="Y14" s="257"/>
      <c r="Z14" s="257"/>
      <c r="AA14" s="264"/>
      <c r="AB14" s="264"/>
      <c r="AC14" s="264"/>
      <c r="AD14" s="264"/>
      <c r="AE14" s="264"/>
      <c r="AF14" s="264"/>
      <c r="AG14" s="264"/>
    </row>
    <row r="15" spans="1:33">
      <c r="A15" s="257"/>
      <c r="B15" s="257"/>
      <c r="C15" s="257"/>
      <c r="D15" s="257"/>
      <c r="E15" s="257"/>
      <c r="F15" s="257"/>
      <c r="G15" s="257"/>
      <c r="H15" s="257"/>
      <c r="I15" s="257"/>
      <c r="J15" s="257"/>
      <c r="K15" s="257"/>
      <c r="L15" s="257"/>
      <c r="M15" s="257"/>
      <c r="N15" s="257"/>
      <c r="O15" s="257"/>
      <c r="P15" s="257"/>
      <c r="Q15" s="258"/>
      <c r="R15" s="259"/>
      <c r="S15" s="259"/>
      <c r="T15" s="259"/>
      <c r="U15" s="260"/>
      <c r="V15" s="261"/>
      <c r="W15" s="262"/>
      <c r="X15" s="263"/>
      <c r="Y15" s="257"/>
      <c r="Z15" s="257"/>
      <c r="AA15" s="264"/>
      <c r="AB15" s="264"/>
      <c r="AC15" s="264"/>
      <c r="AD15" s="264"/>
      <c r="AE15" s="264"/>
      <c r="AF15" s="264"/>
      <c r="AG15" s="264"/>
    </row>
    <row r="16" spans="1:33">
      <c r="A16" s="257">
        <v>739</v>
      </c>
      <c r="B16" s="279" t="s">
        <v>497</v>
      </c>
      <c r="C16" s="274"/>
      <c r="D16" s="265" t="s">
        <v>139</v>
      </c>
      <c r="E16" s="257" t="s">
        <v>2675</v>
      </c>
      <c r="F16" s="266" t="s">
        <v>2676</v>
      </c>
      <c r="G16" s="280"/>
      <c r="H16" s="269"/>
      <c r="I16" s="257"/>
      <c r="J16" s="257">
        <f>14*1000</f>
        <v>14000</v>
      </c>
      <c r="K16" s="270">
        <v>3.953703703703703E-2</v>
      </c>
      <c r="L16" s="271" t="s">
        <v>770</v>
      </c>
      <c r="Q16" s="258" t="str">
        <f ca="1">HYPERLINK(IF(INT(A16)-A16=0,"",REPLACE(INDIRECT("MasterList!e"&amp;INT(A16)+1),25,8,"embed/")&amp;"?start="&amp;HOUR(M17)*3600+MINUTE(M17)*60+SECOND(M17)&amp;"&amp;end="&amp;HOUR(N17)*3600+MINUTE(N17)*60+SECOND(N17)&amp;"&amp;autoplay=1"))</f>
        <v/>
      </c>
      <c r="R16" s="273"/>
      <c r="S16" s="273"/>
      <c r="T16" s="273"/>
      <c r="U16" s="274"/>
      <c r="V16" s="275"/>
      <c r="W16" s="276"/>
      <c r="X16" s="263"/>
      <c r="Y16" s="281"/>
      <c r="Z16" s="281"/>
      <c r="AA16" s="281"/>
      <c r="AB16" s="281"/>
      <c r="AC16" s="264"/>
      <c r="AD16" s="264"/>
      <c r="AE16" s="264"/>
      <c r="AF16" s="264"/>
      <c r="AG16" s="264"/>
    </row>
    <row r="17" spans="1:33">
      <c r="A17" s="265">
        <v>739.1</v>
      </c>
      <c r="B17" s="257"/>
      <c r="C17" s="257"/>
      <c r="D17" s="257"/>
      <c r="E17" s="257"/>
      <c r="F17" s="265" t="s">
        <v>2681</v>
      </c>
      <c r="G17" s="257"/>
      <c r="H17" s="257"/>
      <c r="I17" s="257"/>
      <c r="J17" s="257"/>
      <c r="K17" s="257"/>
      <c r="L17" s="257"/>
      <c r="M17" s="272">
        <v>0.76388888888888884</v>
      </c>
      <c r="N17" s="272">
        <v>0.85972222222222228</v>
      </c>
      <c r="O17" s="257"/>
      <c r="P17" s="265" t="s">
        <v>2682</v>
      </c>
      <c r="Q17" s="258"/>
      <c r="R17" s="259"/>
      <c r="S17" s="259"/>
      <c r="T17" s="259"/>
      <c r="U17" s="260"/>
      <c r="V17" s="261"/>
      <c r="W17" s="262"/>
      <c r="X17" s="263"/>
      <c r="Y17" s="257"/>
      <c r="Z17" s="257"/>
      <c r="AA17" s="264"/>
      <c r="AB17" s="264"/>
      <c r="AC17" s="264"/>
      <c r="AD17" s="264"/>
      <c r="AE17" s="264"/>
      <c r="AF17" s="264"/>
      <c r="AG17" s="264"/>
    </row>
    <row r="18" spans="1:33">
      <c r="A18" s="265">
        <v>739.2</v>
      </c>
      <c r="B18" s="257"/>
      <c r="C18" s="257"/>
      <c r="D18" s="257"/>
      <c r="E18" s="257"/>
      <c r="F18" s="12" t="s">
        <v>2685</v>
      </c>
      <c r="J18" s="257"/>
      <c r="K18" s="257"/>
      <c r="L18" s="257"/>
      <c r="M18" s="272">
        <v>0.86041666666666672</v>
      </c>
      <c r="N18" s="272">
        <v>0.98472222222222228</v>
      </c>
      <c r="O18" s="257"/>
      <c r="P18" s="265" t="s">
        <v>2682</v>
      </c>
      <c r="Q18" s="258"/>
      <c r="R18" s="259"/>
      <c r="S18" s="259"/>
      <c r="T18" s="259"/>
      <c r="U18" s="260"/>
      <c r="V18" s="261"/>
      <c r="W18" s="262"/>
      <c r="X18" s="263"/>
      <c r="Y18" s="257"/>
      <c r="Z18" s="257"/>
      <c r="AA18" s="264"/>
      <c r="AB18" s="264"/>
      <c r="AC18" s="264"/>
      <c r="AD18" s="264"/>
      <c r="AE18" s="264"/>
      <c r="AF18" s="264"/>
      <c r="AG18" s="264"/>
    </row>
    <row r="19" spans="1:33">
      <c r="A19" s="265">
        <v>739.3</v>
      </c>
      <c r="B19" s="257"/>
      <c r="C19" s="257"/>
      <c r="D19" s="257"/>
      <c r="E19" s="257"/>
      <c r="F19" s="265" t="s">
        <v>2686</v>
      </c>
      <c r="G19" s="277">
        <v>1.0777777777777777</v>
      </c>
      <c r="H19" s="257"/>
      <c r="I19" s="277">
        <v>1.2708333333333333</v>
      </c>
      <c r="J19" s="257"/>
      <c r="K19" s="257"/>
      <c r="L19" s="257"/>
      <c r="M19" s="272"/>
      <c r="N19" s="272"/>
      <c r="O19" s="257"/>
      <c r="P19" s="265" t="s">
        <v>2682</v>
      </c>
      <c r="Q19" s="258"/>
      <c r="R19" s="259"/>
      <c r="S19" s="259"/>
      <c r="T19" s="259"/>
      <c r="U19" s="260"/>
      <c r="V19" s="261"/>
      <c r="W19" s="262"/>
      <c r="X19" s="263"/>
      <c r="Y19" s="257"/>
      <c r="Z19" s="257"/>
      <c r="AA19" s="264"/>
      <c r="AB19" s="264"/>
      <c r="AC19" s="264"/>
      <c r="AD19" s="264"/>
      <c r="AE19" s="264"/>
      <c r="AF19" s="264"/>
      <c r="AG19" s="264"/>
    </row>
    <row r="20" spans="1:33">
      <c r="A20" s="265">
        <v>739.4</v>
      </c>
      <c r="B20" s="257"/>
      <c r="C20" s="257"/>
      <c r="D20" s="257"/>
      <c r="E20" s="257"/>
      <c r="F20" s="265" t="s">
        <v>2687</v>
      </c>
      <c r="G20" s="277">
        <v>1.2715277777777778</v>
      </c>
      <c r="H20" s="257"/>
      <c r="I20" s="277">
        <v>1.3909722222222223</v>
      </c>
      <c r="J20" s="257"/>
      <c r="K20" s="257"/>
      <c r="L20" s="257"/>
      <c r="M20" s="272"/>
      <c r="N20" s="272"/>
      <c r="O20" s="257"/>
      <c r="P20" s="265" t="s">
        <v>2682</v>
      </c>
      <c r="Q20" s="258"/>
      <c r="R20" s="259"/>
      <c r="S20" s="259"/>
      <c r="T20" s="259"/>
      <c r="U20" s="260"/>
      <c r="V20" s="261"/>
      <c r="W20" s="262"/>
      <c r="X20" s="263"/>
      <c r="Y20" s="257"/>
      <c r="Z20" s="257"/>
      <c r="AA20" s="264"/>
      <c r="AB20" s="264"/>
      <c r="AC20" s="264"/>
      <c r="AD20" s="264"/>
      <c r="AE20" s="264"/>
      <c r="AF20" s="264"/>
      <c r="AG20" s="264"/>
    </row>
    <row r="21" spans="1:33">
      <c r="B21" s="257"/>
      <c r="C21" s="257"/>
      <c r="D21" s="257"/>
      <c r="E21" s="257"/>
      <c r="F21" s="257"/>
      <c r="J21" s="257"/>
      <c r="K21" s="257"/>
      <c r="L21" s="257"/>
      <c r="M21" s="272"/>
      <c r="N21" s="272"/>
      <c r="O21" s="257"/>
      <c r="P21" s="257"/>
      <c r="Q21" s="258"/>
      <c r="R21" s="259"/>
      <c r="S21" s="259"/>
      <c r="T21" s="259"/>
      <c r="U21" s="260"/>
      <c r="V21" s="261"/>
      <c r="W21" s="262"/>
      <c r="X21" s="263"/>
      <c r="Y21" s="257"/>
      <c r="Z21" s="257"/>
      <c r="AA21" s="264"/>
      <c r="AB21" s="264"/>
      <c r="AC21" s="264"/>
      <c r="AD21" s="264"/>
      <c r="AE21" s="264"/>
      <c r="AF21" s="264"/>
      <c r="AG21" s="264"/>
    </row>
    <row r="22" spans="1:33">
      <c r="A22" s="38">
        <v>742</v>
      </c>
      <c r="B22" s="39" t="s">
        <v>497</v>
      </c>
      <c r="C22" s="40"/>
      <c r="D22" s="42" t="s">
        <v>139</v>
      </c>
      <c r="E22" s="38" t="s">
        <v>2690</v>
      </c>
      <c r="F22" s="43" t="s">
        <v>2691</v>
      </c>
      <c r="G22" s="44"/>
      <c r="H22" s="45"/>
      <c r="I22" s="38"/>
      <c r="J22" s="38">
        <f>18*1000</f>
        <v>18000</v>
      </c>
      <c r="K22" s="46">
        <v>4.4467592592592593E-2</v>
      </c>
      <c r="L22" s="47" t="s">
        <v>770</v>
      </c>
      <c r="M22" s="48"/>
      <c r="N22" s="48"/>
      <c r="O22" s="38"/>
      <c r="P22" s="65">
        <v>43019</v>
      </c>
      <c r="Q22" s="14" t="str">
        <f t="shared" ref="Q22:Q23" ca="1" si="0">HYPERLINK(IF(INT(A22)-A22=0,"",REPLACE(INDIRECT("MasterList!e"&amp;INT(A22)+1),25,8,"embed/")&amp;"?start="&amp;HOUR(M22)*3600+MINUTE(M22)*60+SECOND(M22)&amp;"&amp;end="&amp;HOUR(N22)*3600+MINUTE(N22)*60+SECOND(N22)&amp;"&amp;autoplay=1"))</f>
        <v/>
      </c>
      <c r="R22" s="51"/>
      <c r="S22" s="51"/>
      <c r="T22" s="51"/>
      <c r="U22" s="40"/>
      <c r="V22" s="54"/>
      <c r="W22" s="69" t="s">
        <v>64</v>
      </c>
      <c r="X22" s="56"/>
      <c r="Y22" s="88"/>
      <c r="Z22" s="88"/>
      <c r="AA22" s="88"/>
      <c r="AB22" s="88"/>
      <c r="AC22" s="264"/>
      <c r="AD22" s="264"/>
      <c r="AE22" s="264"/>
      <c r="AF22" s="264"/>
      <c r="AG22" s="264"/>
    </row>
    <row r="23" spans="1:33">
      <c r="A23" s="265">
        <v>742.01</v>
      </c>
      <c r="B23" s="39" t="s">
        <v>497</v>
      </c>
      <c r="C23" s="40"/>
      <c r="D23" s="42" t="s">
        <v>139</v>
      </c>
      <c r="E23" s="38"/>
      <c r="F23" s="257"/>
      <c r="G23" s="265" t="s">
        <v>2696</v>
      </c>
      <c r="H23" s="265" t="s">
        <v>2697</v>
      </c>
      <c r="I23" s="257"/>
      <c r="J23" s="257"/>
      <c r="K23" s="257"/>
      <c r="L23" s="257"/>
      <c r="M23" s="93">
        <v>1.736111111111111E-3</v>
      </c>
      <c r="N23" s="93">
        <v>3.1481481481481482E-3</v>
      </c>
      <c r="O23" s="282">
        <f>N23-M23</f>
        <v>1.4120370370370372E-3</v>
      </c>
      <c r="P23" s="65">
        <v>43019</v>
      </c>
      <c r="Q23" s="59" t="str">
        <f t="shared" ca="1" si="0"/>
        <v>https://www.youtube.com/embed/SPD35eCSgDk?start=150&amp;end=272&amp;autoplay=1</v>
      </c>
      <c r="R23" s="283" t="s">
        <v>2698</v>
      </c>
      <c r="S23" s="283" t="s">
        <v>2698</v>
      </c>
      <c r="T23" s="283" t="s">
        <v>2698</v>
      </c>
      <c r="U23" s="284" t="s">
        <v>2699</v>
      </c>
      <c r="V23" s="261"/>
      <c r="W23" s="285" t="s">
        <v>64</v>
      </c>
      <c r="X23" s="286" t="s">
        <v>64</v>
      </c>
      <c r="Y23" s="257"/>
      <c r="Z23" s="257"/>
      <c r="AA23" s="264"/>
      <c r="AB23" s="264"/>
      <c r="AC23" s="264"/>
      <c r="AD23" s="264"/>
      <c r="AE23" s="264"/>
      <c r="AF23" s="264"/>
      <c r="AG23" s="264"/>
    </row>
    <row r="24" spans="1:33">
      <c r="A24" s="257"/>
      <c r="B24" s="257"/>
      <c r="C24" s="257"/>
      <c r="D24" s="257"/>
      <c r="E24" s="257"/>
      <c r="F24" s="257"/>
      <c r="G24" s="257"/>
      <c r="H24" s="257"/>
      <c r="I24" s="257"/>
      <c r="J24" s="257"/>
      <c r="K24" s="257"/>
      <c r="L24" s="257"/>
      <c r="M24" s="48"/>
      <c r="N24" s="48"/>
      <c r="O24" s="257"/>
      <c r="P24" s="257"/>
      <c r="Q24" s="258"/>
      <c r="R24" s="259"/>
      <c r="S24" s="259"/>
      <c r="T24" s="259"/>
      <c r="U24" s="260"/>
      <c r="V24" s="261"/>
      <c r="W24" s="262"/>
      <c r="X24" s="263"/>
      <c r="Y24" s="257"/>
      <c r="Z24" s="257"/>
      <c r="AA24" s="264"/>
      <c r="AB24" s="264"/>
      <c r="AC24" s="264"/>
      <c r="AD24" s="264"/>
      <c r="AE24" s="264"/>
      <c r="AF24" s="264"/>
      <c r="AG24" s="264"/>
    </row>
    <row r="25" spans="1:33">
      <c r="A25" s="257"/>
      <c r="B25" s="257"/>
      <c r="C25" s="257"/>
      <c r="D25" s="257"/>
      <c r="E25" s="257"/>
      <c r="F25" s="287"/>
      <c r="G25" s="257"/>
      <c r="H25" s="257"/>
      <c r="I25" s="257"/>
      <c r="J25" s="257"/>
      <c r="K25" s="257"/>
      <c r="L25" s="257"/>
      <c r="M25" s="48"/>
      <c r="N25" s="48"/>
      <c r="O25" s="257"/>
      <c r="P25" s="257"/>
      <c r="Q25" s="258"/>
      <c r="R25" s="259"/>
      <c r="S25" s="259"/>
      <c r="T25" s="259"/>
      <c r="U25" s="260"/>
      <c r="V25" s="261"/>
      <c r="W25" s="262"/>
      <c r="X25" s="263"/>
      <c r="Y25" s="257"/>
      <c r="Z25" s="257"/>
      <c r="AA25" s="264"/>
      <c r="AB25" s="264"/>
      <c r="AC25" s="264"/>
      <c r="AD25" s="264"/>
      <c r="AE25" s="264"/>
      <c r="AF25" s="264"/>
      <c r="AG25" s="264"/>
    </row>
    <row r="26" spans="1:33">
      <c r="A26" s="257"/>
      <c r="B26" s="116" t="s">
        <v>2704</v>
      </c>
      <c r="C26" s="257"/>
      <c r="D26" s="257"/>
      <c r="E26" s="257"/>
      <c r="F26" s="267"/>
      <c r="G26" s="257"/>
      <c r="H26" s="257"/>
      <c r="I26" s="257"/>
      <c r="J26" s="257"/>
      <c r="K26" s="257"/>
      <c r="L26" s="257"/>
      <c r="M26" s="48"/>
      <c r="N26" s="48"/>
      <c r="O26" s="257"/>
      <c r="P26" s="257"/>
      <c r="Q26" s="258"/>
      <c r="R26" s="259"/>
      <c r="S26" s="259"/>
      <c r="T26" s="259"/>
      <c r="U26" s="260"/>
      <c r="V26" s="261"/>
      <c r="W26" s="262"/>
      <c r="X26" s="263"/>
      <c r="Y26" s="257"/>
      <c r="Z26" s="257"/>
      <c r="AA26" s="264"/>
      <c r="AB26" s="264"/>
      <c r="AC26" s="264"/>
      <c r="AD26" s="264"/>
      <c r="AE26" s="264"/>
      <c r="AF26" s="264"/>
      <c r="AG26" s="264"/>
    </row>
    <row r="27" spans="1:33">
      <c r="A27" s="257"/>
      <c r="B27" s="257"/>
      <c r="C27" s="257"/>
      <c r="D27" s="257"/>
      <c r="E27" s="257"/>
      <c r="F27" s="287"/>
      <c r="G27" s="257"/>
      <c r="H27" s="257"/>
      <c r="I27" s="257"/>
      <c r="J27" s="257"/>
      <c r="K27" s="257"/>
      <c r="L27" s="257"/>
      <c r="M27" s="257"/>
      <c r="N27" s="257"/>
      <c r="O27" s="257"/>
      <c r="P27" s="257"/>
      <c r="Q27" s="258"/>
      <c r="R27" s="259"/>
      <c r="S27" s="259"/>
      <c r="T27" s="259"/>
      <c r="U27" s="260"/>
      <c r="V27" s="261"/>
      <c r="W27" s="262"/>
      <c r="X27" s="263"/>
      <c r="Y27" s="257"/>
      <c r="Z27" s="257"/>
      <c r="AA27" s="264"/>
      <c r="AB27" s="264"/>
      <c r="AC27" s="264"/>
      <c r="AD27" s="264"/>
      <c r="AE27" s="264"/>
      <c r="AF27" s="264"/>
      <c r="AG27" s="264"/>
    </row>
    <row r="28" spans="1:33">
      <c r="A28" s="257"/>
      <c r="B28" s="257"/>
      <c r="C28" s="257"/>
      <c r="D28" s="257"/>
      <c r="E28" s="257"/>
      <c r="F28" s="267"/>
      <c r="G28" s="257"/>
      <c r="H28" s="257"/>
      <c r="I28" s="257"/>
      <c r="J28" s="257"/>
      <c r="K28" s="257"/>
      <c r="L28" s="257"/>
      <c r="M28" s="257"/>
      <c r="N28" s="257"/>
      <c r="O28" s="257"/>
      <c r="P28" s="257"/>
      <c r="Q28" s="258"/>
      <c r="R28" s="259"/>
      <c r="S28" s="259"/>
      <c r="T28" s="259"/>
      <c r="U28" s="260"/>
      <c r="V28" s="261"/>
      <c r="W28" s="262"/>
      <c r="X28" s="263"/>
      <c r="Y28" s="257"/>
      <c r="Z28" s="257"/>
      <c r="AA28" s="264"/>
      <c r="AB28" s="264"/>
      <c r="AC28" s="264"/>
      <c r="AD28" s="264"/>
      <c r="AE28" s="264"/>
      <c r="AF28" s="264"/>
      <c r="AG28" s="264"/>
    </row>
    <row r="29" spans="1:33">
      <c r="A29" s="257"/>
      <c r="B29" s="257"/>
      <c r="C29" s="257"/>
      <c r="D29" s="257"/>
      <c r="E29" s="257"/>
      <c r="F29" s="287"/>
      <c r="G29" s="257"/>
      <c r="H29" s="257"/>
      <c r="I29" s="257"/>
      <c r="J29" s="257"/>
      <c r="K29" s="257"/>
      <c r="L29" s="257"/>
      <c r="M29" s="257"/>
      <c r="N29" s="257"/>
      <c r="O29" s="257"/>
      <c r="P29" s="257"/>
      <c r="Q29" s="258"/>
      <c r="R29" s="259"/>
      <c r="S29" s="259"/>
      <c r="T29" s="259"/>
      <c r="U29" s="260"/>
      <c r="V29" s="261"/>
      <c r="W29" s="262"/>
      <c r="X29" s="263"/>
      <c r="Y29" s="257"/>
      <c r="Z29" s="257"/>
      <c r="AA29" s="264"/>
      <c r="AB29" s="264"/>
      <c r="AC29" s="264"/>
      <c r="AD29" s="264"/>
      <c r="AE29" s="264"/>
      <c r="AF29" s="264"/>
      <c r="AG29" s="264"/>
    </row>
    <row r="30" spans="1:33">
      <c r="A30" s="257"/>
      <c r="B30" s="257"/>
      <c r="C30" s="257"/>
      <c r="D30" s="257"/>
      <c r="E30" s="257"/>
      <c r="F30" s="287"/>
      <c r="G30" s="257"/>
      <c r="H30" s="257"/>
      <c r="I30" s="257"/>
      <c r="J30" s="257"/>
      <c r="K30" s="257"/>
      <c r="L30" s="257"/>
      <c r="M30" s="257"/>
      <c r="N30" s="257"/>
      <c r="O30" s="257"/>
      <c r="P30" s="257"/>
      <c r="Q30" s="258"/>
      <c r="R30" s="259"/>
      <c r="S30" s="259"/>
      <c r="T30" s="259"/>
      <c r="U30" s="260"/>
      <c r="V30" s="261"/>
      <c r="W30" s="262"/>
      <c r="X30" s="263"/>
      <c r="Y30" s="257"/>
      <c r="Z30" s="257"/>
      <c r="AA30" s="264"/>
      <c r="AB30" s="264"/>
      <c r="AC30" s="264"/>
      <c r="AD30" s="264"/>
      <c r="AE30" s="264"/>
      <c r="AF30" s="264"/>
      <c r="AG30" s="264"/>
    </row>
    <row r="31" spans="1:33">
      <c r="A31" s="257"/>
      <c r="B31" s="257"/>
      <c r="C31" s="257"/>
      <c r="D31" s="257"/>
      <c r="E31" s="257"/>
      <c r="F31" s="267"/>
      <c r="G31" s="257"/>
      <c r="H31" s="257"/>
      <c r="I31" s="257"/>
      <c r="J31" s="257"/>
      <c r="K31" s="257"/>
      <c r="L31" s="257"/>
      <c r="M31" s="257"/>
      <c r="N31" s="257"/>
      <c r="O31" s="257"/>
      <c r="P31" s="257"/>
      <c r="Q31" s="258"/>
      <c r="R31" s="259"/>
      <c r="S31" s="259"/>
      <c r="T31" s="259"/>
      <c r="U31" s="260"/>
      <c r="V31" s="261"/>
      <c r="W31" s="262"/>
      <c r="X31" s="263"/>
      <c r="Y31" s="257"/>
      <c r="Z31" s="257"/>
      <c r="AA31" s="264"/>
      <c r="AB31" s="264"/>
      <c r="AC31" s="264"/>
      <c r="AD31" s="264"/>
      <c r="AE31" s="264"/>
      <c r="AF31" s="264"/>
      <c r="AG31" s="264"/>
    </row>
    <row r="32" spans="1:33">
      <c r="A32" s="257"/>
      <c r="B32" s="257"/>
      <c r="C32" s="257"/>
      <c r="D32" s="257"/>
      <c r="E32" s="257"/>
      <c r="F32" s="287"/>
      <c r="G32" s="257"/>
      <c r="H32" s="257"/>
      <c r="I32" s="257"/>
      <c r="J32" s="257"/>
      <c r="K32" s="257"/>
      <c r="L32" s="257"/>
      <c r="M32" s="257"/>
      <c r="N32" s="257"/>
      <c r="O32" s="257"/>
      <c r="P32" s="257"/>
      <c r="Q32" s="258"/>
      <c r="R32" s="259"/>
      <c r="S32" s="259"/>
      <c r="T32" s="259"/>
      <c r="U32" s="260"/>
      <c r="V32" s="261"/>
      <c r="W32" s="262"/>
      <c r="X32" s="263"/>
      <c r="Y32" s="257"/>
      <c r="Z32" s="257"/>
      <c r="AA32" s="264"/>
      <c r="AB32" s="264"/>
      <c r="AC32" s="264"/>
      <c r="AD32" s="264"/>
      <c r="AE32" s="264"/>
      <c r="AF32" s="264"/>
      <c r="AG32" s="264"/>
    </row>
    <row r="33" spans="1:33">
      <c r="A33" s="257"/>
      <c r="B33" s="257"/>
      <c r="C33" s="257"/>
      <c r="D33" s="257"/>
      <c r="E33" s="257"/>
      <c r="F33" s="267"/>
      <c r="G33" s="257"/>
      <c r="H33" s="257"/>
      <c r="I33" s="257"/>
      <c r="J33" s="257"/>
      <c r="K33" s="257"/>
      <c r="L33" s="257"/>
      <c r="M33" s="257"/>
      <c r="N33" s="257"/>
      <c r="O33" s="257"/>
      <c r="P33" s="257"/>
      <c r="Q33" s="258"/>
      <c r="R33" s="259"/>
      <c r="S33" s="259"/>
      <c r="T33" s="259"/>
      <c r="U33" s="260"/>
      <c r="V33" s="261"/>
      <c r="W33" s="262"/>
      <c r="X33" s="263"/>
      <c r="Y33" s="257"/>
      <c r="Z33" s="257"/>
      <c r="AA33" s="264"/>
      <c r="AB33" s="264"/>
      <c r="AC33" s="264"/>
      <c r="AD33" s="264"/>
      <c r="AE33" s="264"/>
      <c r="AF33" s="264"/>
      <c r="AG33" s="264"/>
    </row>
    <row r="34" spans="1:33">
      <c r="A34" s="257"/>
      <c r="B34" s="257"/>
      <c r="C34" s="257"/>
      <c r="D34" s="257"/>
      <c r="E34" s="257"/>
      <c r="F34" s="287"/>
      <c r="G34" s="257"/>
      <c r="H34" s="257"/>
      <c r="I34" s="257"/>
      <c r="J34" s="257"/>
      <c r="K34" s="257"/>
      <c r="L34" s="257"/>
      <c r="M34" s="257"/>
      <c r="N34" s="257"/>
      <c r="O34" s="257"/>
      <c r="P34" s="257"/>
      <c r="Q34" s="258"/>
      <c r="R34" s="259"/>
      <c r="S34" s="259"/>
      <c r="T34" s="259"/>
      <c r="U34" s="260"/>
      <c r="V34" s="261"/>
      <c r="W34" s="262"/>
      <c r="X34" s="263"/>
      <c r="Y34" s="257"/>
      <c r="Z34" s="257"/>
      <c r="AA34" s="264"/>
      <c r="AB34" s="264"/>
      <c r="AC34" s="264"/>
      <c r="AD34" s="264"/>
      <c r="AE34" s="264"/>
      <c r="AF34" s="264"/>
      <c r="AG34" s="264"/>
    </row>
    <row r="35" spans="1:33">
      <c r="A35" s="257"/>
      <c r="B35" s="257"/>
      <c r="C35" s="257"/>
      <c r="D35" s="257"/>
      <c r="E35" s="257"/>
      <c r="F35" s="267"/>
      <c r="G35" s="257"/>
      <c r="H35" s="257"/>
      <c r="I35" s="257"/>
      <c r="J35" s="257"/>
      <c r="K35" s="257"/>
      <c r="L35" s="257"/>
      <c r="M35" s="257"/>
      <c r="N35" s="257"/>
      <c r="O35" s="257"/>
      <c r="P35" s="257"/>
      <c r="Q35" s="258"/>
      <c r="R35" s="259"/>
      <c r="S35" s="259"/>
      <c r="T35" s="259"/>
      <c r="U35" s="260"/>
      <c r="V35" s="261"/>
      <c r="W35" s="262"/>
      <c r="X35" s="263"/>
      <c r="Y35" s="257"/>
      <c r="Z35" s="257"/>
      <c r="AA35" s="264"/>
      <c r="AB35" s="264"/>
      <c r="AC35" s="264"/>
      <c r="AD35" s="264"/>
      <c r="AE35" s="264"/>
      <c r="AF35" s="264"/>
      <c r="AG35" s="264"/>
    </row>
    <row r="36" spans="1:33">
      <c r="A36" s="257"/>
      <c r="B36" s="257"/>
      <c r="C36" s="257"/>
      <c r="D36" s="257"/>
      <c r="E36" s="257"/>
      <c r="F36" s="287"/>
      <c r="G36" s="257"/>
      <c r="H36" s="257"/>
      <c r="I36" s="257"/>
      <c r="J36" s="257"/>
      <c r="K36" s="257"/>
      <c r="L36" s="257"/>
      <c r="M36" s="257"/>
      <c r="N36" s="257"/>
      <c r="O36" s="257"/>
      <c r="P36" s="257"/>
      <c r="Q36" s="258"/>
      <c r="R36" s="259"/>
      <c r="S36" s="259"/>
      <c r="T36" s="259"/>
      <c r="U36" s="260"/>
      <c r="V36" s="261"/>
      <c r="W36" s="262"/>
      <c r="X36" s="263"/>
      <c r="Y36" s="257"/>
      <c r="Z36" s="257"/>
      <c r="AA36" s="264"/>
      <c r="AB36" s="264"/>
      <c r="AC36" s="264"/>
      <c r="AD36" s="264"/>
      <c r="AE36" s="264"/>
      <c r="AF36" s="264"/>
      <c r="AG36" s="264"/>
    </row>
    <row r="37" spans="1:33">
      <c r="A37" s="257"/>
      <c r="B37" s="257"/>
      <c r="C37" s="257"/>
      <c r="D37" s="257"/>
      <c r="E37" s="257"/>
      <c r="F37" s="267"/>
      <c r="G37" s="257"/>
      <c r="H37" s="257"/>
      <c r="I37" s="257"/>
      <c r="J37" s="257"/>
      <c r="K37" s="257"/>
      <c r="L37" s="257"/>
      <c r="M37" s="257"/>
      <c r="N37" s="257"/>
      <c r="O37" s="257"/>
      <c r="P37" s="257"/>
      <c r="Q37" s="258"/>
      <c r="R37" s="259"/>
      <c r="S37" s="259"/>
      <c r="T37" s="259"/>
      <c r="U37" s="260"/>
      <c r="V37" s="261"/>
      <c r="W37" s="262"/>
      <c r="X37" s="263"/>
      <c r="Y37" s="257"/>
      <c r="Z37" s="257"/>
      <c r="AA37" s="264"/>
      <c r="AB37" s="264"/>
      <c r="AC37" s="264"/>
      <c r="AD37" s="264"/>
      <c r="AE37" s="264"/>
      <c r="AF37" s="264"/>
      <c r="AG37" s="264"/>
    </row>
    <row r="38" spans="1:33">
      <c r="A38" s="257"/>
      <c r="B38" s="257"/>
      <c r="C38" s="257"/>
      <c r="D38" s="257"/>
      <c r="E38" s="257"/>
      <c r="F38" s="287"/>
      <c r="G38" s="257"/>
      <c r="H38" s="257"/>
      <c r="I38" s="257"/>
      <c r="J38" s="257"/>
      <c r="K38" s="257"/>
      <c r="L38" s="257"/>
      <c r="M38" s="257"/>
      <c r="N38" s="257"/>
      <c r="O38" s="257"/>
      <c r="P38" s="257"/>
      <c r="Q38" s="258"/>
      <c r="R38" s="273"/>
      <c r="S38" s="273"/>
      <c r="T38" s="273"/>
      <c r="U38" s="274"/>
      <c r="V38" s="275"/>
      <c r="W38" s="276"/>
      <c r="X38" s="263"/>
      <c r="Y38" s="257"/>
      <c r="Z38" s="257"/>
      <c r="AA38" s="264"/>
      <c r="AB38" s="264"/>
      <c r="AC38" s="264"/>
      <c r="AD38" s="264"/>
      <c r="AE38" s="264"/>
      <c r="AF38" s="264"/>
      <c r="AG38" s="264"/>
    </row>
    <row r="39" spans="1:33">
      <c r="A39" s="257"/>
      <c r="B39" s="257"/>
      <c r="C39" s="257"/>
      <c r="D39" s="257"/>
      <c r="E39" s="257"/>
      <c r="F39" s="267"/>
      <c r="G39" s="257"/>
      <c r="H39" s="257"/>
      <c r="I39" s="257"/>
      <c r="J39" s="257"/>
      <c r="K39" s="257"/>
      <c r="L39" s="257"/>
      <c r="M39" s="257"/>
      <c r="N39" s="257"/>
      <c r="O39" s="257"/>
      <c r="P39" s="257"/>
      <c r="Q39" s="258"/>
      <c r="R39" s="273"/>
      <c r="S39" s="273"/>
      <c r="T39" s="273"/>
      <c r="U39" s="274"/>
      <c r="V39" s="275"/>
      <c r="W39" s="276"/>
      <c r="X39" s="263"/>
      <c r="Y39" s="257"/>
      <c r="Z39" s="257"/>
      <c r="AA39" s="264"/>
      <c r="AB39" s="264"/>
      <c r="AC39" s="264"/>
      <c r="AD39" s="264"/>
      <c r="AE39" s="264"/>
      <c r="AF39" s="264"/>
      <c r="AG39" s="264"/>
    </row>
    <row r="40" spans="1:33">
      <c r="A40" s="257"/>
      <c r="B40" s="257"/>
      <c r="C40" s="257"/>
      <c r="D40" s="257"/>
      <c r="E40" s="257"/>
      <c r="F40" s="287"/>
      <c r="G40" s="257"/>
      <c r="H40" s="257"/>
      <c r="I40" s="257"/>
      <c r="J40" s="257"/>
      <c r="K40" s="257"/>
      <c r="L40" s="257"/>
      <c r="M40" s="257"/>
      <c r="N40" s="257"/>
      <c r="O40" s="257"/>
      <c r="P40" s="257"/>
      <c r="Q40" s="258"/>
      <c r="R40" s="273"/>
      <c r="S40" s="273"/>
      <c r="T40" s="273"/>
      <c r="U40" s="274"/>
      <c r="V40" s="275"/>
      <c r="W40" s="276"/>
      <c r="X40" s="263"/>
      <c r="Y40" s="257"/>
      <c r="Z40" s="257"/>
      <c r="AA40" s="264"/>
      <c r="AB40" s="264"/>
      <c r="AC40" s="264"/>
      <c r="AD40" s="264"/>
      <c r="AE40" s="264"/>
      <c r="AF40" s="264"/>
      <c r="AG40" s="264"/>
    </row>
    <row r="41" spans="1:33">
      <c r="A41" s="257"/>
      <c r="B41" s="257"/>
      <c r="C41" s="257"/>
      <c r="D41" s="257"/>
      <c r="E41" s="257"/>
      <c r="F41" s="267"/>
      <c r="G41" s="257"/>
      <c r="H41" s="257"/>
      <c r="I41" s="257"/>
      <c r="J41" s="257"/>
      <c r="K41" s="257"/>
      <c r="L41" s="257"/>
      <c r="M41" s="257"/>
      <c r="N41" s="257"/>
      <c r="O41" s="257"/>
      <c r="P41" s="257"/>
      <c r="Q41" s="258"/>
      <c r="R41" s="273"/>
      <c r="S41" s="273"/>
      <c r="T41" s="273"/>
      <c r="U41" s="274"/>
      <c r="V41" s="275"/>
      <c r="W41" s="276"/>
      <c r="X41" s="263"/>
      <c r="Y41" s="257"/>
      <c r="Z41" s="257"/>
      <c r="AA41" s="264"/>
      <c r="AB41" s="264"/>
      <c r="AC41" s="264"/>
      <c r="AD41" s="264"/>
      <c r="AE41" s="264"/>
      <c r="AF41" s="264"/>
      <c r="AG41" s="264"/>
    </row>
    <row r="42" spans="1:33">
      <c r="A42" s="257"/>
      <c r="B42" s="257"/>
      <c r="C42" s="257"/>
      <c r="D42" s="257"/>
      <c r="E42" s="257"/>
      <c r="F42" s="287"/>
      <c r="G42" s="257"/>
      <c r="H42" s="257"/>
      <c r="I42" s="257"/>
      <c r="J42" s="257"/>
      <c r="K42" s="257"/>
      <c r="L42" s="257"/>
      <c r="M42" s="257"/>
      <c r="N42" s="257"/>
      <c r="O42" s="257"/>
      <c r="P42" s="257"/>
      <c r="Q42" s="258"/>
      <c r="R42" s="273"/>
      <c r="S42" s="273"/>
      <c r="T42" s="273"/>
      <c r="U42" s="274"/>
      <c r="V42" s="275"/>
      <c r="W42" s="276"/>
      <c r="X42" s="263"/>
      <c r="Y42" s="257"/>
      <c r="Z42" s="257"/>
      <c r="AA42" s="264"/>
      <c r="AB42" s="264"/>
      <c r="AC42" s="264"/>
      <c r="AD42" s="264"/>
      <c r="AE42" s="264"/>
      <c r="AF42" s="264"/>
      <c r="AG42" s="264"/>
    </row>
    <row r="43" spans="1:33">
      <c r="A43" s="257"/>
      <c r="B43" s="257"/>
      <c r="C43" s="257"/>
      <c r="D43" s="257"/>
      <c r="E43" s="257"/>
      <c r="F43" s="267"/>
      <c r="G43" s="257"/>
      <c r="H43" s="257"/>
      <c r="I43" s="257"/>
      <c r="J43" s="257"/>
      <c r="K43" s="257"/>
      <c r="L43" s="257"/>
      <c r="M43" s="257"/>
      <c r="N43" s="257"/>
      <c r="O43" s="257"/>
      <c r="P43" s="257"/>
      <c r="Q43" s="258"/>
      <c r="R43" s="273"/>
      <c r="S43" s="273"/>
      <c r="T43" s="273"/>
      <c r="U43" s="274"/>
      <c r="V43" s="275"/>
      <c r="W43" s="276"/>
      <c r="X43" s="263"/>
      <c r="Y43" s="257"/>
      <c r="Z43" s="257"/>
      <c r="AA43" s="264"/>
      <c r="AB43" s="264"/>
      <c r="AC43" s="264"/>
      <c r="AD43" s="264"/>
      <c r="AE43" s="264"/>
      <c r="AF43" s="264"/>
      <c r="AG43" s="264"/>
    </row>
    <row r="44" spans="1:33">
      <c r="A44" s="257"/>
      <c r="B44" s="257"/>
      <c r="C44" s="257"/>
      <c r="D44" s="257"/>
      <c r="E44" s="257"/>
      <c r="F44" s="287"/>
      <c r="G44" s="257"/>
      <c r="H44" s="257"/>
      <c r="I44" s="257"/>
      <c r="J44" s="257"/>
      <c r="K44" s="257"/>
      <c r="L44" s="257"/>
      <c r="M44" s="257"/>
      <c r="N44" s="257"/>
      <c r="O44" s="257"/>
      <c r="P44" s="257"/>
      <c r="Q44" s="258"/>
      <c r="R44" s="273"/>
      <c r="S44" s="273"/>
      <c r="T44" s="273"/>
      <c r="U44" s="274"/>
      <c r="V44" s="275"/>
      <c r="W44" s="276"/>
      <c r="X44" s="263"/>
      <c r="Y44" s="257"/>
      <c r="Z44" s="257"/>
      <c r="AA44" s="264"/>
      <c r="AB44" s="264"/>
      <c r="AC44" s="264"/>
      <c r="AD44" s="264"/>
      <c r="AE44" s="264"/>
      <c r="AF44" s="264"/>
      <c r="AG44" s="264"/>
    </row>
    <row r="45" spans="1:33">
      <c r="A45" s="257"/>
      <c r="B45" s="257"/>
      <c r="C45" s="257"/>
      <c r="D45" s="257"/>
      <c r="E45" s="257"/>
      <c r="F45" s="267"/>
      <c r="G45" s="257"/>
      <c r="H45" s="257"/>
      <c r="I45" s="257"/>
      <c r="J45" s="257"/>
      <c r="K45" s="257"/>
      <c r="L45" s="257"/>
      <c r="M45" s="257"/>
      <c r="N45" s="257"/>
      <c r="O45" s="257"/>
      <c r="P45" s="257"/>
      <c r="Q45" s="258"/>
      <c r="R45" s="273"/>
      <c r="S45" s="273"/>
      <c r="T45" s="273"/>
      <c r="U45" s="274"/>
      <c r="V45" s="275"/>
      <c r="W45" s="276"/>
      <c r="X45" s="263"/>
      <c r="Y45" s="257"/>
      <c r="Z45" s="257"/>
      <c r="AA45" s="264"/>
      <c r="AB45" s="264"/>
      <c r="AC45" s="264"/>
      <c r="AD45" s="264"/>
      <c r="AE45" s="264"/>
      <c r="AF45" s="264"/>
      <c r="AG45" s="264"/>
    </row>
    <row r="46" spans="1:33">
      <c r="A46" s="257"/>
      <c r="B46" s="257"/>
      <c r="C46" s="257"/>
      <c r="D46" s="257"/>
      <c r="E46" s="257"/>
      <c r="F46" s="287"/>
      <c r="G46" s="257"/>
      <c r="H46" s="257"/>
      <c r="I46" s="257"/>
      <c r="J46" s="257"/>
      <c r="K46" s="257"/>
      <c r="L46" s="257"/>
      <c r="M46" s="257"/>
      <c r="N46" s="257"/>
      <c r="O46" s="257"/>
      <c r="P46" s="257"/>
      <c r="Q46" s="258"/>
      <c r="R46" s="273"/>
      <c r="S46" s="273"/>
      <c r="T46" s="273"/>
      <c r="U46" s="274"/>
      <c r="V46" s="275"/>
      <c r="W46" s="276"/>
      <c r="X46" s="263"/>
      <c r="Y46" s="257"/>
      <c r="Z46" s="257"/>
      <c r="AA46" s="264"/>
      <c r="AB46" s="264"/>
      <c r="AC46" s="264"/>
      <c r="AD46" s="264"/>
      <c r="AE46" s="264"/>
      <c r="AF46" s="264"/>
      <c r="AG46" s="264"/>
    </row>
    <row r="47" spans="1:33">
      <c r="A47" s="257"/>
      <c r="B47" s="257"/>
      <c r="C47" s="257"/>
      <c r="D47" s="257"/>
      <c r="E47" s="257"/>
      <c r="F47" s="267"/>
      <c r="G47" s="257"/>
      <c r="H47" s="257"/>
      <c r="I47" s="257"/>
      <c r="J47" s="257"/>
      <c r="K47" s="257"/>
      <c r="L47" s="257"/>
      <c r="M47" s="257"/>
      <c r="N47" s="257"/>
      <c r="O47" s="257"/>
      <c r="P47" s="257"/>
      <c r="Q47" s="258"/>
      <c r="R47" s="273"/>
      <c r="S47" s="273"/>
      <c r="T47" s="273"/>
      <c r="U47" s="274"/>
      <c r="V47" s="275"/>
      <c r="W47" s="276"/>
      <c r="X47" s="263"/>
      <c r="Y47" s="257"/>
      <c r="Z47" s="257"/>
      <c r="AA47" s="264"/>
      <c r="AB47" s="264"/>
      <c r="AC47" s="264"/>
      <c r="AD47" s="264"/>
      <c r="AE47" s="264"/>
      <c r="AF47" s="264"/>
      <c r="AG47" s="264"/>
    </row>
    <row r="48" spans="1:33">
      <c r="A48" s="257"/>
      <c r="B48" s="257"/>
      <c r="C48" s="257"/>
      <c r="D48" s="257"/>
      <c r="E48" s="257"/>
      <c r="F48" s="287"/>
      <c r="G48" s="257"/>
      <c r="H48" s="257"/>
      <c r="I48" s="257"/>
      <c r="J48" s="257"/>
      <c r="K48" s="257"/>
      <c r="L48" s="257"/>
      <c r="M48" s="257"/>
      <c r="N48" s="257"/>
      <c r="O48" s="257"/>
      <c r="P48" s="257"/>
      <c r="Q48" s="258"/>
      <c r="R48" s="273"/>
      <c r="S48" s="273"/>
      <c r="T48" s="273"/>
      <c r="U48" s="274"/>
      <c r="V48" s="275"/>
      <c r="W48" s="276"/>
      <c r="X48" s="263"/>
      <c r="Y48" s="257"/>
      <c r="Z48" s="257"/>
      <c r="AA48" s="264"/>
      <c r="AB48" s="264"/>
      <c r="AC48" s="264"/>
      <c r="AD48" s="264"/>
      <c r="AE48" s="264"/>
      <c r="AF48" s="264"/>
      <c r="AG48" s="264"/>
    </row>
    <row r="49" spans="1:33">
      <c r="A49" s="257"/>
      <c r="B49" s="257"/>
      <c r="C49" s="257"/>
      <c r="D49" s="257"/>
      <c r="E49" s="257"/>
      <c r="F49" s="267"/>
      <c r="G49" s="257"/>
      <c r="H49" s="257"/>
      <c r="I49" s="257"/>
      <c r="J49" s="257"/>
      <c r="K49" s="257"/>
      <c r="L49" s="257"/>
      <c r="M49" s="257"/>
      <c r="N49" s="257"/>
      <c r="O49" s="257"/>
      <c r="P49" s="257"/>
      <c r="Q49" s="258"/>
      <c r="R49" s="273"/>
      <c r="S49" s="273"/>
      <c r="T49" s="273"/>
      <c r="U49" s="274"/>
      <c r="V49" s="275"/>
      <c r="W49" s="276"/>
      <c r="X49" s="263"/>
      <c r="Y49" s="257"/>
      <c r="Z49" s="257"/>
      <c r="AA49" s="264"/>
      <c r="AB49" s="264"/>
      <c r="AC49" s="264"/>
      <c r="AD49" s="264"/>
      <c r="AE49" s="264"/>
      <c r="AF49" s="264"/>
      <c r="AG49" s="264"/>
    </row>
    <row r="50" spans="1:33">
      <c r="A50" s="257"/>
      <c r="B50" s="257"/>
      <c r="C50" s="257"/>
      <c r="D50" s="257"/>
      <c r="E50" s="257"/>
      <c r="F50" s="287"/>
      <c r="G50" s="257"/>
      <c r="H50" s="257"/>
      <c r="I50" s="257"/>
      <c r="J50" s="257"/>
      <c r="K50" s="257"/>
      <c r="L50" s="257"/>
      <c r="M50" s="257"/>
      <c r="N50" s="257"/>
      <c r="O50" s="257"/>
      <c r="P50" s="257"/>
      <c r="Q50" s="258"/>
      <c r="R50" s="273"/>
      <c r="S50" s="273"/>
      <c r="T50" s="273"/>
      <c r="U50" s="274"/>
      <c r="V50" s="275"/>
      <c r="W50" s="276"/>
      <c r="X50" s="263"/>
      <c r="Y50" s="257"/>
      <c r="Z50" s="257"/>
      <c r="AA50" s="264"/>
      <c r="AB50" s="264"/>
      <c r="AC50" s="264"/>
      <c r="AD50" s="264"/>
      <c r="AE50" s="264"/>
      <c r="AF50" s="264"/>
      <c r="AG50" s="264"/>
    </row>
    <row r="51" spans="1:33">
      <c r="A51" s="257"/>
      <c r="B51" s="257"/>
      <c r="C51" s="257"/>
      <c r="D51" s="257"/>
      <c r="E51" s="257"/>
      <c r="F51" s="267"/>
      <c r="G51" s="257"/>
      <c r="H51" s="257"/>
      <c r="I51" s="257"/>
      <c r="J51" s="257"/>
      <c r="K51" s="257"/>
      <c r="L51" s="257"/>
      <c r="M51" s="257"/>
      <c r="N51" s="257"/>
      <c r="O51" s="257"/>
      <c r="P51" s="257"/>
      <c r="Q51" s="258"/>
      <c r="R51" s="273"/>
      <c r="S51" s="273"/>
      <c r="T51" s="273"/>
      <c r="U51" s="274"/>
      <c r="V51" s="275"/>
      <c r="W51" s="276"/>
      <c r="X51" s="263"/>
      <c r="Y51" s="257"/>
      <c r="Z51" s="257"/>
      <c r="AA51" s="264"/>
      <c r="AB51" s="264"/>
      <c r="AC51" s="264"/>
      <c r="AD51" s="264"/>
      <c r="AE51" s="264"/>
      <c r="AF51" s="264"/>
      <c r="AG51" s="264"/>
    </row>
    <row r="52" spans="1:33">
      <c r="A52" s="257"/>
      <c r="B52" s="257"/>
      <c r="C52" s="257"/>
      <c r="D52" s="257"/>
      <c r="E52" s="257"/>
      <c r="F52" s="287"/>
      <c r="G52" s="257"/>
      <c r="H52" s="257"/>
      <c r="I52" s="257"/>
      <c r="J52" s="257"/>
      <c r="K52" s="257"/>
      <c r="L52" s="257"/>
      <c r="M52" s="257"/>
      <c r="N52" s="257"/>
      <c r="O52" s="257"/>
      <c r="P52" s="257"/>
      <c r="Q52" s="258"/>
      <c r="R52" s="273"/>
      <c r="S52" s="273"/>
      <c r="T52" s="273"/>
      <c r="U52" s="274"/>
      <c r="V52" s="275"/>
      <c r="W52" s="276"/>
      <c r="X52" s="263"/>
      <c r="Y52" s="257"/>
      <c r="Z52" s="257"/>
      <c r="AA52" s="264"/>
      <c r="AB52" s="264"/>
      <c r="AC52" s="264"/>
      <c r="AD52" s="264"/>
      <c r="AE52" s="264"/>
      <c r="AF52" s="264"/>
      <c r="AG52" s="264"/>
    </row>
    <row r="53" spans="1:33">
      <c r="A53" s="257"/>
      <c r="B53" s="257"/>
      <c r="C53" s="257"/>
      <c r="D53" s="257"/>
      <c r="E53" s="257"/>
      <c r="F53" s="267"/>
      <c r="G53" s="257"/>
      <c r="H53" s="257"/>
      <c r="I53" s="257"/>
      <c r="J53" s="257"/>
      <c r="K53" s="257"/>
      <c r="L53" s="257"/>
      <c r="M53" s="257"/>
      <c r="N53" s="257"/>
      <c r="O53" s="257"/>
      <c r="P53" s="257"/>
      <c r="Q53" s="258"/>
      <c r="R53" s="273"/>
      <c r="S53" s="273"/>
      <c r="T53" s="273"/>
      <c r="U53" s="274"/>
      <c r="V53" s="275"/>
      <c r="W53" s="276"/>
      <c r="X53" s="263"/>
      <c r="Y53" s="257"/>
      <c r="Z53" s="257"/>
      <c r="AA53" s="264"/>
      <c r="AB53" s="264"/>
      <c r="AC53" s="264"/>
      <c r="AD53" s="264"/>
      <c r="AE53" s="264"/>
      <c r="AF53" s="264"/>
      <c r="AG53" s="264"/>
    </row>
    <row r="54" spans="1:33">
      <c r="A54" s="257"/>
      <c r="B54" s="257"/>
      <c r="C54" s="257"/>
      <c r="D54" s="257"/>
      <c r="E54" s="257"/>
      <c r="F54" s="287"/>
      <c r="G54" s="257"/>
      <c r="H54" s="257"/>
      <c r="I54" s="257"/>
      <c r="J54" s="257"/>
      <c r="K54" s="257"/>
      <c r="L54" s="257"/>
      <c r="M54" s="257"/>
      <c r="N54" s="257"/>
      <c r="O54" s="257"/>
      <c r="P54" s="257"/>
      <c r="Q54" s="258"/>
      <c r="R54" s="273"/>
      <c r="S54" s="273"/>
      <c r="T54" s="273"/>
      <c r="U54" s="274"/>
      <c r="V54" s="275"/>
      <c r="W54" s="276"/>
      <c r="X54" s="263"/>
      <c r="Y54" s="257"/>
      <c r="Z54" s="257"/>
      <c r="AA54" s="264"/>
      <c r="AB54" s="264"/>
      <c r="AC54" s="264"/>
      <c r="AD54" s="264"/>
      <c r="AE54" s="264"/>
      <c r="AF54" s="264"/>
      <c r="AG54" s="264"/>
    </row>
    <row r="55" spans="1:33">
      <c r="A55" s="257"/>
      <c r="B55" s="257"/>
      <c r="C55" s="257"/>
      <c r="D55" s="257"/>
      <c r="E55" s="257"/>
      <c r="F55" s="267"/>
      <c r="G55" s="257"/>
      <c r="H55" s="257"/>
      <c r="I55" s="257"/>
      <c r="J55" s="257"/>
      <c r="K55" s="257"/>
      <c r="L55" s="257"/>
      <c r="M55" s="257"/>
      <c r="N55" s="257"/>
      <c r="O55" s="257"/>
      <c r="P55" s="257"/>
      <c r="Q55" s="258"/>
      <c r="R55" s="273"/>
      <c r="S55" s="273"/>
      <c r="T55" s="273"/>
      <c r="U55" s="274"/>
      <c r="V55" s="275"/>
      <c r="W55" s="276"/>
      <c r="X55" s="263"/>
      <c r="Y55" s="257"/>
      <c r="Z55" s="257"/>
      <c r="AA55" s="264"/>
      <c r="AB55" s="264"/>
      <c r="AC55" s="264"/>
      <c r="AD55" s="264"/>
      <c r="AE55" s="264"/>
      <c r="AF55" s="264"/>
      <c r="AG55" s="264"/>
    </row>
    <row r="56" spans="1:33">
      <c r="A56" s="257"/>
      <c r="B56" s="257"/>
      <c r="C56" s="257"/>
      <c r="D56" s="257"/>
      <c r="E56" s="257"/>
      <c r="F56" s="287"/>
      <c r="G56" s="257"/>
      <c r="H56" s="257"/>
      <c r="I56" s="257"/>
      <c r="J56" s="257"/>
      <c r="K56" s="257"/>
      <c r="L56" s="257"/>
      <c r="M56" s="257"/>
      <c r="N56" s="257"/>
      <c r="O56" s="257"/>
      <c r="P56" s="257"/>
      <c r="Q56" s="258"/>
      <c r="R56" s="273"/>
      <c r="S56" s="273"/>
      <c r="T56" s="273"/>
      <c r="U56" s="274"/>
      <c r="V56" s="275"/>
      <c r="W56" s="276"/>
      <c r="X56" s="263"/>
      <c r="Y56" s="257"/>
      <c r="Z56" s="257"/>
      <c r="AA56" s="264"/>
      <c r="AB56" s="264"/>
      <c r="AC56" s="264"/>
      <c r="AD56" s="264"/>
      <c r="AE56" s="264"/>
      <c r="AF56" s="264"/>
      <c r="AG56" s="264"/>
    </row>
    <row r="57" spans="1:33">
      <c r="A57" s="257"/>
      <c r="B57" s="257"/>
      <c r="C57" s="257"/>
      <c r="D57" s="257"/>
      <c r="E57" s="257"/>
      <c r="F57" s="267"/>
      <c r="G57" s="257"/>
      <c r="H57" s="257"/>
      <c r="I57" s="257"/>
      <c r="J57" s="257"/>
      <c r="K57" s="257"/>
      <c r="L57" s="257"/>
      <c r="M57" s="257"/>
      <c r="N57" s="257"/>
      <c r="O57" s="257"/>
      <c r="P57" s="257"/>
      <c r="Q57" s="258"/>
      <c r="R57" s="273"/>
      <c r="S57" s="273"/>
      <c r="T57" s="273"/>
      <c r="U57" s="274"/>
      <c r="V57" s="275"/>
      <c r="W57" s="276"/>
      <c r="X57" s="263"/>
      <c r="Y57" s="257"/>
      <c r="Z57" s="257"/>
      <c r="AA57" s="264"/>
      <c r="AB57" s="264"/>
      <c r="AC57" s="264"/>
      <c r="AD57" s="264"/>
      <c r="AE57" s="264"/>
      <c r="AF57" s="264"/>
      <c r="AG57" s="264"/>
    </row>
    <row r="58" spans="1:33">
      <c r="A58" s="257"/>
      <c r="B58" s="257"/>
      <c r="C58" s="257"/>
      <c r="D58" s="257"/>
      <c r="E58" s="257"/>
      <c r="F58" s="287"/>
      <c r="G58" s="257"/>
      <c r="H58" s="257"/>
      <c r="I58" s="257"/>
      <c r="J58" s="257"/>
      <c r="K58" s="257"/>
      <c r="L58" s="257"/>
      <c r="M58" s="257"/>
      <c r="N58" s="257"/>
      <c r="O58" s="257"/>
      <c r="P58" s="257"/>
      <c r="Q58" s="258"/>
      <c r="R58" s="273"/>
      <c r="S58" s="273"/>
      <c r="T58" s="273"/>
      <c r="U58" s="274"/>
      <c r="V58" s="275"/>
      <c r="W58" s="276"/>
      <c r="X58" s="263"/>
      <c r="Y58" s="257"/>
      <c r="Z58" s="257"/>
      <c r="AA58" s="264"/>
      <c r="AB58" s="264"/>
      <c r="AC58" s="264"/>
      <c r="AD58" s="264"/>
      <c r="AE58" s="264"/>
      <c r="AF58" s="264"/>
      <c r="AG58" s="264"/>
    </row>
    <row r="59" spans="1:33">
      <c r="A59" s="257"/>
      <c r="B59" s="257"/>
      <c r="C59" s="257"/>
      <c r="D59" s="257"/>
      <c r="E59" s="257"/>
      <c r="F59" s="267"/>
      <c r="G59" s="257"/>
      <c r="H59" s="257"/>
      <c r="I59" s="257"/>
      <c r="J59" s="257"/>
      <c r="K59" s="257"/>
      <c r="L59" s="257"/>
      <c r="M59" s="257"/>
      <c r="N59" s="257"/>
      <c r="O59" s="257"/>
      <c r="P59" s="257"/>
      <c r="Q59" s="258"/>
      <c r="R59" s="273"/>
      <c r="S59" s="273"/>
      <c r="T59" s="273"/>
      <c r="U59" s="274"/>
      <c r="V59" s="275"/>
      <c r="W59" s="276"/>
      <c r="X59" s="263"/>
      <c r="Y59" s="257"/>
      <c r="Z59" s="257"/>
      <c r="AA59" s="264"/>
      <c r="AB59" s="264"/>
      <c r="AC59" s="264"/>
      <c r="AD59" s="264"/>
      <c r="AE59" s="264"/>
      <c r="AF59" s="264"/>
      <c r="AG59" s="264"/>
    </row>
    <row r="60" spans="1:33">
      <c r="A60" s="257"/>
      <c r="B60" s="257"/>
      <c r="C60" s="257"/>
      <c r="D60" s="257"/>
      <c r="E60" s="257"/>
      <c r="F60" s="287"/>
      <c r="G60" s="257"/>
      <c r="H60" s="257"/>
      <c r="I60" s="257"/>
      <c r="J60" s="257"/>
      <c r="K60" s="257"/>
      <c r="L60" s="257"/>
      <c r="M60" s="257"/>
      <c r="N60" s="257"/>
      <c r="O60" s="257"/>
      <c r="P60" s="257"/>
      <c r="Q60" s="258"/>
      <c r="R60" s="273"/>
      <c r="S60" s="273"/>
      <c r="T60" s="273"/>
      <c r="U60" s="274"/>
      <c r="V60" s="275"/>
      <c r="W60" s="276"/>
      <c r="X60" s="263"/>
      <c r="Y60" s="257"/>
      <c r="Z60" s="257"/>
      <c r="AA60" s="264"/>
      <c r="AB60" s="264"/>
      <c r="AC60" s="264"/>
      <c r="AD60" s="264"/>
      <c r="AE60" s="264"/>
      <c r="AF60" s="264"/>
      <c r="AG60" s="264"/>
    </row>
    <row r="61" spans="1:33">
      <c r="A61" s="257"/>
      <c r="B61" s="257"/>
      <c r="C61" s="257"/>
      <c r="D61" s="257"/>
      <c r="E61" s="257"/>
      <c r="F61" s="267"/>
      <c r="G61" s="257"/>
      <c r="H61" s="257"/>
      <c r="I61" s="257"/>
      <c r="J61" s="257"/>
      <c r="K61" s="257"/>
      <c r="L61" s="257"/>
      <c r="M61" s="257"/>
      <c r="N61" s="257"/>
      <c r="O61" s="257"/>
      <c r="P61" s="257"/>
      <c r="Q61" s="258"/>
      <c r="R61" s="273"/>
      <c r="S61" s="273"/>
      <c r="T61" s="273"/>
      <c r="U61" s="274"/>
      <c r="V61" s="275"/>
      <c r="W61" s="276"/>
      <c r="X61" s="263"/>
      <c r="Y61" s="257"/>
      <c r="Z61" s="257"/>
      <c r="AA61" s="264"/>
      <c r="AB61" s="264"/>
      <c r="AC61" s="264"/>
      <c r="AD61" s="264"/>
      <c r="AE61" s="264"/>
      <c r="AF61" s="264"/>
      <c r="AG61" s="264"/>
    </row>
    <row r="62" spans="1:33">
      <c r="A62" s="257"/>
      <c r="B62" s="257"/>
      <c r="C62" s="257"/>
      <c r="D62" s="257"/>
      <c r="E62" s="257"/>
      <c r="F62" s="287"/>
      <c r="G62" s="257"/>
      <c r="H62" s="257"/>
      <c r="I62" s="257"/>
      <c r="J62" s="257"/>
      <c r="K62" s="257"/>
      <c r="L62" s="257"/>
      <c r="M62" s="257"/>
      <c r="N62" s="257"/>
      <c r="O62" s="257"/>
      <c r="P62" s="257"/>
      <c r="Q62" s="258"/>
      <c r="R62" s="273"/>
      <c r="S62" s="273"/>
      <c r="T62" s="273"/>
      <c r="U62" s="274"/>
      <c r="V62" s="275"/>
      <c r="W62" s="276"/>
      <c r="X62" s="263"/>
      <c r="Y62" s="257"/>
      <c r="Z62" s="257"/>
      <c r="AA62" s="264"/>
      <c r="AB62" s="264"/>
      <c r="AC62" s="264"/>
      <c r="AD62" s="264"/>
      <c r="AE62" s="264"/>
      <c r="AF62" s="264"/>
      <c r="AG62" s="264"/>
    </row>
    <row r="63" spans="1:33">
      <c r="A63" s="257"/>
      <c r="B63" s="257"/>
      <c r="C63" s="257"/>
      <c r="D63" s="257"/>
      <c r="E63" s="257"/>
      <c r="F63" s="267"/>
      <c r="G63" s="257"/>
      <c r="H63" s="257"/>
      <c r="I63" s="257"/>
      <c r="J63" s="257"/>
      <c r="K63" s="257"/>
      <c r="L63" s="257"/>
      <c r="M63" s="257"/>
      <c r="N63" s="257"/>
      <c r="O63" s="257"/>
      <c r="P63" s="257"/>
      <c r="Q63" s="258"/>
      <c r="R63" s="273"/>
      <c r="S63" s="273"/>
      <c r="T63" s="273"/>
      <c r="U63" s="274"/>
      <c r="V63" s="275"/>
      <c r="W63" s="276"/>
      <c r="X63" s="263"/>
      <c r="Y63" s="257"/>
      <c r="Z63" s="257"/>
      <c r="AA63" s="264"/>
      <c r="AB63" s="264"/>
      <c r="AC63" s="264"/>
      <c r="AD63" s="264"/>
      <c r="AE63" s="264"/>
      <c r="AF63" s="264"/>
      <c r="AG63" s="264"/>
    </row>
    <row r="64" spans="1:33">
      <c r="A64" s="257"/>
      <c r="B64" s="257"/>
      <c r="C64" s="257"/>
      <c r="D64" s="257"/>
      <c r="E64" s="257"/>
      <c r="F64" s="287"/>
      <c r="G64" s="257"/>
      <c r="H64" s="257"/>
      <c r="I64" s="257"/>
      <c r="J64" s="257"/>
      <c r="K64" s="257"/>
      <c r="L64" s="257"/>
      <c r="M64" s="257"/>
      <c r="N64" s="257"/>
      <c r="O64" s="257"/>
      <c r="P64" s="257"/>
      <c r="Q64" s="258"/>
      <c r="R64" s="273"/>
      <c r="S64" s="273"/>
      <c r="T64" s="273"/>
      <c r="U64" s="274"/>
      <c r="V64" s="275"/>
      <c r="W64" s="276"/>
      <c r="X64" s="263"/>
      <c r="Y64" s="257"/>
      <c r="Z64" s="257"/>
      <c r="AA64" s="264"/>
      <c r="AB64" s="264"/>
      <c r="AC64" s="264"/>
      <c r="AD64" s="264"/>
      <c r="AE64" s="264"/>
      <c r="AF64" s="264"/>
      <c r="AG64" s="264"/>
    </row>
    <row r="65" spans="1:33">
      <c r="A65" s="257"/>
      <c r="B65" s="257"/>
      <c r="C65" s="257"/>
      <c r="D65" s="257"/>
      <c r="E65" s="257"/>
      <c r="F65" s="267"/>
      <c r="G65" s="257"/>
      <c r="H65" s="257"/>
      <c r="I65" s="257"/>
      <c r="J65" s="257"/>
      <c r="K65" s="257"/>
      <c r="L65" s="257"/>
      <c r="M65" s="257"/>
      <c r="N65" s="257"/>
      <c r="O65" s="257"/>
      <c r="P65" s="257"/>
      <c r="Q65" s="258"/>
      <c r="R65" s="273"/>
      <c r="S65" s="273"/>
      <c r="T65" s="273"/>
      <c r="U65" s="274"/>
      <c r="V65" s="275"/>
      <c r="W65" s="276"/>
      <c r="X65" s="263"/>
      <c r="Y65" s="257"/>
      <c r="Z65" s="257"/>
      <c r="AA65" s="264"/>
      <c r="AB65" s="264"/>
      <c r="AC65" s="264"/>
      <c r="AD65" s="264"/>
      <c r="AE65" s="264"/>
      <c r="AF65" s="264"/>
      <c r="AG65" s="264"/>
    </row>
    <row r="66" spans="1:33">
      <c r="A66" s="257"/>
      <c r="B66" s="257"/>
      <c r="C66" s="257"/>
      <c r="D66" s="257"/>
      <c r="E66" s="257"/>
      <c r="F66" s="287"/>
      <c r="G66" s="257"/>
      <c r="H66" s="257"/>
      <c r="I66" s="257"/>
      <c r="J66" s="257"/>
      <c r="K66" s="257"/>
      <c r="L66" s="257"/>
      <c r="M66" s="257"/>
      <c r="N66" s="257"/>
      <c r="O66" s="257"/>
      <c r="P66" s="257"/>
      <c r="Q66" s="258"/>
      <c r="R66" s="273"/>
      <c r="S66" s="273"/>
      <c r="T66" s="273"/>
      <c r="U66" s="274"/>
      <c r="V66" s="275"/>
      <c r="W66" s="276"/>
      <c r="X66" s="263"/>
      <c r="Y66" s="257"/>
      <c r="Z66" s="257"/>
      <c r="AA66" s="264"/>
      <c r="AB66" s="264"/>
      <c r="AC66" s="264"/>
      <c r="AD66" s="264"/>
      <c r="AE66" s="264"/>
      <c r="AF66" s="264"/>
      <c r="AG66" s="264"/>
    </row>
    <row r="67" spans="1:33">
      <c r="A67" s="257"/>
      <c r="B67" s="257"/>
      <c r="C67" s="257"/>
      <c r="D67" s="257"/>
      <c r="E67" s="257"/>
      <c r="F67" s="267"/>
      <c r="G67" s="257"/>
      <c r="H67" s="257"/>
      <c r="I67" s="257"/>
      <c r="J67" s="257"/>
      <c r="K67" s="257"/>
      <c r="L67" s="257"/>
      <c r="M67" s="257"/>
      <c r="N67" s="257"/>
      <c r="O67" s="257"/>
      <c r="P67" s="257"/>
      <c r="Q67" s="258"/>
      <c r="R67" s="273"/>
      <c r="S67" s="273"/>
      <c r="T67" s="273"/>
      <c r="U67" s="274"/>
      <c r="V67" s="275"/>
      <c r="W67" s="276"/>
      <c r="X67" s="263"/>
      <c r="Y67" s="257"/>
      <c r="Z67" s="257"/>
      <c r="AA67" s="264"/>
      <c r="AB67" s="264"/>
      <c r="AC67" s="264"/>
      <c r="AD67" s="264"/>
      <c r="AE67" s="264"/>
      <c r="AF67" s="264"/>
      <c r="AG67" s="264"/>
    </row>
    <row r="68" spans="1:33">
      <c r="A68" s="257"/>
      <c r="B68" s="257"/>
      <c r="C68" s="257"/>
      <c r="D68" s="257"/>
      <c r="E68" s="257"/>
      <c r="F68" s="287"/>
      <c r="G68" s="257"/>
      <c r="H68" s="257"/>
      <c r="I68" s="257"/>
      <c r="J68" s="257"/>
      <c r="K68" s="257"/>
      <c r="L68" s="257"/>
      <c r="M68" s="257"/>
      <c r="N68" s="257"/>
      <c r="O68" s="257"/>
      <c r="P68" s="257"/>
      <c r="Q68" s="258"/>
      <c r="R68" s="273"/>
      <c r="S68" s="273"/>
      <c r="T68" s="273"/>
      <c r="U68" s="274"/>
      <c r="V68" s="275"/>
      <c r="W68" s="276"/>
      <c r="X68" s="263"/>
      <c r="Y68" s="257"/>
      <c r="Z68" s="257"/>
      <c r="AA68" s="264"/>
      <c r="AB68" s="264"/>
      <c r="AC68" s="264"/>
      <c r="AD68" s="264"/>
      <c r="AE68" s="264"/>
      <c r="AF68" s="264"/>
      <c r="AG68" s="264"/>
    </row>
    <row r="69" spans="1:33">
      <c r="A69" s="257"/>
      <c r="B69" s="257"/>
      <c r="C69" s="257"/>
      <c r="D69" s="257"/>
      <c r="E69" s="257"/>
      <c r="F69" s="267"/>
      <c r="G69" s="257"/>
      <c r="H69" s="257"/>
      <c r="I69" s="257"/>
      <c r="J69" s="257"/>
      <c r="K69" s="257"/>
      <c r="L69" s="257"/>
      <c r="M69" s="257"/>
      <c r="N69" s="257"/>
      <c r="O69" s="257"/>
      <c r="P69" s="257"/>
      <c r="Q69" s="258"/>
      <c r="R69" s="273"/>
      <c r="S69" s="273"/>
      <c r="T69" s="273"/>
      <c r="U69" s="274"/>
      <c r="V69" s="275"/>
      <c r="W69" s="276"/>
      <c r="X69" s="263"/>
      <c r="Y69" s="257"/>
      <c r="Z69" s="257"/>
      <c r="AA69" s="264"/>
      <c r="AB69" s="264"/>
      <c r="AC69" s="264"/>
      <c r="AD69" s="264"/>
      <c r="AE69" s="264"/>
      <c r="AF69" s="264"/>
      <c r="AG69" s="264"/>
    </row>
    <row r="70" spans="1:33">
      <c r="A70" s="257"/>
      <c r="B70" s="257"/>
      <c r="C70" s="257"/>
      <c r="D70" s="257"/>
      <c r="E70" s="257"/>
      <c r="F70" s="287"/>
      <c r="G70" s="257"/>
      <c r="H70" s="257"/>
      <c r="I70" s="257"/>
      <c r="J70" s="257"/>
      <c r="K70" s="257"/>
      <c r="L70" s="257"/>
      <c r="M70" s="257"/>
      <c r="N70" s="257"/>
      <c r="O70" s="257"/>
      <c r="P70" s="257"/>
      <c r="Q70" s="258"/>
      <c r="R70" s="273"/>
      <c r="S70" s="273"/>
      <c r="T70" s="273"/>
      <c r="U70" s="274"/>
      <c r="V70" s="275"/>
      <c r="W70" s="276"/>
      <c r="X70" s="263"/>
      <c r="Y70" s="257"/>
      <c r="Z70" s="257"/>
      <c r="AA70" s="264"/>
      <c r="AB70" s="264"/>
      <c r="AC70" s="264"/>
      <c r="AD70" s="264"/>
      <c r="AE70" s="264"/>
      <c r="AF70" s="264"/>
      <c r="AG70" s="264"/>
    </row>
    <row r="71" spans="1:33">
      <c r="A71" s="257"/>
      <c r="B71" s="257"/>
      <c r="C71" s="257"/>
      <c r="D71" s="257"/>
      <c r="E71" s="257"/>
      <c r="F71" s="267"/>
      <c r="G71" s="257"/>
      <c r="H71" s="257"/>
      <c r="I71" s="257"/>
      <c r="J71" s="257"/>
      <c r="K71" s="257"/>
      <c r="L71" s="257"/>
      <c r="M71" s="257"/>
      <c r="N71" s="257"/>
      <c r="O71" s="257"/>
      <c r="P71" s="257"/>
      <c r="Q71" s="258"/>
      <c r="R71" s="273"/>
      <c r="S71" s="273"/>
      <c r="T71" s="273"/>
      <c r="U71" s="274"/>
      <c r="V71" s="275"/>
      <c r="W71" s="276"/>
      <c r="X71" s="263"/>
      <c r="Y71" s="257"/>
      <c r="Z71" s="257"/>
      <c r="AA71" s="264"/>
      <c r="AB71" s="264"/>
      <c r="AC71" s="264"/>
      <c r="AD71" s="264"/>
      <c r="AE71" s="264"/>
      <c r="AF71" s="264"/>
      <c r="AG71" s="264"/>
    </row>
    <row r="72" spans="1:33">
      <c r="A72" s="257"/>
      <c r="B72" s="257"/>
      <c r="C72" s="257"/>
      <c r="D72" s="257"/>
      <c r="E72" s="257"/>
      <c r="F72" s="287"/>
      <c r="G72" s="257"/>
      <c r="H72" s="257"/>
      <c r="I72" s="257"/>
      <c r="J72" s="257"/>
      <c r="K72" s="257"/>
      <c r="L72" s="257"/>
      <c r="M72" s="257"/>
      <c r="N72" s="257"/>
      <c r="O72" s="257"/>
      <c r="P72" s="257"/>
      <c r="Q72" s="258"/>
      <c r="R72" s="273"/>
      <c r="S72" s="273"/>
      <c r="T72" s="273"/>
      <c r="U72" s="274"/>
      <c r="V72" s="275"/>
      <c r="W72" s="276"/>
      <c r="X72" s="263"/>
      <c r="Y72" s="257"/>
      <c r="Z72" s="257"/>
      <c r="AA72" s="264"/>
      <c r="AB72" s="264"/>
      <c r="AC72" s="264"/>
      <c r="AD72" s="264"/>
      <c r="AE72" s="264"/>
      <c r="AF72" s="264"/>
      <c r="AG72" s="264"/>
    </row>
    <row r="73" spans="1:33">
      <c r="A73" s="257"/>
      <c r="B73" s="257"/>
      <c r="C73" s="257"/>
      <c r="D73" s="257"/>
      <c r="E73" s="257"/>
      <c r="F73" s="267"/>
      <c r="G73" s="257"/>
      <c r="H73" s="257"/>
      <c r="I73" s="257"/>
      <c r="J73" s="257"/>
      <c r="K73" s="257"/>
      <c r="L73" s="257"/>
      <c r="M73" s="257"/>
      <c r="N73" s="257"/>
      <c r="O73" s="257"/>
      <c r="P73" s="257"/>
      <c r="Q73" s="258"/>
      <c r="R73" s="273"/>
      <c r="S73" s="273"/>
      <c r="T73" s="273"/>
      <c r="U73" s="274"/>
      <c r="V73" s="275"/>
      <c r="W73" s="276"/>
      <c r="X73" s="263"/>
      <c r="Y73" s="257"/>
      <c r="Z73" s="257"/>
      <c r="AA73" s="264"/>
      <c r="AB73" s="264"/>
      <c r="AC73" s="264"/>
      <c r="AD73" s="264"/>
      <c r="AE73" s="264"/>
      <c r="AF73" s="264"/>
      <c r="AG73" s="264"/>
    </row>
    <row r="74" spans="1:33">
      <c r="A74" s="257"/>
      <c r="B74" s="257"/>
      <c r="C74" s="257"/>
      <c r="D74" s="257"/>
      <c r="E74" s="257"/>
      <c r="F74" s="287"/>
      <c r="G74" s="257"/>
      <c r="H74" s="257"/>
      <c r="I74" s="257"/>
      <c r="J74" s="257"/>
      <c r="K74" s="257"/>
      <c r="L74" s="257"/>
      <c r="M74" s="257"/>
      <c r="N74" s="257"/>
      <c r="O74" s="257"/>
      <c r="P74" s="257"/>
      <c r="Q74" s="258"/>
      <c r="R74" s="273"/>
      <c r="S74" s="273"/>
      <c r="T74" s="273"/>
      <c r="U74" s="274"/>
      <c r="V74" s="275"/>
      <c r="W74" s="276"/>
      <c r="X74" s="263"/>
      <c r="Y74" s="257"/>
      <c r="Z74" s="257"/>
      <c r="AA74" s="264"/>
      <c r="AB74" s="264"/>
      <c r="AC74" s="264"/>
      <c r="AD74" s="264"/>
      <c r="AE74" s="264"/>
      <c r="AF74" s="264"/>
      <c r="AG74" s="264"/>
    </row>
    <row r="75" spans="1:33">
      <c r="A75" s="257"/>
      <c r="B75" s="257"/>
      <c r="C75" s="257"/>
      <c r="D75" s="257"/>
      <c r="E75" s="257"/>
      <c r="F75" s="267"/>
      <c r="G75" s="257"/>
      <c r="H75" s="257"/>
      <c r="I75" s="257"/>
      <c r="J75" s="257"/>
      <c r="K75" s="257"/>
      <c r="L75" s="257"/>
      <c r="M75" s="257"/>
      <c r="N75" s="257"/>
      <c r="O75" s="257"/>
      <c r="P75" s="257"/>
      <c r="Q75" s="258"/>
      <c r="R75" s="273"/>
      <c r="S75" s="273"/>
      <c r="T75" s="273"/>
      <c r="U75" s="274"/>
      <c r="V75" s="275"/>
      <c r="W75" s="276"/>
      <c r="X75" s="263"/>
      <c r="Y75" s="257"/>
      <c r="Z75" s="257"/>
      <c r="AA75" s="264"/>
      <c r="AB75" s="264"/>
      <c r="AC75" s="264"/>
      <c r="AD75" s="264"/>
      <c r="AE75" s="264"/>
      <c r="AF75" s="264"/>
      <c r="AG75" s="264"/>
    </row>
    <row r="76" spans="1:33">
      <c r="A76" s="257"/>
      <c r="B76" s="257"/>
      <c r="C76" s="257"/>
      <c r="D76" s="257"/>
      <c r="E76" s="257"/>
      <c r="F76" s="287"/>
      <c r="G76" s="257"/>
      <c r="H76" s="257"/>
      <c r="I76" s="257"/>
      <c r="J76" s="257"/>
      <c r="K76" s="257"/>
      <c r="L76" s="257"/>
      <c r="M76" s="257"/>
      <c r="N76" s="257"/>
      <c r="O76" s="257"/>
      <c r="P76" s="257"/>
      <c r="Q76" s="258"/>
      <c r="R76" s="273"/>
      <c r="S76" s="273"/>
      <c r="T76" s="273"/>
      <c r="U76" s="274"/>
      <c r="V76" s="275"/>
      <c r="W76" s="276"/>
      <c r="X76" s="263"/>
      <c r="Y76" s="257"/>
      <c r="Z76" s="257"/>
      <c r="AA76" s="264"/>
      <c r="AB76" s="264"/>
      <c r="AC76" s="264"/>
      <c r="AD76" s="264"/>
      <c r="AE76" s="264"/>
      <c r="AF76" s="264"/>
      <c r="AG76" s="264"/>
    </row>
    <row r="77" spans="1:33">
      <c r="A77" s="257"/>
      <c r="B77" s="257"/>
      <c r="C77" s="257"/>
      <c r="D77" s="257"/>
      <c r="E77" s="257"/>
      <c r="F77" s="267"/>
      <c r="G77" s="257"/>
      <c r="H77" s="257"/>
      <c r="I77" s="257"/>
      <c r="J77" s="257"/>
      <c r="K77" s="257"/>
      <c r="L77" s="257"/>
      <c r="M77" s="257"/>
      <c r="N77" s="257"/>
      <c r="O77" s="257"/>
      <c r="P77" s="257"/>
      <c r="Q77" s="258"/>
      <c r="R77" s="273"/>
      <c r="S77" s="273"/>
      <c r="T77" s="273"/>
      <c r="U77" s="274"/>
      <c r="V77" s="275"/>
      <c r="W77" s="276"/>
      <c r="X77" s="263"/>
      <c r="Y77" s="257"/>
      <c r="Z77" s="257"/>
      <c r="AA77" s="264"/>
      <c r="AB77" s="264"/>
      <c r="AC77" s="264"/>
      <c r="AD77" s="264"/>
      <c r="AE77" s="264"/>
      <c r="AF77" s="264"/>
      <c r="AG77" s="264"/>
    </row>
    <row r="78" spans="1:33">
      <c r="A78" s="257"/>
      <c r="B78" s="257"/>
      <c r="C78" s="257"/>
      <c r="D78" s="257"/>
      <c r="E78" s="257"/>
      <c r="F78" s="287"/>
      <c r="G78" s="257"/>
      <c r="H78" s="257"/>
      <c r="I78" s="257"/>
      <c r="J78" s="257"/>
      <c r="K78" s="257"/>
      <c r="L78" s="257"/>
      <c r="M78" s="257"/>
      <c r="N78" s="257"/>
      <c r="O78" s="257"/>
      <c r="P78" s="257"/>
      <c r="Q78" s="258"/>
      <c r="R78" s="273"/>
      <c r="S78" s="273"/>
      <c r="T78" s="273"/>
      <c r="U78" s="274"/>
      <c r="V78" s="275"/>
      <c r="W78" s="276"/>
      <c r="X78" s="263"/>
      <c r="Y78" s="257"/>
      <c r="Z78" s="257"/>
      <c r="AA78" s="264"/>
      <c r="AB78" s="264"/>
      <c r="AC78" s="264"/>
      <c r="AD78" s="264"/>
      <c r="AE78" s="264"/>
      <c r="AF78" s="264"/>
      <c r="AG78" s="264"/>
    </row>
    <row r="79" spans="1:33">
      <c r="A79" s="257"/>
      <c r="B79" s="257"/>
      <c r="C79" s="257"/>
      <c r="D79" s="257"/>
      <c r="E79" s="257"/>
      <c r="F79" s="267"/>
      <c r="G79" s="257"/>
      <c r="H79" s="257"/>
      <c r="I79" s="257"/>
      <c r="J79" s="257"/>
      <c r="K79" s="257"/>
      <c r="L79" s="257"/>
      <c r="M79" s="257"/>
      <c r="N79" s="257"/>
      <c r="O79" s="257"/>
      <c r="P79" s="257"/>
      <c r="Q79" s="258"/>
      <c r="R79" s="273"/>
      <c r="S79" s="273"/>
      <c r="T79" s="273"/>
      <c r="U79" s="274"/>
      <c r="V79" s="275"/>
      <c r="W79" s="276"/>
      <c r="X79" s="263"/>
      <c r="Y79" s="257"/>
      <c r="Z79" s="257"/>
      <c r="AA79" s="264"/>
      <c r="AB79" s="264"/>
      <c r="AC79" s="264"/>
      <c r="AD79" s="264"/>
      <c r="AE79" s="264"/>
      <c r="AF79" s="264"/>
      <c r="AG79" s="264"/>
    </row>
    <row r="80" spans="1:33">
      <c r="A80" s="257"/>
      <c r="B80" s="257"/>
      <c r="C80" s="257"/>
      <c r="D80" s="257"/>
      <c r="E80" s="257"/>
      <c r="F80" s="287"/>
      <c r="G80" s="257"/>
      <c r="H80" s="257"/>
      <c r="I80" s="257"/>
      <c r="J80" s="257"/>
      <c r="K80" s="257"/>
      <c r="L80" s="257"/>
      <c r="M80" s="257"/>
      <c r="N80" s="257"/>
      <c r="O80" s="257"/>
      <c r="P80" s="257"/>
      <c r="Q80" s="258"/>
      <c r="R80" s="273"/>
      <c r="S80" s="273"/>
      <c r="T80" s="273"/>
      <c r="U80" s="274"/>
      <c r="V80" s="275"/>
      <c r="W80" s="276"/>
      <c r="X80" s="263"/>
      <c r="Y80" s="257"/>
      <c r="Z80" s="257"/>
      <c r="AA80" s="264"/>
      <c r="AB80" s="264"/>
      <c r="AC80" s="264"/>
      <c r="AD80" s="264"/>
      <c r="AE80" s="264"/>
      <c r="AF80" s="264"/>
      <c r="AG80" s="264"/>
    </row>
    <row r="81" spans="1:33">
      <c r="A81" s="257"/>
      <c r="B81" s="257"/>
      <c r="C81" s="257"/>
      <c r="D81" s="257"/>
      <c r="E81" s="257"/>
      <c r="F81" s="267"/>
      <c r="G81" s="257"/>
      <c r="H81" s="257"/>
      <c r="I81" s="257"/>
      <c r="J81" s="257"/>
      <c r="K81" s="257"/>
      <c r="L81" s="257"/>
      <c r="M81" s="257"/>
      <c r="N81" s="257"/>
      <c r="O81" s="257"/>
      <c r="P81" s="257"/>
      <c r="Q81" s="258"/>
      <c r="R81" s="273"/>
      <c r="S81" s="273"/>
      <c r="T81" s="273"/>
      <c r="U81" s="274"/>
      <c r="V81" s="275"/>
      <c r="W81" s="276"/>
      <c r="X81" s="263"/>
      <c r="Y81" s="257"/>
      <c r="Z81" s="257"/>
      <c r="AA81" s="264"/>
      <c r="AB81" s="264"/>
      <c r="AC81" s="264"/>
      <c r="AD81" s="264"/>
      <c r="AE81" s="264"/>
      <c r="AF81" s="264"/>
      <c r="AG81" s="264"/>
    </row>
    <row r="82" spans="1:33">
      <c r="A82" s="257"/>
      <c r="B82" s="257"/>
      <c r="C82" s="257"/>
      <c r="D82" s="257"/>
      <c r="E82" s="257"/>
      <c r="F82" s="287"/>
      <c r="G82" s="257"/>
      <c r="H82" s="257"/>
      <c r="I82" s="257"/>
      <c r="J82" s="257"/>
      <c r="K82" s="257"/>
      <c r="L82" s="257"/>
      <c r="M82" s="257"/>
      <c r="N82" s="257"/>
      <c r="O82" s="257"/>
      <c r="P82" s="257"/>
      <c r="Q82" s="258"/>
      <c r="R82" s="273"/>
      <c r="S82" s="273"/>
      <c r="T82" s="273"/>
      <c r="U82" s="274"/>
      <c r="V82" s="275"/>
      <c r="W82" s="276"/>
      <c r="X82" s="263"/>
      <c r="Y82" s="257"/>
      <c r="Z82" s="257"/>
      <c r="AA82" s="264"/>
      <c r="AB82" s="264"/>
      <c r="AC82" s="264"/>
      <c r="AD82" s="264"/>
      <c r="AE82" s="264"/>
      <c r="AF82" s="264"/>
      <c r="AG82" s="264"/>
    </row>
    <row r="83" spans="1:33">
      <c r="A83" s="257"/>
      <c r="B83" s="257"/>
      <c r="C83" s="257"/>
      <c r="D83" s="257"/>
      <c r="E83" s="257"/>
      <c r="F83" s="267"/>
      <c r="G83" s="257"/>
      <c r="H83" s="257"/>
      <c r="I83" s="257"/>
      <c r="J83" s="257"/>
      <c r="K83" s="257"/>
      <c r="L83" s="257"/>
      <c r="M83" s="257"/>
      <c r="N83" s="257"/>
      <c r="O83" s="257"/>
      <c r="P83" s="257"/>
      <c r="Q83" s="258"/>
      <c r="R83" s="273"/>
      <c r="S83" s="273"/>
      <c r="T83" s="273"/>
      <c r="U83" s="274"/>
      <c r="V83" s="275"/>
      <c r="W83" s="276"/>
      <c r="X83" s="263"/>
      <c r="Y83" s="257"/>
      <c r="Z83" s="257"/>
      <c r="AA83" s="264"/>
      <c r="AB83" s="264"/>
      <c r="AC83" s="264"/>
      <c r="AD83" s="264"/>
      <c r="AE83" s="264"/>
      <c r="AF83" s="264"/>
      <c r="AG83" s="264"/>
    </row>
    <row r="84" spans="1:33">
      <c r="A84" s="257"/>
      <c r="B84" s="257"/>
      <c r="C84" s="257"/>
      <c r="D84" s="257"/>
      <c r="E84" s="257"/>
      <c r="F84" s="287"/>
      <c r="G84" s="257"/>
      <c r="H84" s="257"/>
      <c r="I84" s="257"/>
      <c r="J84" s="257"/>
      <c r="K84" s="257"/>
      <c r="L84" s="257"/>
      <c r="M84" s="257"/>
      <c r="N84" s="257"/>
      <c r="O84" s="257"/>
      <c r="P84" s="257"/>
      <c r="Q84" s="258"/>
      <c r="R84" s="273"/>
      <c r="S84" s="273"/>
      <c r="T84" s="273"/>
      <c r="U84" s="274"/>
      <c r="V84" s="275"/>
      <c r="W84" s="276"/>
      <c r="X84" s="263"/>
      <c r="Y84" s="257"/>
      <c r="Z84" s="257"/>
      <c r="AA84" s="264"/>
      <c r="AB84" s="264"/>
      <c r="AC84" s="264"/>
      <c r="AD84" s="264"/>
      <c r="AE84" s="264"/>
      <c r="AF84" s="264"/>
      <c r="AG84" s="264"/>
    </row>
    <row r="85" spans="1:33">
      <c r="A85" s="257"/>
      <c r="B85" s="257"/>
      <c r="C85" s="257"/>
      <c r="D85" s="257"/>
      <c r="E85" s="257"/>
      <c r="F85" s="267"/>
      <c r="G85" s="257"/>
      <c r="H85" s="257"/>
      <c r="I85" s="257"/>
      <c r="J85" s="257"/>
      <c r="K85" s="257"/>
      <c r="L85" s="257"/>
      <c r="M85" s="257"/>
      <c r="N85" s="257"/>
      <c r="O85" s="257"/>
      <c r="P85" s="257"/>
      <c r="Q85" s="258"/>
      <c r="R85" s="273"/>
      <c r="S85" s="273"/>
      <c r="T85" s="273"/>
      <c r="U85" s="274"/>
      <c r="V85" s="275"/>
      <c r="W85" s="276"/>
      <c r="X85" s="263"/>
      <c r="Y85" s="257"/>
      <c r="Z85" s="257"/>
      <c r="AA85" s="264"/>
      <c r="AB85" s="264"/>
      <c r="AC85" s="264"/>
      <c r="AD85" s="264"/>
      <c r="AE85" s="264"/>
      <c r="AF85" s="264"/>
      <c r="AG85" s="264"/>
    </row>
    <row r="86" spans="1:33">
      <c r="A86" s="257"/>
      <c r="B86" s="257"/>
      <c r="C86" s="257"/>
      <c r="D86" s="257"/>
      <c r="E86" s="257"/>
      <c r="F86" s="287"/>
      <c r="G86" s="257"/>
      <c r="H86" s="257"/>
      <c r="I86" s="257"/>
      <c r="J86" s="257"/>
      <c r="K86" s="257"/>
      <c r="L86" s="257"/>
      <c r="M86" s="257"/>
      <c r="N86" s="257"/>
      <c r="O86" s="257"/>
      <c r="P86" s="257"/>
      <c r="Q86" s="258"/>
      <c r="R86" s="273"/>
      <c r="S86" s="273"/>
      <c r="T86" s="273"/>
      <c r="U86" s="274"/>
      <c r="V86" s="275"/>
      <c r="W86" s="276"/>
      <c r="X86" s="263"/>
      <c r="Y86" s="257"/>
      <c r="Z86" s="257"/>
      <c r="AA86" s="264"/>
      <c r="AB86" s="264"/>
      <c r="AC86" s="264"/>
      <c r="AD86" s="264"/>
      <c r="AE86" s="264"/>
      <c r="AF86" s="264"/>
      <c r="AG86" s="264"/>
    </row>
    <row r="87" spans="1:33">
      <c r="A87" s="257"/>
      <c r="B87" s="257"/>
      <c r="C87" s="257"/>
      <c r="D87" s="257"/>
      <c r="E87" s="257"/>
      <c r="F87" s="267"/>
      <c r="G87" s="257"/>
      <c r="H87" s="257"/>
      <c r="I87" s="257"/>
      <c r="J87" s="257"/>
      <c r="K87" s="257"/>
      <c r="L87" s="257"/>
      <c r="M87" s="257"/>
      <c r="N87" s="257"/>
      <c r="O87" s="257"/>
      <c r="P87" s="257"/>
      <c r="Q87" s="258"/>
      <c r="R87" s="273"/>
      <c r="S87" s="273"/>
      <c r="T87" s="273"/>
      <c r="U87" s="274"/>
      <c r="V87" s="275"/>
      <c r="W87" s="276"/>
      <c r="X87" s="263"/>
      <c r="Y87" s="257"/>
      <c r="Z87" s="257"/>
      <c r="AA87" s="264"/>
      <c r="AB87" s="264"/>
      <c r="AC87" s="264"/>
      <c r="AD87" s="264"/>
      <c r="AE87" s="264"/>
      <c r="AF87" s="264"/>
      <c r="AG87" s="264"/>
    </row>
    <row r="88" spans="1:33">
      <c r="A88" s="257"/>
      <c r="B88" s="257"/>
      <c r="C88" s="257"/>
      <c r="D88" s="257"/>
      <c r="E88" s="257"/>
      <c r="F88" s="287"/>
      <c r="G88" s="257"/>
      <c r="H88" s="257"/>
      <c r="I88" s="257"/>
      <c r="J88" s="257"/>
      <c r="K88" s="257"/>
      <c r="L88" s="257"/>
      <c r="M88" s="257"/>
      <c r="N88" s="257"/>
      <c r="O88" s="257"/>
      <c r="P88" s="257"/>
      <c r="Q88" s="258"/>
      <c r="R88" s="273"/>
      <c r="S88" s="273"/>
      <c r="T88" s="273"/>
      <c r="U88" s="274"/>
      <c r="V88" s="275"/>
      <c r="W88" s="276"/>
      <c r="X88" s="263"/>
      <c r="Y88" s="257"/>
      <c r="Z88" s="257"/>
      <c r="AA88" s="264"/>
      <c r="AB88" s="264"/>
      <c r="AC88" s="264"/>
      <c r="AD88" s="264"/>
      <c r="AE88" s="264"/>
      <c r="AF88" s="264"/>
      <c r="AG88" s="264"/>
    </row>
    <row r="89" spans="1:33">
      <c r="A89" s="257"/>
      <c r="B89" s="257"/>
      <c r="C89" s="257"/>
      <c r="D89" s="257"/>
      <c r="E89" s="257"/>
      <c r="F89" s="267"/>
      <c r="G89" s="257"/>
      <c r="H89" s="257"/>
      <c r="I89" s="257"/>
      <c r="J89" s="257"/>
      <c r="K89" s="257"/>
      <c r="L89" s="257"/>
      <c r="M89" s="257"/>
      <c r="N89" s="257"/>
      <c r="O89" s="257"/>
      <c r="P89" s="257"/>
      <c r="Q89" s="258"/>
      <c r="R89" s="273"/>
      <c r="S89" s="273"/>
      <c r="T89" s="273"/>
      <c r="U89" s="274"/>
      <c r="V89" s="275"/>
      <c r="W89" s="276"/>
      <c r="X89" s="263"/>
      <c r="Y89" s="257"/>
      <c r="Z89" s="257"/>
      <c r="AA89" s="264"/>
      <c r="AB89" s="264"/>
      <c r="AC89" s="264"/>
      <c r="AD89" s="264"/>
      <c r="AE89" s="264"/>
      <c r="AF89" s="264"/>
      <c r="AG89" s="264"/>
    </row>
    <row r="90" spans="1:33">
      <c r="A90" s="257"/>
      <c r="B90" s="257"/>
      <c r="C90" s="257"/>
      <c r="D90" s="257"/>
      <c r="E90" s="257"/>
      <c r="F90" s="287"/>
      <c r="G90" s="257"/>
      <c r="H90" s="257"/>
      <c r="I90" s="257"/>
      <c r="J90" s="257"/>
      <c r="K90" s="257"/>
      <c r="L90" s="257"/>
      <c r="M90" s="257"/>
      <c r="N90" s="257"/>
      <c r="O90" s="257"/>
      <c r="P90" s="257"/>
      <c r="Q90" s="258"/>
      <c r="R90" s="273"/>
      <c r="S90" s="273"/>
      <c r="T90" s="273"/>
      <c r="U90" s="274"/>
      <c r="V90" s="275"/>
      <c r="W90" s="276"/>
      <c r="X90" s="263"/>
      <c r="Y90" s="257"/>
      <c r="Z90" s="257"/>
      <c r="AA90" s="264"/>
      <c r="AB90" s="264"/>
      <c r="AC90" s="264"/>
      <c r="AD90" s="264"/>
      <c r="AE90" s="264"/>
      <c r="AF90" s="264"/>
      <c r="AG90" s="264"/>
    </row>
    <row r="91" spans="1:33">
      <c r="A91" s="257"/>
      <c r="B91" s="257"/>
      <c r="C91" s="257"/>
      <c r="D91" s="257"/>
      <c r="E91" s="257"/>
      <c r="F91" s="267"/>
      <c r="G91" s="257"/>
      <c r="H91" s="257"/>
      <c r="I91" s="257"/>
      <c r="J91" s="257"/>
      <c r="K91" s="257"/>
      <c r="L91" s="257"/>
      <c r="M91" s="257"/>
      <c r="N91" s="257"/>
      <c r="O91" s="257"/>
      <c r="P91" s="257"/>
      <c r="Q91" s="258"/>
      <c r="R91" s="273"/>
      <c r="S91" s="273"/>
      <c r="T91" s="273"/>
      <c r="U91" s="274"/>
      <c r="V91" s="275"/>
      <c r="W91" s="276"/>
      <c r="X91" s="263"/>
      <c r="Y91" s="257"/>
      <c r="Z91" s="257"/>
      <c r="AA91" s="264"/>
      <c r="AB91" s="264"/>
      <c r="AC91" s="264"/>
      <c r="AD91" s="264"/>
      <c r="AE91" s="264"/>
      <c r="AF91" s="264"/>
      <c r="AG91" s="264"/>
    </row>
    <row r="92" spans="1:33">
      <c r="A92" s="257"/>
      <c r="B92" s="257"/>
      <c r="C92" s="257"/>
      <c r="D92" s="257"/>
      <c r="E92" s="257"/>
      <c r="F92" s="288"/>
      <c r="G92" s="257"/>
      <c r="H92" s="257"/>
      <c r="I92" s="257"/>
      <c r="J92" s="257"/>
      <c r="K92" s="257"/>
      <c r="L92" s="257"/>
      <c r="M92" s="257"/>
      <c r="N92" s="257"/>
      <c r="O92" s="257"/>
      <c r="P92" s="257"/>
      <c r="Q92" s="258"/>
      <c r="R92" s="273"/>
      <c r="S92" s="273"/>
      <c r="T92" s="273"/>
      <c r="U92" s="274"/>
      <c r="V92" s="275"/>
      <c r="W92" s="276"/>
      <c r="X92" s="263"/>
      <c r="Y92" s="257"/>
      <c r="Z92" s="257"/>
      <c r="AA92" s="264"/>
      <c r="AB92" s="264"/>
      <c r="AC92" s="264"/>
      <c r="AD92" s="264"/>
      <c r="AE92" s="264"/>
      <c r="AF92" s="264"/>
      <c r="AG92" s="264"/>
    </row>
    <row r="93" spans="1:33">
      <c r="A93" s="257"/>
      <c r="B93" s="257"/>
      <c r="C93" s="257"/>
      <c r="D93" s="257"/>
      <c r="E93" s="257"/>
      <c r="F93" s="267"/>
      <c r="G93" s="257"/>
      <c r="H93" s="257"/>
      <c r="I93" s="257"/>
      <c r="J93" s="257"/>
      <c r="K93" s="257"/>
      <c r="L93" s="257"/>
      <c r="M93" s="257"/>
      <c r="N93" s="257"/>
      <c r="O93" s="257"/>
      <c r="P93" s="257"/>
      <c r="Q93" s="258"/>
      <c r="R93" s="273"/>
      <c r="S93" s="273"/>
      <c r="T93" s="273"/>
      <c r="U93" s="274"/>
      <c r="V93" s="275"/>
      <c r="W93" s="276"/>
      <c r="X93" s="263"/>
      <c r="Y93" s="257"/>
      <c r="Z93" s="257"/>
      <c r="AA93" s="264"/>
      <c r="AB93" s="264"/>
      <c r="AC93" s="264"/>
      <c r="AD93" s="264"/>
      <c r="AE93" s="264"/>
      <c r="AF93" s="264"/>
      <c r="AG93" s="264"/>
    </row>
    <row r="94" spans="1:33">
      <c r="A94" s="257"/>
      <c r="B94" s="257"/>
      <c r="C94" s="257"/>
      <c r="D94" s="257"/>
      <c r="E94" s="257"/>
      <c r="F94" s="287"/>
      <c r="G94" s="257"/>
      <c r="H94" s="257"/>
      <c r="I94" s="257"/>
      <c r="J94" s="257"/>
      <c r="K94" s="257"/>
      <c r="L94" s="257"/>
      <c r="M94" s="257"/>
      <c r="N94" s="257"/>
      <c r="O94" s="257"/>
      <c r="P94" s="257"/>
      <c r="Q94" s="258"/>
      <c r="R94" s="273"/>
      <c r="S94" s="273"/>
      <c r="T94" s="273"/>
      <c r="U94" s="274"/>
      <c r="V94" s="275"/>
      <c r="W94" s="276"/>
      <c r="X94" s="263"/>
      <c r="Y94" s="257"/>
      <c r="Z94" s="257"/>
      <c r="AA94" s="264"/>
      <c r="AB94" s="264"/>
      <c r="AC94" s="264"/>
      <c r="AD94" s="264"/>
      <c r="AE94" s="264"/>
      <c r="AF94" s="264"/>
      <c r="AG94" s="264"/>
    </row>
    <row r="95" spans="1:33">
      <c r="A95" s="257"/>
      <c r="B95" s="257"/>
      <c r="C95" s="257"/>
      <c r="D95" s="257"/>
      <c r="E95" s="257"/>
      <c r="F95" s="267"/>
      <c r="G95" s="257"/>
      <c r="H95" s="257"/>
      <c r="I95" s="257"/>
      <c r="J95" s="257"/>
      <c r="K95" s="257"/>
      <c r="L95" s="257"/>
      <c r="M95" s="257"/>
      <c r="N95" s="257"/>
      <c r="O95" s="257"/>
      <c r="P95" s="257"/>
      <c r="Q95" s="258"/>
      <c r="R95" s="273"/>
      <c r="S95" s="273"/>
      <c r="T95" s="273"/>
      <c r="U95" s="274"/>
      <c r="V95" s="275"/>
      <c r="W95" s="276"/>
      <c r="X95" s="263"/>
      <c r="Y95" s="257"/>
      <c r="Z95" s="257"/>
      <c r="AA95" s="264"/>
      <c r="AB95" s="264"/>
      <c r="AC95" s="264"/>
      <c r="AD95" s="264"/>
      <c r="AE95" s="264"/>
      <c r="AF95" s="264"/>
      <c r="AG95" s="264"/>
    </row>
    <row r="96" spans="1:33">
      <c r="A96" s="257"/>
      <c r="B96" s="257"/>
      <c r="C96" s="257"/>
      <c r="D96" s="257"/>
      <c r="E96" s="257"/>
      <c r="F96" s="287"/>
      <c r="G96" s="257"/>
      <c r="H96" s="257"/>
      <c r="I96" s="257"/>
      <c r="J96" s="257"/>
      <c r="K96" s="257"/>
      <c r="L96" s="257"/>
      <c r="M96" s="257"/>
      <c r="N96" s="257"/>
      <c r="O96" s="257"/>
      <c r="P96" s="257"/>
      <c r="Q96" s="258"/>
      <c r="R96" s="273"/>
      <c r="S96" s="273"/>
      <c r="T96" s="273"/>
      <c r="U96" s="274"/>
      <c r="V96" s="275"/>
      <c r="W96" s="276"/>
      <c r="X96" s="263"/>
      <c r="Y96" s="257"/>
      <c r="Z96" s="257"/>
      <c r="AA96" s="264"/>
      <c r="AB96" s="264"/>
      <c r="AC96" s="264"/>
      <c r="AD96" s="264"/>
      <c r="AE96" s="264"/>
      <c r="AF96" s="264"/>
      <c r="AG96" s="264"/>
    </row>
    <row r="97" spans="1:33">
      <c r="A97" s="257"/>
      <c r="B97" s="257"/>
      <c r="C97" s="257"/>
      <c r="D97" s="257"/>
      <c r="E97" s="257"/>
      <c r="F97" s="267"/>
      <c r="G97" s="257"/>
      <c r="H97" s="257"/>
      <c r="I97" s="257"/>
      <c r="J97" s="257"/>
      <c r="K97" s="257"/>
      <c r="L97" s="257"/>
      <c r="M97" s="257"/>
      <c r="N97" s="257"/>
      <c r="O97" s="257"/>
      <c r="P97" s="257"/>
      <c r="Q97" s="258"/>
      <c r="R97" s="273"/>
      <c r="S97" s="273"/>
      <c r="T97" s="273"/>
      <c r="U97" s="274"/>
      <c r="V97" s="275"/>
      <c r="W97" s="276"/>
      <c r="X97" s="263"/>
      <c r="Y97" s="257"/>
      <c r="Z97" s="257"/>
      <c r="AA97" s="264"/>
      <c r="AB97" s="264"/>
      <c r="AC97" s="264"/>
      <c r="AD97" s="264"/>
      <c r="AE97" s="264"/>
      <c r="AF97" s="264"/>
      <c r="AG97" s="264"/>
    </row>
    <row r="98" spans="1:33">
      <c r="A98" s="257"/>
      <c r="B98" s="257"/>
      <c r="C98" s="257"/>
      <c r="D98" s="257"/>
      <c r="E98" s="257"/>
      <c r="F98" s="287"/>
      <c r="G98" s="257"/>
      <c r="H98" s="257"/>
      <c r="I98" s="257"/>
      <c r="J98" s="257"/>
      <c r="K98" s="257"/>
      <c r="L98" s="257"/>
      <c r="M98" s="257"/>
      <c r="N98" s="257"/>
      <c r="O98" s="257"/>
      <c r="P98" s="257"/>
      <c r="Q98" s="258"/>
      <c r="R98" s="273"/>
      <c r="S98" s="273"/>
      <c r="T98" s="273"/>
      <c r="U98" s="274"/>
      <c r="V98" s="275"/>
      <c r="W98" s="276"/>
      <c r="X98" s="263"/>
      <c r="Y98" s="257"/>
      <c r="Z98" s="257"/>
      <c r="AA98" s="264"/>
      <c r="AB98" s="264"/>
      <c r="AC98" s="264"/>
      <c r="AD98" s="264"/>
      <c r="AE98" s="264"/>
      <c r="AF98" s="264"/>
      <c r="AG98" s="264"/>
    </row>
    <row r="99" spans="1:33">
      <c r="A99" s="257"/>
      <c r="B99" s="257"/>
      <c r="C99" s="257"/>
      <c r="D99" s="257"/>
      <c r="E99" s="257"/>
      <c r="F99" s="267"/>
      <c r="G99" s="257"/>
      <c r="H99" s="257"/>
      <c r="I99" s="257"/>
      <c r="J99" s="257"/>
      <c r="K99" s="257"/>
      <c r="L99" s="257"/>
      <c r="M99" s="257"/>
      <c r="N99" s="257"/>
      <c r="O99" s="257"/>
      <c r="P99" s="257"/>
      <c r="Q99" s="258"/>
      <c r="R99" s="273"/>
      <c r="S99" s="273"/>
      <c r="T99" s="273"/>
      <c r="U99" s="274"/>
      <c r="V99" s="275"/>
      <c r="W99" s="276"/>
      <c r="X99" s="263"/>
      <c r="Y99" s="257"/>
      <c r="Z99" s="257"/>
      <c r="AA99" s="264"/>
      <c r="AB99" s="264"/>
      <c r="AC99" s="264"/>
      <c r="AD99" s="264"/>
      <c r="AE99" s="264"/>
      <c r="AF99" s="264"/>
      <c r="AG99" s="264"/>
    </row>
    <row r="100" spans="1:33">
      <c r="A100" s="257"/>
      <c r="B100" s="257"/>
      <c r="C100" s="257"/>
      <c r="D100" s="257"/>
      <c r="E100" s="257"/>
      <c r="F100" s="287"/>
      <c r="G100" s="257"/>
      <c r="H100" s="257"/>
      <c r="I100" s="257"/>
      <c r="J100" s="257"/>
      <c r="K100" s="257"/>
      <c r="L100" s="257"/>
      <c r="M100" s="257"/>
      <c r="N100" s="257"/>
      <c r="O100" s="257"/>
      <c r="P100" s="257"/>
      <c r="Q100" s="258"/>
      <c r="R100" s="273"/>
      <c r="S100" s="273"/>
      <c r="T100" s="273"/>
      <c r="U100" s="274"/>
      <c r="V100" s="275"/>
      <c r="W100" s="276"/>
      <c r="X100" s="263"/>
      <c r="Y100" s="257"/>
      <c r="Z100" s="257"/>
      <c r="AA100" s="264"/>
      <c r="AB100" s="264"/>
      <c r="AC100" s="264"/>
      <c r="AD100" s="264"/>
      <c r="AE100" s="264"/>
      <c r="AF100" s="264"/>
      <c r="AG100" s="264"/>
    </row>
    <row r="101" spans="1:33">
      <c r="A101" s="257"/>
      <c r="B101" s="257"/>
      <c r="C101" s="257"/>
      <c r="D101" s="257"/>
      <c r="E101" s="257"/>
      <c r="F101" s="267"/>
      <c r="G101" s="257"/>
      <c r="H101" s="257"/>
      <c r="I101" s="257"/>
      <c r="J101" s="257"/>
      <c r="K101" s="257"/>
      <c r="L101" s="257"/>
      <c r="M101" s="257"/>
      <c r="N101" s="257"/>
      <c r="O101" s="257"/>
      <c r="P101" s="257"/>
      <c r="Q101" s="258"/>
      <c r="R101" s="273"/>
      <c r="S101" s="273"/>
      <c r="T101" s="273"/>
      <c r="U101" s="274"/>
      <c r="V101" s="275"/>
      <c r="W101" s="276"/>
      <c r="X101" s="263"/>
      <c r="Y101" s="257"/>
      <c r="Z101" s="257"/>
      <c r="AA101" s="264"/>
      <c r="AB101" s="264"/>
      <c r="AC101" s="264"/>
      <c r="AD101" s="264"/>
      <c r="AE101" s="264"/>
      <c r="AF101" s="264"/>
      <c r="AG101" s="264"/>
    </row>
    <row r="102" spans="1:33">
      <c r="A102" s="257"/>
      <c r="B102" s="257"/>
      <c r="C102" s="257"/>
      <c r="D102" s="257"/>
      <c r="E102" s="257"/>
      <c r="F102" s="287"/>
      <c r="G102" s="257"/>
      <c r="H102" s="257"/>
      <c r="I102" s="257"/>
      <c r="J102" s="257"/>
      <c r="K102" s="257"/>
      <c r="L102" s="257"/>
      <c r="M102" s="257"/>
      <c r="N102" s="257"/>
      <c r="O102" s="257"/>
      <c r="P102" s="257"/>
      <c r="Q102" s="258"/>
      <c r="R102" s="273"/>
      <c r="S102" s="273"/>
      <c r="T102" s="273"/>
      <c r="U102" s="274"/>
      <c r="V102" s="275"/>
      <c r="W102" s="276"/>
      <c r="X102" s="263"/>
      <c r="Y102" s="257"/>
      <c r="Z102" s="257"/>
      <c r="AA102" s="264"/>
      <c r="AB102" s="264"/>
      <c r="AC102" s="264"/>
      <c r="AD102" s="264"/>
      <c r="AE102" s="264"/>
      <c r="AF102" s="264"/>
      <c r="AG102" s="264"/>
    </row>
    <row r="103" spans="1:33">
      <c r="A103" s="257"/>
      <c r="B103" s="257"/>
      <c r="C103" s="257"/>
      <c r="D103" s="257"/>
      <c r="E103" s="257"/>
      <c r="F103" s="267"/>
      <c r="G103" s="257"/>
      <c r="H103" s="257"/>
      <c r="I103" s="257"/>
      <c r="J103" s="257"/>
      <c r="K103" s="257"/>
      <c r="L103" s="257"/>
      <c r="M103" s="257"/>
      <c r="N103" s="257"/>
      <c r="O103" s="257"/>
      <c r="P103" s="257"/>
      <c r="Q103" s="258"/>
      <c r="R103" s="273"/>
      <c r="S103" s="273"/>
      <c r="T103" s="273"/>
      <c r="U103" s="274"/>
      <c r="V103" s="275"/>
      <c r="W103" s="276"/>
      <c r="X103" s="263"/>
      <c r="Y103" s="257"/>
      <c r="Z103" s="257"/>
      <c r="AA103" s="264"/>
      <c r="AB103" s="264"/>
      <c r="AC103" s="264"/>
      <c r="AD103" s="264"/>
      <c r="AE103" s="264"/>
      <c r="AF103" s="264"/>
      <c r="AG103" s="264"/>
    </row>
    <row r="104" spans="1:33">
      <c r="A104" s="257"/>
      <c r="B104" s="257"/>
      <c r="C104" s="257"/>
      <c r="D104" s="257"/>
      <c r="E104" s="257"/>
      <c r="F104" s="287"/>
      <c r="G104" s="257"/>
      <c r="H104" s="257"/>
      <c r="I104" s="257"/>
      <c r="J104" s="257"/>
      <c r="K104" s="257"/>
      <c r="L104" s="257"/>
      <c r="M104" s="257"/>
      <c r="N104" s="257"/>
      <c r="O104" s="257"/>
      <c r="P104" s="257"/>
      <c r="Q104" s="258"/>
      <c r="R104" s="273"/>
      <c r="S104" s="273"/>
      <c r="T104" s="273"/>
      <c r="U104" s="274"/>
      <c r="V104" s="275"/>
      <c r="W104" s="276"/>
      <c r="X104" s="263"/>
      <c r="Y104" s="257"/>
      <c r="Z104" s="257"/>
      <c r="AA104" s="264"/>
      <c r="AB104" s="264"/>
      <c r="AC104" s="264"/>
      <c r="AD104" s="264"/>
      <c r="AE104" s="264"/>
      <c r="AF104" s="264"/>
      <c r="AG104" s="264"/>
    </row>
    <row r="105" spans="1:33">
      <c r="A105" s="257"/>
      <c r="B105" s="257"/>
      <c r="C105" s="257"/>
      <c r="D105" s="257"/>
      <c r="E105" s="257"/>
      <c r="F105" s="267"/>
      <c r="G105" s="257"/>
      <c r="H105" s="257"/>
      <c r="I105" s="257"/>
      <c r="J105" s="257"/>
      <c r="K105" s="257"/>
      <c r="L105" s="257"/>
      <c r="M105" s="257"/>
      <c r="N105" s="257"/>
      <c r="O105" s="257"/>
      <c r="P105" s="257"/>
      <c r="Q105" s="258"/>
      <c r="R105" s="273"/>
      <c r="S105" s="273"/>
      <c r="T105" s="273"/>
      <c r="U105" s="274"/>
      <c r="V105" s="275"/>
      <c r="W105" s="276"/>
      <c r="X105" s="263"/>
      <c r="Y105" s="257"/>
      <c r="Z105" s="257"/>
      <c r="AA105" s="264"/>
      <c r="AB105" s="264"/>
      <c r="AC105" s="264"/>
      <c r="AD105" s="264"/>
      <c r="AE105" s="264"/>
      <c r="AF105" s="264"/>
      <c r="AG105" s="264"/>
    </row>
    <row r="106" spans="1:33">
      <c r="A106" s="257"/>
      <c r="B106" s="257"/>
      <c r="C106" s="257"/>
      <c r="D106" s="257"/>
      <c r="E106" s="257"/>
      <c r="F106" s="287"/>
      <c r="G106" s="257"/>
      <c r="H106" s="257"/>
      <c r="I106" s="257"/>
      <c r="J106" s="257"/>
      <c r="K106" s="257"/>
      <c r="L106" s="257"/>
      <c r="M106" s="257"/>
      <c r="N106" s="257"/>
      <c r="O106" s="257"/>
      <c r="P106" s="257"/>
      <c r="Q106" s="258"/>
      <c r="R106" s="273"/>
      <c r="S106" s="273"/>
      <c r="T106" s="273"/>
      <c r="U106" s="274"/>
      <c r="V106" s="275"/>
      <c r="W106" s="276"/>
      <c r="X106" s="263"/>
      <c r="Y106" s="257"/>
      <c r="Z106" s="257"/>
      <c r="AA106" s="264"/>
      <c r="AB106" s="264"/>
      <c r="AC106" s="264"/>
      <c r="AD106" s="264"/>
      <c r="AE106" s="264"/>
      <c r="AF106" s="264"/>
      <c r="AG106" s="264"/>
    </row>
    <row r="107" spans="1:33">
      <c r="A107" s="257"/>
      <c r="B107" s="257"/>
      <c r="C107" s="257"/>
      <c r="D107" s="257"/>
      <c r="E107" s="257"/>
      <c r="F107" s="267"/>
      <c r="G107" s="257"/>
      <c r="H107" s="257"/>
      <c r="I107" s="257"/>
      <c r="J107" s="257"/>
      <c r="K107" s="257"/>
      <c r="L107" s="257"/>
      <c r="M107" s="257"/>
      <c r="N107" s="257"/>
      <c r="O107" s="257"/>
      <c r="P107" s="257"/>
      <c r="Q107" s="258"/>
      <c r="R107" s="273"/>
      <c r="S107" s="273"/>
      <c r="T107" s="273"/>
      <c r="U107" s="274"/>
      <c r="V107" s="275"/>
      <c r="W107" s="276"/>
      <c r="X107" s="263"/>
      <c r="Y107" s="257"/>
      <c r="Z107" s="257"/>
      <c r="AA107" s="264"/>
      <c r="AB107" s="264"/>
      <c r="AC107" s="264"/>
      <c r="AD107" s="264"/>
      <c r="AE107" s="264"/>
      <c r="AF107" s="264"/>
      <c r="AG107" s="264"/>
    </row>
    <row r="108" spans="1:33">
      <c r="A108" s="257"/>
      <c r="B108" s="257"/>
      <c r="C108" s="257"/>
      <c r="D108" s="257"/>
      <c r="E108" s="257"/>
      <c r="F108" s="287"/>
      <c r="G108" s="257"/>
      <c r="H108" s="257"/>
      <c r="I108" s="257"/>
      <c r="J108" s="257"/>
      <c r="K108" s="257"/>
      <c r="L108" s="257"/>
      <c r="M108" s="257"/>
      <c r="N108" s="257"/>
      <c r="O108" s="257"/>
      <c r="P108" s="257"/>
      <c r="Q108" s="258"/>
      <c r="R108" s="273"/>
      <c r="S108" s="273"/>
      <c r="T108" s="273"/>
      <c r="U108" s="274"/>
      <c r="V108" s="275"/>
      <c r="W108" s="276"/>
      <c r="X108" s="263"/>
      <c r="Y108" s="257"/>
      <c r="Z108" s="257"/>
      <c r="AA108" s="264"/>
      <c r="AB108" s="264"/>
      <c r="AC108" s="264"/>
      <c r="AD108" s="264"/>
      <c r="AE108" s="264"/>
      <c r="AF108" s="264"/>
      <c r="AG108" s="264"/>
    </row>
    <row r="109" spans="1:33">
      <c r="A109" s="257"/>
      <c r="B109" s="257"/>
      <c r="C109" s="257"/>
      <c r="D109" s="257"/>
      <c r="E109" s="257"/>
      <c r="F109" s="267"/>
      <c r="G109" s="257"/>
      <c r="H109" s="257"/>
      <c r="I109" s="257"/>
      <c r="J109" s="257"/>
      <c r="K109" s="257"/>
      <c r="L109" s="257"/>
      <c r="M109" s="257"/>
      <c r="N109" s="257"/>
      <c r="O109" s="257"/>
      <c r="P109" s="257"/>
      <c r="Q109" s="258"/>
      <c r="R109" s="273"/>
      <c r="S109" s="273"/>
      <c r="T109" s="273"/>
      <c r="U109" s="274"/>
      <c r="V109" s="275"/>
      <c r="W109" s="276"/>
      <c r="X109" s="263"/>
      <c r="Y109" s="257"/>
      <c r="Z109" s="257"/>
      <c r="AA109" s="264"/>
      <c r="AB109" s="264"/>
      <c r="AC109" s="264"/>
      <c r="AD109" s="264"/>
      <c r="AE109" s="264"/>
      <c r="AF109" s="264"/>
      <c r="AG109" s="264"/>
    </row>
    <row r="110" spans="1:33">
      <c r="A110" s="257"/>
      <c r="B110" s="257"/>
      <c r="C110" s="257"/>
      <c r="D110" s="257"/>
      <c r="E110" s="257"/>
      <c r="F110" s="287"/>
      <c r="G110" s="257"/>
      <c r="H110" s="257"/>
      <c r="I110" s="257"/>
      <c r="J110" s="257"/>
      <c r="K110" s="257"/>
      <c r="L110" s="257"/>
      <c r="M110" s="257"/>
      <c r="N110" s="257"/>
      <c r="O110" s="257"/>
      <c r="P110" s="257"/>
      <c r="Q110" s="258"/>
      <c r="R110" s="273"/>
      <c r="S110" s="273"/>
      <c r="T110" s="273"/>
      <c r="U110" s="274"/>
      <c r="V110" s="275"/>
      <c r="W110" s="276"/>
      <c r="X110" s="263"/>
      <c r="Y110" s="257"/>
      <c r="Z110" s="257"/>
      <c r="AA110" s="264"/>
      <c r="AB110" s="264"/>
      <c r="AC110" s="264"/>
      <c r="AD110" s="264"/>
      <c r="AE110" s="264"/>
      <c r="AF110" s="264"/>
      <c r="AG110" s="264"/>
    </row>
    <row r="111" spans="1:33">
      <c r="A111" s="257"/>
      <c r="B111" s="257"/>
      <c r="C111" s="257"/>
      <c r="D111" s="257"/>
      <c r="E111" s="257"/>
      <c r="F111" s="267"/>
      <c r="G111" s="257"/>
      <c r="H111" s="257"/>
      <c r="I111" s="257"/>
      <c r="J111" s="257"/>
      <c r="K111" s="257"/>
      <c r="L111" s="257"/>
      <c r="M111" s="257"/>
      <c r="N111" s="257"/>
      <c r="O111" s="257"/>
      <c r="P111" s="257"/>
      <c r="Q111" s="258"/>
      <c r="R111" s="273"/>
      <c r="S111" s="273"/>
      <c r="T111" s="273"/>
      <c r="U111" s="274"/>
      <c r="V111" s="275"/>
      <c r="W111" s="276"/>
      <c r="X111" s="263"/>
      <c r="Y111" s="257"/>
      <c r="Z111" s="257"/>
      <c r="AA111" s="264"/>
      <c r="AB111" s="264"/>
      <c r="AC111" s="264"/>
      <c r="AD111" s="264"/>
      <c r="AE111" s="264"/>
      <c r="AF111" s="264"/>
      <c r="AG111" s="264"/>
    </row>
    <row r="112" spans="1:33">
      <c r="A112" s="257"/>
      <c r="B112" s="257"/>
      <c r="C112" s="257"/>
      <c r="D112" s="257"/>
      <c r="E112" s="257"/>
      <c r="F112" s="287"/>
      <c r="G112" s="257"/>
      <c r="H112" s="257"/>
      <c r="I112" s="257"/>
      <c r="J112" s="257"/>
      <c r="K112" s="257"/>
      <c r="L112" s="257"/>
      <c r="M112" s="257"/>
      <c r="N112" s="257"/>
      <c r="O112" s="257"/>
      <c r="P112" s="257"/>
      <c r="Q112" s="258"/>
      <c r="R112" s="273"/>
      <c r="S112" s="273"/>
      <c r="T112" s="273"/>
      <c r="U112" s="274"/>
      <c r="V112" s="275"/>
      <c r="W112" s="276"/>
      <c r="X112" s="263"/>
      <c r="Y112" s="257"/>
      <c r="Z112" s="257"/>
      <c r="AA112" s="264"/>
      <c r="AB112" s="264"/>
      <c r="AC112" s="264"/>
      <c r="AD112" s="264"/>
      <c r="AE112" s="264"/>
      <c r="AF112" s="264"/>
      <c r="AG112" s="264"/>
    </row>
    <row r="113" spans="1:33">
      <c r="A113" s="257"/>
      <c r="B113" s="257"/>
      <c r="C113" s="257"/>
      <c r="D113" s="257"/>
      <c r="E113" s="257"/>
      <c r="F113" s="267"/>
      <c r="G113" s="257"/>
      <c r="H113" s="257"/>
      <c r="I113" s="257"/>
      <c r="J113" s="257"/>
      <c r="K113" s="257"/>
      <c r="L113" s="257"/>
      <c r="M113" s="257"/>
      <c r="N113" s="257"/>
      <c r="O113" s="257"/>
      <c r="P113" s="257"/>
      <c r="Q113" s="258"/>
      <c r="R113" s="273"/>
      <c r="S113" s="273"/>
      <c r="T113" s="273"/>
      <c r="U113" s="274"/>
      <c r="V113" s="275"/>
      <c r="W113" s="276"/>
      <c r="X113" s="263"/>
      <c r="Y113" s="257"/>
      <c r="Z113" s="257"/>
      <c r="AA113" s="264"/>
      <c r="AB113" s="264"/>
      <c r="AC113" s="264"/>
      <c r="AD113" s="264"/>
      <c r="AE113" s="264"/>
      <c r="AF113" s="264"/>
      <c r="AG113" s="264"/>
    </row>
    <row r="114" spans="1:33">
      <c r="A114" s="257"/>
      <c r="B114" s="257"/>
      <c r="C114" s="257"/>
      <c r="D114" s="257"/>
      <c r="E114" s="257"/>
      <c r="F114" s="287"/>
      <c r="G114" s="257"/>
      <c r="H114" s="257"/>
      <c r="I114" s="257"/>
      <c r="J114" s="257"/>
      <c r="K114" s="257"/>
      <c r="L114" s="257"/>
      <c r="M114" s="257"/>
      <c r="N114" s="257"/>
      <c r="O114" s="257"/>
      <c r="P114" s="257"/>
      <c r="Q114" s="258"/>
      <c r="R114" s="273"/>
      <c r="S114" s="273"/>
      <c r="T114" s="273"/>
      <c r="U114" s="274"/>
      <c r="V114" s="275"/>
      <c r="W114" s="276"/>
      <c r="X114" s="263"/>
      <c r="Y114" s="257"/>
      <c r="Z114" s="257"/>
      <c r="AA114" s="264"/>
      <c r="AB114" s="264"/>
      <c r="AC114" s="264"/>
      <c r="AD114" s="264"/>
      <c r="AE114" s="264"/>
      <c r="AF114" s="264"/>
      <c r="AG114" s="264"/>
    </row>
    <row r="115" spans="1:33">
      <c r="A115" s="257"/>
      <c r="B115" s="257"/>
      <c r="C115" s="257"/>
      <c r="D115" s="257"/>
      <c r="E115" s="257"/>
      <c r="F115" s="267"/>
      <c r="G115" s="257"/>
      <c r="H115" s="257"/>
      <c r="I115" s="257"/>
      <c r="J115" s="257"/>
      <c r="K115" s="257"/>
      <c r="L115" s="257"/>
      <c r="M115" s="257"/>
      <c r="N115" s="257"/>
      <c r="O115" s="257"/>
      <c r="P115" s="257"/>
      <c r="Q115" s="258"/>
      <c r="R115" s="273"/>
      <c r="S115" s="273"/>
      <c r="T115" s="273"/>
      <c r="U115" s="274"/>
      <c r="V115" s="275"/>
      <c r="W115" s="276"/>
      <c r="X115" s="263"/>
      <c r="Y115" s="257"/>
      <c r="Z115" s="257"/>
      <c r="AA115" s="264"/>
      <c r="AB115" s="264"/>
      <c r="AC115" s="264"/>
      <c r="AD115" s="264"/>
      <c r="AE115" s="264"/>
      <c r="AF115" s="264"/>
      <c r="AG115" s="264"/>
    </row>
    <row r="116" spans="1:33">
      <c r="A116" s="257"/>
      <c r="B116" s="257"/>
      <c r="C116" s="257"/>
      <c r="D116" s="257"/>
      <c r="E116" s="257"/>
      <c r="F116" s="287"/>
      <c r="G116" s="257"/>
      <c r="H116" s="257"/>
      <c r="I116" s="257"/>
      <c r="J116" s="257"/>
      <c r="K116" s="257"/>
      <c r="L116" s="257"/>
      <c r="M116" s="257"/>
      <c r="N116" s="257"/>
      <c r="O116" s="257"/>
      <c r="P116" s="257"/>
      <c r="Q116" s="258"/>
      <c r="R116" s="273"/>
      <c r="S116" s="273"/>
      <c r="T116" s="273"/>
      <c r="U116" s="274"/>
      <c r="V116" s="275"/>
      <c r="W116" s="276"/>
      <c r="X116" s="263"/>
      <c r="Y116" s="257"/>
      <c r="Z116" s="257"/>
      <c r="AA116" s="264"/>
      <c r="AB116" s="264"/>
      <c r="AC116" s="264"/>
      <c r="AD116" s="264"/>
      <c r="AE116" s="264"/>
      <c r="AF116" s="264"/>
      <c r="AG116" s="264"/>
    </row>
    <row r="117" spans="1:33">
      <c r="A117" s="257"/>
      <c r="B117" s="257"/>
      <c r="C117" s="257"/>
      <c r="D117" s="257"/>
      <c r="E117" s="257"/>
      <c r="F117" s="267"/>
      <c r="G117" s="257"/>
      <c r="H117" s="257"/>
      <c r="I117" s="257"/>
      <c r="J117" s="257"/>
      <c r="K117" s="257"/>
      <c r="L117" s="257"/>
      <c r="M117" s="257"/>
      <c r="N117" s="257"/>
      <c r="O117" s="257"/>
      <c r="P117" s="257"/>
      <c r="Q117" s="258"/>
      <c r="R117" s="273"/>
      <c r="S117" s="273"/>
      <c r="T117" s="273"/>
      <c r="U117" s="274"/>
      <c r="V117" s="275"/>
      <c r="W117" s="276"/>
      <c r="X117" s="263"/>
      <c r="Y117" s="257"/>
      <c r="Z117" s="257"/>
      <c r="AA117" s="264"/>
      <c r="AB117" s="264"/>
      <c r="AC117" s="264"/>
      <c r="AD117" s="264"/>
      <c r="AE117" s="264"/>
      <c r="AF117" s="264"/>
      <c r="AG117" s="264"/>
    </row>
    <row r="118" spans="1:33">
      <c r="A118" s="257"/>
      <c r="B118" s="257"/>
      <c r="C118" s="257"/>
      <c r="D118" s="257"/>
      <c r="E118" s="257"/>
      <c r="F118" s="287"/>
      <c r="G118" s="257"/>
      <c r="H118" s="257"/>
      <c r="I118" s="257"/>
      <c r="J118" s="257"/>
      <c r="K118" s="257"/>
      <c r="L118" s="257"/>
      <c r="M118" s="257"/>
      <c r="N118" s="257"/>
      <c r="O118" s="257"/>
      <c r="P118" s="257"/>
      <c r="Q118" s="258"/>
      <c r="R118" s="273"/>
      <c r="S118" s="273"/>
      <c r="T118" s="273"/>
      <c r="U118" s="274"/>
      <c r="V118" s="275"/>
      <c r="W118" s="276"/>
      <c r="X118" s="263"/>
      <c r="Y118" s="257"/>
      <c r="Z118" s="257"/>
      <c r="AA118" s="264"/>
      <c r="AB118" s="264"/>
      <c r="AC118" s="264"/>
      <c r="AD118" s="264"/>
      <c r="AE118" s="264"/>
      <c r="AF118" s="264"/>
      <c r="AG118" s="264"/>
    </row>
    <row r="119" spans="1:33">
      <c r="A119" s="257"/>
      <c r="B119" s="257"/>
      <c r="C119" s="257"/>
      <c r="D119" s="257"/>
      <c r="E119" s="257"/>
      <c r="F119" s="267"/>
      <c r="G119" s="257"/>
      <c r="H119" s="257"/>
      <c r="I119" s="257"/>
      <c r="J119" s="257"/>
      <c r="K119" s="257"/>
      <c r="L119" s="257"/>
      <c r="M119" s="257"/>
      <c r="N119" s="257"/>
      <c r="O119" s="257"/>
      <c r="P119" s="257"/>
      <c r="Q119" s="258"/>
      <c r="R119" s="273"/>
      <c r="S119" s="273"/>
      <c r="T119" s="273"/>
      <c r="U119" s="274"/>
      <c r="V119" s="275"/>
      <c r="W119" s="276"/>
      <c r="X119" s="263"/>
      <c r="Y119" s="257"/>
      <c r="Z119" s="257"/>
      <c r="AA119" s="264"/>
      <c r="AB119" s="264"/>
      <c r="AC119" s="264"/>
      <c r="AD119" s="264"/>
      <c r="AE119" s="264"/>
      <c r="AF119" s="264"/>
      <c r="AG119" s="264"/>
    </row>
    <row r="120" spans="1:33">
      <c r="A120" s="257"/>
      <c r="B120" s="257"/>
      <c r="C120" s="257"/>
      <c r="D120" s="257"/>
      <c r="E120" s="257"/>
      <c r="F120" s="287"/>
      <c r="G120" s="257"/>
      <c r="H120" s="257"/>
      <c r="I120" s="257"/>
      <c r="J120" s="257"/>
      <c r="K120" s="257"/>
      <c r="L120" s="257"/>
      <c r="M120" s="257"/>
      <c r="N120" s="257"/>
      <c r="O120" s="257"/>
      <c r="P120" s="257"/>
      <c r="Q120" s="258"/>
      <c r="R120" s="273"/>
      <c r="S120" s="273"/>
      <c r="T120" s="273"/>
      <c r="U120" s="274"/>
      <c r="V120" s="275"/>
      <c r="W120" s="276"/>
      <c r="X120" s="263"/>
      <c r="Y120" s="257"/>
      <c r="Z120" s="257"/>
      <c r="AA120" s="264"/>
      <c r="AB120" s="264"/>
      <c r="AC120" s="264"/>
      <c r="AD120" s="264"/>
      <c r="AE120" s="264"/>
      <c r="AF120" s="264"/>
      <c r="AG120" s="264"/>
    </row>
    <row r="121" spans="1:33">
      <c r="A121" s="257"/>
      <c r="B121" s="257"/>
      <c r="C121" s="257"/>
      <c r="D121" s="257"/>
      <c r="E121" s="257"/>
      <c r="F121" s="267"/>
      <c r="G121" s="257"/>
      <c r="H121" s="257"/>
      <c r="I121" s="257"/>
      <c r="J121" s="257"/>
      <c r="K121" s="257"/>
      <c r="L121" s="257"/>
      <c r="M121" s="257"/>
      <c r="N121" s="257"/>
      <c r="O121" s="257"/>
      <c r="P121" s="257"/>
      <c r="Q121" s="258"/>
      <c r="R121" s="273"/>
      <c r="S121" s="273"/>
      <c r="T121" s="273"/>
      <c r="U121" s="274"/>
      <c r="V121" s="275"/>
      <c r="W121" s="276"/>
      <c r="X121" s="263"/>
      <c r="Y121" s="257"/>
      <c r="Z121" s="257"/>
      <c r="AA121" s="264"/>
      <c r="AB121" s="264"/>
      <c r="AC121" s="264"/>
      <c r="AD121" s="264"/>
      <c r="AE121" s="264"/>
      <c r="AF121" s="264"/>
      <c r="AG121" s="264"/>
    </row>
    <row r="122" spans="1:33">
      <c r="A122" s="257"/>
      <c r="B122" s="257"/>
      <c r="C122" s="257"/>
      <c r="D122" s="257"/>
      <c r="E122" s="257"/>
      <c r="F122" s="287"/>
      <c r="G122" s="257"/>
      <c r="H122" s="257"/>
      <c r="I122" s="257"/>
      <c r="J122" s="257"/>
      <c r="K122" s="257"/>
      <c r="L122" s="257"/>
      <c r="M122" s="257"/>
      <c r="N122" s="257"/>
      <c r="O122" s="257"/>
      <c r="P122" s="257"/>
      <c r="Q122" s="258"/>
      <c r="R122" s="273"/>
      <c r="S122" s="273"/>
      <c r="T122" s="273"/>
      <c r="U122" s="274"/>
      <c r="V122" s="275"/>
      <c r="W122" s="276"/>
      <c r="X122" s="263"/>
      <c r="Y122" s="257"/>
      <c r="Z122" s="257"/>
      <c r="AA122" s="264"/>
      <c r="AB122" s="264"/>
      <c r="AC122" s="264"/>
      <c r="AD122" s="264"/>
      <c r="AE122" s="264"/>
      <c r="AF122" s="264"/>
      <c r="AG122" s="264"/>
    </row>
    <row r="123" spans="1:33">
      <c r="A123" s="257"/>
      <c r="B123" s="257"/>
      <c r="C123" s="257"/>
      <c r="D123" s="257"/>
      <c r="E123" s="257"/>
      <c r="F123" s="267"/>
      <c r="G123" s="257"/>
      <c r="H123" s="257"/>
      <c r="I123" s="257"/>
      <c r="J123" s="257"/>
      <c r="K123" s="257"/>
      <c r="L123" s="257"/>
      <c r="M123" s="257"/>
      <c r="N123" s="257"/>
      <c r="O123" s="257"/>
      <c r="P123" s="257"/>
      <c r="Q123" s="258"/>
      <c r="R123" s="273"/>
      <c r="S123" s="273"/>
      <c r="T123" s="273"/>
      <c r="U123" s="274"/>
      <c r="V123" s="275"/>
      <c r="W123" s="276"/>
      <c r="X123" s="263"/>
      <c r="Y123" s="257"/>
      <c r="Z123" s="257"/>
      <c r="AA123" s="264"/>
      <c r="AB123" s="264"/>
      <c r="AC123" s="264"/>
      <c r="AD123" s="264"/>
      <c r="AE123" s="264"/>
      <c r="AF123" s="264"/>
      <c r="AG123" s="264"/>
    </row>
    <row r="124" spans="1:33">
      <c r="A124" s="257"/>
      <c r="B124" s="257"/>
      <c r="C124" s="257"/>
      <c r="D124" s="257"/>
      <c r="E124" s="257"/>
      <c r="F124" s="287"/>
      <c r="G124" s="257"/>
      <c r="H124" s="257"/>
      <c r="I124" s="257"/>
      <c r="J124" s="257"/>
      <c r="K124" s="257"/>
      <c r="L124" s="257"/>
      <c r="M124" s="257"/>
      <c r="N124" s="257"/>
      <c r="O124" s="257"/>
      <c r="P124" s="257"/>
      <c r="Q124" s="258"/>
      <c r="R124" s="273"/>
      <c r="S124" s="273"/>
      <c r="T124" s="273"/>
      <c r="U124" s="274"/>
      <c r="V124" s="275"/>
      <c r="W124" s="276"/>
      <c r="X124" s="263"/>
      <c r="Y124" s="257"/>
      <c r="Z124" s="257"/>
      <c r="AA124" s="264"/>
      <c r="AB124" s="264"/>
      <c r="AC124" s="264"/>
      <c r="AD124" s="264"/>
      <c r="AE124" s="264"/>
      <c r="AF124" s="264"/>
      <c r="AG124" s="264"/>
    </row>
    <row r="125" spans="1:33">
      <c r="A125" s="257"/>
      <c r="B125" s="257"/>
      <c r="C125" s="257"/>
      <c r="D125" s="257"/>
      <c r="E125" s="257"/>
      <c r="F125" s="267"/>
      <c r="G125" s="257"/>
      <c r="H125" s="257"/>
      <c r="I125" s="257"/>
      <c r="J125" s="257"/>
      <c r="K125" s="257"/>
      <c r="L125" s="257"/>
      <c r="M125" s="257"/>
      <c r="N125" s="257"/>
      <c r="O125" s="257"/>
      <c r="P125" s="257"/>
      <c r="Q125" s="258"/>
      <c r="R125" s="273"/>
      <c r="S125" s="273"/>
      <c r="T125" s="273"/>
      <c r="U125" s="274"/>
      <c r="V125" s="275"/>
      <c r="W125" s="276"/>
      <c r="X125" s="263"/>
      <c r="Y125" s="257"/>
      <c r="Z125" s="257"/>
      <c r="AA125" s="264"/>
      <c r="AB125" s="264"/>
      <c r="AC125" s="264"/>
      <c r="AD125" s="264"/>
      <c r="AE125" s="264"/>
      <c r="AF125" s="264"/>
      <c r="AG125" s="264"/>
    </row>
    <row r="126" spans="1:33">
      <c r="A126" s="257"/>
      <c r="B126" s="257"/>
      <c r="C126" s="257"/>
      <c r="D126" s="257"/>
      <c r="E126" s="257"/>
      <c r="F126" s="287"/>
      <c r="G126" s="257"/>
      <c r="H126" s="257"/>
      <c r="I126" s="257"/>
      <c r="J126" s="257"/>
      <c r="K126" s="257"/>
      <c r="L126" s="257"/>
      <c r="M126" s="257"/>
      <c r="N126" s="257"/>
      <c r="O126" s="257"/>
      <c r="P126" s="257"/>
      <c r="Q126" s="258"/>
      <c r="R126" s="273"/>
      <c r="S126" s="273"/>
      <c r="T126" s="273"/>
      <c r="U126" s="274"/>
      <c r="V126" s="275"/>
      <c r="W126" s="276"/>
      <c r="X126" s="263"/>
      <c r="Y126" s="257"/>
      <c r="Z126" s="257"/>
      <c r="AA126" s="264"/>
      <c r="AB126" s="264"/>
      <c r="AC126" s="264"/>
      <c r="AD126" s="264"/>
      <c r="AE126" s="264"/>
      <c r="AF126" s="264"/>
      <c r="AG126" s="264"/>
    </row>
    <row r="127" spans="1:33">
      <c r="A127" s="257"/>
      <c r="B127" s="257"/>
      <c r="C127" s="257"/>
      <c r="D127" s="257"/>
      <c r="E127" s="257"/>
      <c r="F127" s="267"/>
      <c r="G127" s="257"/>
      <c r="H127" s="257"/>
      <c r="I127" s="257"/>
      <c r="J127" s="257"/>
      <c r="K127" s="257"/>
      <c r="L127" s="257"/>
      <c r="M127" s="257"/>
      <c r="N127" s="257"/>
      <c r="O127" s="257"/>
      <c r="P127" s="257"/>
      <c r="Q127" s="258"/>
      <c r="R127" s="273"/>
      <c r="S127" s="273"/>
      <c r="T127" s="273"/>
      <c r="U127" s="274"/>
      <c r="V127" s="275"/>
      <c r="W127" s="276"/>
      <c r="X127" s="263"/>
      <c r="Y127" s="257"/>
      <c r="Z127" s="257"/>
      <c r="AA127" s="264"/>
      <c r="AB127" s="264"/>
      <c r="AC127" s="264"/>
      <c r="AD127" s="264"/>
      <c r="AE127" s="264"/>
      <c r="AF127" s="264"/>
      <c r="AG127" s="264"/>
    </row>
    <row r="128" spans="1:33">
      <c r="A128" s="257"/>
      <c r="B128" s="257"/>
      <c r="C128" s="257"/>
      <c r="D128" s="257"/>
      <c r="E128" s="257"/>
      <c r="F128" s="287"/>
      <c r="G128" s="257"/>
      <c r="H128" s="257"/>
      <c r="I128" s="257"/>
      <c r="J128" s="257"/>
      <c r="K128" s="257"/>
      <c r="L128" s="257"/>
      <c r="M128" s="257"/>
      <c r="N128" s="257"/>
      <c r="O128" s="257"/>
      <c r="P128" s="257"/>
      <c r="Q128" s="258"/>
      <c r="R128" s="273"/>
      <c r="S128" s="273"/>
      <c r="T128" s="273"/>
      <c r="U128" s="274"/>
      <c r="V128" s="275"/>
      <c r="W128" s="276"/>
      <c r="X128" s="263"/>
      <c r="Y128" s="257"/>
      <c r="Z128" s="257"/>
      <c r="AA128" s="264"/>
      <c r="AB128" s="264"/>
      <c r="AC128" s="264"/>
      <c r="AD128" s="264"/>
      <c r="AE128" s="264"/>
      <c r="AF128" s="264"/>
      <c r="AG128" s="264"/>
    </row>
    <row r="129" spans="1:33">
      <c r="A129" s="257"/>
      <c r="B129" s="257"/>
      <c r="C129" s="257"/>
      <c r="D129" s="257"/>
      <c r="E129" s="257"/>
      <c r="F129" s="267"/>
      <c r="G129" s="257"/>
      <c r="H129" s="257"/>
      <c r="I129" s="257"/>
      <c r="J129" s="257"/>
      <c r="K129" s="257"/>
      <c r="L129" s="257"/>
      <c r="M129" s="257"/>
      <c r="N129" s="257"/>
      <c r="O129" s="257"/>
      <c r="P129" s="257"/>
      <c r="Q129" s="258"/>
      <c r="R129" s="273"/>
      <c r="S129" s="273"/>
      <c r="T129" s="273"/>
      <c r="U129" s="274"/>
      <c r="V129" s="275"/>
      <c r="W129" s="276"/>
      <c r="X129" s="263"/>
      <c r="Y129" s="257"/>
      <c r="Z129" s="257"/>
      <c r="AA129" s="264"/>
      <c r="AB129" s="264"/>
      <c r="AC129" s="264"/>
      <c r="AD129" s="264"/>
      <c r="AE129" s="264"/>
      <c r="AF129" s="264"/>
      <c r="AG129" s="264"/>
    </row>
    <row r="130" spans="1:33">
      <c r="A130" s="257"/>
      <c r="B130" s="257"/>
      <c r="C130" s="257"/>
      <c r="D130" s="257"/>
      <c r="E130" s="257"/>
      <c r="F130" s="287"/>
      <c r="G130" s="257"/>
      <c r="H130" s="257"/>
      <c r="I130" s="257"/>
      <c r="J130" s="257"/>
      <c r="K130" s="257"/>
      <c r="L130" s="257"/>
      <c r="M130" s="257"/>
      <c r="N130" s="257"/>
      <c r="O130" s="257"/>
      <c r="P130" s="257"/>
      <c r="Q130" s="258"/>
      <c r="R130" s="273"/>
      <c r="S130" s="273"/>
      <c r="T130" s="273"/>
      <c r="U130" s="274"/>
      <c r="V130" s="275"/>
      <c r="W130" s="276"/>
      <c r="X130" s="263"/>
      <c r="Y130" s="257"/>
      <c r="Z130" s="257"/>
      <c r="AA130" s="264"/>
      <c r="AB130" s="264"/>
      <c r="AC130" s="264"/>
      <c r="AD130" s="264"/>
      <c r="AE130" s="264"/>
      <c r="AF130" s="264"/>
      <c r="AG130" s="264"/>
    </row>
    <row r="131" spans="1:33">
      <c r="A131" s="257"/>
      <c r="B131" s="257"/>
      <c r="C131" s="257"/>
      <c r="D131" s="257"/>
      <c r="E131" s="257"/>
      <c r="F131" s="267"/>
      <c r="G131" s="257"/>
      <c r="H131" s="257"/>
      <c r="I131" s="257"/>
      <c r="J131" s="257"/>
      <c r="K131" s="257"/>
      <c r="L131" s="257"/>
      <c r="M131" s="257"/>
      <c r="N131" s="257"/>
      <c r="O131" s="257"/>
      <c r="P131" s="257"/>
      <c r="Q131" s="258"/>
      <c r="R131" s="273"/>
      <c r="S131" s="273"/>
      <c r="T131" s="273"/>
      <c r="U131" s="274"/>
      <c r="V131" s="275"/>
      <c r="W131" s="276"/>
      <c r="X131" s="263"/>
      <c r="Y131" s="257"/>
      <c r="Z131" s="257"/>
      <c r="AA131" s="264"/>
      <c r="AB131" s="264"/>
      <c r="AC131" s="264"/>
      <c r="AD131" s="264"/>
      <c r="AE131" s="264"/>
      <c r="AF131" s="264"/>
      <c r="AG131" s="264"/>
    </row>
    <row r="132" spans="1:33">
      <c r="A132" s="257"/>
      <c r="B132" s="257"/>
      <c r="C132" s="257"/>
      <c r="D132" s="257"/>
      <c r="E132" s="257"/>
      <c r="F132" s="287"/>
      <c r="G132" s="257"/>
      <c r="H132" s="257"/>
      <c r="I132" s="257"/>
      <c r="J132" s="257"/>
      <c r="K132" s="257"/>
      <c r="L132" s="257"/>
      <c r="M132" s="257"/>
      <c r="N132" s="257"/>
      <c r="O132" s="257"/>
      <c r="P132" s="257"/>
      <c r="Q132" s="258"/>
      <c r="R132" s="273"/>
      <c r="S132" s="273"/>
      <c r="T132" s="273"/>
      <c r="U132" s="274"/>
      <c r="V132" s="275"/>
      <c r="W132" s="276"/>
      <c r="X132" s="263"/>
      <c r="Y132" s="257"/>
      <c r="Z132" s="257"/>
      <c r="AA132" s="264"/>
      <c r="AB132" s="264"/>
      <c r="AC132" s="264"/>
      <c r="AD132" s="264"/>
      <c r="AE132" s="264"/>
      <c r="AF132" s="264"/>
      <c r="AG132" s="264"/>
    </row>
    <row r="133" spans="1:33">
      <c r="A133" s="257"/>
      <c r="B133" s="257"/>
      <c r="C133" s="257"/>
      <c r="D133" s="257"/>
      <c r="E133" s="257"/>
      <c r="F133" s="267"/>
      <c r="G133" s="257"/>
      <c r="H133" s="257"/>
      <c r="I133" s="257"/>
      <c r="J133" s="257"/>
      <c r="K133" s="257"/>
      <c r="L133" s="257"/>
      <c r="M133" s="257"/>
      <c r="N133" s="257"/>
      <c r="O133" s="257"/>
      <c r="P133" s="257"/>
      <c r="Q133" s="258"/>
      <c r="R133" s="273"/>
      <c r="S133" s="273"/>
      <c r="T133" s="273"/>
      <c r="U133" s="274"/>
      <c r="V133" s="275"/>
      <c r="W133" s="276"/>
      <c r="X133" s="263"/>
      <c r="Y133" s="257"/>
      <c r="Z133" s="257"/>
      <c r="AA133" s="264"/>
      <c r="AB133" s="264"/>
      <c r="AC133" s="264"/>
      <c r="AD133" s="264"/>
      <c r="AE133" s="264"/>
      <c r="AF133" s="264"/>
      <c r="AG133" s="264"/>
    </row>
    <row r="134" spans="1:33">
      <c r="A134" s="257"/>
      <c r="B134" s="257"/>
      <c r="C134" s="257"/>
      <c r="D134" s="257"/>
      <c r="E134" s="257"/>
      <c r="F134" s="287"/>
      <c r="G134" s="257"/>
      <c r="H134" s="257"/>
      <c r="I134" s="257"/>
      <c r="J134" s="257"/>
      <c r="K134" s="257"/>
      <c r="L134" s="257"/>
      <c r="M134" s="257"/>
      <c r="N134" s="257"/>
      <c r="O134" s="257"/>
      <c r="P134" s="257"/>
      <c r="Q134" s="258"/>
      <c r="R134" s="273"/>
      <c r="S134" s="273"/>
      <c r="T134" s="273"/>
      <c r="U134" s="274"/>
      <c r="V134" s="275"/>
      <c r="W134" s="276"/>
      <c r="X134" s="263"/>
      <c r="Y134" s="257"/>
      <c r="Z134" s="257"/>
      <c r="AA134" s="264"/>
      <c r="AB134" s="264"/>
      <c r="AC134" s="264"/>
      <c r="AD134" s="264"/>
      <c r="AE134" s="264"/>
      <c r="AF134" s="264"/>
      <c r="AG134" s="264"/>
    </row>
    <row r="135" spans="1:33">
      <c r="A135" s="257"/>
      <c r="B135" s="257"/>
      <c r="C135" s="257"/>
      <c r="D135" s="257"/>
      <c r="E135" s="257"/>
      <c r="F135" s="267"/>
      <c r="G135" s="257"/>
      <c r="H135" s="257"/>
      <c r="I135" s="257"/>
      <c r="J135" s="257"/>
      <c r="K135" s="257"/>
      <c r="L135" s="257"/>
      <c r="M135" s="257"/>
      <c r="N135" s="257"/>
      <c r="O135" s="257"/>
      <c r="P135" s="257"/>
      <c r="Q135" s="258"/>
      <c r="R135" s="273"/>
      <c r="S135" s="273"/>
      <c r="T135" s="273"/>
      <c r="U135" s="274"/>
      <c r="V135" s="275"/>
      <c r="W135" s="276"/>
      <c r="X135" s="263"/>
      <c r="Y135" s="257"/>
      <c r="Z135" s="257"/>
      <c r="AA135" s="264"/>
      <c r="AB135" s="264"/>
      <c r="AC135" s="264"/>
      <c r="AD135" s="264"/>
      <c r="AE135" s="264"/>
      <c r="AF135" s="264"/>
      <c r="AG135" s="264"/>
    </row>
    <row r="136" spans="1:33">
      <c r="A136" s="257"/>
      <c r="B136" s="257"/>
      <c r="C136" s="257"/>
      <c r="D136" s="257"/>
      <c r="E136" s="257"/>
      <c r="F136" s="287"/>
      <c r="G136" s="257"/>
      <c r="H136" s="257"/>
      <c r="I136" s="257"/>
      <c r="J136" s="257"/>
      <c r="K136" s="257"/>
      <c r="L136" s="257"/>
      <c r="M136" s="257"/>
      <c r="N136" s="257"/>
      <c r="O136" s="257"/>
      <c r="P136" s="257"/>
      <c r="Q136" s="258"/>
      <c r="R136" s="273"/>
      <c r="S136" s="273"/>
      <c r="T136" s="273"/>
      <c r="U136" s="274"/>
      <c r="V136" s="275"/>
      <c r="W136" s="276"/>
      <c r="X136" s="263"/>
      <c r="Y136" s="257"/>
      <c r="Z136" s="257"/>
      <c r="AA136" s="264"/>
      <c r="AB136" s="264"/>
      <c r="AC136" s="264"/>
      <c r="AD136" s="264"/>
      <c r="AE136" s="264"/>
      <c r="AF136" s="264"/>
      <c r="AG136" s="264"/>
    </row>
    <row r="137" spans="1:33">
      <c r="A137" s="257"/>
      <c r="B137" s="257"/>
      <c r="C137" s="257"/>
      <c r="D137" s="257"/>
      <c r="E137" s="257"/>
      <c r="F137" s="267"/>
      <c r="G137" s="257"/>
      <c r="H137" s="257"/>
      <c r="I137" s="257"/>
      <c r="J137" s="257"/>
      <c r="K137" s="257"/>
      <c r="L137" s="257"/>
      <c r="M137" s="257"/>
      <c r="N137" s="257"/>
      <c r="O137" s="257"/>
      <c r="P137" s="257"/>
      <c r="Q137" s="258"/>
      <c r="R137" s="273"/>
      <c r="S137" s="273"/>
      <c r="T137" s="273"/>
      <c r="U137" s="274"/>
      <c r="V137" s="275"/>
      <c r="W137" s="276"/>
      <c r="X137" s="263"/>
      <c r="Y137" s="257"/>
      <c r="Z137" s="257"/>
      <c r="AA137" s="264"/>
      <c r="AB137" s="264"/>
      <c r="AC137" s="264"/>
      <c r="AD137" s="264"/>
      <c r="AE137" s="264"/>
      <c r="AF137" s="264"/>
      <c r="AG137" s="264"/>
    </row>
    <row r="138" spans="1:33">
      <c r="A138" s="257"/>
      <c r="B138" s="257"/>
      <c r="C138" s="257"/>
      <c r="D138" s="257"/>
      <c r="E138" s="257"/>
      <c r="F138" s="287"/>
      <c r="G138" s="257"/>
      <c r="H138" s="257"/>
      <c r="I138" s="257"/>
      <c r="J138" s="257"/>
      <c r="K138" s="257"/>
      <c r="L138" s="257"/>
      <c r="M138" s="257"/>
      <c r="N138" s="257"/>
      <c r="O138" s="257"/>
      <c r="P138" s="257"/>
      <c r="Q138" s="258"/>
      <c r="R138" s="273"/>
      <c r="S138" s="273"/>
      <c r="T138" s="273"/>
      <c r="U138" s="274"/>
      <c r="V138" s="275"/>
      <c r="W138" s="276"/>
      <c r="X138" s="263"/>
      <c r="Y138" s="257"/>
      <c r="Z138" s="257"/>
      <c r="AA138" s="264"/>
      <c r="AB138" s="264"/>
      <c r="AC138" s="264"/>
      <c r="AD138" s="264"/>
      <c r="AE138" s="264"/>
      <c r="AF138" s="264"/>
      <c r="AG138" s="264"/>
    </row>
    <row r="139" spans="1:33">
      <c r="A139" s="257"/>
      <c r="B139" s="257"/>
      <c r="C139" s="257"/>
      <c r="D139" s="257"/>
      <c r="E139" s="257"/>
      <c r="F139" s="267"/>
      <c r="G139" s="257"/>
      <c r="H139" s="257"/>
      <c r="I139" s="257"/>
      <c r="J139" s="257"/>
      <c r="K139" s="257"/>
      <c r="L139" s="257"/>
      <c r="M139" s="257"/>
      <c r="N139" s="257"/>
      <c r="O139" s="257"/>
      <c r="P139" s="257"/>
      <c r="Q139" s="258"/>
      <c r="R139" s="273"/>
      <c r="S139" s="273"/>
      <c r="T139" s="273"/>
      <c r="U139" s="274"/>
      <c r="V139" s="275"/>
      <c r="W139" s="276"/>
      <c r="X139" s="263"/>
      <c r="Y139" s="257"/>
      <c r="Z139" s="257"/>
      <c r="AA139" s="264"/>
      <c r="AB139" s="264"/>
      <c r="AC139" s="264"/>
      <c r="AD139" s="264"/>
      <c r="AE139" s="264"/>
      <c r="AF139" s="264"/>
      <c r="AG139" s="264"/>
    </row>
    <row r="140" spans="1:33">
      <c r="A140" s="257"/>
      <c r="B140" s="257"/>
      <c r="C140" s="257"/>
      <c r="D140" s="257"/>
      <c r="E140" s="257"/>
      <c r="F140" s="287"/>
      <c r="G140" s="257"/>
      <c r="H140" s="257"/>
      <c r="I140" s="257"/>
      <c r="J140" s="257"/>
      <c r="K140" s="257"/>
      <c r="L140" s="257"/>
      <c r="M140" s="257"/>
      <c r="N140" s="257"/>
      <c r="O140" s="257"/>
      <c r="P140" s="257"/>
      <c r="Q140" s="258"/>
      <c r="R140" s="273"/>
      <c r="S140" s="273"/>
      <c r="T140" s="273"/>
      <c r="U140" s="274"/>
      <c r="V140" s="275"/>
      <c r="W140" s="276"/>
      <c r="X140" s="263"/>
      <c r="Y140" s="257"/>
      <c r="Z140" s="257"/>
      <c r="AA140" s="264"/>
      <c r="AB140" s="264"/>
      <c r="AC140" s="264"/>
      <c r="AD140" s="264"/>
      <c r="AE140" s="264"/>
      <c r="AF140" s="264"/>
      <c r="AG140" s="264"/>
    </row>
    <row r="141" spans="1:33">
      <c r="A141" s="257"/>
      <c r="B141" s="257"/>
      <c r="C141" s="257"/>
      <c r="D141" s="257"/>
      <c r="E141" s="257"/>
      <c r="F141" s="267"/>
      <c r="G141" s="257"/>
      <c r="H141" s="257"/>
      <c r="I141" s="257"/>
      <c r="J141" s="257"/>
      <c r="K141" s="257"/>
      <c r="L141" s="257"/>
      <c r="M141" s="257"/>
      <c r="N141" s="257"/>
      <c r="O141" s="257"/>
      <c r="P141" s="257"/>
      <c r="Q141" s="258"/>
      <c r="R141" s="273"/>
      <c r="S141" s="273"/>
      <c r="T141" s="273"/>
      <c r="U141" s="274"/>
      <c r="V141" s="275"/>
      <c r="W141" s="276"/>
      <c r="X141" s="263"/>
      <c r="Y141" s="257"/>
      <c r="Z141" s="257"/>
      <c r="AA141" s="264"/>
      <c r="AB141" s="264"/>
      <c r="AC141" s="264"/>
      <c r="AD141" s="264"/>
      <c r="AE141" s="264"/>
      <c r="AF141" s="264"/>
      <c r="AG141" s="264"/>
    </row>
    <row r="142" spans="1:33">
      <c r="A142" s="257"/>
      <c r="B142" s="257"/>
      <c r="C142" s="257"/>
      <c r="D142" s="257"/>
      <c r="E142" s="257"/>
      <c r="F142" s="287"/>
      <c r="G142" s="257"/>
      <c r="H142" s="257"/>
      <c r="I142" s="257"/>
      <c r="J142" s="257"/>
      <c r="K142" s="257"/>
      <c r="L142" s="257"/>
      <c r="M142" s="257"/>
      <c r="N142" s="257"/>
      <c r="O142" s="257"/>
      <c r="P142" s="257"/>
      <c r="Q142" s="258"/>
      <c r="R142" s="273"/>
      <c r="S142" s="273"/>
      <c r="T142" s="273"/>
      <c r="U142" s="274"/>
      <c r="V142" s="275"/>
      <c r="W142" s="276"/>
      <c r="X142" s="263"/>
      <c r="Y142" s="257"/>
      <c r="Z142" s="257"/>
      <c r="AA142" s="264"/>
      <c r="AB142" s="264"/>
      <c r="AC142" s="264"/>
      <c r="AD142" s="264"/>
      <c r="AE142" s="264"/>
      <c r="AF142" s="264"/>
      <c r="AG142" s="264"/>
    </row>
    <row r="143" spans="1:33">
      <c r="A143" s="257"/>
      <c r="B143" s="257"/>
      <c r="C143" s="257"/>
      <c r="D143" s="257"/>
      <c r="E143" s="257"/>
      <c r="F143" s="267"/>
      <c r="G143" s="257"/>
      <c r="H143" s="257"/>
      <c r="I143" s="257"/>
      <c r="J143" s="257"/>
      <c r="K143" s="257"/>
      <c r="L143" s="257"/>
      <c r="M143" s="257"/>
      <c r="N143" s="257"/>
      <c r="O143" s="257"/>
      <c r="P143" s="257"/>
      <c r="Q143" s="258"/>
      <c r="R143" s="273"/>
      <c r="S143" s="273"/>
      <c r="T143" s="273"/>
      <c r="U143" s="274"/>
      <c r="V143" s="275"/>
      <c r="W143" s="276"/>
      <c r="X143" s="263"/>
      <c r="Y143" s="257"/>
      <c r="Z143" s="257"/>
      <c r="AA143" s="264"/>
      <c r="AB143" s="264"/>
      <c r="AC143" s="264"/>
      <c r="AD143" s="264"/>
      <c r="AE143" s="264"/>
      <c r="AF143" s="264"/>
      <c r="AG143" s="264"/>
    </row>
    <row r="144" spans="1:33">
      <c r="A144" s="257"/>
      <c r="B144" s="257"/>
      <c r="C144" s="257"/>
      <c r="D144" s="257"/>
      <c r="E144" s="257"/>
      <c r="F144" s="287"/>
      <c r="G144" s="257"/>
      <c r="H144" s="257"/>
      <c r="I144" s="257"/>
      <c r="J144" s="257"/>
      <c r="K144" s="257"/>
      <c r="L144" s="257"/>
      <c r="M144" s="257"/>
      <c r="N144" s="257"/>
      <c r="O144" s="257"/>
      <c r="P144" s="257"/>
      <c r="Q144" s="258"/>
      <c r="R144" s="273"/>
      <c r="S144" s="273"/>
      <c r="T144" s="273"/>
      <c r="U144" s="274"/>
      <c r="V144" s="275"/>
      <c r="W144" s="276"/>
      <c r="X144" s="263"/>
      <c r="Y144" s="257"/>
      <c r="Z144" s="257"/>
      <c r="AA144" s="264"/>
      <c r="AB144" s="264"/>
      <c r="AC144" s="264"/>
      <c r="AD144" s="264"/>
      <c r="AE144" s="264"/>
      <c r="AF144" s="264"/>
      <c r="AG144" s="264"/>
    </row>
    <row r="145" spans="1:33">
      <c r="A145" s="257"/>
      <c r="B145" s="257"/>
      <c r="C145" s="257"/>
      <c r="D145" s="257"/>
      <c r="E145" s="257"/>
      <c r="F145" s="267"/>
      <c r="G145" s="257"/>
      <c r="H145" s="257"/>
      <c r="I145" s="257"/>
      <c r="J145" s="257"/>
      <c r="K145" s="257"/>
      <c r="L145" s="257"/>
      <c r="M145" s="257"/>
      <c r="N145" s="257"/>
      <c r="O145" s="257"/>
      <c r="P145" s="257"/>
      <c r="Q145" s="258"/>
      <c r="R145" s="273"/>
      <c r="S145" s="273"/>
      <c r="T145" s="273"/>
      <c r="U145" s="274"/>
      <c r="V145" s="275"/>
      <c r="W145" s="276"/>
      <c r="X145" s="263"/>
      <c r="Y145" s="257"/>
      <c r="Z145" s="257"/>
      <c r="AA145" s="264"/>
      <c r="AB145" s="264"/>
      <c r="AC145" s="264"/>
      <c r="AD145" s="264"/>
      <c r="AE145" s="264"/>
      <c r="AF145" s="264"/>
      <c r="AG145" s="264"/>
    </row>
    <row r="146" spans="1:33">
      <c r="A146" s="257"/>
      <c r="B146" s="257"/>
      <c r="C146" s="257"/>
      <c r="D146" s="257"/>
      <c r="E146" s="257"/>
      <c r="F146" s="287"/>
      <c r="G146" s="257"/>
      <c r="H146" s="257"/>
      <c r="I146" s="257"/>
      <c r="J146" s="257"/>
      <c r="K146" s="257"/>
      <c r="L146" s="257"/>
      <c r="M146" s="257"/>
      <c r="N146" s="257"/>
      <c r="O146" s="257"/>
      <c r="P146" s="257"/>
      <c r="Q146" s="258"/>
      <c r="R146" s="273"/>
      <c r="S146" s="273"/>
      <c r="T146" s="273"/>
      <c r="U146" s="274"/>
      <c r="V146" s="275"/>
      <c r="W146" s="276"/>
      <c r="X146" s="263"/>
      <c r="Y146" s="257"/>
      <c r="Z146" s="257"/>
      <c r="AA146" s="264"/>
      <c r="AB146" s="264"/>
      <c r="AC146" s="264"/>
      <c r="AD146" s="264"/>
      <c r="AE146" s="264"/>
      <c r="AF146" s="264"/>
      <c r="AG146" s="264"/>
    </row>
    <row r="147" spans="1:33">
      <c r="A147" s="257"/>
      <c r="B147" s="257"/>
      <c r="C147" s="257"/>
      <c r="D147" s="257"/>
      <c r="E147" s="257"/>
      <c r="F147" s="267"/>
      <c r="G147" s="257"/>
      <c r="H147" s="257"/>
      <c r="I147" s="257"/>
      <c r="J147" s="257"/>
      <c r="K147" s="257"/>
      <c r="L147" s="257"/>
      <c r="M147" s="257"/>
      <c r="N147" s="257"/>
      <c r="O147" s="257"/>
      <c r="P147" s="257"/>
      <c r="Q147" s="258"/>
      <c r="R147" s="273"/>
      <c r="S147" s="273"/>
      <c r="T147" s="273"/>
      <c r="U147" s="274"/>
      <c r="V147" s="275"/>
      <c r="W147" s="276"/>
      <c r="X147" s="263"/>
      <c r="Y147" s="257"/>
      <c r="Z147" s="257"/>
      <c r="AA147" s="264"/>
      <c r="AB147" s="264"/>
      <c r="AC147" s="264"/>
      <c r="AD147" s="264"/>
      <c r="AE147" s="264"/>
      <c r="AF147" s="264"/>
      <c r="AG147" s="264"/>
    </row>
    <row r="148" spans="1:33">
      <c r="A148" s="257"/>
      <c r="B148" s="257"/>
      <c r="C148" s="257"/>
      <c r="D148" s="257"/>
      <c r="E148" s="257"/>
      <c r="F148" s="287"/>
      <c r="G148" s="257"/>
      <c r="H148" s="257"/>
      <c r="I148" s="257"/>
      <c r="J148" s="257"/>
      <c r="K148" s="257"/>
      <c r="L148" s="257"/>
      <c r="M148" s="257"/>
      <c r="N148" s="257"/>
      <c r="O148" s="257"/>
      <c r="P148" s="257"/>
      <c r="Q148" s="258"/>
      <c r="R148" s="273"/>
      <c r="S148" s="273"/>
      <c r="T148" s="273"/>
      <c r="U148" s="274"/>
      <c r="V148" s="275"/>
      <c r="W148" s="276"/>
      <c r="X148" s="263"/>
      <c r="Y148" s="257"/>
      <c r="Z148" s="257"/>
      <c r="AA148" s="264"/>
      <c r="AB148" s="264"/>
      <c r="AC148" s="264"/>
      <c r="AD148" s="264"/>
      <c r="AE148" s="264"/>
      <c r="AF148" s="264"/>
      <c r="AG148" s="264"/>
    </row>
  </sheetData>
  <hyperlinks>
    <hyperlink ref="F3" r:id="rId1" xr:uid="{00000000-0004-0000-0900-000000000000}"/>
    <hyperlink ref="F16" r:id="rId2" xr:uid="{00000000-0004-0000-0900-000001000000}"/>
    <hyperlink ref="F22" r:id="rId3" xr:uid="{00000000-0004-0000-0900-000002000000}"/>
  </hyperlinks>
  <pageMargins left="0.7" right="0.7" top="0.75" bottom="0.75" header="0.3" footer="0.3"/>
  <drawing r:id="rId4"/>
  <legacyDrawing r:id="rId5"/>
  <extLst>
    <ext xmlns:x14="http://schemas.microsoft.com/office/spreadsheetml/2009/9/main" uri="{CCE6A557-97BC-4b89-ADB6-D9C93CAAB3DF}">
      <x14:dataValidations xmlns:xm="http://schemas.microsoft.com/office/excel/2006/main" count="5">
        <x14:dataValidation type="list" allowBlank="1" xr:uid="{00000000-0002-0000-0900-000000000000}">
          <x14:formula1>
            <xm:f>Fields!$F$2:$F$4</xm:f>
          </x14:formula1>
          <xm:sqref>C3</xm:sqref>
        </x14:dataValidation>
        <x14:dataValidation type="list" allowBlank="1" xr:uid="{00000000-0002-0000-0900-000001000000}">
          <x14:formula1>
            <xm:f>Fields!$D$2:$D$15</xm:f>
          </x14:formula1>
          <xm:sqref>B16 B22:B23</xm:sqref>
        </x14:dataValidation>
        <x14:dataValidation type="list" allowBlank="1" xr:uid="{00000000-0002-0000-0900-000002000000}">
          <x14:formula1>
            <xm:f>Fields!$F$2:$F$12</xm:f>
          </x14:formula1>
          <xm:sqref>C16 C22:C23</xm:sqref>
        </x14:dataValidation>
        <x14:dataValidation type="list" allowBlank="1" xr:uid="{00000000-0002-0000-0900-000003000000}">
          <x14:formula1>
            <xm:f>Fields!$A$2:$A$8</xm:f>
          </x14:formula1>
          <xm:sqref>D3 D16 D22:D23</xm:sqref>
        </x14:dataValidation>
        <x14:dataValidation type="list" allowBlank="1" xr:uid="{00000000-0002-0000-0900-000004000000}">
          <x14:formula1>
            <xm:f>Fields!$D$2:$D$6</xm:f>
          </x14:formula1>
          <xm:sqref>B3</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K10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2" t="s">
        <v>1</v>
      </c>
      <c r="B1" s="7" t="str">
        <f>HYPERLINK("#rangeid=2086300674","Content Owner")</f>
        <v>Content Owner</v>
      </c>
      <c r="C1" s="11" t="str">
        <f>HYPERLINK("#rangeid=632369931","Video Owner")</f>
        <v>Video Owner</v>
      </c>
      <c r="D1" s="13" t="s">
        <v>6</v>
      </c>
      <c r="E1" s="14" t="s">
        <v>12</v>
      </c>
      <c r="F1" s="16" t="s">
        <v>16</v>
      </c>
      <c r="G1" s="2" t="s">
        <v>18</v>
      </c>
      <c r="H1" s="26" t="str">
        <f>HYPERLINK("#rangeid=906849400","Description")</f>
        <v>Description</v>
      </c>
      <c r="I1" s="21" t="s">
        <v>22</v>
      </c>
      <c r="J1" s="2" t="s">
        <v>24</v>
      </c>
      <c r="K1" s="23" t="s">
        <v>25</v>
      </c>
      <c r="L1" s="2" t="s">
        <v>27</v>
      </c>
      <c r="M1" s="2" t="s">
        <v>28</v>
      </c>
      <c r="N1" s="2"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c r="AC1" s="37"/>
      <c r="AD1" s="37"/>
      <c r="AE1" s="37"/>
      <c r="AF1" s="37"/>
      <c r="AG1" s="37"/>
      <c r="AH1" s="37"/>
      <c r="AI1" s="37"/>
      <c r="AJ1" s="37"/>
      <c r="AK1" s="37"/>
    </row>
    <row r="2" spans="1:37">
      <c r="A2" s="38">
        <v>742</v>
      </c>
      <c r="B2" s="39" t="s">
        <v>2729</v>
      </c>
      <c r="C2" s="40"/>
      <c r="D2" s="42" t="s">
        <v>139</v>
      </c>
      <c r="E2" s="38" t="s">
        <v>2690</v>
      </c>
      <c r="F2" s="43" t="s">
        <v>2691</v>
      </c>
      <c r="G2" s="44"/>
      <c r="H2" s="45"/>
      <c r="I2" s="38"/>
      <c r="J2" s="38">
        <f>18*1000</f>
        <v>18000</v>
      </c>
      <c r="K2" s="46">
        <v>4.4467592592592593E-2</v>
      </c>
      <c r="L2" s="47" t="s">
        <v>770</v>
      </c>
      <c r="M2" s="48"/>
      <c r="N2" s="48"/>
      <c r="O2" s="48">
        <f>N2-M2</f>
        <v>0</v>
      </c>
      <c r="P2" s="65">
        <v>43037</v>
      </c>
      <c r="Q2" s="14" t="str">
        <f ca="1">HYPERLINK(IF(INT(A2)-A2=0,"",REPLACE(INDIRECT("MasterList!e"&amp;INT(A2)+1),25,8,"embed/")&amp;"?start="&amp;HOUR(M2)*3600+MINUTE(M2)*60+SECOND(M2)&amp;"&amp;end="&amp;HOUR(N2)*3600+MINUTE(N2)*60+SECOND(N2)&amp;"&amp;autoplay=1"))</f>
        <v/>
      </c>
      <c r="R2" s="51"/>
      <c r="S2" s="51"/>
      <c r="T2" s="51"/>
      <c r="U2" s="40"/>
      <c r="V2" s="54"/>
      <c r="W2" s="55"/>
      <c r="X2" s="56"/>
      <c r="Y2" s="88"/>
      <c r="Z2" s="88"/>
      <c r="AA2" s="88"/>
      <c r="AB2" s="88"/>
    </row>
    <row r="3" spans="1:37">
      <c r="A3" s="42">
        <f t="shared" ref="A3:A11" si="0">A2+0.01</f>
        <v>742.01</v>
      </c>
      <c r="B3" s="39" t="s">
        <v>2729</v>
      </c>
      <c r="C3" s="40"/>
      <c r="D3" s="42" t="s">
        <v>139</v>
      </c>
      <c r="E3" s="38"/>
      <c r="F3" s="43"/>
      <c r="G3" s="44"/>
      <c r="H3" s="45"/>
      <c r="I3" s="38"/>
      <c r="J3" s="38"/>
      <c r="K3" s="46"/>
      <c r="L3" s="47"/>
      <c r="M3" s="48"/>
      <c r="N3" s="48"/>
      <c r="O3" s="38"/>
      <c r="P3" s="38"/>
      <c r="Q3" s="14"/>
      <c r="R3" s="51"/>
      <c r="S3" s="51"/>
      <c r="T3" s="51"/>
      <c r="U3" s="40"/>
      <c r="V3" s="54"/>
      <c r="W3" s="55"/>
      <c r="X3" s="56"/>
      <c r="Y3" s="88"/>
      <c r="Z3" s="88"/>
      <c r="AA3" s="88"/>
      <c r="AB3" s="88"/>
    </row>
    <row r="4" spans="1:37">
      <c r="A4" s="42">
        <f t="shared" si="0"/>
        <v>742.02</v>
      </c>
      <c r="B4" s="39" t="s">
        <v>2729</v>
      </c>
      <c r="C4" s="40"/>
      <c r="D4" s="42" t="s">
        <v>139</v>
      </c>
      <c r="E4" s="38"/>
      <c r="F4" s="43"/>
      <c r="G4" s="44"/>
      <c r="H4" s="45"/>
      <c r="I4" s="38"/>
      <c r="J4" s="38"/>
      <c r="K4" s="46"/>
      <c r="L4" s="47"/>
      <c r="M4" s="48"/>
      <c r="N4" s="48"/>
      <c r="O4" s="38"/>
      <c r="P4" s="38"/>
      <c r="Q4" s="14"/>
      <c r="R4" s="51"/>
      <c r="S4" s="51"/>
      <c r="T4" s="51"/>
      <c r="U4" s="40"/>
      <c r="V4" s="54"/>
      <c r="W4" s="55"/>
      <c r="X4" s="56"/>
      <c r="Y4" s="88"/>
      <c r="Z4" s="88"/>
      <c r="AA4" s="88"/>
      <c r="AB4" s="88"/>
    </row>
    <row r="5" spans="1:37">
      <c r="A5" s="42">
        <f t="shared" si="0"/>
        <v>742.03</v>
      </c>
      <c r="B5" s="39" t="s">
        <v>2729</v>
      </c>
      <c r="C5" s="40"/>
      <c r="D5" s="42" t="s">
        <v>139</v>
      </c>
      <c r="E5" s="38"/>
      <c r="F5" s="43"/>
      <c r="G5" s="44"/>
      <c r="H5" s="45"/>
      <c r="I5" s="38"/>
      <c r="J5" s="38"/>
      <c r="K5" s="46"/>
      <c r="L5" s="47"/>
      <c r="M5" s="48"/>
      <c r="N5" s="48"/>
      <c r="O5" s="38"/>
      <c r="P5" s="38"/>
      <c r="Q5" s="14"/>
      <c r="R5" s="51"/>
      <c r="S5" s="51"/>
      <c r="T5" s="51"/>
      <c r="U5" s="40"/>
      <c r="V5" s="54"/>
      <c r="W5" s="55"/>
      <c r="X5" s="56"/>
      <c r="Y5" s="88"/>
      <c r="Z5" s="88"/>
      <c r="AA5" s="88"/>
      <c r="AB5" s="88"/>
    </row>
    <row r="6" spans="1:37">
      <c r="A6" s="42">
        <f t="shared" si="0"/>
        <v>742.04</v>
      </c>
      <c r="B6" s="39" t="s">
        <v>2729</v>
      </c>
      <c r="C6" s="40"/>
      <c r="D6" s="42" t="s">
        <v>139</v>
      </c>
      <c r="E6" s="38"/>
      <c r="F6" s="43"/>
      <c r="G6" s="44"/>
      <c r="H6" s="45"/>
      <c r="I6" s="38"/>
      <c r="J6" s="38"/>
      <c r="K6" s="46"/>
      <c r="L6" s="47"/>
      <c r="M6" s="48"/>
      <c r="N6" s="48"/>
      <c r="O6" s="38"/>
      <c r="P6" s="38"/>
      <c r="Q6" s="14"/>
      <c r="R6" s="51"/>
      <c r="S6" s="51"/>
      <c r="T6" s="51"/>
      <c r="U6" s="40"/>
      <c r="V6" s="54"/>
      <c r="W6" s="55"/>
      <c r="X6" s="56"/>
      <c r="Y6" s="88"/>
      <c r="Z6" s="88"/>
      <c r="AA6" s="88"/>
      <c r="AB6" s="88"/>
    </row>
    <row r="7" spans="1:37">
      <c r="A7" s="42">
        <f t="shared" si="0"/>
        <v>742.05</v>
      </c>
      <c r="B7" s="39" t="s">
        <v>2729</v>
      </c>
      <c r="C7" s="40"/>
      <c r="D7" s="42" t="s">
        <v>139</v>
      </c>
      <c r="E7" s="38"/>
      <c r="F7" s="43"/>
      <c r="G7" s="44"/>
      <c r="H7" s="45"/>
      <c r="I7" s="38"/>
      <c r="J7" s="38"/>
      <c r="K7" s="46"/>
      <c r="L7" s="47"/>
      <c r="M7" s="48"/>
      <c r="N7" s="48"/>
      <c r="O7" s="38"/>
      <c r="P7" s="38"/>
      <c r="Q7" s="14"/>
      <c r="R7" s="51"/>
      <c r="S7" s="51"/>
      <c r="T7" s="51"/>
      <c r="U7" s="40"/>
      <c r="V7" s="54"/>
      <c r="W7" s="55"/>
      <c r="X7" s="56"/>
      <c r="Y7" s="88"/>
      <c r="Z7" s="88"/>
      <c r="AA7" s="88"/>
      <c r="AB7" s="88"/>
    </row>
    <row r="8" spans="1:37">
      <c r="A8" s="42">
        <f t="shared" si="0"/>
        <v>742.06</v>
      </c>
      <c r="B8" s="39" t="s">
        <v>2729</v>
      </c>
      <c r="C8" s="40"/>
      <c r="D8" s="42" t="s">
        <v>139</v>
      </c>
      <c r="E8" s="38"/>
      <c r="F8" s="43"/>
      <c r="G8" s="44"/>
      <c r="H8" s="45"/>
      <c r="I8" s="38"/>
      <c r="J8" s="38"/>
      <c r="K8" s="46"/>
      <c r="L8" s="47"/>
      <c r="M8" s="48"/>
      <c r="N8" s="48"/>
      <c r="O8" s="38"/>
      <c r="P8" s="38"/>
      <c r="Q8" s="14"/>
      <c r="R8" s="51"/>
      <c r="S8" s="51"/>
      <c r="T8" s="51"/>
      <c r="U8" s="40"/>
      <c r="V8" s="54"/>
      <c r="W8" s="55"/>
      <c r="X8" s="56"/>
      <c r="Y8" s="88"/>
      <c r="Z8" s="88"/>
      <c r="AA8" s="88"/>
      <c r="AB8" s="88"/>
    </row>
    <row r="9" spans="1:37">
      <c r="A9" s="42">
        <f t="shared" si="0"/>
        <v>742.06999999999994</v>
      </c>
      <c r="B9" s="39" t="s">
        <v>2729</v>
      </c>
      <c r="C9" s="40"/>
      <c r="D9" s="42" t="s">
        <v>139</v>
      </c>
      <c r="E9" s="38"/>
      <c r="F9" s="43"/>
      <c r="G9" s="44"/>
      <c r="H9" s="45"/>
      <c r="I9" s="38"/>
      <c r="J9" s="38"/>
      <c r="K9" s="46"/>
      <c r="L9" s="47"/>
      <c r="M9" s="48"/>
      <c r="N9" s="48"/>
      <c r="O9" s="38"/>
      <c r="P9" s="38"/>
      <c r="Q9" s="14"/>
      <c r="R9" s="51"/>
      <c r="S9" s="51"/>
      <c r="T9" s="51"/>
      <c r="U9" s="40"/>
      <c r="V9" s="54"/>
      <c r="W9" s="55"/>
      <c r="X9" s="56"/>
      <c r="Y9" s="88"/>
      <c r="Z9" s="88"/>
      <c r="AA9" s="88"/>
      <c r="AB9" s="88"/>
    </row>
    <row r="10" spans="1:37">
      <c r="A10" s="42">
        <f t="shared" si="0"/>
        <v>742.07999999999993</v>
      </c>
      <c r="B10" s="39" t="s">
        <v>2729</v>
      </c>
      <c r="C10" s="40"/>
      <c r="D10" s="42" t="s">
        <v>139</v>
      </c>
      <c r="E10" s="38"/>
      <c r="F10" s="43"/>
      <c r="G10" s="44"/>
      <c r="H10" s="45"/>
      <c r="I10" s="38"/>
      <c r="J10" s="38"/>
      <c r="K10" s="46"/>
      <c r="L10" s="47"/>
      <c r="M10" s="48"/>
      <c r="N10" s="48"/>
      <c r="O10" s="38"/>
      <c r="P10" s="38"/>
      <c r="Q10" s="14"/>
      <c r="R10" s="51"/>
      <c r="S10" s="51"/>
      <c r="T10" s="51"/>
      <c r="U10" s="40"/>
      <c r="V10" s="54"/>
      <c r="W10" s="55"/>
      <c r="X10" s="56"/>
      <c r="Y10" s="88"/>
      <c r="Z10" s="88"/>
      <c r="AA10" s="88"/>
      <c r="AB10" s="88"/>
    </row>
    <row r="11" spans="1:37">
      <c r="A11" s="42">
        <f t="shared" si="0"/>
        <v>742.08999999999992</v>
      </c>
      <c r="B11" s="39" t="s">
        <v>2729</v>
      </c>
      <c r="C11" s="40"/>
      <c r="D11" s="42" t="s">
        <v>139</v>
      </c>
      <c r="E11" s="38"/>
      <c r="F11" s="43"/>
      <c r="G11" s="44"/>
      <c r="H11" s="45"/>
      <c r="I11" s="38"/>
      <c r="J11" s="38"/>
      <c r="K11" s="46"/>
      <c r="L11" s="47"/>
      <c r="M11" s="48"/>
      <c r="N11" s="48"/>
      <c r="O11" s="38"/>
      <c r="P11" s="38"/>
      <c r="Q11" s="14"/>
      <c r="R11" s="51"/>
      <c r="S11" s="51"/>
      <c r="T11" s="51"/>
      <c r="U11" s="40"/>
      <c r="V11" s="54"/>
      <c r="W11" s="55"/>
      <c r="X11" s="56"/>
      <c r="Y11" s="88"/>
      <c r="Z11" s="88"/>
      <c r="AA11" s="88"/>
      <c r="AB11" s="88"/>
    </row>
    <row r="12" spans="1:37">
      <c r="A12" s="85">
        <v>742.1</v>
      </c>
      <c r="B12" s="39" t="s">
        <v>2729</v>
      </c>
      <c r="C12" s="40"/>
      <c r="D12" s="42" t="s">
        <v>139</v>
      </c>
      <c r="E12" s="38"/>
      <c r="F12" s="43"/>
      <c r="G12" s="44"/>
      <c r="H12" s="45"/>
      <c r="I12" s="38"/>
      <c r="J12" s="38"/>
      <c r="K12" s="46"/>
      <c r="L12" s="47"/>
      <c r="M12" s="48"/>
      <c r="N12" s="48"/>
      <c r="O12" s="38"/>
      <c r="P12" s="38"/>
      <c r="Q12" s="14"/>
      <c r="R12" s="51"/>
      <c r="S12" s="51"/>
      <c r="T12" s="51"/>
      <c r="U12" s="40"/>
      <c r="V12" s="54"/>
      <c r="W12" s="55"/>
      <c r="X12" s="56"/>
      <c r="Y12" s="88"/>
      <c r="Z12" s="88"/>
      <c r="AA12" s="88"/>
      <c r="AB12" s="88"/>
    </row>
    <row r="13" spans="1:37">
      <c r="A13" s="38">
        <v>749</v>
      </c>
      <c r="B13" s="39" t="s">
        <v>2729</v>
      </c>
      <c r="C13" s="40"/>
      <c r="D13" s="42" t="s">
        <v>139</v>
      </c>
      <c r="E13" s="38" t="s">
        <v>2739</v>
      </c>
      <c r="F13" s="43" t="s">
        <v>2740</v>
      </c>
      <c r="G13" s="44"/>
      <c r="H13" s="45"/>
      <c r="I13" s="38"/>
      <c r="J13" s="38">
        <f>27*1000</f>
        <v>27000</v>
      </c>
      <c r="K13" s="46">
        <v>3.3379629629629634E-2</v>
      </c>
      <c r="L13" s="47" t="s">
        <v>1525</v>
      </c>
      <c r="M13" s="48"/>
      <c r="N13" s="48"/>
      <c r="O13" s="48">
        <f>N13-M13</f>
        <v>0</v>
      </c>
      <c r="P13" s="65">
        <v>43037</v>
      </c>
      <c r="Q13" s="14" t="str">
        <f ca="1">HYPERLINK(IF(INT(A13)-A13=0,"",REPLACE(INDIRECT("MasterList!e"&amp;INT(A13)+1),25,8,"embed/")&amp;"?start="&amp;HOUR(M13)*3600+MINUTE(M13)*60+SECOND(M13)&amp;"&amp;end="&amp;HOUR(N13)*3600+MINUTE(N13)*60+SECOND(N13)&amp;"&amp;autoplay=1"))</f>
        <v/>
      </c>
      <c r="R13" s="51"/>
      <c r="S13" s="51"/>
      <c r="T13" s="51"/>
      <c r="U13" s="40"/>
      <c r="V13" s="54"/>
      <c r="W13" s="55"/>
      <c r="X13" s="56"/>
      <c r="Y13" s="88"/>
      <c r="Z13" s="88"/>
      <c r="AA13" s="88"/>
      <c r="AB13" s="88"/>
    </row>
    <row r="14" spans="1:37">
      <c r="A14" s="42">
        <f t="shared" ref="A14:A22" si="1">A13+0.01</f>
        <v>749.01</v>
      </c>
      <c r="B14" s="39" t="s">
        <v>2729</v>
      </c>
      <c r="C14" s="40"/>
      <c r="D14" s="42" t="s">
        <v>139</v>
      </c>
      <c r="E14" s="38"/>
      <c r="F14" s="117"/>
      <c r="G14" s="117"/>
      <c r="H14" s="117"/>
      <c r="I14" s="117"/>
      <c r="J14" s="117"/>
      <c r="K14" s="117"/>
      <c r="L14" s="117"/>
      <c r="M14" s="117"/>
      <c r="N14" s="117"/>
      <c r="O14" s="117"/>
      <c r="P14" s="117"/>
      <c r="Q14" s="200"/>
      <c r="R14" s="119"/>
      <c r="S14" s="119"/>
      <c r="T14" s="119"/>
      <c r="U14" s="120"/>
      <c r="V14" s="121"/>
      <c r="W14" s="122"/>
      <c r="X14" s="123"/>
      <c r="Y14" s="117"/>
      <c r="Z14" s="117"/>
    </row>
    <row r="15" spans="1:37">
      <c r="A15" s="42">
        <f t="shared" si="1"/>
        <v>749.02</v>
      </c>
      <c r="B15" s="39" t="s">
        <v>2729</v>
      </c>
      <c r="C15" s="40"/>
      <c r="D15" s="42" t="s">
        <v>139</v>
      </c>
      <c r="E15" s="38"/>
      <c r="F15" s="117"/>
      <c r="G15" s="117"/>
      <c r="H15" s="117"/>
      <c r="I15" s="117"/>
      <c r="J15" s="117"/>
      <c r="K15" s="117"/>
      <c r="L15" s="117"/>
      <c r="M15" s="117"/>
      <c r="N15" s="117"/>
      <c r="O15" s="117"/>
      <c r="P15" s="117"/>
      <c r="Q15" s="200"/>
      <c r="R15" s="119"/>
      <c r="S15" s="119"/>
      <c r="T15" s="119"/>
      <c r="U15" s="120"/>
      <c r="V15" s="121"/>
      <c r="W15" s="122"/>
      <c r="X15" s="123"/>
      <c r="Y15" s="117"/>
      <c r="Z15" s="117"/>
    </row>
    <row r="16" spans="1:37">
      <c r="A16" s="42">
        <f t="shared" si="1"/>
        <v>749.03</v>
      </c>
      <c r="B16" s="39" t="s">
        <v>2729</v>
      </c>
      <c r="C16" s="40"/>
      <c r="D16" s="42" t="s">
        <v>139</v>
      </c>
      <c r="E16" s="38"/>
      <c r="F16" s="117"/>
      <c r="G16" s="117"/>
      <c r="H16" s="117"/>
      <c r="I16" s="117"/>
      <c r="J16" s="117"/>
      <c r="K16" s="117"/>
      <c r="L16" s="117"/>
      <c r="M16" s="117"/>
      <c r="N16" s="117"/>
      <c r="O16" s="117"/>
      <c r="P16" s="117"/>
      <c r="Q16" s="200"/>
      <c r="R16" s="119"/>
      <c r="S16" s="119"/>
      <c r="T16" s="119"/>
      <c r="U16" s="120"/>
      <c r="V16" s="121"/>
      <c r="W16" s="122"/>
      <c r="X16" s="123"/>
      <c r="Y16" s="117"/>
      <c r="Z16" s="117"/>
    </row>
    <row r="17" spans="1:26">
      <c r="A17" s="42">
        <f t="shared" si="1"/>
        <v>749.04</v>
      </c>
      <c r="B17" s="39" t="s">
        <v>2729</v>
      </c>
      <c r="C17" s="40"/>
      <c r="D17" s="42" t="s">
        <v>139</v>
      </c>
      <c r="E17" s="38"/>
      <c r="F17" s="117"/>
      <c r="G17" s="117"/>
      <c r="H17" s="117"/>
      <c r="I17" s="117"/>
      <c r="J17" s="117"/>
      <c r="K17" s="117"/>
      <c r="L17" s="117"/>
      <c r="M17" s="117"/>
      <c r="N17" s="117"/>
      <c r="O17" s="117"/>
      <c r="P17" s="117"/>
      <c r="Q17" s="200"/>
      <c r="R17" s="239"/>
      <c r="S17" s="239"/>
      <c r="T17" s="239"/>
      <c r="U17" s="216"/>
      <c r="V17" s="217"/>
      <c r="W17" s="233"/>
      <c r="X17" s="123"/>
      <c r="Y17" s="117"/>
      <c r="Z17" s="117"/>
    </row>
    <row r="18" spans="1:26">
      <c r="A18" s="42">
        <f t="shared" si="1"/>
        <v>749.05</v>
      </c>
      <c r="B18" s="39" t="s">
        <v>2729</v>
      </c>
      <c r="C18" s="40"/>
      <c r="D18" s="42" t="s">
        <v>139</v>
      </c>
      <c r="E18" s="38"/>
      <c r="F18" s="117"/>
      <c r="G18" s="117"/>
      <c r="H18" s="117"/>
      <c r="I18" s="117"/>
      <c r="J18" s="117"/>
      <c r="K18" s="117"/>
      <c r="L18" s="117"/>
      <c r="M18" s="117"/>
      <c r="N18" s="117"/>
      <c r="O18" s="117"/>
      <c r="P18" s="117"/>
      <c r="Q18" s="200"/>
      <c r="R18" s="239"/>
      <c r="S18" s="239"/>
      <c r="T18" s="239"/>
      <c r="U18" s="216"/>
      <c r="V18" s="217"/>
      <c r="W18" s="233"/>
      <c r="X18" s="123"/>
      <c r="Y18" s="117"/>
      <c r="Z18" s="117"/>
    </row>
    <row r="19" spans="1:26">
      <c r="A19" s="42">
        <f t="shared" si="1"/>
        <v>749.06</v>
      </c>
      <c r="B19" s="39" t="s">
        <v>2729</v>
      </c>
      <c r="C19" s="40"/>
      <c r="D19" s="42" t="s">
        <v>139</v>
      </c>
      <c r="E19" s="38"/>
      <c r="F19" s="117"/>
      <c r="G19" s="117"/>
      <c r="H19" s="117"/>
      <c r="I19" s="117"/>
      <c r="J19" s="117"/>
      <c r="K19" s="117"/>
      <c r="L19" s="117"/>
      <c r="M19" s="117"/>
      <c r="N19" s="117"/>
      <c r="O19" s="117"/>
      <c r="P19" s="117"/>
      <c r="Q19" s="200"/>
      <c r="R19" s="239"/>
      <c r="S19" s="239"/>
      <c r="T19" s="239"/>
      <c r="U19" s="216"/>
      <c r="V19" s="217"/>
      <c r="W19" s="233"/>
      <c r="X19" s="123"/>
      <c r="Y19" s="117"/>
      <c r="Z19" s="117"/>
    </row>
    <row r="20" spans="1:26">
      <c r="A20" s="42">
        <f t="shared" si="1"/>
        <v>749.06999999999994</v>
      </c>
      <c r="B20" s="39" t="s">
        <v>2729</v>
      </c>
      <c r="C20" s="40"/>
      <c r="D20" s="42" t="s">
        <v>139</v>
      </c>
      <c r="E20" s="38"/>
      <c r="F20" s="117"/>
      <c r="G20" s="117"/>
      <c r="H20" s="117"/>
      <c r="I20" s="117"/>
      <c r="J20" s="117"/>
      <c r="K20" s="117"/>
      <c r="L20" s="117"/>
      <c r="M20" s="117"/>
      <c r="N20" s="117"/>
      <c r="O20" s="117"/>
      <c r="P20" s="117"/>
      <c r="Q20" s="200"/>
      <c r="R20" s="239"/>
      <c r="S20" s="239"/>
      <c r="T20" s="239"/>
      <c r="U20" s="216"/>
      <c r="V20" s="217"/>
      <c r="W20" s="233"/>
      <c r="X20" s="123"/>
      <c r="Y20" s="117"/>
      <c r="Z20" s="117"/>
    </row>
    <row r="21" spans="1:26">
      <c r="A21" s="42">
        <f t="shared" si="1"/>
        <v>749.07999999999993</v>
      </c>
      <c r="B21" s="39" t="s">
        <v>2729</v>
      </c>
      <c r="C21" s="40"/>
      <c r="D21" s="42" t="s">
        <v>139</v>
      </c>
      <c r="E21" s="38"/>
      <c r="F21" s="117"/>
      <c r="G21" s="117"/>
      <c r="H21" s="117"/>
      <c r="I21" s="117"/>
      <c r="J21" s="117"/>
      <c r="K21" s="117"/>
      <c r="L21" s="117"/>
      <c r="M21" s="117"/>
      <c r="N21" s="117"/>
      <c r="O21" s="117"/>
      <c r="P21" s="117"/>
      <c r="Q21" s="200"/>
      <c r="R21" s="239"/>
      <c r="S21" s="239"/>
      <c r="T21" s="239"/>
      <c r="U21" s="216"/>
      <c r="V21" s="217"/>
      <c r="W21" s="233"/>
      <c r="X21" s="123"/>
      <c r="Y21" s="117"/>
      <c r="Z21" s="117"/>
    </row>
    <row r="22" spans="1:26">
      <c r="A22" s="42">
        <f t="shared" si="1"/>
        <v>749.08999999999992</v>
      </c>
      <c r="B22" s="39" t="s">
        <v>2729</v>
      </c>
      <c r="C22" s="40"/>
      <c r="D22" s="42" t="s">
        <v>139</v>
      </c>
      <c r="E22" s="38"/>
      <c r="F22" s="117"/>
      <c r="G22" s="117"/>
      <c r="H22" s="117"/>
      <c r="I22" s="117"/>
      <c r="J22" s="117"/>
      <c r="K22" s="117"/>
      <c r="L22" s="117"/>
      <c r="M22" s="117"/>
      <c r="N22" s="117"/>
      <c r="O22" s="117"/>
      <c r="P22" s="117"/>
      <c r="Q22" s="200"/>
      <c r="R22" s="239"/>
      <c r="S22" s="239"/>
      <c r="T22" s="239"/>
      <c r="U22" s="216"/>
      <c r="V22" s="217"/>
      <c r="W22" s="233"/>
      <c r="X22" s="123"/>
      <c r="Y22" s="117"/>
      <c r="Z22" s="117"/>
    </row>
    <row r="23" spans="1:26">
      <c r="A23" s="85">
        <v>742.1</v>
      </c>
      <c r="B23" s="39" t="s">
        <v>2729</v>
      </c>
      <c r="C23" s="40"/>
      <c r="D23" s="42" t="s">
        <v>139</v>
      </c>
      <c r="E23" s="38"/>
      <c r="F23" s="117"/>
      <c r="G23" s="117"/>
      <c r="H23" s="117"/>
      <c r="I23" s="117"/>
      <c r="J23" s="117"/>
      <c r="K23" s="117"/>
      <c r="L23" s="117"/>
      <c r="M23" s="117"/>
      <c r="N23" s="117"/>
      <c r="O23" s="117"/>
      <c r="P23" s="117"/>
      <c r="Q23" s="200"/>
      <c r="R23" s="239"/>
      <c r="S23" s="239"/>
      <c r="T23" s="239"/>
      <c r="U23" s="216"/>
      <c r="V23" s="217"/>
      <c r="W23" s="233"/>
      <c r="X23" s="123"/>
      <c r="Y23" s="117"/>
      <c r="Z23" s="117"/>
    </row>
    <row r="24" spans="1:26">
      <c r="A24" s="117"/>
      <c r="B24" s="117"/>
      <c r="C24" s="117"/>
      <c r="D24" s="117"/>
      <c r="E24" s="117"/>
      <c r="F24" s="117"/>
      <c r="G24" s="117"/>
      <c r="H24" s="117"/>
      <c r="I24" s="117"/>
      <c r="J24" s="117"/>
      <c r="K24" s="117"/>
      <c r="L24" s="117"/>
      <c r="M24" s="117"/>
      <c r="N24" s="117"/>
      <c r="O24" s="117"/>
      <c r="P24" s="117"/>
      <c r="Q24" s="200"/>
      <c r="R24" s="239"/>
      <c r="S24" s="239"/>
      <c r="T24" s="239"/>
      <c r="U24" s="216"/>
      <c r="V24" s="217"/>
      <c r="W24" s="233"/>
      <c r="X24" s="123"/>
      <c r="Y24" s="117"/>
      <c r="Z24" s="117"/>
    </row>
    <row r="25" spans="1:26">
      <c r="A25" s="117"/>
      <c r="B25" s="116" t="s">
        <v>2745</v>
      </c>
      <c r="C25" s="117"/>
      <c r="D25" s="117"/>
      <c r="E25" s="117"/>
      <c r="F25" s="117"/>
      <c r="G25" s="117"/>
      <c r="H25" s="117"/>
      <c r="I25" s="117"/>
      <c r="J25" s="117"/>
      <c r="K25" s="117"/>
      <c r="L25" s="117"/>
      <c r="M25" s="117"/>
      <c r="N25" s="117"/>
      <c r="O25" s="117"/>
      <c r="P25" s="117"/>
      <c r="Q25" s="200"/>
      <c r="R25" s="239"/>
      <c r="S25" s="239"/>
      <c r="T25" s="239"/>
      <c r="U25" s="216"/>
      <c r="V25" s="217"/>
      <c r="W25" s="233"/>
      <c r="X25" s="123"/>
      <c r="Y25" s="117"/>
      <c r="Z25" s="117"/>
    </row>
    <row r="26" spans="1:26">
      <c r="A26" s="117"/>
      <c r="B26" s="117"/>
      <c r="C26" s="117"/>
      <c r="D26" s="117"/>
      <c r="E26" s="117"/>
      <c r="F26" s="117"/>
      <c r="G26" s="117"/>
      <c r="H26" s="117"/>
      <c r="I26" s="117"/>
      <c r="J26" s="117"/>
      <c r="K26" s="117"/>
      <c r="L26" s="117"/>
      <c r="M26" s="117"/>
      <c r="N26" s="117"/>
      <c r="O26" s="117"/>
      <c r="P26" s="117"/>
      <c r="Q26" s="200"/>
      <c r="R26" s="239"/>
      <c r="S26" s="239"/>
      <c r="T26" s="239"/>
      <c r="U26" s="216"/>
      <c r="V26" s="217"/>
      <c r="W26" s="233"/>
      <c r="X26" s="123"/>
      <c r="Y26" s="117"/>
      <c r="Z26" s="117"/>
    </row>
    <row r="27" spans="1:26">
      <c r="A27" s="117"/>
      <c r="B27" s="117"/>
      <c r="C27" s="117"/>
      <c r="D27" s="117"/>
      <c r="E27" s="117"/>
      <c r="F27" s="117"/>
      <c r="G27" s="117"/>
      <c r="H27" s="117"/>
      <c r="I27" s="117"/>
      <c r="J27" s="117"/>
      <c r="K27" s="117"/>
      <c r="L27" s="117"/>
      <c r="M27" s="117"/>
      <c r="N27" s="117"/>
      <c r="O27" s="117"/>
      <c r="P27" s="117"/>
      <c r="Q27" s="200"/>
      <c r="R27" s="239"/>
      <c r="S27" s="239"/>
      <c r="T27" s="239"/>
      <c r="U27" s="216"/>
      <c r="V27" s="217"/>
      <c r="W27" s="233"/>
      <c r="X27" s="123"/>
      <c r="Y27" s="117"/>
      <c r="Z27" s="117"/>
    </row>
    <row r="28" spans="1:26">
      <c r="A28" s="117"/>
      <c r="B28" s="117"/>
      <c r="C28" s="117"/>
      <c r="D28" s="117"/>
      <c r="E28" s="117"/>
      <c r="F28" s="117"/>
      <c r="G28" s="117"/>
      <c r="H28" s="117"/>
      <c r="I28" s="117"/>
      <c r="J28" s="117"/>
      <c r="K28" s="117"/>
      <c r="L28" s="117"/>
      <c r="M28" s="117"/>
      <c r="N28" s="117"/>
      <c r="O28" s="117"/>
      <c r="P28" s="117"/>
      <c r="Q28" s="200"/>
      <c r="R28" s="239"/>
      <c r="S28" s="239"/>
      <c r="T28" s="239"/>
      <c r="U28" s="216"/>
      <c r="V28" s="217"/>
      <c r="W28" s="233"/>
      <c r="X28" s="123"/>
      <c r="Y28" s="117"/>
      <c r="Z28" s="117"/>
    </row>
    <row r="29" spans="1:26">
      <c r="A29" s="117"/>
      <c r="B29" s="117"/>
      <c r="C29" s="117"/>
      <c r="D29" s="117"/>
      <c r="E29" s="117"/>
      <c r="F29" s="117"/>
      <c r="G29" s="117"/>
      <c r="H29" s="117"/>
      <c r="I29" s="117"/>
      <c r="J29" s="117"/>
      <c r="K29" s="117"/>
      <c r="L29" s="117"/>
      <c r="M29" s="117"/>
      <c r="N29" s="117"/>
      <c r="O29" s="117"/>
      <c r="P29" s="117"/>
      <c r="Q29" s="200"/>
      <c r="R29" s="239"/>
      <c r="S29" s="239"/>
      <c r="T29" s="239"/>
      <c r="U29" s="216"/>
      <c r="V29" s="217"/>
      <c r="W29" s="233"/>
      <c r="X29" s="123"/>
      <c r="Y29" s="117"/>
      <c r="Z29" s="117"/>
    </row>
    <row r="30" spans="1:26">
      <c r="A30" s="117"/>
      <c r="B30" s="117"/>
      <c r="C30" s="117"/>
      <c r="D30" s="117"/>
      <c r="E30" s="117"/>
      <c r="F30" s="117"/>
      <c r="G30" s="117"/>
      <c r="H30" s="117"/>
      <c r="I30" s="117"/>
      <c r="J30" s="117"/>
      <c r="K30" s="117"/>
      <c r="L30" s="117"/>
      <c r="M30" s="117"/>
      <c r="N30" s="117"/>
      <c r="O30" s="117"/>
      <c r="P30" s="117"/>
      <c r="Q30" s="200"/>
      <c r="R30" s="239"/>
      <c r="S30" s="239"/>
      <c r="T30" s="239"/>
      <c r="U30" s="216"/>
      <c r="V30" s="217"/>
      <c r="W30" s="233"/>
      <c r="X30" s="123"/>
      <c r="Y30" s="117"/>
      <c r="Z30" s="117"/>
    </row>
    <row r="31" spans="1:26">
      <c r="A31" s="117"/>
      <c r="B31" s="117"/>
      <c r="C31" s="117"/>
      <c r="D31" s="117"/>
      <c r="E31" s="117"/>
      <c r="F31" s="117"/>
      <c r="G31" s="117"/>
      <c r="H31" s="117"/>
      <c r="I31" s="117"/>
      <c r="J31" s="117"/>
      <c r="K31" s="117"/>
      <c r="L31" s="117"/>
      <c r="M31" s="117"/>
      <c r="N31" s="117"/>
      <c r="O31" s="117"/>
      <c r="P31" s="117"/>
      <c r="Q31" s="200"/>
      <c r="R31" s="239"/>
      <c r="S31" s="239"/>
      <c r="T31" s="239"/>
      <c r="U31" s="216"/>
      <c r="V31" s="217"/>
      <c r="W31" s="233"/>
      <c r="X31" s="123"/>
      <c r="Y31" s="117"/>
      <c r="Z31" s="117"/>
    </row>
    <row r="32" spans="1:26">
      <c r="A32" s="117"/>
      <c r="B32" s="117"/>
      <c r="C32" s="117"/>
      <c r="D32" s="117"/>
      <c r="E32" s="117"/>
      <c r="F32" s="117"/>
      <c r="G32" s="117"/>
      <c r="H32" s="117"/>
      <c r="I32" s="117"/>
      <c r="J32" s="117"/>
      <c r="K32" s="117"/>
      <c r="L32" s="117"/>
      <c r="M32" s="117"/>
      <c r="N32" s="117"/>
      <c r="O32" s="117"/>
      <c r="P32" s="117"/>
      <c r="Q32" s="200"/>
      <c r="R32" s="239"/>
      <c r="S32" s="239"/>
      <c r="T32" s="239"/>
      <c r="U32" s="216"/>
      <c r="V32" s="217"/>
      <c r="W32" s="233"/>
      <c r="X32" s="123"/>
      <c r="Y32" s="117"/>
      <c r="Z32" s="117"/>
    </row>
    <row r="33" spans="1:26">
      <c r="A33" s="117"/>
      <c r="B33" s="117"/>
      <c r="C33" s="117"/>
      <c r="D33" s="117"/>
      <c r="E33" s="117"/>
      <c r="F33" s="117"/>
      <c r="G33" s="117"/>
      <c r="H33" s="117"/>
      <c r="I33" s="117"/>
      <c r="J33" s="117"/>
      <c r="K33" s="117"/>
      <c r="L33" s="117"/>
      <c r="M33" s="117"/>
      <c r="N33" s="117"/>
      <c r="O33" s="117"/>
      <c r="P33" s="117"/>
      <c r="Q33" s="200"/>
      <c r="R33" s="239"/>
      <c r="S33" s="239"/>
      <c r="T33" s="239"/>
      <c r="U33" s="216"/>
      <c r="V33" s="217"/>
      <c r="W33" s="233"/>
      <c r="X33" s="123"/>
      <c r="Y33" s="117"/>
      <c r="Z33" s="117"/>
    </row>
    <row r="34" spans="1:26">
      <c r="A34" s="117"/>
      <c r="B34" s="117"/>
      <c r="C34" s="117"/>
      <c r="D34" s="117"/>
      <c r="E34" s="117"/>
      <c r="F34" s="117"/>
      <c r="G34" s="117"/>
      <c r="H34" s="117"/>
      <c r="I34" s="117"/>
      <c r="J34" s="117"/>
      <c r="K34" s="117"/>
      <c r="L34" s="117"/>
      <c r="M34" s="117"/>
      <c r="N34" s="117"/>
      <c r="O34" s="117"/>
      <c r="P34" s="117"/>
      <c r="Q34" s="200"/>
      <c r="R34" s="239"/>
      <c r="S34" s="239"/>
      <c r="T34" s="239"/>
      <c r="U34" s="216"/>
      <c r="V34" s="217"/>
      <c r="W34" s="233"/>
      <c r="X34" s="123"/>
      <c r="Y34" s="117"/>
      <c r="Z34" s="117"/>
    </row>
    <row r="35" spans="1:26">
      <c r="A35" s="117"/>
      <c r="B35" s="117"/>
      <c r="C35" s="117"/>
      <c r="D35" s="117"/>
      <c r="E35" s="117"/>
      <c r="F35" s="117"/>
      <c r="G35" s="117"/>
      <c r="H35" s="117"/>
      <c r="I35" s="117"/>
      <c r="J35" s="117"/>
      <c r="K35" s="117"/>
      <c r="L35" s="117"/>
      <c r="M35" s="117"/>
      <c r="N35" s="117"/>
      <c r="O35" s="117"/>
      <c r="P35" s="117"/>
      <c r="Q35" s="200"/>
      <c r="R35" s="239"/>
      <c r="S35" s="239"/>
      <c r="T35" s="239"/>
      <c r="U35" s="216"/>
      <c r="V35" s="217"/>
      <c r="W35" s="233"/>
      <c r="X35" s="123"/>
      <c r="Y35" s="117"/>
      <c r="Z35" s="117"/>
    </row>
    <row r="36" spans="1:26">
      <c r="A36" s="117"/>
      <c r="B36" s="117"/>
      <c r="C36" s="117"/>
      <c r="D36" s="117"/>
      <c r="E36" s="117"/>
      <c r="F36" s="117"/>
      <c r="G36" s="117"/>
      <c r="H36" s="117"/>
      <c r="I36" s="117"/>
      <c r="J36" s="117"/>
      <c r="K36" s="117"/>
      <c r="L36" s="117"/>
      <c r="M36" s="117"/>
      <c r="N36" s="117"/>
      <c r="O36" s="117"/>
      <c r="P36" s="117"/>
      <c r="Q36" s="200"/>
      <c r="R36" s="239"/>
      <c r="S36" s="239"/>
      <c r="T36" s="239"/>
      <c r="U36" s="216"/>
      <c r="V36" s="217"/>
      <c r="W36" s="233"/>
      <c r="X36" s="123"/>
      <c r="Y36" s="117"/>
      <c r="Z36" s="117"/>
    </row>
    <row r="37" spans="1:26">
      <c r="A37" s="117"/>
      <c r="B37" s="117"/>
      <c r="C37" s="117"/>
      <c r="D37" s="117"/>
      <c r="E37" s="117"/>
      <c r="F37" s="117"/>
      <c r="G37" s="117"/>
      <c r="H37" s="117"/>
      <c r="I37" s="117"/>
      <c r="J37" s="117"/>
      <c r="K37" s="117"/>
      <c r="L37" s="117"/>
      <c r="M37" s="117"/>
      <c r="N37" s="117"/>
      <c r="O37" s="117"/>
      <c r="P37" s="117"/>
      <c r="Q37" s="200"/>
      <c r="R37" s="239"/>
      <c r="S37" s="239"/>
      <c r="T37" s="239"/>
      <c r="U37" s="216"/>
      <c r="V37" s="217"/>
      <c r="W37" s="233"/>
      <c r="X37" s="123"/>
      <c r="Y37" s="117"/>
      <c r="Z37" s="117"/>
    </row>
    <row r="38" spans="1:26">
      <c r="A38" s="117"/>
      <c r="B38" s="117"/>
      <c r="C38" s="117"/>
      <c r="D38" s="117"/>
      <c r="E38" s="117"/>
      <c r="F38" s="117"/>
      <c r="G38" s="117"/>
      <c r="H38" s="117"/>
      <c r="I38" s="117"/>
      <c r="J38" s="117"/>
      <c r="K38" s="117"/>
      <c r="L38" s="117"/>
      <c r="M38" s="117"/>
      <c r="N38" s="117"/>
      <c r="O38" s="117"/>
      <c r="P38" s="117"/>
      <c r="Q38" s="200"/>
      <c r="R38" s="239"/>
      <c r="S38" s="239"/>
      <c r="T38" s="239"/>
      <c r="U38" s="216"/>
      <c r="V38" s="217"/>
      <c r="W38" s="233"/>
      <c r="X38" s="123"/>
      <c r="Y38" s="117"/>
      <c r="Z38" s="117"/>
    </row>
    <row r="39" spans="1:26">
      <c r="A39" s="117"/>
      <c r="B39" s="117"/>
      <c r="C39" s="117"/>
      <c r="D39" s="117"/>
      <c r="E39" s="117"/>
      <c r="F39" s="117"/>
      <c r="G39" s="117"/>
      <c r="H39" s="117"/>
      <c r="I39" s="117"/>
      <c r="J39" s="117"/>
      <c r="K39" s="117"/>
      <c r="L39" s="117"/>
      <c r="M39" s="117"/>
      <c r="N39" s="117"/>
      <c r="O39" s="117"/>
      <c r="P39" s="117"/>
      <c r="Q39" s="200"/>
      <c r="R39" s="239"/>
      <c r="S39" s="239"/>
      <c r="T39" s="239"/>
      <c r="U39" s="216"/>
      <c r="V39" s="217"/>
      <c r="W39" s="233"/>
      <c r="X39" s="123"/>
      <c r="Y39" s="117"/>
      <c r="Z39" s="117"/>
    </row>
    <row r="40" spans="1:26">
      <c r="A40" s="117"/>
      <c r="B40" s="117"/>
      <c r="C40" s="117"/>
      <c r="D40" s="117"/>
      <c r="E40" s="117"/>
      <c r="F40" s="117"/>
      <c r="G40" s="117"/>
      <c r="H40" s="117"/>
      <c r="I40" s="117"/>
      <c r="J40" s="117"/>
      <c r="K40" s="117"/>
      <c r="L40" s="117"/>
      <c r="M40" s="117"/>
      <c r="N40" s="117"/>
      <c r="O40" s="117"/>
      <c r="P40" s="117"/>
      <c r="Q40" s="200"/>
      <c r="R40" s="239"/>
      <c r="S40" s="239"/>
      <c r="T40" s="239"/>
      <c r="U40" s="216"/>
      <c r="V40" s="217"/>
      <c r="W40" s="233"/>
      <c r="X40" s="123"/>
      <c r="Y40" s="117"/>
      <c r="Z40" s="117"/>
    </row>
    <row r="41" spans="1:26">
      <c r="A41" s="117"/>
      <c r="B41" s="117"/>
      <c r="C41" s="117"/>
      <c r="D41" s="117"/>
      <c r="E41" s="117"/>
      <c r="F41" s="117"/>
      <c r="G41" s="117"/>
      <c r="H41" s="117"/>
      <c r="I41" s="117"/>
      <c r="J41" s="117"/>
      <c r="K41" s="117"/>
      <c r="L41" s="117"/>
      <c r="M41" s="117"/>
      <c r="N41" s="117"/>
      <c r="O41" s="117"/>
      <c r="P41" s="117"/>
      <c r="Q41" s="200"/>
      <c r="R41" s="239"/>
      <c r="S41" s="239"/>
      <c r="T41" s="239"/>
      <c r="U41" s="216"/>
      <c r="V41" s="217"/>
      <c r="W41" s="233"/>
      <c r="X41" s="123"/>
      <c r="Y41" s="117"/>
      <c r="Z41" s="117"/>
    </row>
    <row r="42" spans="1:26">
      <c r="A42" s="117"/>
      <c r="B42" s="117"/>
      <c r="C42" s="117"/>
      <c r="D42" s="117"/>
      <c r="E42" s="117"/>
      <c r="F42" s="117"/>
      <c r="G42" s="117"/>
      <c r="H42" s="117"/>
      <c r="I42" s="117"/>
      <c r="J42" s="117"/>
      <c r="K42" s="117"/>
      <c r="L42" s="117"/>
      <c r="M42" s="117"/>
      <c r="N42" s="117"/>
      <c r="O42" s="117"/>
      <c r="P42" s="117"/>
      <c r="Q42" s="200"/>
      <c r="R42" s="239"/>
      <c r="S42" s="239"/>
      <c r="T42" s="239"/>
      <c r="U42" s="216"/>
      <c r="V42" s="217"/>
      <c r="W42" s="233"/>
      <c r="X42" s="123"/>
      <c r="Y42" s="117"/>
      <c r="Z42" s="117"/>
    </row>
    <row r="43" spans="1:26">
      <c r="A43" s="117"/>
      <c r="B43" s="117"/>
      <c r="C43" s="117"/>
      <c r="D43" s="117"/>
      <c r="E43" s="117"/>
      <c r="F43" s="117"/>
      <c r="G43" s="117"/>
      <c r="H43" s="117"/>
      <c r="I43" s="117"/>
      <c r="J43" s="117"/>
      <c r="K43" s="117"/>
      <c r="L43" s="117"/>
      <c r="M43" s="117"/>
      <c r="N43" s="117"/>
      <c r="O43" s="117"/>
      <c r="P43" s="117"/>
      <c r="Q43" s="200"/>
      <c r="R43" s="239"/>
      <c r="S43" s="239"/>
      <c r="T43" s="239"/>
      <c r="U43" s="216"/>
      <c r="V43" s="217"/>
      <c r="W43" s="233"/>
      <c r="X43" s="123"/>
      <c r="Y43" s="117"/>
      <c r="Z43" s="117"/>
    </row>
    <row r="44" spans="1:26">
      <c r="A44" s="117"/>
      <c r="B44" s="117"/>
      <c r="C44" s="117"/>
      <c r="D44" s="117"/>
      <c r="E44" s="117"/>
      <c r="F44" s="117"/>
      <c r="G44" s="117"/>
      <c r="H44" s="117"/>
      <c r="I44" s="117"/>
      <c r="J44" s="117"/>
      <c r="K44" s="117"/>
      <c r="L44" s="117"/>
      <c r="M44" s="117"/>
      <c r="N44" s="117"/>
      <c r="O44" s="117"/>
      <c r="P44" s="117"/>
      <c r="Q44" s="200"/>
      <c r="R44" s="239"/>
      <c r="S44" s="239"/>
      <c r="T44" s="239"/>
      <c r="U44" s="216"/>
      <c r="V44" s="217"/>
      <c r="W44" s="233"/>
      <c r="X44" s="123"/>
      <c r="Y44" s="117"/>
      <c r="Z44" s="117"/>
    </row>
    <row r="45" spans="1:26">
      <c r="A45" s="117"/>
      <c r="B45" s="117"/>
      <c r="C45" s="117"/>
      <c r="D45" s="117"/>
      <c r="E45" s="117"/>
      <c r="F45" s="117"/>
      <c r="G45" s="117"/>
      <c r="H45" s="117"/>
      <c r="I45" s="117"/>
      <c r="J45" s="117"/>
      <c r="K45" s="117"/>
      <c r="L45" s="117"/>
      <c r="M45" s="117"/>
      <c r="N45" s="117"/>
      <c r="O45" s="117"/>
      <c r="P45" s="117"/>
      <c r="Q45" s="200"/>
      <c r="R45" s="239"/>
      <c r="S45" s="239"/>
      <c r="T45" s="239"/>
      <c r="U45" s="216"/>
      <c r="V45" s="217"/>
      <c r="W45" s="233"/>
      <c r="X45" s="123"/>
      <c r="Y45" s="117"/>
      <c r="Z45" s="117"/>
    </row>
    <row r="46" spans="1:26">
      <c r="A46" s="117"/>
      <c r="B46" s="117"/>
      <c r="C46" s="117"/>
      <c r="D46" s="117"/>
      <c r="E46" s="117"/>
      <c r="F46" s="117"/>
      <c r="G46" s="117"/>
      <c r="H46" s="117"/>
      <c r="I46" s="117"/>
      <c r="J46" s="117"/>
      <c r="K46" s="117"/>
      <c r="L46" s="117"/>
      <c r="M46" s="117"/>
      <c r="N46" s="117"/>
      <c r="O46" s="117"/>
      <c r="P46" s="117"/>
      <c r="Q46" s="200"/>
      <c r="R46" s="239"/>
      <c r="S46" s="239"/>
      <c r="T46" s="239"/>
      <c r="U46" s="216"/>
      <c r="V46" s="217"/>
      <c r="W46" s="233"/>
      <c r="X46" s="123"/>
      <c r="Y46" s="117"/>
      <c r="Z46" s="117"/>
    </row>
    <row r="47" spans="1:26">
      <c r="A47" s="117"/>
      <c r="B47" s="117"/>
      <c r="C47" s="117"/>
      <c r="D47" s="117"/>
      <c r="E47" s="117"/>
      <c r="F47" s="117"/>
      <c r="G47" s="117"/>
      <c r="H47" s="117"/>
      <c r="I47" s="117"/>
      <c r="J47" s="117"/>
      <c r="K47" s="117"/>
      <c r="L47" s="117"/>
      <c r="M47" s="117"/>
      <c r="N47" s="117"/>
      <c r="O47" s="117"/>
      <c r="P47" s="117"/>
      <c r="Q47" s="200"/>
      <c r="R47" s="239"/>
      <c r="S47" s="239"/>
      <c r="T47" s="239"/>
      <c r="U47" s="216"/>
      <c r="V47" s="217"/>
      <c r="W47" s="233"/>
      <c r="X47" s="123"/>
      <c r="Y47" s="117"/>
      <c r="Z47" s="117"/>
    </row>
    <row r="48" spans="1:26">
      <c r="A48" s="117"/>
      <c r="B48" s="117"/>
      <c r="C48" s="117"/>
      <c r="D48" s="117"/>
      <c r="E48" s="117"/>
      <c r="F48" s="117"/>
      <c r="G48" s="117"/>
      <c r="H48" s="117"/>
      <c r="I48" s="117"/>
      <c r="J48" s="117"/>
      <c r="K48" s="117"/>
      <c r="L48" s="117"/>
      <c r="M48" s="117"/>
      <c r="N48" s="117"/>
      <c r="O48" s="117"/>
      <c r="P48" s="117"/>
      <c r="Q48" s="200"/>
      <c r="R48" s="239"/>
      <c r="S48" s="239"/>
      <c r="T48" s="239"/>
      <c r="U48" s="216"/>
      <c r="V48" s="217"/>
      <c r="W48" s="233"/>
      <c r="X48" s="123"/>
      <c r="Y48" s="117"/>
      <c r="Z48" s="117"/>
    </row>
    <row r="49" spans="1:26">
      <c r="A49" s="117"/>
      <c r="B49" s="117"/>
      <c r="C49" s="117"/>
      <c r="D49" s="117"/>
      <c r="E49" s="117"/>
      <c r="F49" s="117"/>
      <c r="G49" s="117"/>
      <c r="H49" s="117"/>
      <c r="I49" s="117"/>
      <c r="J49" s="117"/>
      <c r="K49" s="117"/>
      <c r="L49" s="117"/>
      <c r="M49" s="117"/>
      <c r="N49" s="117"/>
      <c r="O49" s="117"/>
      <c r="P49" s="117"/>
      <c r="Q49" s="200"/>
      <c r="R49" s="239"/>
      <c r="S49" s="239"/>
      <c r="T49" s="239"/>
      <c r="U49" s="216"/>
      <c r="V49" s="217"/>
      <c r="W49" s="233"/>
      <c r="X49" s="123"/>
      <c r="Y49" s="117"/>
      <c r="Z49" s="117"/>
    </row>
    <row r="50" spans="1:26">
      <c r="A50" s="117"/>
      <c r="B50" s="117"/>
      <c r="C50" s="117"/>
      <c r="D50" s="117"/>
      <c r="E50" s="117"/>
      <c r="F50" s="117"/>
      <c r="G50" s="117"/>
      <c r="H50" s="117"/>
      <c r="I50" s="117"/>
      <c r="J50" s="117"/>
      <c r="K50" s="117"/>
      <c r="L50" s="117"/>
      <c r="M50" s="117"/>
      <c r="N50" s="117"/>
      <c r="O50" s="117"/>
      <c r="P50" s="117"/>
      <c r="Q50" s="200"/>
      <c r="R50" s="239"/>
      <c r="S50" s="239"/>
      <c r="T50" s="239"/>
      <c r="U50" s="216"/>
      <c r="V50" s="217"/>
      <c r="W50" s="233"/>
      <c r="X50" s="123"/>
      <c r="Y50" s="117"/>
      <c r="Z50" s="117"/>
    </row>
    <row r="51" spans="1:26">
      <c r="A51" s="117"/>
      <c r="B51" s="117"/>
      <c r="C51" s="117"/>
      <c r="D51" s="117"/>
      <c r="E51" s="117"/>
      <c r="F51" s="117"/>
      <c r="G51" s="117"/>
      <c r="H51" s="117"/>
      <c r="I51" s="117"/>
      <c r="J51" s="117"/>
      <c r="K51" s="117"/>
      <c r="L51" s="117"/>
      <c r="M51" s="117"/>
      <c r="N51" s="117"/>
      <c r="O51" s="117"/>
      <c r="P51" s="117"/>
      <c r="Q51" s="200"/>
      <c r="R51" s="239"/>
      <c r="S51" s="239"/>
      <c r="T51" s="239"/>
      <c r="U51" s="216"/>
      <c r="V51" s="217"/>
      <c r="W51" s="233"/>
      <c r="X51" s="123"/>
      <c r="Y51" s="117"/>
      <c r="Z51" s="117"/>
    </row>
    <row r="52" spans="1:26">
      <c r="A52" s="117"/>
      <c r="B52" s="117"/>
      <c r="C52" s="117"/>
      <c r="D52" s="117"/>
      <c r="E52" s="117"/>
      <c r="F52" s="117"/>
      <c r="G52" s="117"/>
      <c r="H52" s="117"/>
      <c r="I52" s="117"/>
      <c r="J52" s="117"/>
      <c r="K52" s="117"/>
      <c r="L52" s="117"/>
      <c r="M52" s="117"/>
      <c r="N52" s="117"/>
      <c r="O52" s="117"/>
      <c r="P52" s="117"/>
      <c r="Q52" s="200"/>
      <c r="R52" s="239"/>
      <c r="S52" s="239"/>
      <c r="T52" s="239"/>
      <c r="U52" s="216"/>
      <c r="V52" s="217"/>
      <c r="W52" s="233"/>
      <c r="X52" s="123"/>
      <c r="Y52" s="117"/>
      <c r="Z52" s="117"/>
    </row>
    <row r="53" spans="1:26">
      <c r="A53" s="117"/>
      <c r="B53" s="117"/>
      <c r="C53" s="117"/>
      <c r="D53" s="117"/>
      <c r="E53" s="117"/>
      <c r="F53" s="117"/>
      <c r="G53" s="117"/>
      <c r="H53" s="117"/>
      <c r="I53" s="117"/>
      <c r="J53" s="117"/>
      <c r="K53" s="117"/>
      <c r="L53" s="117"/>
      <c r="M53" s="117"/>
      <c r="N53" s="117"/>
      <c r="O53" s="117"/>
      <c r="P53" s="117"/>
      <c r="Q53" s="200"/>
      <c r="R53" s="239"/>
      <c r="S53" s="239"/>
      <c r="T53" s="239"/>
      <c r="U53" s="216"/>
      <c r="V53" s="217"/>
      <c r="W53" s="233"/>
      <c r="X53" s="123"/>
      <c r="Y53" s="117"/>
      <c r="Z53" s="117"/>
    </row>
    <row r="54" spans="1:26">
      <c r="A54" s="117"/>
      <c r="B54" s="117"/>
      <c r="C54" s="117"/>
      <c r="D54" s="117"/>
      <c r="E54" s="117"/>
      <c r="F54" s="117"/>
      <c r="G54" s="117"/>
      <c r="H54" s="117"/>
      <c r="I54" s="117"/>
      <c r="J54" s="117"/>
      <c r="K54" s="117"/>
      <c r="L54" s="117"/>
      <c r="M54" s="117"/>
      <c r="N54" s="117"/>
      <c r="O54" s="117"/>
      <c r="P54" s="117"/>
      <c r="Q54" s="200"/>
      <c r="R54" s="239"/>
      <c r="S54" s="239"/>
      <c r="T54" s="239"/>
      <c r="U54" s="216"/>
      <c r="V54" s="217"/>
      <c r="W54" s="233"/>
      <c r="X54" s="123"/>
      <c r="Y54" s="117"/>
      <c r="Z54" s="117"/>
    </row>
    <row r="55" spans="1:26">
      <c r="A55" s="117"/>
      <c r="B55" s="117"/>
      <c r="C55" s="117"/>
      <c r="D55" s="117"/>
      <c r="E55" s="117"/>
      <c r="F55" s="117"/>
      <c r="G55" s="117"/>
      <c r="H55" s="117"/>
      <c r="I55" s="117"/>
      <c r="J55" s="117"/>
      <c r="K55" s="117"/>
      <c r="L55" s="117"/>
      <c r="M55" s="117"/>
      <c r="N55" s="117"/>
      <c r="O55" s="117"/>
      <c r="P55" s="117"/>
      <c r="Q55" s="200"/>
      <c r="R55" s="239"/>
      <c r="S55" s="239"/>
      <c r="T55" s="239"/>
      <c r="U55" s="216"/>
      <c r="V55" s="217"/>
      <c r="W55" s="233"/>
      <c r="X55" s="123"/>
      <c r="Y55" s="117"/>
      <c r="Z55" s="117"/>
    </row>
    <row r="56" spans="1:26">
      <c r="A56" s="117"/>
      <c r="B56" s="117"/>
      <c r="C56" s="117"/>
      <c r="D56" s="117"/>
      <c r="E56" s="117"/>
      <c r="F56" s="117"/>
      <c r="G56" s="117"/>
      <c r="H56" s="117"/>
      <c r="I56" s="117"/>
      <c r="J56" s="117"/>
      <c r="K56" s="117"/>
      <c r="L56" s="117"/>
      <c r="M56" s="117"/>
      <c r="N56" s="117"/>
      <c r="O56" s="117"/>
      <c r="P56" s="117"/>
      <c r="Q56" s="200"/>
      <c r="R56" s="239"/>
      <c r="S56" s="239"/>
      <c r="T56" s="239"/>
      <c r="U56" s="216"/>
      <c r="V56" s="217"/>
      <c r="W56" s="233"/>
      <c r="X56" s="123"/>
      <c r="Y56" s="117"/>
      <c r="Z56" s="117"/>
    </row>
    <row r="57" spans="1:26">
      <c r="A57" s="117"/>
      <c r="B57" s="117"/>
      <c r="C57" s="117"/>
      <c r="D57" s="117"/>
      <c r="E57" s="117"/>
      <c r="F57" s="117"/>
      <c r="G57" s="117"/>
      <c r="H57" s="117"/>
      <c r="I57" s="117"/>
      <c r="J57" s="117"/>
      <c r="K57" s="117"/>
      <c r="L57" s="117"/>
      <c r="M57" s="117"/>
      <c r="N57" s="117"/>
      <c r="O57" s="117"/>
      <c r="P57" s="117"/>
      <c r="Q57" s="200"/>
      <c r="R57" s="239"/>
      <c r="S57" s="239"/>
      <c r="T57" s="239"/>
      <c r="U57" s="216"/>
      <c r="V57" s="217"/>
      <c r="W57" s="233"/>
      <c r="X57" s="123"/>
      <c r="Y57" s="117"/>
      <c r="Z57" s="117"/>
    </row>
    <row r="58" spans="1:26">
      <c r="A58" s="117"/>
      <c r="B58" s="117"/>
      <c r="C58" s="117"/>
      <c r="D58" s="117"/>
      <c r="E58" s="117"/>
      <c r="F58" s="117"/>
      <c r="G58" s="117"/>
      <c r="H58" s="117"/>
      <c r="I58" s="117"/>
      <c r="J58" s="117"/>
      <c r="K58" s="117"/>
      <c r="L58" s="117"/>
      <c r="M58" s="117"/>
      <c r="N58" s="117"/>
      <c r="O58" s="117"/>
      <c r="P58" s="117"/>
      <c r="Q58" s="200"/>
      <c r="R58" s="239"/>
      <c r="S58" s="239"/>
      <c r="T58" s="239"/>
      <c r="U58" s="216"/>
      <c r="V58" s="217"/>
      <c r="W58" s="233"/>
      <c r="X58" s="123"/>
      <c r="Y58" s="117"/>
      <c r="Z58" s="117"/>
    </row>
    <row r="59" spans="1:26">
      <c r="A59" s="117"/>
      <c r="B59" s="117"/>
      <c r="C59" s="117"/>
      <c r="D59" s="117"/>
      <c r="E59" s="117"/>
      <c r="F59" s="117"/>
      <c r="G59" s="117"/>
      <c r="H59" s="117"/>
      <c r="I59" s="117"/>
      <c r="J59" s="117"/>
      <c r="K59" s="117"/>
      <c r="L59" s="117"/>
      <c r="M59" s="117"/>
      <c r="N59" s="117"/>
      <c r="O59" s="117"/>
      <c r="P59" s="117"/>
      <c r="Q59" s="200"/>
      <c r="R59" s="239"/>
      <c r="S59" s="239"/>
      <c r="T59" s="239"/>
      <c r="U59" s="216"/>
      <c r="V59" s="217"/>
      <c r="W59" s="233"/>
      <c r="X59" s="123"/>
      <c r="Y59" s="117"/>
      <c r="Z59" s="117"/>
    </row>
    <row r="60" spans="1:26">
      <c r="A60" s="117"/>
      <c r="B60" s="117"/>
      <c r="C60" s="117"/>
      <c r="D60" s="117"/>
      <c r="E60" s="117"/>
      <c r="F60" s="117"/>
      <c r="G60" s="117"/>
      <c r="H60" s="117"/>
      <c r="I60" s="117"/>
      <c r="J60" s="117"/>
      <c r="K60" s="117"/>
      <c r="L60" s="117"/>
      <c r="M60" s="117"/>
      <c r="N60" s="117"/>
      <c r="O60" s="117"/>
      <c r="P60" s="117"/>
      <c r="Q60" s="200"/>
      <c r="R60" s="239"/>
      <c r="S60" s="239"/>
      <c r="T60" s="239"/>
      <c r="U60" s="216"/>
      <c r="V60" s="217"/>
      <c r="W60" s="233"/>
      <c r="X60" s="123"/>
      <c r="Y60" s="117"/>
      <c r="Z60" s="117"/>
    </row>
    <row r="61" spans="1:26">
      <c r="A61" s="117"/>
      <c r="B61" s="117"/>
      <c r="C61" s="117"/>
      <c r="D61" s="117"/>
      <c r="E61" s="117"/>
      <c r="F61" s="117"/>
      <c r="G61" s="117"/>
      <c r="H61" s="117"/>
      <c r="I61" s="117"/>
      <c r="J61" s="117"/>
      <c r="K61" s="117"/>
      <c r="L61" s="117"/>
      <c r="M61" s="117"/>
      <c r="N61" s="117"/>
      <c r="O61" s="117"/>
      <c r="P61" s="117"/>
      <c r="Q61" s="200"/>
      <c r="R61" s="239"/>
      <c r="S61" s="239"/>
      <c r="T61" s="239"/>
      <c r="U61" s="216"/>
      <c r="V61" s="217"/>
      <c r="W61" s="233"/>
      <c r="X61" s="123"/>
      <c r="Y61" s="117"/>
      <c r="Z61" s="117"/>
    </row>
    <row r="62" spans="1:26">
      <c r="A62" s="117"/>
      <c r="B62" s="117"/>
      <c r="C62" s="117"/>
      <c r="D62" s="117"/>
      <c r="E62" s="117"/>
      <c r="F62" s="117"/>
      <c r="G62" s="117"/>
      <c r="H62" s="117"/>
      <c r="I62" s="117"/>
      <c r="J62" s="117"/>
      <c r="K62" s="117"/>
      <c r="L62" s="117"/>
      <c r="M62" s="117"/>
      <c r="N62" s="117"/>
      <c r="O62" s="117"/>
      <c r="P62" s="117"/>
      <c r="Q62" s="200"/>
      <c r="R62" s="239"/>
      <c r="S62" s="239"/>
      <c r="T62" s="239"/>
      <c r="U62" s="216"/>
      <c r="V62" s="217"/>
      <c r="W62" s="233"/>
      <c r="X62" s="123"/>
      <c r="Y62" s="117"/>
      <c r="Z62" s="117"/>
    </row>
    <row r="63" spans="1:26">
      <c r="A63" s="117"/>
      <c r="B63" s="117"/>
      <c r="C63" s="117"/>
      <c r="D63" s="117"/>
      <c r="E63" s="117"/>
      <c r="F63" s="117"/>
      <c r="G63" s="117"/>
      <c r="H63" s="117"/>
      <c r="I63" s="117"/>
      <c r="J63" s="117"/>
      <c r="K63" s="117"/>
      <c r="L63" s="117"/>
      <c r="M63" s="117"/>
      <c r="N63" s="117"/>
      <c r="O63" s="117"/>
      <c r="P63" s="117"/>
      <c r="Q63" s="200"/>
      <c r="R63" s="239"/>
      <c r="S63" s="239"/>
      <c r="T63" s="239"/>
      <c r="U63" s="216"/>
      <c r="V63" s="217"/>
      <c r="W63" s="233"/>
      <c r="X63" s="123"/>
      <c r="Y63" s="117"/>
      <c r="Z63" s="117"/>
    </row>
    <row r="64" spans="1:26">
      <c r="A64" s="117"/>
      <c r="B64" s="117"/>
      <c r="C64" s="117"/>
      <c r="D64" s="117"/>
      <c r="E64" s="117"/>
      <c r="F64" s="117"/>
      <c r="G64" s="117"/>
      <c r="H64" s="117"/>
      <c r="I64" s="117"/>
      <c r="J64" s="117"/>
      <c r="K64" s="117"/>
      <c r="L64" s="117"/>
      <c r="M64" s="117"/>
      <c r="N64" s="117"/>
      <c r="O64" s="117"/>
      <c r="P64" s="117"/>
      <c r="Q64" s="200"/>
      <c r="R64" s="239"/>
      <c r="S64" s="239"/>
      <c r="T64" s="239"/>
      <c r="U64" s="216"/>
      <c r="V64" s="217"/>
      <c r="W64" s="233"/>
      <c r="X64" s="123"/>
      <c r="Y64" s="117"/>
      <c r="Z64" s="117"/>
    </row>
    <row r="65" spans="1:26">
      <c r="A65" s="117"/>
      <c r="B65" s="117"/>
      <c r="C65" s="117"/>
      <c r="D65" s="117"/>
      <c r="E65" s="117"/>
      <c r="F65" s="117"/>
      <c r="G65" s="117"/>
      <c r="H65" s="117"/>
      <c r="I65" s="117"/>
      <c r="J65" s="117"/>
      <c r="K65" s="117"/>
      <c r="L65" s="117"/>
      <c r="M65" s="117"/>
      <c r="N65" s="117"/>
      <c r="O65" s="117"/>
      <c r="P65" s="117"/>
      <c r="Q65" s="200"/>
      <c r="R65" s="239"/>
      <c r="S65" s="239"/>
      <c r="T65" s="239"/>
      <c r="U65" s="216"/>
      <c r="V65" s="217"/>
      <c r="W65" s="233"/>
      <c r="X65" s="123"/>
      <c r="Y65" s="117"/>
      <c r="Z65" s="117"/>
    </row>
    <row r="66" spans="1:26">
      <c r="A66" s="117"/>
      <c r="B66" s="117"/>
      <c r="C66" s="117"/>
      <c r="D66" s="117"/>
      <c r="E66" s="117"/>
      <c r="F66" s="117"/>
      <c r="G66" s="117"/>
      <c r="H66" s="117"/>
      <c r="I66" s="117"/>
      <c r="J66" s="117"/>
      <c r="K66" s="117"/>
      <c r="L66" s="117"/>
      <c r="M66" s="117"/>
      <c r="N66" s="117"/>
      <c r="O66" s="117"/>
      <c r="P66" s="117"/>
      <c r="Q66" s="200"/>
      <c r="R66" s="239"/>
      <c r="S66" s="239"/>
      <c r="T66" s="239"/>
      <c r="U66" s="216"/>
      <c r="V66" s="217"/>
      <c r="W66" s="233"/>
      <c r="X66" s="123"/>
      <c r="Y66" s="117"/>
      <c r="Z66" s="117"/>
    </row>
    <row r="67" spans="1:26">
      <c r="A67" s="117"/>
      <c r="B67" s="117"/>
      <c r="C67" s="117"/>
      <c r="D67" s="117"/>
      <c r="E67" s="117"/>
      <c r="F67" s="117"/>
      <c r="G67" s="117"/>
      <c r="H67" s="117"/>
      <c r="I67" s="117"/>
      <c r="J67" s="117"/>
      <c r="K67" s="117"/>
      <c r="L67" s="117"/>
      <c r="M67" s="117"/>
      <c r="N67" s="117"/>
      <c r="O67" s="117"/>
      <c r="P67" s="117"/>
      <c r="Q67" s="200"/>
      <c r="R67" s="239"/>
      <c r="S67" s="239"/>
      <c r="T67" s="239"/>
      <c r="U67" s="216"/>
      <c r="V67" s="217"/>
      <c r="W67" s="233"/>
      <c r="X67" s="123"/>
      <c r="Y67" s="117"/>
      <c r="Z67" s="117"/>
    </row>
    <row r="68" spans="1:26">
      <c r="A68" s="117"/>
      <c r="B68" s="117"/>
      <c r="C68" s="117"/>
      <c r="D68" s="117"/>
      <c r="E68" s="117"/>
      <c r="F68" s="117"/>
      <c r="G68" s="117"/>
      <c r="H68" s="117"/>
      <c r="I68" s="117"/>
      <c r="J68" s="117"/>
      <c r="K68" s="117"/>
      <c r="L68" s="117"/>
      <c r="M68" s="117"/>
      <c r="N68" s="117"/>
      <c r="O68" s="117"/>
      <c r="P68" s="117"/>
      <c r="Q68" s="200"/>
      <c r="R68" s="239"/>
      <c r="S68" s="239"/>
      <c r="T68" s="239"/>
      <c r="U68" s="216"/>
      <c r="V68" s="217"/>
      <c r="W68" s="233"/>
      <c r="X68" s="123"/>
      <c r="Y68" s="117"/>
      <c r="Z68" s="117"/>
    </row>
    <row r="69" spans="1:26">
      <c r="A69" s="117"/>
      <c r="B69" s="117"/>
      <c r="C69" s="117"/>
      <c r="D69" s="117"/>
      <c r="E69" s="117"/>
      <c r="F69" s="117"/>
      <c r="G69" s="117"/>
      <c r="H69" s="117"/>
      <c r="I69" s="117"/>
      <c r="J69" s="117"/>
      <c r="K69" s="117"/>
      <c r="L69" s="117"/>
      <c r="M69" s="117"/>
      <c r="N69" s="117"/>
      <c r="O69" s="117"/>
      <c r="P69" s="117"/>
      <c r="Q69" s="200"/>
      <c r="R69" s="239"/>
      <c r="S69" s="239"/>
      <c r="T69" s="239"/>
      <c r="U69" s="216"/>
      <c r="V69" s="217"/>
      <c r="W69" s="233"/>
      <c r="X69" s="123"/>
      <c r="Y69" s="117"/>
      <c r="Z69" s="117"/>
    </row>
    <row r="70" spans="1:26">
      <c r="A70" s="117"/>
      <c r="B70" s="117"/>
      <c r="C70" s="117"/>
      <c r="D70" s="117"/>
      <c r="E70" s="117"/>
      <c r="F70" s="117"/>
      <c r="G70" s="117"/>
      <c r="H70" s="117"/>
      <c r="I70" s="117"/>
      <c r="J70" s="117"/>
      <c r="K70" s="117"/>
      <c r="L70" s="117"/>
      <c r="M70" s="117"/>
      <c r="N70" s="117"/>
      <c r="O70" s="117"/>
      <c r="P70" s="117"/>
      <c r="Q70" s="200"/>
      <c r="R70" s="239"/>
      <c r="S70" s="239"/>
      <c r="T70" s="239"/>
      <c r="U70" s="216"/>
      <c r="V70" s="217"/>
      <c r="W70" s="233"/>
      <c r="X70" s="123"/>
      <c r="Y70" s="117"/>
      <c r="Z70" s="117"/>
    </row>
    <row r="71" spans="1:26">
      <c r="A71" s="117"/>
      <c r="B71" s="117"/>
      <c r="C71" s="117"/>
      <c r="D71" s="117"/>
      <c r="E71" s="117"/>
      <c r="F71" s="117"/>
      <c r="G71" s="117"/>
      <c r="H71" s="117"/>
      <c r="I71" s="117"/>
      <c r="J71" s="117"/>
      <c r="K71" s="117"/>
      <c r="L71" s="117"/>
      <c r="M71" s="117"/>
      <c r="N71" s="117"/>
      <c r="O71" s="117"/>
      <c r="P71" s="117"/>
      <c r="Q71" s="200"/>
      <c r="R71" s="239"/>
      <c r="S71" s="239"/>
      <c r="T71" s="239"/>
      <c r="U71" s="216"/>
      <c r="V71" s="217"/>
      <c r="W71" s="233"/>
      <c r="X71" s="123"/>
      <c r="Y71" s="117"/>
      <c r="Z71" s="117"/>
    </row>
    <row r="72" spans="1:26">
      <c r="A72" s="117"/>
      <c r="B72" s="117"/>
      <c r="C72" s="117"/>
      <c r="D72" s="117"/>
      <c r="E72" s="117"/>
      <c r="F72" s="117"/>
      <c r="G72" s="117"/>
      <c r="H72" s="117"/>
      <c r="I72" s="117"/>
      <c r="J72" s="117"/>
      <c r="K72" s="117"/>
      <c r="L72" s="117"/>
      <c r="M72" s="117"/>
      <c r="N72" s="117"/>
      <c r="O72" s="117"/>
      <c r="P72" s="117"/>
      <c r="Q72" s="200"/>
      <c r="R72" s="239"/>
      <c r="S72" s="239"/>
      <c r="T72" s="239"/>
      <c r="U72" s="216"/>
      <c r="V72" s="217"/>
      <c r="W72" s="233"/>
      <c r="X72" s="123"/>
      <c r="Y72" s="117"/>
      <c r="Z72" s="117"/>
    </row>
    <row r="73" spans="1:26">
      <c r="A73" s="117"/>
      <c r="B73" s="117"/>
      <c r="C73" s="117"/>
      <c r="D73" s="117"/>
      <c r="E73" s="117"/>
      <c r="F73" s="117"/>
      <c r="G73" s="117"/>
      <c r="H73" s="117"/>
      <c r="I73" s="117"/>
      <c r="J73" s="117"/>
      <c r="K73" s="117"/>
      <c r="L73" s="117"/>
      <c r="M73" s="117"/>
      <c r="N73" s="117"/>
      <c r="O73" s="117"/>
      <c r="P73" s="117"/>
      <c r="Q73" s="200"/>
      <c r="R73" s="239"/>
      <c r="S73" s="239"/>
      <c r="T73" s="239"/>
      <c r="U73" s="216"/>
      <c r="V73" s="217"/>
      <c r="W73" s="233"/>
      <c r="X73" s="123"/>
      <c r="Y73" s="117"/>
      <c r="Z73" s="117"/>
    </row>
    <row r="74" spans="1:26">
      <c r="A74" s="117"/>
      <c r="B74" s="117"/>
      <c r="C74" s="117"/>
      <c r="D74" s="117"/>
      <c r="E74" s="117"/>
      <c r="F74" s="117"/>
      <c r="G74" s="117"/>
      <c r="H74" s="117"/>
      <c r="I74" s="117"/>
      <c r="J74" s="117"/>
      <c r="K74" s="117"/>
      <c r="L74" s="117"/>
      <c r="M74" s="117"/>
      <c r="N74" s="117"/>
      <c r="O74" s="117"/>
      <c r="P74" s="117"/>
      <c r="Q74" s="200"/>
      <c r="R74" s="239"/>
      <c r="S74" s="239"/>
      <c r="T74" s="239"/>
      <c r="U74" s="216"/>
      <c r="V74" s="217"/>
      <c r="W74" s="233"/>
      <c r="X74" s="123"/>
      <c r="Y74" s="117"/>
      <c r="Z74" s="117"/>
    </row>
    <row r="75" spans="1:26">
      <c r="A75" s="117"/>
      <c r="B75" s="117"/>
      <c r="C75" s="117"/>
      <c r="D75" s="117"/>
      <c r="E75" s="117"/>
      <c r="F75" s="117"/>
      <c r="G75" s="117"/>
      <c r="H75" s="117"/>
      <c r="I75" s="117"/>
      <c r="J75" s="117"/>
      <c r="K75" s="117"/>
      <c r="L75" s="117"/>
      <c r="M75" s="117"/>
      <c r="N75" s="117"/>
      <c r="O75" s="117"/>
      <c r="P75" s="117"/>
      <c r="Q75" s="200"/>
      <c r="R75" s="239"/>
      <c r="S75" s="239"/>
      <c r="T75" s="239"/>
      <c r="U75" s="216"/>
      <c r="V75" s="217"/>
      <c r="W75" s="233"/>
      <c r="X75" s="123"/>
      <c r="Y75" s="117"/>
      <c r="Z75" s="117"/>
    </row>
    <row r="76" spans="1:26">
      <c r="A76" s="117"/>
      <c r="B76" s="117"/>
      <c r="C76" s="117"/>
      <c r="D76" s="117"/>
      <c r="E76" s="117"/>
      <c r="F76" s="117"/>
      <c r="G76" s="117"/>
      <c r="H76" s="117"/>
      <c r="I76" s="117"/>
      <c r="J76" s="117"/>
      <c r="K76" s="117"/>
      <c r="L76" s="117"/>
      <c r="M76" s="117"/>
      <c r="N76" s="117"/>
      <c r="O76" s="117"/>
      <c r="P76" s="117"/>
      <c r="Q76" s="200"/>
      <c r="R76" s="239"/>
      <c r="S76" s="239"/>
      <c r="T76" s="239"/>
      <c r="U76" s="216"/>
      <c r="V76" s="217"/>
      <c r="W76" s="233"/>
      <c r="X76" s="123"/>
      <c r="Y76" s="117"/>
      <c r="Z76" s="117"/>
    </row>
    <row r="77" spans="1:26">
      <c r="A77" s="117"/>
      <c r="B77" s="117"/>
      <c r="C77" s="117"/>
      <c r="D77" s="117"/>
      <c r="E77" s="117"/>
      <c r="F77" s="117"/>
      <c r="G77" s="117"/>
      <c r="H77" s="117"/>
      <c r="I77" s="117"/>
      <c r="J77" s="117"/>
      <c r="K77" s="117"/>
      <c r="L77" s="117"/>
      <c r="M77" s="117"/>
      <c r="N77" s="117"/>
      <c r="O77" s="117"/>
      <c r="P77" s="117"/>
      <c r="Q77" s="200"/>
      <c r="R77" s="239"/>
      <c r="S77" s="239"/>
      <c r="T77" s="239"/>
      <c r="U77" s="216"/>
      <c r="V77" s="217"/>
      <c r="W77" s="233"/>
      <c r="X77" s="123"/>
      <c r="Y77" s="117"/>
      <c r="Z77" s="117"/>
    </row>
    <row r="78" spans="1:26">
      <c r="A78" s="117"/>
      <c r="B78" s="117"/>
      <c r="C78" s="117"/>
      <c r="D78" s="117"/>
      <c r="E78" s="117"/>
      <c r="F78" s="117"/>
      <c r="G78" s="117"/>
      <c r="H78" s="117"/>
      <c r="I78" s="117"/>
      <c r="J78" s="117"/>
      <c r="K78" s="117"/>
      <c r="L78" s="117"/>
      <c r="M78" s="117"/>
      <c r="N78" s="117"/>
      <c r="O78" s="117"/>
      <c r="P78" s="117"/>
      <c r="Q78" s="200"/>
      <c r="R78" s="239"/>
      <c r="S78" s="239"/>
      <c r="T78" s="239"/>
      <c r="U78" s="216"/>
      <c r="V78" s="217"/>
      <c r="W78" s="233"/>
      <c r="X78" s="123"/>
      <c r="Y78" s="117"/>
      <c r="Z78" s="117"/>
    </row>
    <row r="79" spans="1:26">
      <c r="A79" s="117"/>
      <c r="B79" s="117"/>
      <c r="C79" s="117"/>
      <c r="D79" s="117"/>
      <c r="E79" s="117"/>
      <c r="F79" s="117"/>
      <c r="G79" s="117"/>
      <c r="H79" s="117"/>
      <c r="I79" s="117"/>
      <c r="J79" s="117"/>
      <c r="K79" s="117"/>
      <c r="L79" s="117"/>
      <c r="M79" s="117"/>
      <c r="N79" s="117"/>
      <c r="O79" s="117"/>
      <c r="P79" s="117"/>
      <c r="Q79" s="200"/>
      <c r="R79" s="239"/>
      <c r="S79" s="239"/>
      <c r="T79" s="239"/>
      <c r="U79" s="216"/>
      <c r="V79" s="217"/>
      <c r="W79" s="233"/>
      <c r="X79" s="123"/>
      <c r="Y79" s="117"/>
      <c r="Z79" s="117"/>
    </row>
    <row r="80" spans="1:26">
      <c r="A80" s="117"/>
      <c r="B80" s="117"/>
      <c r="C80" s="117"/>
      <c r="D80" s="117"/>
      <c r="E80" s="117"/>
      <c r="F80" s="117"/>
      <c r="G80" s="117"/>
      <c r="H80" s="117"/>
      <c r="I80" s="117"/>
      <c r="J80" s="117"/>
      <c r="K80" s="117"/>
      <c r="L80" s="117"/>
      <c r="M80" s="117"/>
      <c r="N80" s="117"/>
      <c r="O80" s="117"/>
      <c r="P80" s="117"/>
      <c r="Q80" s="200"/>
      <c r="R80" s="239"/>
      <c r="S80" s="239"/>
      <c r="T80" s="239"/>
      <c r="U80" s="216"/>
      <c r="V80" s="217"/>
      <c r="W80" s="233"/>
      <c r="X80" s="123"/>
      <c r="Y80" s="117"/>
      <c r="Z80" s="117"/>
    </row>
    <row r="81" spans="1:26">
      <c r="A81" s="117"/>
      <c r="B81" s="117"/>
      <c r="C81" s="117"/>
      <c r="D81" s="117"/>
      <c r="E81" s="117"/>
      <c r="F81" s="117"/>
      <c r="G81" s="117"/>
      <c r="H81" s="117"/>
      <c r="I81" s="117"/>
      <c r="J81" s="117"/>
      <c r="K81" s="117"/>
      <c r="L81" s="117"/>
      <c r="M81" s="117"/>
      <c r="N81" s="117"/>
      <c r="O81" s="117"/>
      <c r="P81" s="117"/>
      <c r="Q81" s="200"/>
      <c r="R81" s="239"/>
      <c r="S81" s="239"/>
      <c r="T81" s="239"/>
      <c r="U81" s="216"/>
      <c r="V81" s="217"/>
      <c r="W81" s="233"/>
      <c r="X81" s="123"/>
      <c r="Y81" s="117"/>
      <c r="Z81" s="117"/>
    </row>
    <row r="82" spans="1:26">
      <c r="A82" s="117"/>
      <c r="B82" s="117"/>
      <c r="C82" s="117"/>
      <c r="D82" s="117"/>
      <c r="E82" s="117"/>
      <c r="F82" s="117"/>
      <c r="G82" s="117"/>
      <c r="H82" s="117"/>
      <c r="I82" s="117"/>
      <c r="J82" s="117"/>
      <c r="K82" s="117"/>
      <c r="L82" s="117"/>
      <c r="M82" s="117"/>
      <c r="N82" s="117"/>
      <c r="O82" s="117"/>
      <c r="P82" s="117"/>
      <c r="Q82" s="200"/>
      <c r="R82" s="239"/>
      <c r="S82" s="239"/>
      <c r="T82" s="239"/>
      <c r="U82" s="216"/>
      <c r="V82" s="217"/>
      <c r="W82" s="233"/>
      <c r="X82" s="123"/>
      <c r="Y82" s="117"/>
      <c r="Z82" s="117"/>
    </row>
    <row r="83" spans="1:26">
      <c r="A83" s="117"/>
      <c r="B83" s="117"/>
      <c r="C83" s="117"/>
      <c r="D83" s="117"/>
      <c r="E83" s="117"/>
      <c r="F83" s="117"/>
      <c r="G83" s="117"/>
      <c r="H83" s="117"/>
      <c r="I83" s="117"/>
      <c r="J83" s="117"/>
      <c r="K83" s="117"/>
      <c r="L83" s="117"/>
      <c r="M83" s="117"/>
      <c r="N83" s="117"/>
      <c r="O83" s="117"/>
      <c r="P83" s="117"/>
      <c r="Q83" s="200"/>
      <c r="R83" s="239"/>
      <c r="S83" s="239"/>
      <c r="T83" s="239"/>
      <c r="U83" s="216"/>
      <c r="V83" s="217"/>
      <c r="W83" s="233"/>
      <c r="X83" s="123"/>
      <c r="Y83" s="117"/>
      <c r="Z83" s="117"/>
    </row>
    <row r="84" spans="1:26">
      <c r="A84" s="117"/>
      <c r="B84" s="117"/>
      <c r="C84" s="117"/>
      <c r="D84" s="117"/>
      <c r="E84" s="117"/>
      <c r="F84" s="117"/>
      <c r="G84" s="117"/>
      <c r="H84" s="117"/>
      <c r="I84" s="117"/>
      <c r="J84" s="117"/>
      <c r="K84" s="117"/>
      <c r="L84" s="117"/>
      <c r="M84" s="117"/>
      <c r="N84" s="117"/>
      <c r="O84" s="117"/>
      <c r="P84" s="117"/>
      <c r="Q84" s="200"/>
      <c r="R84" s="239"/>
      <c r="S84" s="239"/>
      <c r="T84" s="239"/>
      <c r="U84" s="216"/>
      <c r="V84" s="217"/>
      <c r="W84" s="233"/>
      <c r="X84" s="123"/>
      <c r="Y84" s="117"/>
      <c r="Z84" s="117"/>
    </row>
    <row r="85" spans="1:26">
      <c r="A85" s="117"/>
      <c r="B85" s="117"/>
      <c r="C85" s="117"/>
      <c r="D85" s="117"/>
      <c r="E85" s="117"/>
      <c r="F85" s="117"/>
      <c r="G85" s="117"/>
      <c r="H85" s="117"/>
      <c r="I85" s="117"/>
      <c r="J85" s="117"/>
      <c r="K85" s="117"/>
      <c r="L85" s="117"/>
      <c r="M85" s="117"/>
      <c r="N85" s="117"/>
      <c r="O85" s="117"/>
      <c r="P85" s="117"/>
      <c r="Q85" s="200"/>
      <c r="R85" s="239"/>
      <c r="S85" s="239"/>
      <c r="T85" s="239"/>
      <c r="U85" s="216"/>
      <c r="V85" s="217"/>
      <c r="W85" s="233"/>
      <c r="X85" s="123"/>
      <c r="Y85" s="117"/>
      <c r="Z85" s="117"/>
    </row>
    <row r="86" spans="1:26">
      <c r="A86" s="117"/>
      <c r="B86" s="117"/>
      <c r="C86" s="117"/>
      <c r="D86" s="117"/>
      <c r="E86" s="117"/>
      <c r="F86" s="117"/>
      <c r="G86" s="117"/>
      <c r="H86" s="117"/>
      <c r="I86" s="117"/>
      <c r="J86" s="117"/>
      <c r="K86" s="117"/>
      <c r="L86" s="117"/>
      <c r="M86" s="117"/>
      <c r="N86" s="117"/>
      <c r="O86" s="117"/>
      <c r="P86" s="117"/>
      <c r="Q86" s="200"/>
      <c r="R86" s="239"/>
      <c r="S86" s="239"/>
      <c r="T86" s="239"/>
      <c r="U86" s="216"/>
      <c r="V86" s="217"/>
      <c r="W86" s="233"/>
      <c r="X86" s="123"/>
      <c r="Y86" s="117"/>
      <c r="Z86" s="117"/>
    </row>
    <row r="87" spans="1:26">
      <c r="A87" s="117"/>
      <c r="B87" s="117"/>
      <c r="C87" s="117"/>
      <c r="D87" s="117"/>
      <c r="E87" s="117"/>
      <c r="F87" s="117"/>
      <c r="G87" s="117"/>
      <c r="H87" s="117"/>
      <c r="I87" s="117"/>
      <c r="J87" s="117"/>
      <c r="K87" s="117"/>
      <c r="L87" s="117"/>
      <c r="M87" s="117"/>
      <c r="N87" s="117"/>
      <c r="O87" s="117"/>
      <c r="P87" s="117"/>
      <c r="Q87" s="200"/>
      <c r="R87" s="239"/>
      <c r="S87" s="239"/>
      <c r="T87" s="239"/>
      <c r="U87" s="216"/>
      <c r="V87" s="217"/>
      <c r="W87" s="233"/>
      <c r="X87" s="123"/>
      <c r="Y87" s="117"/>
      <c r="Z87" s="117"/>
    </row>
    <row r="88" spans="1:26">
      <c r="A88" s="117"/>
      <c r="B88" s="117"/>
      <c r="C88" s="117"/>
      <c r="D88" s="117"/>
      <c r="E88" s="117"/>
      <c r="F88" s="117"/>
      <c r="G88" s="117"/>
      <c r="H88" s="117"/>
      <c r="I88" s="117"/>
      <c r="J88" s="117"/>
      <c r="K88" s="117"/>
      <c r="L88" s="117"/>
      <c r="M88" s="117"/>
      <c r="N88" s="117"/>
      <c r="O88" s="117"/>
      <c r="P88" s="117"/>
      <c r="Q88" s="200"/>
      <c r="R88" s="239"/>
      <c r="S88" s="239"/>
      <c r="T88" s="239"/>
      <c r="U88" s="216"/>
      <c r="V88" s="217"/>
      <c r="W88" s="233"/>
      <c r="X88" s="123"/>
      <c r="Y88" s="117"/>
      <c r="Z88" s="117"/>
    </row>
    <row r="89" spans="1:26">
      <c r="A89" s="117"/>
      <c r="B89" s="117"/>
      <c r="C89" s="117"/>
      <c r="D89" s="117"/>
      <c r="E89" s="117"/>
      <c r="F89" s="117"/>
      <c r="G89" s="117"/>
      <c r="H89" s="117"/>
      <c r="I89" s="117"/>
      <c r="J89" s="117"/>
      <c r="K89" s="117"/>
      <c r="L89" s="117"/>
      <c r="M89" s="117"/>
      <c r="N89" s="117"/>
      <c r="O89" s="117"/>
      <c r="P89" s="117"/>
      <c r="Q89" s="200"/>
      <c r="R89" s="239"/>
      <c r="S89" s="239"/>
      <c r="T89" s="239"/>
      <c r="U89" s="216"/>
      <c r="V89" s="217"/>
      <c r="W89" s="233"/>
      <c r="X89" s="123"/>
      <c r="Y89" s="117"/>
      <c r="Z89" s="117"/>
    </row>
    <row r="90" spans="1:26">
      <c r="A90" s="117"/>
      <c r="B90" s="117"/>
      <c r="C90" s="117"/>
      <c r="D90" s="117"/>
      <c r="E90" s="117"/>
      <c r="F90" s="117"/>
      <c r="G90" s="117"/>
      <c r="H90" s="117"/>
      <c r="I90" s="117"/>
      <c r="J90" s="117"/>
      <c r="K90" s="117"/>
      <c r="L90" s="117"/>
      <c r="M90" s="117"/>
      <c r="N90" s="117"/>
      <c r="O90" s="117"/>
      <c r="P90" s="117"/>
      <c r="Q90" s="200"/>
      <c r="R90" s="239"/>
      <c r="S90" s="239"/>
      <c r="T90" s="239"/>
      <c r="U90" s="216"/>
      <c r="V90" s="217"/>
      <c r="W90" s="233"/>
      <c r="X90" s="123"/>
      <c r="Y90" s="117"/>
      <c r="Z90" s="117"/>
    </row>
    <row r="91" spans="1:26">
      <c r="A91" s="117"/>
      <c r="B91" s="117"/>
      <c r="C91" s="117"/>
      <c r="D91" s="117"/>
      <c r="E91" s="117"/>
      <c r="F91" s="117"/>
      <c r="G91" s="117"/>
      <c r="H91" s="117"/>
      <c r="I91" s="117"/>
      <c r="J91" s="117"/>
      <c r="K91" s="117"/>
      <c r="L91" s="117"/>
      <c r="M91" s="117"/>
      <c r="N91" s="117"/>
      <c r="O91" s="117"/>
      <c r="P91" s="117"/>
      <c r="Q91" s="200"/>
      <c r="R91" s="239"/>
      <c r="S91" s="239"/>
      <c r="T91" s="239"/>
      <c r="U91" s="216"/>
      <c r="V91" s="217"/>
      <c r="W91" s="233"/>
      <c r="X91" s="123"/>
      <c r="Y91" s="117"/>
      <c r="Z91" s="117"/>
    </row>
    <row r="92" spans="1:26">
      <c r="A92" s="117"/>
      <c r="B92" s="117"/>
      <c r="C92" s="117"/>
      <c r="D92" s="117"/>
      <c r="E92" s="117"/>
      <c r="F92" s="117"/>
      <c r="G92" s="117"/>
      <c r="H92" s="117"/>
      <c r="I92" s="117"/>
      <c r="J92" s="117"/>
      <c r="K92" s="117"/>
      <c r="L92" s="117"/>
      <c r="M92" s="117"/>
      <c r="N92" s="117"/>
      <c r="O92" s="117"/>
      <c r="P92" s="117"/>
      <c r="Q92" s="200"/>
      <c r="R92" s="239"/>
      <c r="S92" s="239"/>
      <c r="T92" s="239"/>
      <c r="U92" s="216"/>
      <c r="V92" s="217"/>
      <c r="W92" s="233"/>
      <c r="X92" s="123"/>
      <c r="Y92" s="117"/>
      <c r="Z92" s="117"/>
    </row>
    <row r="93" spans="1:26">
      <c r="A93" s="117"/>
      <c r="B93" s="117"/>
      <c r="C93" s="117"/>
      <c r="D93" s="117"/>
      <c r="E93" s="117"/>
      <c r="F93" s="117"/>
      <c r="G93" s="117"/>
      <c r="H93" s="117"/>
      <c r="I93" s="117"/>
      <c r="J93" s="117"/>
      <c r="K93" s="117"/>
      <c r="L93" s="117"/>
      <c r="M93" s="117"/>
      <c r="N93" s="117"/>
      <c r="O93" s="117"/>
      <c r="P93" s="117"/>
      <c r="Q93" s="200"/>
      <c r="R93" s="239"/>
      <c r="S93" s="239"/>
      <c r="T93" s="239"/>
      <c r="U93" s="216"/>
      <c r="V93" s="217"/>
      <c r="W93" s="233"/>
      <c r="X93" s="123"/>
      <c r="Y93" s="117"/>
      <c r="Z93" s="117"/>
    </row>
    <row r="94" spans="1:26">
      <c r="A94" s="117"/>
      <c r="B94" s="117"/>
      <c r="C94" s="117"/>
      <c r="D94" s="117"/>
      <c r="E94" s="117"/>
      <c r="F94" s="117"/>
      <c r="G94" s="117"/>
      <c r="H94" s="117"/>
      <c r="I94" s="117"/>
      <c r="J94" s="117"/>
      <c r="K94" s="117"/>
      <c r="L94" s="117"/>
      <c r="M94" s="117"/>
      <c r="N94" s="117"/>
      <c r="O94" s="117"/>
      <c r="P94" s="117"/>
      <c r="Q94" s="200"/>
      <c r="R94" s="239"/>
      <c r="S94" s="239"/>
      <c r="T94" s="239"/>
      <c r="U94" s="216"/>
      <c r="V94" s="217"/>
      <c r="W94" s="233"/>
      <c r="X94" s="123"/>
      <c r="Y94" s="117"/>
      <c r="Z94" s="117"/>
    </row>
    <row r="95" spans="1:26">
      <c r="A95" s="117"/>
      <c r="B95" s="117"/>
      <c r="C95" s="117"/>
      <c r="D95" s="117"/>
      <c r="E95" s="117"/>
      <c r="F95" s="117"/>
      <c r="G95" s="117"/>
      <c r="H95" s="117"/>
      <c r="I95" s="117"/>
      <c r="J95" s="117"/>
      <c r="K95" s="117"/>
      <c r="L95" s="117"/>
      <c r="M95" s="117"/>
      <c r="N95" s="117"/>
      <c r="O95" s="117"/>
      <c r="P95" s="117"/>
      <c r="Q95" s="200"/>
      <c r="R95" s="239"/>
      <c r="S95" s="239"/>
      <c r="T95" s="239"/>
      <c r="U95" s="216"/>
      <c r="V95" s="217"/>
      <c r="W95" s="233"/>
      <c r="X95" s="123"/>
      <c r="Y95" s="117"/>
      <c r="Z95" s="117"/>
    </row>
    <row r="96" spans="1:26">
      <c r="A96" s="117"/>
      <c r="B96" s="117"/>
      <c r="C96" s="117"/>
      <c r="D96" s="117"/>
      <c r="E96" s="117"/>
      <c r="F96" s="117"/>
      <c r="G96" s="117"/>
      <c r="H96" s="117"/>
      <c r="I96" s="117"/>
      <c r="J96" s="117"/>
      <c r="K96" s="117"/>
      <c r="L96" s="117"/>
      <c r="M96" s="117"/>
      <c r="N96" s="117"/>
      <c r="O96" s="117"/>
      <c r="P96" s="117"/>
      <c r="Q96" s="200"/>
      <c r="R96" s="239"/>
      <c r="S96" s="239"/>
      <c r="T96" s="239"/>
      <c r="U96" s="216"/>
      <c r="V96" s="217"/>
      <c r="W96" s="233"/>
      <c r="X96" s="123"/>
      <c r="Y96" s="117"/>
      <c r="Z96" s="117"/>
    </row>
    <row r="97" spans="1:26">
      <c r="A97" s="117"/>
      <c r="B97" s="117"/>
      <c r="C97" s="117"/>
      <c r="D97" s="117"/>
      <c r="E97" s="117"/>
      <c r="F97" s="117"/>
      <c r="G97" s="117"/>
      <c r="H97" s="117"/>
      <c r="I97" s="117"/>
      <c r="J97" s="117"/>
      <c r="K97" s="117"/>
      <c r="L97" s="117"/>
      <c r="M97" s="117"/>
      <c r="N97" s="117"/>
      <c r="O97" s="117"/>
      <c r="P97" s="117"/>
      <c r="Q97" s="200"/>
      <c r="R97" s="239"/>
      <c r="S97" s="239"/>
      <c r="T97" s="239"/>
      <c r="U97" s="216"/>
      <c r="V97" s="217"/>
      <c r="W97" s="233"/>
      <c r="X97" s="123"/>
      <c r="Y97" s="117"/>
      <c r="Z97" s="117"/>
    </row>
    <row r="98" spans="1:26">
      <c r="A98" s="117"/>
      <c r="B98" s="117"/>
      <c r="C98" s="117"/>
      <c r="D98" s="117"/>
      <c r="E98" s="117"/>
      <c r="F98" s="117"/>
      <c r="G98" s="117"/>
      <c r="H98" s="117"/>
      <c r="I98" s="117"/>
      <c r="J98" s="117"/>
      <c r="K98" s="117"/>
      <c r="L98" s="117"/>
      <c r="M98" s="117"/>
      <c r="N98" s="117"/>
      <c r="O98" s="117"/>
      <c r="P98" s="117"/>
      <c r="Q98" s="200"/>
      <c r="R98" s="239"/>
      <c r="S98" s="239"/>
      <c r="T98" s="239"/>
      <c r="U98" s="216"/>
      <c r="V98" s="217"/>
      <c r="W98" s="233"/>
      <c r="X98" s="123"/>
      <c r="Y98" s="117"/>
      <c r="Z98" s="117"/>
    </row>
    <row r="99" spans="1:26">
      <c r="A99" s="117"/>
      <c r="B99" s="117"/>
      <c r="C99" s="117"/>
      <c r="D99" s="117"/>
      <c r="E99" s="117"/>
      <c r="F99" s="117"/>
      <c r="G99" s="117"/>
      <c r="H99" s="117"/>
      <c r="I99" s="117"/>
      <c r="J99" s="117"/>
      <c r="K99" s="117"/>
      <c r="L99" s="117"/>
      <c r="M99" s="117"/>
      <c r="N99" s="117"/>
      <c r="O99" s="117"/>
      <c r="P99" s="117"/>
      <c r="Q99" s="200"/>
      <c r="R99" s="239"/>
      <c r="S99" s="239"/>
      <c r="T99" s="239"/>
      <c r="U99" s="216"/>
      <c r="V99" s="217"/>
      <c r="W99" s="233"/>
      <c r="X99" s="123"/>
      <c r="Y99" s="117"/>
      <c r="Z99" s="117"/>
    </row>
    <row r="100" spans="1:26">
      <c r="A100" s="117"/>
      <c r="B100" s="117"/>
      <c r="C100" s="117"/>
      <c r="D100" s="117"/>
      <c r="E100" s="117"/>
      <c r="F100" s="117"/>
      <c r="G100" s="117"/>
      <c r="H100" s="117"/>
      <c r="I100" s="117"/>
      <c r="J100" s="117"/>
      <c r="K100" s="117"/>
      <c r="L100" s="117"/>
      <c r="M100" s="117"/>
      <c r="N100" s="117"/>
      <c r="O100" s="117"/>
      <c r="P100" s="117"/>
      <c r="Q100" s="200"/>
      <c r="R100" s="239"/>
      <c r="S100" s="239"/>
      <c r="T100" s="239"/>
      <c r="U100" s="216"/>
      <c r="V100" s="217"/>
      <c r="W100" s="233"/>
      <c r="X100" s="123"/>
      <c r="Y100" s="117"/>
      <c r="Z100" s="117"/>
    </row>
    <row r="101" spans="1:26">
      <c r="A101" s="117"/>
      <c r="B101" s="117"/>
      <c r="C101" s="117"/>
      <c r="D101" s="117"/>
      <c r="E101" s="117"/>
      <c r="F101" s="117"/>
      <c r="G101" s="117"/>
      <c r="H101" s="117"/>
      <c r="I101" s="117"/>
      <c r="J101" s="117"/>
      <c r="K101" s="117"/>
      <c r="L101" s="117"/>
      <c r="M101" s="117"/>
      <c r="N101" s="117"/>
      <c r="O101" s="117"/>
      <c r="P101" s="117"/>
      <c r="Q101" s="200"/>
      <c r="R101" s="239"/>
      <c r="S101" s="239"/>
      <c r="T101" s="239"/>
      <c r="U101" s="216"/>
      <c r="V101" s="217"/>
      <c r="W101" s="233"/>
      <c r="X101" s="123"/>
      <c r="Y101" s="117"/>
      <c r="Z101" s="117"/>
    </row>
    <row r="102" spans="1:26">
      <c r="A102" s="117"/>
      <c r="B102" s="117"/>
      <c r="C102" s="117"/>
      <c r="D102" s="117"/>
      <c r="E102" s="117"/>
      <c r="F102" s="117"/>
      <c r="G102" s="117"/>
      <c r="H102" s="117"/>
      <c r="I102" s="117"/>
      <c r="J102" s="117"/>
      <c r="K102" s="117"/>
      <c r="L102" s="117"/>
      <c r="M102" s="117"/>
      <c r="N102" s="117"/>
      <c r="O102" s="117"/>
      <c r="P102" s="117"/>
      <c r="Q102" s="200"/>
      <c r="R102" s="239"/>
      <c r="S102" s="239"/>
      <c r="T102" s="239"/>
      <c r="U102" s="216"/>
      <c r="V102" s="217"/>
      <c r="W102" s="233"/>
      <c r="X102" s="123"/>
      <c r="Y102" s="117"/>
      <c r="Z102" s="117"/>
    </row>
    <row r="103" spans="1:26">
      <c r="A103" s="117"/>
      <c r="B103" s="117"/>
      <c r="C103" s="117"/>
      <c r="D103" s="117"/>
      <c r="E103" s="117"/>
      <c r="F103" s="117"/>
      <c r="G103" s="117"/>
      <c r="H103" s="117"/>
      <c r="I103" s="117"/>
      <c r="J103" s="117"/>
      <c r="K103" s="117"/>
      <c r="L103" s="117"/>
      <c r="M103" s="117"/>
      <c r="N103" s="117"/>
      <c r="O103" s="117"/>
      <c r="P103" s="117"/>
      <c r="Q103" s="200"/>
      <c r="R103" s="239"/>
      <c r="S103" s="239"/>
      <c r="T103" s="239"/>
      <c r="U103" s="216"/>
      <c r="V103" s="217"/>
      <c r="W103" s="233"/>
      <c r="X103" s="123"/>
      <c r="Y103" s="117"/>
      <c r="Z103" s="117"/>
    </row>
    <row r="104" spans="1:26">
      <c r="A104" s="117"/>
      <c r="B104" s="117"/>
      <c r="C104" s="117"/>
      <c r="D104" s="117"/>
      <c r="E104" s="117"/>
      <c r="F104" s="117"/>
      <c r="G104" s="117"/>
      <c r="H104" s="117"/>
      <c r="I104" s="117"/>
      <c r="J104" s="117"/>
      <c r="K104" s="117"/>
      <c r="L104" s="117"/>
      <c r="M104" s="117"/>
      <c r="N104" s="117"/>
      <c r="O104" s="117"/>
      <c r="P104" s="117"/>
      <c r="Q104" s="200"/>
      <c r="R104" s="239"/>
      <c r="S104" s="239"/>
      <c r="T104" s="239"/>
      <c r="U104" s="216"/>
      <c r="V104" s="217"/>
      <c r="W104" s="233"/>
      <c r="X104" s="123"/>
      <c r="Y104" s="117"/>
      <c r="Z104" s="117"/>
    </row>
    <row r="105" spans="1:26">
      <c r="A105" s="117"/>
      <c r="B105" s="117"/>
      <c r="C105" s="117"/>
      <c r="D105" s="117"/>
      <c r="E105" s="117"/>
      <c r="F105" s="117"/>
      <c r="G105" s="117"/>
      <c r="H105" s="117"/>
      <c r="I105" s="117"/>
      <c r="J105" s="117"/>
      <c r="K105" s="117"/>
      <c r="L105" s="117"/>
      <c r="M105" s="117"/>
      <c r="N105" s="117"/>
      <c r="O105" s="117"/>
      <c r="P105" s="117"/>
      <c r="Q105" s="200"/>
      <c r="R105" s="239"/>
      <c r="S105" s="239"/>
      <c r="T105" s="239"/>
      <c r="U105" s="216"/>
      <c r="V105" s="217"/>
      <c r="W105" s="233"/>
      <c r="X105" s="123"/>
      <c r="Y105" s="117"/>
      <c r="Z105" s="117"/>
    </row>
    <row r="106" spans="1:26">
      <c r="A106" s="117"/>
      <c r="B106" s="117"/>
      <c r="C106" s="117"/>
      <c r="D106" s="117"/>
      <c r="E106" s="117"/>
      <c r="F106" s="117"/>
      <c r="G106" s="117"/>
      <c r="H106" s="117"/>
      <c r="I106" s="117"/>
      <c r="J106" s="117"/>
      <c r="K106" s="117"/>
      <c r="L106" s="117"/>
      <c r="M106" s="117"/>
      <c r="N106" s="117"/>
      <c r="O106" s="117"/>
      <c r="P106" s="117"/>
      <c r="Q106" s="200"/>
      <c r="R106" s="239"/>
      <c r="S106" s="239"/>
      <c r="T106" s="239"/>
      <c r="U106" s="216"/>
      <c r="V106" s="217"/>
      <c r="W106" s="233"/>
      <c r="X106" s="123"/>
      <c r="Y106" s="117"/>
      <c r="Z106" s="117"/>
    </row>
    <row r="107" spans="1:26">
      <c r="A107" s="117"/>
      <c r="B107" s="117"/>
      <c r="C107" s="117"/>
      <c r="D107" s="117"/>
      <c r="E107" s="117"/>
      <c r="F107" s="117"/>
      <c r="G107" s="117"/>
      <c r="H107" s="117"/>
      <c r="I107" s="117"/>
      <c r="J107" s="117"/>
      <c r="K107" s="117"/>
      <c r="L107" s="117"/>
      <c r="M107" s="117"/>
      <c r="N107" s="117"/>
      <c r="O107" s="117"/>
      <c r="P107" s="117"/>
      <c r="Q107" s="200"/>
      <c r="R107" s="239"/>
      <c r="S107" s="239"/>
      <c r="T107" s="239"/>
      <c r="U107" s="216"/>
      <c r="V107" s="217"/>
      <c r="W107" s="233"/>
      <c r="X107" s="123"/>
      <c r="Y107" s="117"/>
      <c r="Z107" s="117"/>
    </row>
    <row r="108" spans="1:26">
      <c r="A108" s="117"/>
      <c r="B108" s="117"/>
      <c r="C108" s="117"/>
      <c r="D108" s="117"/>
      <c r="E108" s="117"/>
      <c r="F108" s="117"/>
      <c r="G108" s="117"/>
      <c r="H108" s="117"/>
      <c r="I108" s="117"/>
      <c r="J108" s="117"/>
      <c r="K108" s="117"/>
      <c r="L108" s="117"/>
      <c r="M108" s="117"/>
      <c r="N108" s="117"/>
      <c r="O108" s="117"/>
      <c r="P108" s="117"/>
      <c r="Q108" s="200"/>
      <c r="R108" s="239"/>
      <c r="S108" s="239"/>
      <c r="T108" s="239"/>
      <c r="U108" s="216"/>
      <c r="V108" s="217"/>
      <c r="W108" s="233"/>
      <c r="X108" s="123"/>
      <c r="Y108" s="117"/>
      <c r="Z108" s="117"/>
    </row>
    <row r="109" spans="1:26">
      <c r="A109" s="117"/>
      <c r="B109" s="117"/>
      <c r="C109" s="117"/>
      <c r="D109" s="117"/>
      <c r="E109" s="117"/>
      <c r="F109" s="117"/>
      <c r="G109" s="117"/>
      <c r="H109" s="117"/>
      <c r="I109" s="117"/>
      <c r="J109" s="117"/>
      <c r="K109" s="117"/>
      <c r="L109" s="117"/>
      <c r="M109" s="117"/>
      <c r="N109" s="117"/>
      <c r="O109" s="117"/>
      <c r="P109" s="117"/>
      <c r="Q109" s="200"/>
      <c r="R109" s="239"/>
      <c r="S109" s="239"/>
      <c r="T109" s="239"/>
      <c r="U109" s="216"/>
      <c r="V109" s="217"/>
      <c r="W109" s="233"/>
      <c r="X109" s="123"/>
      <c r="Y109" s="117"/>
      <c r="Z109" s="117"/>
    </row>
  </sheetData>
  <hyperlinks>
    <hyperlink ref="F2" r:id="rId1" xr:uid="{00000000-0004-0000-0A00-000000000000}"/>
    <hyperlink ref="F13" r:id="rId2" xr:uid="{00000000-0004-0000-0A00-000001000000}"/>
  </hyperlinks>
  <pageMargins left="0.7" right="0.7" top="0.75" bottom="0.75" header="0.3" footer="0.3"/>
  <drawing r:id="rId3"/>
  <legacyDrawing r:id="rId4"/>
  <extLst>
    <ext xmlns:x14="http://schemas.microsoft.com/office/spreadsheetml/2009/9/main" uri="{CCE6A557-97BC-4b89-ADB6-D9C93CAAB3DF}">
      <x14:dataValidations xmlns:xm="http://schemas.microsoft.com/office/excel/2006/main" count="3">
        <x14:dataValidation type="list" allowBlank="1" xr:uid="{00000000-0002-0000-0A00-000000000000}">
          <x14:formula1>
            <xm:f>Fields!$D$2:$D$15</xm:f>
          </x14:formula1>
          <xm:sqref>B2:B23</xm:sqref>
        </x14:dataValidation>
        <x14:dataValidation type="list" allowBlank="1" xr:uid="{00000000-0002-0000-0A00-000001000000}">
          <x14:formula1>
            <xm:f>Fields!$F$2:$F$12</xm:f>
          </x14:formula1>
          <xm:sqref>C2:C23</xm:sqref>
        </x14:dataValidation>
        <x14:dataValidation type="list" allowBlank="1" xr:uid="{00000000-0002-0000-0A00-000002000000}">
          <x14:formula1>
            <xm:f>Fields!$A$2:$A$8</xm:f>
          </x14:formula1>
          <xm:sqref>D2:D23</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99"/>
  <sheetViews>
    <sheetView workbookViewId="0">
      <pane ySplit="1" topLeftCell="A2" activePane="bottomLeft" state="frozen"/>
      <selection pane="bottomLeft" activeCell="B3" sqref="B3"/>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 min="27" max="37" width="12.5703125" customWidth="1"/>
  </cols>
  <sheetData>
    <row r="1" spans="1:37" ht="45" customHeight="1">
      <c r="A1" s="2" t="s">
        <v>1</v>
      </c>
      <c r="B1" s="7" t="str">
        <f>HYPERLINK("#rangeid=2086300674","Content Owner")</f>
        <v>Content Owner</v>
      </c>
      <c r="C1" s="11" t="str">
        <f>HYPERLINK("#rangeid=632369931","Video Owner")</f>
        <v>Video Owner</v>
      </c>
      <c r="D1" s="13" t="s">
        <v>6</v>
      </c>
      <c r="E1" s="14" t="s">
        <v>12</v>
      </c>
      <c r="F1" s="16" t="s">
        <v>16</v>
      </c>
      <c r="G1" s="2" t="s">
        <v>18</v>
      </c>
      <c r="H1" s="26" t="str">
        <f>HYPERLINK("#rangeid=906849400","Description")</f>
        <v>Description</v>
      </c>
      <c r="I1" s="21" t="s">
        <v>22</v>
      </c>
      <c r="J1" s="2" t="s">
        <v>24</v>
      </c>
      <c r="K1" s="23" t="s">
        <v>25</v>
      </c>
      <c r="L1" s="2" t="s">
        <v>27</v>
      </c>
      <c r="M1" s="2" t="s">
        <v>28</v>
      </c>
      <c r="N1" s="2"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c r="AC1" s="37"/>
      <c r="AD1" s="37"/>
      <c r="AE1" s="37"/>
      <c r="AF1" s="37"/>
      <c r="AG1" s="37"/>
      <c r="AH1" s="37"/>
      <c r="AI1" s="37"/>
      <c r="AJ1" s="37"/>
      <c r="AK1" s="37"/>
    </row>
    <row r="2" spans="1:37">
      <c r="A2" s="117"/>
      <c r="B2" s="117"/>
      <c r="C2" s="117"/>
      <c r="D2" s="117"/>
      <c r="E2" s="117"/>
      <c r="F2" s="117"/>
      <c r="G2" s="117"/>
      <c r="H2" s="117"/>
      <c r="I2" s="117"/>
      <c r="J2" s="117"/>
      <c r="K2" s="117"/>
      <c r="L2" s="117"/>
      <c r="M2" s="117"/>
      <c r="N2" s="117"/>
      <c r="O2" s="117"/>
      <c r="P2" s="117"/>
      <c r="Q2" s="200"/>
      <c r="R2" s="119"/>
      <c r="S2" s="119"/>
      <c r="T2" s="119"/>
      <c r="U2" s="120"/>
      <c r="V2" s="121"/>
      <c r="W2" s="122"/>
      <c r="X2" s="123"/>
      <c r="Y2" s="117"/>
      <c r="Z2" s="117"/>
    </row>
    <row r="3" spans="1:37">
      <c r="A3" s="117"/>
      <c r="B3" s="117"/>
      <c r="C3" s="117"/>
      <c r="D3" s="117"/>
      <c r="E3" s="117"/>
      <c r="F3" s="117"/>
      <c r="G3" s="117"/>
      <c r="H3" s="117"/>
      <c r="I3" s="117"/>
      <c r="J3" s="117"/>
      <c r="K3" s="117"/>
      <c r="L3" s="117"/>
      <c r="M3" s="117"/>
      <c r="N3" s="117"/>
      <c r="O3" s="117"/>
      <c r="P3" s="117"/>
      <c r="Q3" s="200"/>
      <c r="R3" s="119"/>
      <c r="S3" s="119"/>
      <c r="T3" s="119"/>
      <c r="U3" s="120"/>
      <c r="V3" s="121"/>
      <c r="W3" s="122"/>
      <c r="X3" s="123"/>
      <c r="Y3" s="117"/>
      <c r="Z3" s="117"/>
    </row>
    <row r="4" spans="1:37">
      <c r="A4" s="117"/>
      <c r="B4" s="116" t="s">
        <v>2746</v>
      </c>
      <c r="C4" s="117"/>
      <c r="D4" s="117"/>
      <c r="E4" s="117"/>
      <c r="F4" s="117"/>
      <c r="G4" s="117"/>
      <c r="H4" s="117"/>
      <c r="I4" s="117"/>
      <c r="J4" s="117"/>
      <c r="K4" s="117"/>
      <c r="L4" s="117"/>
      <c r="M4" s="117"/>
      <c r="N4" s="117"/>
      <c r="O4" s="117"/>
      <c r="P4" s="117"/>
      <c r="Q4" s="200"/>
      <c r="R4" s="119"/>
      <c r="S4" s="119"/>
      <c r="T4" s="119"/>
      <c r="U4" s="120"/>
      <c r="V4" s="121"/>
      <c r="W4" s="122"/>
      <c r="X4" s="123"/>
      <c r="Y4" s="117"/>
      <c r="Z4" s="117"/>
    </row>
    <row r="5" spans="1:37">
      <c r="A5" s="117"/>
      <c r="B5" s="117"/>
      <c r="C5" s="117"/>
      <c r="D5" s="117"/>
      <c r="E5" s="117"/>
      <c r="F5" s="117"/>
      <c r="G5" s="117"/>
      <c r="H5" s="117"/>
      <c r="I5" s="117"/>
      <c r="J5" s="117"/>
      <c r="K5" s="117"/>
      <c r="L5" s="117"/>
      <c r="M5" s="117"/>
      <c r="N5" s="117"/>
      <c r="O5" s="117"/>
      <c r="P5" s="117"/>
      <c r="Q5" s="200"/>
      <c r="R5" s="119"/>
      <c r="S5" s="119"/>
      <c r="T5" s="119"/>
      <c r="U5" s="120"/>
      <c r="V5" s="121"/>
      <c r="W5" s="122"/>
      <c r="X5" s="123"/>
      <c r="Y5" s="117"/>
      <c r="Z5" s="117"/>
    </row>
    <row r="6" spans="1:37">
      <c r="A6" s="117"/>
      <c r="B6" s="117"/>
      <c r="C6" s="117"/>
      <c r="D6" s="117"/>
      <c r="E6" s="117"/>
      <c r="F6" s="117"/>
      <c r="G6" s="117"/>
      <c r="H6" s="117"/>
      <c r="I6" s="117"/>
      <c r="J6" s="117"/>
      <c r="K6" s="117"/>
      <c r="L6" s="117"/>
      <c r="M6" s="117"/>
      <c r="N6" s="117"/>
      <c r="O6" s="117"/>
      <c r="P6" s="117"/>
      <c r="Q6" s="200"/>
      <c r="R6" s="119"/>
      <c r="S6" s="119"/>
      <c r="T6" s="119"/>
      <c r="U6" s="120"/>
      <c r="V6" s="121"/>
      <c r="W6" s="122"/>
      <c r="X6" s="123"/>
      <c r="Y6" s="117"/>
      <c r="Z6" s="117"/>
    </row>
    <row r="7" spans="1:37">
      <c r="A7" s="117"/>
      <c r="B7" s="117"/>
      <c r="C7" s="117"/>
      <c r="D7" s="117"/>
      <c r="E7" s="117"/>
      <c r="F7" s="117"/>
      <c r="G7" s="117"/>
      <c r="H7" s="117"/>
      <c r="I7" s="117"/>
      <c r="J7" s="117"/>
      <c r="K7" s="117"/>
      <c r="L7" s="117"/>
      <c r="M7" s="117"/>
      <c r="N7" s="117"/>
      <c r="O7" s="117"/>
      <c r="P7" s="117"/>
      <c r="Q7" s="200"/>
      <c r="R7" s="239"/>
      <c r="S7" s="239"/>
      <c r="T7" s="239"/>
      <c r="U7" s="216"/>
      <c r="V7" s="217"/>
      <c r="W7" s="233"/>
      <c r="X7" s="123"/>
      <c r="Y7" s="117"/>
      <c r="Z7" s="117"/>
    </row>
    <row r="8" spans="1:37">
      <c r="A8" s="117"/>
      <c r="B8" s="117"/>
      <c r="C8" s="117"/>
      <c r="D8" s="117"/>
      <c r="E8" s="117"/>
      <c r="F8" s="117"/>
      <c r="G8" s="117"/>
      <c r="H8" s="117"/>
      <c r="I8" s="117"/>
      <c r="J8" s="117"/>
      <c r="K8" s="117"/>
      <c r="L8" s="117"/>
      <c r="M8" s="117"/>
      <c r="N8" s="117"/>
      <c r="O8" s="117"/>
      <c r="P8" s="117"/>
      <c r="Q8" s="200"/>
      <c r="R8" s="239"/>
      <c r="S8" s="239"/>
      <c r="T8" s="239"/>
      <c r="U8" s="216"/>
      <c r="V8" s="217"/>
      <c r="W8" s="233"/>
      <c r="X8" s="123"/>
      <c r="Y8" s="117"/>
      <c r="Z8" s="117"/>
    </row>
    <row r="9" spans="1:37">
      <c r="A9" s="117"/>
      <c r="B9" s="117"/>
      <c r="C9" s="117"/>
      <c r="D9" s="117"/>
      <c r="E9" s="117"/>
      <c r="F9" s="117"/>
      <c r="G9" s="117"/>
      <c r="H9" s="117"/>
      <c r="I9" s="117"/>
      <c r="J9" s="117"/>
      <c r="K9" s="117"/>
      <c r="L9" s="117"/>
      <c r="M9" s="117"/>
      <c r="N9" s="117"/>
      <c r="O9" s="117"/>
      <c r="P9" s="117"/>
      <c r="Q9" s="200"/>
      <c r="R9" s="239"/>
      <c r="S9" s="239"/>
      <c r="T9" s="239"/>
      <c r="U9" s="216"/>
      <c r="V9" s="217"/>
      <c r="W9" s="233"/>
      <c r="X9" s="123"/>
      <c r="Y9" s="117"/>
      <c r="Z9" s="117"/>
    </row>
    <row r="10" spans="1:37">
      <c r="A10" s="117"/>
      <c r="B10" s="117"/>
      <c r="C10" s="117"/>
      <c r="D10" s="117"/>
      <c r="E10" s="117"/>
      <c r="F10" s="117"/>
      <c r="G10" s="117"/>
      <c r="H10" s="117"/>
      <c r="I10" s="117"/>
      <c r="J10" s="117"/>
      <c r="K10" s="117"/>
      <c r="L10" s="117"/>
      <c r="M10" s="117"/>
      <c r="N10" s="117"/>
      <c r="O10" s="117"/>
      <c r="P10" s="117"/>
      <c r="Q10" s="200"/>
      <c r="R10" s="239"/>
      <c r="S10" s="239"/>
      <c r="T10" s="239"/>
      <c r="U10" s="216"/>
      <c r="V10" s="217"/>
      <c r="W10" s="233"/>
      <c r="X10" s="123"/>
      <c r="Y10" s="117"/>
      <c r="Z10" s="117"/>
    </row>
    <row r="11" spans="1:37">
      <c r="A11" s="117"/>
      <c r="B11" s="117"/>
      <c r="C11" s="117"/>
      <c r="D11" s="117"/>
      <c r="E11" s="117"/>
      <c r="F11" s="117"/>
      <c r="G11" s="117"/>
      <c r="H11" s="117"/>
      <c r="I11" s="117"/>
      <c r="J11" s="117"/>
      <c r="K11" s="117"/>
      <c r="L11" s="117"/>
      <c r="M11" s="117"/>
      <c r="N11" s="117"/>
      <c r="O11" s="117"/>
      <c r="P11" s="117"/>
      <c r="Q11" s="200"/>
      <c r="R11" s="239"/>
      <c r="S11" s="239"/>
      <c r="T11" s="239"/>
      <c r="U11" s="216"/>
      <c r="V11" s="217"/>
      <c r="W11" s="233"/>
      <c r="X11" s="123"/>
      <c r="Y11" s="117"/>
      <c r="Z11" s="117"/>
    </row>
    <row r="12" spans="1:37">
      <c r="A12" s="117"/>
      <c r="B12" s="117"/>
      <c r="C12" s="117"/>
      <c r="D12" s="117"/>
      <c r="E12" s="117"/>
      <c r="F12" s="117"/>
      <c r="G12" s="117"/>
      <c r="H12" s="117"/>
      <c r="I12" s="117"/>
      <c r="J12" s="117"/>
      <c r="K12" s="117"/>
      <c r="L12" s="117"/>
      <c r="M12" s="117"/>
      <c r="N12" s="117"/>
      <c r="O12" s="117"/>
      <c r="P12" s="117"/>
      <c r="Q12" s="200"/>
      <c r="R12" s="239"/>
      <c r="S12" s="239"/>
      <c r="T12" s="239"/>
      <c r="U12" s="216"/>
      <c r="V12" s="217"/>
      <c r="W12" s="233"/>
      <c r="X12" s="123"/>
      <c r="Y12" s="117"/>
      <c r="Z12" s="117"/>
    </row>
    <row r="13" spans="1:37">
      <c r="A13" s="117"/>
      <c r="B13" s="117"/>
      <c r="C13" s="117"/>
      <c r="D13" s="117"/>
      <c r="E13" s="117"/>
      <c r="F13" s="117"/>
      <c r="G13" s="117"/>
      <c r="H13" s="117"/>
      <c r="I13" s="117"/>
      <c r="J13" s="117"/>
      <c r="K13" s="117"/>
      <c r="L13" s="117"/>
      <c r="M13" s="117"/>
      <c r="N13" s="117"/>
      <c r="O13" s="117"/>
      <c r="P13" s="117"/>
      <c r="Q13" s="200"/>
      <c r="R13" s="239"/>
      <c r="S13" s="239"/>
      <c r="T13" s="239"/>
      <c r="U13" s="216"/>
      <c r="V13" s="217"/>
      <c r="W13" s="233"/>
      <c r="X13" s="123"/>
      <c r="Y13" s="117"/>
      <c r="Z13" s="117"/>
    </row>
    <row r="14" spans="1:37">
      <c r="A14" s="117"/>
      <c r="B14" s="117"/>
      <c r="C14" s="117"/>
      <c r="D14" s="117"/>
      <c r="E14" s="117"/>
      <c r="F14" s="117"/>
      <c r="G14" s="117"/>
      <c r="H14" s="117"/>
      <c r="I14" s="117"/>
      <c r="J14" s="117"/>
      <c r="K14" s="117"/>
      <c r="L14" s="117"/>
      <c r="M14" s="117"/>
      <c r="N14" s="117"/>
      <c r="O14" s="117"/>
      <c r="P14" s="117"/>
      <c r="Q14" s="200"/>
      <c r="R14" s="239"/>
      <c r="S14" s="239"/>
      <c r="T14" s="239"/>
      <c r="U14" s="216"/>
      <c r="V14" s="217"/>
      <c r="W14" s="233"/>
      <c r="X14" s="123"/>
      <c r="Y14" s="117"/>
      <c r="Z14" s="117"/>
    </row>
    <row r="15" spans="1:37">
      <c r="A15" s="117"/>
      <c r="B15" s="117"/>
      <c r="C15" s="117"/>
      <c r="D15" s="117"/>
      <c r="E15" s="117"/>
      <c r="F15" s="117"/>
      <c r="G15" s="117"/>
      <c r="H15" s="117"/>
      <c r="I15" s="117"/>
      <c r="J15" s="117"/>
      <c r="K15" s="117"/>
      <c r="L15" s="117"/>
      <c r="M15" s="117"/>
      <c r="N15" s="117"/>
      <c r="O15" s="117"/>
      <c r="P15" s="117"/>
      <c r="Q15" s="200"/>
      <c r="R15" s="239"/>
      <c r="S15" s="239"/>
      <c r="T15" s="239"/>
      <c r="U15" s="216"/>
      <c r="V15" s="217"/>
      <c r="W15" s="233"/>
      <c r="X15" s="123"/>
      <c r="Y15" s="117"/>
      <c r="Z15" s="117"/>
    </row>
    <row r="16" spans="1:37">
      <c r="A16" s="117"/>
      <c r="B16" s="117"/>
      <c r="C16" s="117"/>
      <c r="D16" s="117"/>
      <c r="E16" s="117"/>
      <c r="F16" s="117"/>
      <c r="G16" s="117"/>
      <c r="H16" s="117"/>
      <c r="I16" s="117"/>
      <c r="J16" s="117"/>
      <c r="K16" s="117"/>
      <c r="L16" s="117"/>
      <c r="M16" s="117"/>
      <c r="N16" s="117"/>
      <c r="O16" s="117"/>
      <c r="P16" s="117"/>
      <c r="Q16" s="200"/>
      <c r="R16" s="239"/>
      <c r="S16" s="239"/>
      <c r="T16" s="239"/>
      <c r="U16" s="216"/>
      <c r="V16" s="217"/>
      <c r="W16" s="233"/>
      <c r="X16" s="123"/>
      <c r="Y16" s="117"/>
      <c r="Z16" s="117"/>
    </row>
    <row r="17" spans="1:26">
      <c r="A17" s="117"/>
      <c r="B17" s="117"/>
      <c r="C17" s="117"/>
      <c r="D17" s="117"/>
      <c r="E17" s="117"/>
      <c r="F17" s="117"/>
      <c r="G17" s="117"/>
      <c r="H17" s="117"/>
      <c r="I17" s="117"/>
      <c r="J17" s="117"/>
      <c r="K17" s="117"/>
      <c r="L17" s="117"/>
      <c r="M17" s="117"/>
      <c r="N17" s="117"/>
      <c r="O17" s="117"/>
      <c r="P17" s="117"/>
      <c r="Q17" s="200"/>
      <c r="R17" s="239"/>
      <c r="S17" s="239"/>
      <c r="T17" s="239"/>
      <c r="U17" s="216"/>
      <c r="V17" s="217"/>
      <c r="W17" s="233"/>
      <c r="X17" s="123"/>
      <c r="Y17" s="117"/>
      <c r="Z17" s="117"/>
    </row>
    <row r="18" spans="1:26">
      <c r="A18" s="117"/>
      <c r="B18" s="117"/>
      <c r="C18" s="117"/>
      <c r="D18" s="117"/>
      <c r="E18" s="117"/>
      <c r="F18" s="117"/>
      <c r="G18" s="117"/>
      <c r="H18" s="117"/>
      <c r="I18" s="117"/>
      <c r="J18" s="117"/>
      <c r="K18" s="117"/>
      <c r="L18" s="117"/>
      <c r="M18" s="117"/>
      <c r="N18" s="117"/>
      <c r="O18" s="117"/>
      <c r="P18" s="117"/>
      <c r="Q18" s="200"/>
      <c r="R18" s="239"/>
      <c r="S18" s="239"/>
      <c r="T18" s="239"/>
      <c r="U18" s="216"/>
      <c r="V18" s="217"/>
      <c r="W18" s="233"/>
      <c r="X18" s="123"/>
      <c r="Y18" s="117"/>
      <c r="Z18" s="117"/>
    </row>
    <row r="19" spans="1:26">
      <c r="A19" s="117"/>
      <c r="B19" s="117"/>
      <c r="C19" s="117"/>
      <c r="D19" s="117"/>
      <c r="E19" s="117"/>
      <c r="F19" s="117"/>
      <c r="G19" s="117"/>
      <c r="H19" s="117"/>
      <c r="I19" s="117"/>
      <c r="J19" s="117"/>
      <c r="K19" s="117"/>
      <c r="L19" s="117"/>
      <c r="M19" s="117"/>
      <c r="N19" s="117"/>
      <c r="O19" s="117"/>
      <c r="P19" s="117"/>
      <c r="Q19" s="200"/>
      <c r="R19" s="239"/>
      <c r="S19" s="239"/>
      <c r="T19" s="239"/>
      <c r="U19" s="216"/>
      <c r="V19" s="217"/>
      <c r="W19" s="233"/>
      <c r="X19" s="123"/>
      <c r="Y19" s="117"/>
      <c r="Z19" s="117"/>
    </row>
    <row r="20" spans="1:26">
      <c r="A20" s="117"/>
      <c r="B20" s="117"/>
      <c r="C20" s="117"/>
      <c r="D20" s="117"/>
      <c r="E20" s="117"/>
      <c r="F20" s="117"/>
      <c r="G20" s="117"/>
      <c r="H20" s="117"/>
      <c r="I20" s="117"/>
      <c r="J20" s="117"/>
      <c r="K20" s="117"/>
      <c r="L20" s="117"/>
      <c r="M20" s="117"/>
      <c r="N20" s="117"/>
      <c r="O20" s="117"/>
      <c r="P20" s="117"/>
      <c r="Q20" s="200"/>
      <c r="R20" s="239"/>
      <c r="S20" s="239"/>
      <c r="T20" s="239"/>
      <c r="U20" s="216"/>
      <c r="V20" s="217"/>
      <c r="W20" s="233"/>
      <c r="X20" s="123"/>
      <c r="Y20" s="117"/>
      <c r="Z20" s="117"/>
    </row>
    <row r="21" spans="1:26">
      <c r="A21" s="117"/>
      <c r="B21" s="117"/>
      <c r="C21" s="117"/>
      <c r="D21" s="117"/>
      <c r="E21" s="117"/>
      <c r="F21" s="117"/>
      <c r="G21" s="117"/>
      <c r="H21" s="117"/>
      <c r="I21" s="117"/>
      <c r="J21" s="117"/>
      <c r="K21" s="117"/>
      <c r="L21" s="117"/>
      <c r="M21" s="117"/>
      <c r="N21" s="117"/>
      <c r="O21" s="117"/>
      <c r="P21" s="117"/>
      <c r="Q21" s="200"/>
      <c r="R21" s="239"/>
      <c r="S21" s="239"/>
      <c r="T21" s="239"/>
      <c r="U21" s="216"/>
      <c r="V21" s="217"/>
      <c r="W21" s="233"/>
      <c r="X21" s="123"/>
      <c r="Y21" s="117"/>
      <c r="Z21" s="117"/>
    </row>
    <row r="22" spans="1:26">
      <c r="A22" s="117"/>
      <c r="B22" s="117"/>
      <c r="C22" s="117"/>
      <c r="D22" s="117"/>
      <c r="E22" s="117"/>
      <c r="F22" s="117"/>
      <c r="G22" s="117"/>
      <c r="H22" s="117"/>
      <c r="I22" s="117"/>
      <c r="J22" s="117"/>
      <c r="K22" s="117"/>
      <c r="L22" s="117"/>
      <c r="M22" s="117"/>
      <c r="N22" s="117"/>
      <c r="O22" s="117"/>
      <c r="P22" s="117"/>
      <c r="Q22" s="200"/>
      <c r="R22" s="239"/>
      <c r="S22" s="239"/>
      <c r="T22" s="239"/>
      <c r="U22" s="216"/>
      <c r="V22" s="217"/>
      <c r="W22" s="233"/>
      <c r="X22" s="123"/>
      <c r="Y22" s="117"/>
      <c r="Z22" s="117"/>
    </row>
    <row r="23" spans="1:26">
      <c r="A23" s="117"/>
      <c r="B23" s="117"/>
      <c r="C23" s="117"/>
      <c r="D23" s="117"/>
      <c r="E23" s="117"/>
      <c r="F23" s="117"/>
      <c r="G23" s="117"/>
      <c r="H23" s="117"/>
      <c r="I23" s="117"/>
      <c r="J23" s="117"/>
      <c r="K23" s="117"/>
      <c r="L23" s="117"/>
      <c r="M23" s="117"/>
      <c r="N23" s="117"/>
      <c r="O23" s="117"/>
      <c r="P23" s="117"/>
      <c r="Q23" s="200"/>
      <c r="R23" s="239"/>
      <c r="S23" s="239"/>
      <c r="T23" s="239"/>
      <c r="U23" s="216"/>
      <c r="V23" s="217"/>
      <c r="W23" s="233"/>
      <c r="X23" s="123"/>
      <c r="Y23" s="117"/>
      <c r="Z23" s="117"/>
    </row>
    <row r="24" spans="1:26">
      <c r="A24" s="117"/>
      <c r="B24" s="117"/>
      <c r="C24" s="117"/>
      <c r="D24" s="117"/>
      <c r="E24" s="117"/>
      <c r="F24" s="117"/>
      <c r="G24" s="117"/>
      <c r="H24" s="117"/>
      <c r="I24" s="117"/>
      <c r="J24" s="117"/>
      <c r="K24" s="117"/>
      <c r="L24" s="117"/>
      <c r="M24" s="117"/>
      <c r="N24" s="117"/>
      <c r="O24" s="117"/>
      <c r="P24" s="117"/>
      <c r="Q24" s="200"/>
      <c r="R24" s="239"/>
      <c r="S24" s="239"/>
      <c r="T24" s="239"/>
      <c r="U24" s="216"/>
      <c r="V24" s="217"/>
      <c r="W24" s="233"/>
      <c r="X24" s="123"/>
      <c r="Y24" s="117"/>
      <c r="Z24" s="117"/>
    </row>
    <row r="25" spans="1:26">
      <c r="A25" s="117"/>
      <c r="B25" s="117"/>
      <c r="C25" s="117"/>
      <c r="D25" s="117"/>
      <c r="E25" s="117"/>
      <c r="F25" s="117"/>
      <c r="G25" s="117"/>
      <c r="H25" s="117"/>
      <c r="I25" s="117"/>
      <c r="J25" s="117"/>
      <c r="K25" s="117"/>
      <c r="L25" s="117"/>
      <c r="M25" s="117"/>
      <c r="N25" s="117"/>
      <c r="O25" s="117"/>
      <c r="P25" s="117"/>
      <c r="Q25" s="200"/>
      <c r="R25" s="239"/>
      <c r="S25" s="239"/>
      <c r="T25" s="239"/>
      <c r="U25" s="216"/>
      <c r="V25" s="217"/>
      <c r="W25" s="233"/>
      <c r="X25" s="123"/>
      <c r="Y25" s="117"/>
      <c r="Z25" s="117"/>
    </row>
    <row r="26" spans="1:26">
      <c r="A26" s="117"/>
      <c r="B26" s="117"/>
      <c r="C26" s="117"/>
      <c r="D26" s="117"/>
      <c r="E26" s="117"/>
      <c r="F26" s="117"/>
      <c r="G26" s="117"/>
      <c r="H26" s="117"/>
      <c r="I26" s="117"/>
      <c r="J26" s="117"/>
      <c r="K26" s="117"/>
      <c r="L26" s="117"/>
      <c r="M26" s="117"/>
      <c r="N26" s="117"/>
      <c r="O26" s="117"/>
      <c r="P26" s="117"/>
      <c r="Q26" s="200"/>
      <c r="R26" s="239"/>
      <c r="S26" s="239"/>
      <c r="T26" s="239"/>
      <c r="U26" s="216"/>
      <c r="V26" s="217"/>
      <c r="W26" s="233"/>
      <c r="X26" s="123"/>
      <c r="Y26" s="117"/>
      <c r="Z26" s="117"/>
    </row>
    <row r="27" spans="1:26">
      <c r="A27" s="117"/>
      <c r="B27" s="117"/>
      <c r="C27" s="117"/>
      <c r="D27" s="117"/>
      <c r="E27" s="117"/>
      <c r="F27" s="117"/>
      <c r="G27" s="117"/>
      <c r="H27" s="117"/>
      <c r="I27" s="117"/>
      <c r="J27" s="117"/>
      <c r="K27" s="117"/>
      <c r="L27" s="117"/>
      <c r="M27" s="117"/>
      <c r="N27" s="117"/>
      <c r="O27" s="117"/>
      <c r="P27" s="117"/>
      <c r="Q27" s="200"/>
      <c r="R27" s="239"/>
      <c r="S27" s="239"/>
      <c r="T27" s="239"/>
      <c r="U27" s="216"/>
      <c r="V27" s="217"/>
      <c r="W27" s="233"/>
      <c r="X27" s="123"/>
      <c r="Y27" s="117"/>
      <c r="Z27" s="117"/>
    </row>
    <row r="28" spans="1:26">
      <c r="A28" s="117"/>
      <c r="B28" s="117"/>
      <c r="C28" s="117"/>
      <c r="D28" s="117"/>
      <c r="E28" s="117"/>
      <c r="F28" s="117"/>
      <c r="G28" s="117"/>
      <c r="H28" s="117"/>
      <c r="I28" s="117"/>
      <c r="J28" s="117"/>
      <c r="K28" s="117"/>
      <c r="L28" s="117"/>
      <c r="M28" s="117"/>
      <c r="N28" s="117"/>
      <c r="O28" s="117"/>
      <c r="P28" s="117"/>
      <c r="Q28" s="200"/>
      <c r="R28" s="239"/>
      <c r="S28" s="239"/>
      <c r="T28" s="239"/>
      <c r="U28" s="216"/>
      <c r="V28" s="217"/>
      <c r="W28" s="233"/>
      <c r="X28" s="123"/>
      <c r="Y28" s="117"/>
      <c r="Z28" s="117"/>
    </row>
    <row r="29" spans="1:26">
      <c r="A29" s="117"/>
      <c r="B29" s="117"/>
      <c r="C29" s="117"/>
      <c r="D29" s="117"/>
      <c r="E29" s="117"/>
      <c r="F29" s="117"/>
      <c r="G29" s="117"/>
      <c r="H29" s="117"/>
      <c r="I29" s="117"/>
      <c r="J29" s="117"/>
      <c r="K29" s="117"/>
      <c r="L29" s="117"/>
      <c r="M29" s="117"/>
      <c r="N29" s="117"/>
      <c r="O29" s="117"/>
      <c r="P29" s="117"/>
      <c r="Q29" s="200"/>
      <c r="R29" s="239"/>
      <c r="S29" s="239"/>
      <c r="T29" s="239"/>
      <c r="U29" s="216"/>
      <c r="V29" s="217"/>
      <c r="W29" s="233"/>
      <c r="X29" s="123"/>
      <c r="Y29" s="117"/>
      <c r="Z29" s="117"/>
    </row>
    <row r="30" spans="1:26">
      <c r="A30" s="117"/>
      <c r="B30" s="117"/>
      <c r="C30" s="117"/>
      <c r="D30" s="117"/>
      <c r="E30" s="117"/>
      <c r="F30" s="117"/>
      <c r="G30" s="117"/>
      <c r="H30" s="117"/>
      <c r="I30" s="117"/>
      <c r="J30" s="117"/>
      <c r="K30" s="117"/>
      <c r="L30" s="117"/>
      <c r="M30" s="117"/>
      <c r="N30" s="117"/>
      <c r="O30" s="117"/>
      <c r="P30" s="117"/>
      <c r="Q30" s="200"/>
      <c r="R30" s="239"/>
      <c r="S30" s="239"/>
      <c r="T30" s="239"/>
      <c r="U30" s="216"/>
      <c r="V30" s="217"/>
      <c r="W30" s="233"/>
      <c r="X30" s="123"/>
      <c r="Y30" s="117"/>
      <c r="Z30" s="117"/>
    </row>
    <row r="31" spans="1:26">
      <c r="A31" s="117"/>
      <c r="B31" s="117"/>
      <c r="C31" s="117"/>
      <c r="D31" s="117"/>
      <c r="E31" s="117"/>
      <c r="F31" s="117"/>
      <c r="G31" s="117"/>
      <c r="H31" s="117"/>
      <c r="I31" s="117"/>
      <c r="J31" s="117"/>
      <c r="K31" s="117"/>
      <c r="L31" s="117"/>
      <c r="M31" s="117"/>
      <c r="N31" s="117"/>
      <c r="O31" s="117"/>
      <c r="P31" s="117"/>
      <c r="Q31" s="200"/>
      <c r="R31" s="239"/>
      <c r="S31" s="239"/>
      <c r="T31" s="239"/>
      <c r="U31" s="216"/>
      <c r="V31" s="217"/>
      <c r="W31" s="233"/>
      <c r="X31" s="123"/>
      <c r="Y31" s="117"/>
      <c r="Z31" s="117"/>
    </row>
    <row r="32" spans="1:26">
      <c r="A32" s="117"/>
      <c r="B32" s="117"/>
      <c r="C32" s="117"/>
      <c r="D32" s="117"/>
      <c r="E32" s="117"/>
      <c r="F32" s="117"/>
      <c r="G32" s="117"/>
      <c r="H32" s="117"/>
      <c r="I32" s="117"/>
      <c r="J32" s="117"/>
      <c r="K32" s="117"/>
      <c r="L32" s="117"/>
      <c r="M32" s="117"/>
      <c r="N32" s="117"/>
      <c r="O32" s="117"/>
      <c r="P32" s="117"/>
      <c r="Q32" s="200"/>
      <c r="R32" s="239"/>
      <c r="S32" s="239"/>
      <c r="T32" s="239"/>
      <c r="U32" s="216"/>
      <c r="V32" s="217"/>
      <c r="W32" s="233"/>
      <c r="X32" s="123"/>
      <c r="Y32" s="117"/>
      <c r="Z32" s="117"/>
    </row>
    <row r="33" spans="1:26">
      <c r="A33" s="117"/>
      <c r="B33" s="117"/>
      <c r="C33" s="117"/>
      <c r="D33" s="117"/>
      <c r="E33" s="117"/>
      <c r="F33" s="117"/>
      <c r="G33" s="117"/>
      <c r="H33" s="117"/>
      <c r="I33" s="117"/>
      <c r="J33" s="117"/>
      <c r="K33" s="117"/>
      <c r="L33" s="117"/>
      <c r="M33" s="117"/>
      <c r="N33" s="117"/>
      <c r="O33" s="117"/>
      <c r="P33" s="117"/>
      <c r="Q33" s="200"/>
      <c r="R33" s="239"/>
      <c r="S33" s="239"/>
      <c r="T33" s="239"/>
      <c r="U33" s="216"/>
      <c r="V33" s="217"/>
      <c r="W33" s="233"/>
      <c r="X33" s="123"/>
      <c r="Y33" s="117"/>
      <c r="Z33" s="117"/>
    </row>
    <row r="34" spans="1:26">
      <c r="A34" s="117"/>
      <c r="B34" s="117"/>
      <c r="C34" s="117"/>
      <c r="D34" s="117"/>
      <c r="E34" s="117"/>
      <c r="F34" s="117"/>
      <c r="G34" s="117"/>
      <c r="H34" s="117"/>
      <c r="I34" s="117"/>
      <c r="J34" s="117"/>
      <c r="K34" s="117"/>
      <c r="L34" s="117"/>
      <c r="M34" s="117"/>
      <c r="N34" s="117"/>
      <c r="O34" s="117"/>
      <c r="P34" s="117"/>
      <c r="Q34" s="200"/>
      <c r="R34" s="239"/>
      <c r="S34" s="239"/>
      <c r="T34" s="239"/>
      <c r="U34" s="216"/>
      <c r="V34" s="217"/>
      <c r="W34" s="233"/>
      <c r="X34" s="123"/>
      <c r="Y34" s="117"/>
      <c r="Z34" s="117"/>
    </row>
    <row r="35" spans="1:26">
      <c r="A35" s="117"/>
      <c r="B35" s="117"/>
      <c r="C35" s="117"/>
      <c r="D35" s="117"/>
      <c r="E35" s="117"/>
      <c r="F35" s="117"/>
      <c r="G35" s="117"/>
      <c r="H35" s="117"/>
      <c r="I35" s="117"/>
      <c r="J35" s="117"/>
      <c r="K35" s="117"/>
      <c r="L35" s="117"/>
      <c r="M35" s="117"/>
      <c r="N35" s="117"/>
      <c r="O35" s="117"/>
      <c r="P35" s="117"/>
      <c r="Q35" s="200"/>
      <c r="R35" s="239"/>
      <c r="S35" s="239"/>
      <c r="T35" s="239"/>
      <c r="U35" s="216"/>
      <c r="V35" s="217"/>
      <c r="W35" s="233"/>
      <c r="X35" s="123"/>
      <c r="Y35" s="117"/>
      <c r="Z35" s="117"/>
    </row>
    <row r="36" spans="1:26">
      <c r="A36" s="117"/>
      <c r="B36" s="117"/>
      <c r="C36" s="117"/>
      <c r="D36" s="117"/>
      <c r="E36" s="117"/>
      <c r="F36" s="117"/>
      <c r="G36" s="117"/>
      <c r="H36" s="117"/>
      <c r="I36" s="117"/>
      <c r="J36" s="117"/>
      <c r="K36" s="117"/>
      <c r="L36" s="117"/>
      <c r="M36" s="117"/>
      <c r="N36" s="117"/>
      <c r="O36" s="117"/>
      <c r="P36" s="117"/>
      <c r="Q36" s="200"/>
      <c r="R36" s="239"/>
      <c r="S36" s="239"/>
      <c r="T36" s="239"/>
      <c r="U36" s="216"/>
      <c r="V36" s="217"/>
      <c r="W36" s="233"/>
      <c r="X36" s="123"/>
      <c r="Y36" s="117"/>
      <c r="Z36" s="117"/>
    </row>
    <row r="37" spans="1:26">
      <c r="A37" s="117"/>
      <c r="B37" s="117"/>
      <c r="C37" s="117"/>
      <c r="D37" s="117"/>
      <c r="E37" s="117"/>
      <c r="F37" s="117"/>
      <c r="G37" s="117"/>
      <c r="H37" s="117"/>
      <c r="I37" s="117"/>
      <c r="J37" s="117"/>
      <c r="K37" s="117"/>
      <c r="L37" s="117"/>
      <c r="M37" s="117"/>
      <c r="N37" s="117"/>
      <c r="O37" s="117"/>
      <c r="P37" s="117"/>
      <c r="Q37" s="200"/>
      <c r="R37" s="239"/>
      <c r="S37" s="239"/>
      <c r="T37" s="239"/>
      <c r="U37" s="216"/>
      <c r="V37" s="217"/>
      <c r="W37" s="233"/>
      <c r="X37" s="123"/>
      <c r="Y37" s="117"/>
      <c r="Z37" s="117"/>
    </row>
    <row r="38" spans="1:26">
      <c r="A38" s="117"/>
      <c r="B38" s="117"/>
      <c r="C38" s="117"/>
      <c r="D38" s="117"/>
      <c r="E38" s="117"/>
      <c r="F38" s="117"/>
      <c r="G38" s="117"/>
      <c r="H38" s="117"/>
      <c r="I38" s="117"/>
      <c r="J38" s="117"/>
      <c r="K38" s="117"/>
      <c r="L38" s="117"/>
      <c r="M38" s="117"/>
      <c r="N38" s="117"/>
      <c r="O38" s="117"/>
      <c r="P38" s="117"/>
      <c r="Q38" s="200"/>
      <c r="R38" s="239"/>
      <c r="S38" s="239"/>
      <c r="T38" s="239"/>
      <c r="U38" s="216"/>
      <c r="V38" s="217"/>
      <c r="W38" s="233"/>
      <c r="X38" s="123"/>
      <c r="Y38" s="117"/>
      <c r="Z38" s="117"/>
    </row>
    <row r="39" spans="1:26">
      <c r="A39" s="117"/>
      <c r="B39" s="117"/>
      <c r="C39" s="117"/>
      <c r="D39" s="117"/>
      <c r="E39" s="117"/>
      <c r="F39" s="117"/>
      <c r="G39" s="117"/>
      <c r="H39" s="117"/>
      <c r="I39" s="117"/>
      <c r="J39" s="117"/>
      <c r="K39" s="117"/>
      <c r="L39" s="117"/>
      <c r="M39" s="117"/>
      <c r="N39" s="117"/>
      <c r="O39" s="117"/>
      <c r="P39" s="117"/>
      <c r="Q39" s="200"/>
      <c r="R39" s="239"/>
      <c r="S39" s="239"/>
      <c r="T39" s="239"/>
      <c r="U39" s="216"/>
      <c r="V39" s="217"/>
      <c r="W39" s="233"/>
      <c r="X39" s="123"/>
      <c r="Y39" s="117"/>
      <c r="Z39" s="117"/>
    </row>
    <row r="40" spans="1:26">
      <c r="A40" s="117"/>
      <c r="B40" s="117"/>
      <c r="C40" s="117"/>
      <c r="D40" s="117"/>
      <c r="E40" s="117"/>
      <c r="F40" s="117"/>
      <c r="G40" s="117"/>
      <c r="H40" s="117"/>
      <c r="I40" s="117"/>
      <c r="J40" s="117"/>
      <c r="K40" s="117"/>
      <c r="L40" s="117"/>
      <c r="M40" s="117"/>
      <c r="N40" s="117"/>
      <c r="O40" s="117"/>
      <c r="P40" s="117"/>
      <c r="Q40" s="200"/>
      <c r="R40" s="239"/>
      <c r="S40" s="239"/>
      <c r="T40" s="239"/>
      <c r="U40" s="216"/>
      <c r="V40" s="217"/>
      <c r="W40" s="233"/>
      <c r="X40" s="123"/>
      <c r="Y40" s="117"/>
      <c r="Z40" s="117"/>
    </row>
    <row r="41" spans="1:26">
      <c r="A41" s="117"/>
      <c r="B41" s="117"/>
      <c r="C41" s="117"/>
      <c r="D41" s="117"/>
      <c r="E41" s="117"/>
      <c r="F41" s="117"/>
      <c r="G41" s="117"/>
      <c r="H41" s="117"/>
      <c r="I41" s="117"/>
      <c r="J41" s="117"/>
      <c r="K41" s="117"/>
      <c r="L41" s="117"/>
      <c r="M41" s="117"/>
      <c r="N41" s="117"/>
      <c r="O41" s="117"/>
      <c r="P41" s="117"/>
      <c r="Q41" s="200"/>
      <c r="R41" s="239"/>
      <c r="S41" s="239"/>
      <c r="T41" s="239"/>
      <c r="U41" s="216"/>
      <c r="V41" s="217"/>
      <c r="W41" s="233"/>
      <c r="X41" s="123"/>
      <c r="Y41" s="117"/>
      <c r="Z41" s="117"/>
    </row>
    <row r="42" spans="1:26">
      <c r="A42" s="117"/>
      <c r="B42" s="117"/>
      <c r="C42" s="117"/>
      <c r="D42" s="117"/>
      <c r="E42" s="117"/>
      <c r="F42" s="117"/>
      <c r="G42" s="117"/>
      <c r="H42" s="117"/>
      <c r="I42" s="117"/>
      <c r="J42" s="117"/>
      <c r="K42" s="117"/>
      <c r="L42" s="117"/>
      <c r="M42" s="117"/>
      <c r="N42" s="117"/>
      <c r="O42" s="117"/>
      <c r="P42" s="117"/>
      <c r="Q42" s="200"/>
      <c r="R42" s="239"/>
      <c r="S42" s="239"/>
      <c r="T42" s="239"/>
      <c r="U42" s="216"/>
      <c r="V42" s="217"/>
      <c r="W42" s="233"/>
      <c r="X42" s="123"/>
      <c r="Y42" s="117"/>
      <c r="Z42" s="117"/>
    </row>
    <row r="43" spans="1:26">
      <c r="A43" s="117"/>
      <c r="B43" s="117"/>
      <c r="C43" s="117"/>
      <c r="D43" s="117"/>
      <c r="E43" s="117"/>
      <c r="F43" s="117"/>
      <c r="G43" s="117"/>
      <c r="H43" s="117"/>
      <c r="I43" s="117"/>
      <c r="J43" s="117"/>
      <c r="K43" s="117"/>
      <c r="L43" s="117"/>
      <c r="M43" s="117"/>
      <c r="N43" s="117"/>
      <c r="O43" s="117"/>
      <c r="P43" s="117"/>
      <c r="Q43" s="200"/>
      <c r="R43" s="239"/>
      <c r="S43" s="239"/>
      <c r="T43" s="239"/>
      <c r="U43" s="216"/>
      <c r="V43" s="217"/>
      <c r="W43" s="233"/>
      <c r="X43" s="123"/>
      <c r="Y43" s="117"/>
      <c r="Z43" s="117"/>
    </row>
    <row r="44" spans="1:26">
      <c r="A44" s="117"/>
      <c r="B44" s="117"/>
      <c r="C44" s="117"/>
      <c r="D44" s="117"/>
      <c r="E44" s="117"/>
      <c r="F44" s="117"/>
      <c r="G44" s="117"/>
      <c r="H44" s="117"/>
      <c r="I44" s="117"/>
      <c r="J44" s="117"/>
      <c r="K44" s="117"/>
      <c r="L44" s="117"/>
      <c r="M44" s="117"/>
      <c r="N44" s="117"/>
      <c r="O44" s="117"/>
      <c r="P44" s="117"/>
      <c r="Q44" s="200"/>
      <c r="R44" s="239"/>
      <c r="S44" s="239"/>
      <c r="T44" s="239"/>
      <c r="U44" s="216"/>
      <c r="V44" s="217"/>
      <c r="W44" s="233"/>
      <c r="X44" s="123"/>
      <c r="Y44" s="117"/>
      <c r="Z44" s="117"/>
    </row>
    <row r="45" spans="1:26">
      <c r="A45" s="117"/>
      <c r="B45" s="117"/>
      <c r="C45" s="117"/>
      <c r="D45" s="117"/>
      <c r="E45" s="117"/>
      <c r="F45" s="117"/>
      <c r="G45" s="117"/>
      <c r="H45" s="117"/>
      <c r="I45" s="117"/>
      <c r="J45" s="117"/>
      <c r="K45" s="117"/>
      <c r="L45" s="117"/>
      <c r="M45" s="117"/>
      <c r="N45" s="117"/>
      <c r="O45" s="117"/>
      <c r="P45" s="117"/>
      <c r="Q45" s="200"/>
      <c r="R45" s="239"/>
      <c r="S45" s="239"/>
      <c r="T45" s="239"/>
      <c r="U45" s="216"/>
      <c r="V45" s="217"/>
      <c r="W45" s="233"/>
      <c r="X45" s="123"/>
      <c r="Y45" s="117"/>
      <c r="Z45" s="117"/>
    </row>
    <row r="46" spans="1:26">
      <c r="A46" s="117"/>
      <c r="B46" s="117"/>
      <c r="C46" s="117"/>
      <c r="D46" s="117"/>
      <c r="E46" s="117"/>
      <c r="F46" s="117"/>
      <c r="G46" s="117"/>
      <c r="H46" s="117"/>
      <c r="I46" s="117"/>
      <c r="J46" s="117"/>
      <c r="K46" s="117"/>
      <c r="L46" s="117"/>
      <c r="M46" s="117"/>
      <c r="N46" s="117"/>
      <c r="O46" s="117"/>
      <c r="P46" s="117"/>
      <c r="Q46" s="200"/>
      <c r="R46" s="239"/>
      <c r="S46" s="239"/>
      <c r="T46" s="239"/>
      <c r="U46" s="216"/>
      <c r="V46" s="217"/>
      <c r="W46" s="233"/>
      <c r="X46" s="123"/>
      <c r="Y46" s="117"/>
      <c r="Z46" s="117"/>
    </row>
    <row r="47" spans="1:26">
      <c r="A47" s="117"/>
      <c r="B47" s="117"/>
      <c r="C47" s="117"/>
      <c r="D47" s="117"/>
      <c r="E47" s="117"/>
      <c r="F47" s="117"/>
      <c r="G47" s="117"/>
      <c r="H47" s="117"/>
      <c r="I47" s="117"/>
      <c r="J47" s="117"/>
      <c r="K47" s="117"/>
      <c r="L47" s="117"/>
      <c r="M47" s="117"/>
      <c r="N47" s="117"/>
      <c r="O47" s="117"/>
      <c r="P47" s="117"/>
      <c r="Q47" s="200"/>
      <c r="R47" s="239"/>
      <c r="S47" s="239"/>
      <c r="T47" s="239"/>
      <c r="U47" s="216"/>
      <c r="V47" s="217"/>
      <c r="W47" s="233"/>
      <c r="X47" s="123"/>
      <c r="Y47" s="117"/>
      <c r="Z47" s="117"/>
    </row>
    <row r="48" spans="1:26">
      <c r="A48" s="117"/>
      <c r="B48" s="117"/>
      <c r="C48" s="117"/>
      <c r="D48" s="117"/>
      <c r="E48" s="117"/>
      <c r="F48" s="117"/>
      <c r="G48" s="117"/>
      <c r="H48" s="117"/>
      <c r="I48" s="117"/>
      <c r="J48" s="117"/>
      <c r="K48" s="117"/>
      <c r="L48" s="117"/>
      <c r="M48" s="117"/>
      <c r="N48" s="117"/>
      <c r="O48" s="117"/>
      <c r="P48" s="117"/>
      <c r="Q48" s="200"/>
      <c r="R48" s="239"/>
      <c r="S48" s="239"/>
      <c r="T48" s="239"/>
      <c r="U48" s="216"/>
      <c r="V48" s="217"/>
      <c r="W48" s="233"/>
      <c r="X48" s="123"/>
      <c r="Y48" s="117"/>
      <c r="Z48" s="117"/>
    </row>
    <row r="49" spans="1:26">
      <c r="A49" s="117"/>
      <c r="B49" s="117"/>
      <c r="C49" s="117"/>
      <c r="D49" s="117"/>
      <c r="E49" s="117"/>
      <c r="F49" s="117"/>
      <c r="G49" s="117"/>
      <c r="H49" s="117"/>
      <c r="I49" s="117"/>
      <c r="J49" s="117"/>
      <c r="K49" s="117"/>
      <c r="L49" s="117"/>
      <c r="M49" s="117"/>
      <c r="N49" s="117"/>
      <c r="O49" s="117"/>
      <c r="P49" s="117"/>
      <c r="Q49" s="200"/>
      <c r="R49" s="239"/>
      <c r="S49" s="239"/>
      <c r="T49" s="239"/>
      <c r="U49" s="216"/>
      <c r="V49" s="217"/>
      <c r="W49" s="233"/>
      <c r="X49" s="123"/>
      <c r="Y49" s="117"/>
      <c r="Z49" s="117"/>
    </row>
    <row r="50" spans="1:26">
      <c r="A50" s="117"/>
      <c r="B50" s="117"/>
      <c r="C50" s="117"/>
      <c r="D50" s="117"/>
      <c r="E50" s="117"/>
      <c r="F50" s="117"/>
      <c r="G50" s="117"/>
      <c r="H50" s="117"/>
      <c r="I50" s="117"/>
      <c r="J50" s="117"/>
      <c r="K50" s="117"/>
      <c r="L50" s="117"/>
      <c r="M50" s="117"/>
      <c r="N50" s="117"/>
      <c r="O50" s="117"/>
      <c r="P50" s="117"/>
      <c r="Q50" s="200"/>
      <c r="R50" s="239"/>
      <c r="S50" s="239"/>
      <c r="T50" s="239"/>
      <c r="U50" s="216"/>
      <c r="V50" s="217"/>
      <c r="W50" s="233"/>
      <c r="X50" s="123"/>
      <c r="Y50" s="117"/>
      <c r="Z50" s="117"/>
    </row>
    <row r="51" spans="1:26">
      <c r="A51" s="117"/>
      <c r="B51" s="117"/>
      <c r="C51" s="117"/>
      <c r="D51" s="117"/>
      <c r="E51" s="117"/>
      <c r="F51" s="117"/>
      <c r="G51" s="117"/>
      <c r="H51" s="117"/>
      <c r="I51" s="117"/>
      <c r="J51" s="117"/>
      <c r="K51" s="117"/>
      <c r="L51" s="117"/>
      <c r="M51" s="117"/>
      <c r="N51" s="117"/>
      <c r="O51" s="117"/>
      <c r="P51" s="117"/>
      <c r="Q51" s="200"/>
      <c r="R51" s="239"/>
      <c r="S51" s="239"/>
      <c r="T51" s="239"/>
      <c r="U51" s="216"/>
      <c r="V51" s="217"/>
      <c r="W51" s="233"/>
      <c r="X51" s="123"/>
      <c r="Y51" s="117"/>
      <c r="Z51" s="117"/>
    </row>
    <row r="52" spans="1:26">
      <c r="A52" s="117"/>
      <c r="B52" s="117"/>
      <c r="C52" s="117"/>
      <c r="D52" s="117"/>
      <c r="E52" s="117"/>
      <c r="F52" s="117"/>
      <c r="G52" s="117"/>
      <c r="H52" s="117"/>
      <c r="I52" s="117"/>
      <c r="J52" s="117"/>
      <c r="K52" s="117"/>
      <c r="L52" s="117"/>
      <c r="M52" s="117"/>
      <c r="N52" s="117"/>
      <c r="O52" s="117"/>
      <c r="P52" s="117"/>
      <c r="Q52" s="200"/>
      <c r="R52" s="239"/>
      <c r="S52" s="239"/>
      <c r="T52" s="239"/>
      <c r="U52" s="216"/>
      <c r="V52" s="217"/>
      <c r="W52" s="233"/>
      <c r="X52" s="123"/>
      <c r="Y52" s="117"/>
      <c r="Z52" s="117"/>
    </row>
    <row r="53" spans="1:26">
      <c r="A53" s="117"/>
      <c r="B53" s="117"/>
      <c r="C53" s="117"/>
      <c r="D53" s="117"/>
      <c r="E53" s="117"/>
      <c r="F53" s="117"/>
      <c r="G53" s="117"/>
      <c r="H53" s="117"/>
      <c r="I53" s="117"/>
      <c r="J53" s="117"/>
      <c r="K53" s="117"/>
      <c r="L53" s="117"/>
      <c r="M53" s="117"/>
      <c r="N53" s="117"/>
      <c r="O53" s="117"/>
      <c r="P53" s="117"/>
      <c r="Q53" s="200"/>
      <c r="R53" s="239"/>
      <c r="S53" s="239"/>
      <c r="T53" s="239"/>
      <c r="U53" s="216"/>
      <c r="V53" s="217"/>
      <c r="W53" s="233"/>
      <c r="X53" s="123"/>
      <c r="Y53" s="117"/>
      <c r="Z53" s="117"/>
    </row>
    <row r="54" spans="1:26">
      <c r="A54" s="117"/>
      <c r="B54" s="117"/>
      <c r="C54" s="117"/>
      <c r="D54" s="117"/>
      <c r="E54" s="117"/>
      <c r="F54" s="117"/>
      <c r="G54" s="117"/>
      <c r="H54" s="117"/>
      <c r="I54" s="117"/>
      <c r="J54" s="117"/>
      <c r="K54" s="117"/>
      <c r="L54" s="117"/>
      <c r="M54" s="117"/>
      <c r="N54" s="117"/>
      <c r="O54" s="117"/>
      <c r="P54" s="117"/>
      <c r="Q54" s="200"/>
      <c r="R54" s="239"/>
      <c r="S54" s="239"/>
      <c r="T54" s="239"/>
      <c r="U54" s="216"/>
      <c r="V54" s="217"/>
      <c r="W54" s="233"/>
      <c r="X54" s="123"/>
      <c r="Y54" s="117"/>
      <c r="Z54" s="117"/>
    </row>
    <row r="55" spans="1:26">
      <c r="A55" s="117"/>
      <c r="B55" s="117"/>
      <c r="C55" s="117"/>
      <c r="D55" s="117"/>
      <c r="E55" s="117"/>
      <c r="F55" s="117"/>
      <c r="G55" s="117"/>
      <c r="H55" s="117"/>
      <c r="I55" s="117"/>
      <c r="J55" s="117"/>
      <c r="K55" s="117"/>
      <c r="L55" s="117"/>
      <c r="M55" s="117"/>
      <c r="N55" s="117"/>
      <c r="O55" s="117"/>
      <c r="P55" s="117"/>
      <c r="Q55" s="200"/>
      <c r="R55" s="239"/>
      <c r="S55" s="239"/>
      <c r="T55" s="239"/>
      <c r="U55" s="216"/>
      <c r="V55" s="217"/>
      <c r="W55" s="233"/>
      <c r="X55" s="123"/>
      <c r="Y55" s="117"/>
      <c r="Z55" s="117"/>
    </row>
    <row r="56" spans="1:26">
      <c r="A56" s="117"/>
      <c r="B56" s="117"/>
      <c r="C56" s="117"/>
      <c r="D56" s="117"/>
      <c r="E56" s="117"/>
      <c r="F56" s="117"/>
      <c r="G56" s="117"/>
      <c r="H56" s="117"/>
      <c r="I56" s="117"/>
      <c r="J56" s="117"/>
      <c r="K56" s="117"/>
      <c r="L56" s="117"/>
      <c r="M56" s="117"/>
      <c r="N56" s="117"/>
      <c r="O56" s="117"/>
      <c r="P56" s="117"/>
      <c r="Q56" s="200"/>
      <c r="R56" s="239"/>
      <c r="S56" s="239"/>
      <c r="T56" s="239"/>
      <c r="U56" s="216"/>
      <c r="V56" s="217"/>
      <c r="W56" s="233"/>
      <c r="X56" s="123"/>
      <c r="Y56" s="117"/>
      <c r="Z56" s="117"/>
    </row>
    <row r="57" spans="1:26">
      <c r="A57" s="117"/>
      <c r="B57" s="117"/>
      <c r="C57" s="117"/>
      <c r="D57" s="117"/>
      <c r="E57" s="117"/>
      <c r="F57" s="117"/>
      <c r="G57" s="117"/>
      <c r="H57" s="117"/>
      <c r="I57" s="117"/>
      <c r="J57" s="117"/>
      <c r="K57" s="117"/>
      <c r="L57" s="117"/>
      <c r="M57" s="117"/>
      <c r="N57" s="117"/>
      <c r="O57" s="117"/>
      <c r="P57" s="117"/>
      <c r="Q57" s="200"/>
      <c r="R57" s="239"/>
      <c r="S57" s="239"/>
      <c r="T57" s="239"/>
      <c r="U57" s="216"/>
      <c r="V57" s="217"/>
      <c r="W57" s="233"/>
      <c r="X57" s="123"/>
      <c r="Y57" s="117"/>
      <c r="Z57" s="117"/>
    </row>
    <row r="58" spans="1:26">
      <c r="A58" s="117"/>
      <c r="B58" s="117"/>
      <c r="C58" s="117"/>
      <c r="D58" s="117"/>
      <c r="E58" s="117"/>
      <c r="F58" s="117"/>
      <c r="G58" s="117"/>
      <c r="H58" s="117"/>
      <c r="I58" s="117"/>
      <c r="J58" s="117"/>
      <c r="K58" s="117"/>
      <c r="L58" s="117"/>
      <c r="M58" s="117"/>
      <c r="N58" s="117"/>
      <c r="O58" s="117"/>
      <c r="P58" s="117"/>
      <c r="Q58" s="200"/>
      <c r="R58" s="239"/>
      <c r="S58" s="239"/>
      <c r="T58" s="239"/>
      <c r="U58" s="216"/>
      <c r="V58" s="217"/>
      <c r="W58" s="233"/>
      <c r="X58" s="123"/>
      <c r="Y58" s="117"/>
      <c r="Z58" s="117"/>
    </row>
    <row r="59" spans="1:26">
      <c r="A59" s="117"/>
      <c r="B59" s="117"/>
      <c r="C59" s="117"/>
      <c r="D59" s="117"/>
      <c r="E59" s="117"/>
      <c r="F59" s="117"/>
      <c r="G59" s="117"/>
      <c r="H59" s="117"/>
      <c r="I59" s="117"/>
      <c r="J59" s="117"/>
      <c r="K59" s="117"/>
      <c r="L59" s="117"/>
      <c r="M59" s="117"/>
      <c r="N59" s="117"/>
      <c r="O59" s="117"/>
      <c r="P59" s="117"/>
      <c r="Q59" s="200"/>
      <c r="R59" s="239"/>
      <c r="S59" s="239"/>
      <c r="T59" s="239"/>
      <c r="U59" s="216"/>
      <c r="V59" s="217"/>
      <c r="W59" s="233"/>
      <c r="X59" s="123"/>
      <c r="Y59" s="117"/>
      <c r="Z59" s="117"/>
    </row>
    <row r="60" spans="1:26">
      <c r="A60" s="117"/>
      <c r="B60" s="117"/>
      <c r="C60" s="117"/>
      <c r="D60" s="117"/>
      <c r="E60" s="117"/>
      <c r="F60" s="117"/>
      <c r="G60" s="117"/>
      <c r="H60" s="117"/>
      <c r="I60" s="117"/>
      <c r="J60" s="117"/>
      <c r="K60" s="117"/>
      <c r="L60" s="117"/>
      <c r="M60" s="117"/>
      <c r="N60" s="117"/>
      <c r="O60" s="117"/>
      <c r="P60" s="117"/>
      <c r="Q60" s="200"/>
      <c r="R60" s="239"/>
      <c r="S60" s="239"/>
      <c r="T60" s="239"/>
      <c r="U60" s="216"/>
      <c r="V60" s="217"/>
      <c r="W60" s="233"/>
      <c r="X60" s="123"/>
      <c r="Y60" s="117"/>
      <c r="Z60" s="117"/>
    </row>
    <row r="61" spans="1:26">
      <c r="A61" s="117"/>
      <c r="B61" s="117"/>
      <c r="C61" s="117"/>
      <c r="D61" s="117"/>
      <c r="E61" s="117"/>
      <c r="F61" s="117"/>
      <c r="G61" s="117"/>
      <c r="H61" s="117"/>
      <c r="I61" s="117"/>
      <c r="J61" s="117"/>
      <c r="K61" s="117"/>
      <c r="L61" s="117"/>
      <c r="M61" s="117"/>
      <c r="N61" s="117"/>
      <c r="O61" s="117"/>
      <c r="P61" s="117"/>
      <c r="Q61" s="200"/>
      <c r="R61" s="239"/>
      <c r="S61" s="239"/>
      <c r="T61" s="239"/>
      <c r="U61" s="216"/>
      <c r="V61" s="217"/>
      <c r="W61" s="233"/>
      <c r="X61" s="123"/>
      <c r="Y61" s="117"/>
      <c r="Z61" s="117"/>
    </row>
    <row r="62" spans="1:26">
      <c r="A62" s="117"/>
      <c r="B62" s="117"/>
      <c r="C62" s="117"/>
      <c r="D62" s="117"/>
      <c r="E62" s="117"/>
      <c r="F62" s="117"/>
      <c r="G62" s="117"/>
      <c r="H62" s="117"/>
      <c r="I62" s="117"/>
      <c r="J62" s="117"/>
      <c r="K62" s="117"/>
      <c r="L62" s="117"/>
      <c r="M62" s="117"/>
      <c r="N62" s="117"/>
      <c r="O62" s="117"/>
      <c r="P62" s="117"/>
      <c r="Q62" s="200"/>
      <c r="R62" s="239"/>
      <c r="S62" s="239"/>
      <c r="T62" s="239"/>
      <c r="U62" s="216"/>
      <c r="V62" s="217"/>
      <c r="W62" s="233"/>
      <c r="X62" s="123"/>
      <c r="Y62" s="117"/>
      <c r="Z62" s="117"/>
    </row>
    <row r="63" spans="1:26">
      <c r="A63" s="117"/>
      <c r="B63" s="117"/>
      <c r="C63" s="117"/>
      <c r="D63" s="117"/>
      <c r="E63" s="117"/>
      <c r="F63" s="117"/>
      <c r="G63" s="117"/>
      <c r="H63" s="117"/>
      <c r="I63" s="117"/>
      <c r="J63" s="117"/>
      <c r="K63" s="117"/>
      <c r="L63" s="117"/>
      <c r="M63" s="117"/>
      <c r="N63" s="117"/>
      <c r="O63" s="117"/>
      <c r="P63" s="117"/>
      <c r="Q63" s="200"/>
      <c r="R63" s="239"/>
      <c r="S63" s="239"/>
      <c r="T63" s="239"/>
      <c r="U63" s="216"/>
      <c r="V63" s="217"/>
      <c r="W63" s="233"/>
      <c r="X63" s="123"/>
      <c r="Y63" s="117"/>
      <c r="Z63" s="117"/>
    </row>
    <row r="64" spans="1:26">
      <c r="A64" s="117"/>
      <c r="B64" s="117"/>
      <c r="C64" s="117"/>
      <c r="D64" s="117"/>
      <c r="E64" s="117"/>
      <c r="F64" s="117"/>
      <c r="G64" s="117"/>
      <c r="H64" s="117"/>
      <c r="I64" s="117"/>
      <c r="J64" s="117"/>
      <c r="K64" s="117"/>
      <c r="L64" s="117"/>
      <c r="M64" s="117"/>
      <c r="N64" s="117"/>
      <c r="O64" s="117"/>
      <c r="P64" s="117"/>
      <c r="Q64" s="200"/>
      <c r="R64" s="239"/>
      <c r="S64" s="239"/>
      <c r="T64" s="239"/>
      <c r="U64" s="216"/>
      <c r="V64" s="217"/>
      <c r="W64" s="233"/>
      <c r="X64" s="123"/>
      <c r="Y64" s="117"/>
      <c r="Z64" s="117"/>
    </row>
    <row r="65" spans="1:26">
      <c r="A65" s="117"/>
      <c r="B65" s="117"/>
      <c r="C65" s="117"/>
      <c r="D65" s="117"/>
      <c r="E65" s="117"/>
      <c r="F65" s="117"/>
      <c r="G65" s="117"/>
      <c r="H65" s="117"/>
      <c r="I65" s="117"/>
      <c r="J65" s="117"/>
      <c r="K65" s="117"/>
      <c r="L65" s="117"/>
      <c r="M65" s="117"/>
      <c r="N65" s="117"/>
      <c r="O65" s="117"/>
      <c r="P65" s="117"/>
      <c r="Q65" s="200"/>
      <c r="R65" s="239"/>
      <c r="S65" s="239"/>
      <c r="T65" s="239"/>
      <c r="U65" s="216"/>
      <c r="V65" s="217"/>
      <c r="W65" s="233"/>
      <c r="X65" s="123"/>
      <c r="Y65" s="117"/>
      <c r="Z65" s="117"/>
    </row>
    <row r="66" spans="1:26">
      <c r="A66" s="117"/>
      <c r="B66" s="117"/>
      <c r="C66" s="117"/>
      <c r="D66" s="117"/>
      <c r="E66" s="117"/>
      <c r="F66" s="117"/>
      <c r="G66" s="117"/>
      <c r="H66" s="117"/>
      <c r="I66" s="117"/>
      <c r="J66" s="117"/>
      <c r="K66" s="117"/>
      <c r="L66" s="117"/>
      <c r="M66" s="117"/>
      <c r="N66" s="117"/>
      <c r="O66" s="117"/>
      <c r="P66" s="117"/>
      <c r="Q66" s="200"/>
      <c r="R66" s="239"/>
      <c r="S66" s="239"/>
      <c r="T66" s="239"/>
      <c r="U66" s="216"/>
      <c r="V66" s="217"/>
      <c r="W66" s="233"/>
      <c r="X66" s="123"/>
      <c r="Y66" s="117"/>
      <c r="Z66" s="117"/>
    </row>
    <row r="67" spans="1:26">
      <c r="A67" s="117"/>
      <c r="B67" s="117"/>
      <c r="C67" s="117"/>
      <c r="D67" s="117"/>
      <c r="E67" s="117"/>
      <c r="F67" s="117"/>
      <c r="G67" s="117"/>
      <c r="H67" s="117"/>
      <c r="I67" s="117"/>
      <c r="J67" s="117"/>
      <c r="K67" s="117"/>
      <c r="L67" s="117"/>
      <c r="M67" s="117"/>
      <c r="N67" s="117"/>
      <c r="O67" s="117"/>
      <c r="P67" s="117"/>
      <c r="Q67" s="200"/>
      <c r="R67" s="239"/>
      <c r="S67" s="239"/>
      <c r="T67" s="239"/>
      <c r="U67" s="216"/>
      <c r="V67" s="217"/>
      <c r="W67" s="233"/>
      <c r="X67" s="123"/>
      <c r="Y67" s="117"/>
      <c r="Z67" s="117"/>
    </row>
    <row r="68" spans="1:26">
      <c r="A68" s="117"/>
      <c r="B68" s="117"/>
      <c r="C68" s="117"/>
      <c r="D68" s="117"/>
      <c r="E68" s="117"/>
      <c r="F68" s="117"/>
      <c r="G68" s="117"/>
      <c r="H68" s="117"/>
      <c r="I68" s="117"/>
      <c r="J68" s="117"/>
      <c r="K68" s="117"/>
      <c r="L68" s="117"/>
      <c r="M68" s="117"/>
      <c r="N68" s="117"/>
      <c r="O68" s="117"/>
      <c r="P68" s="117"/>
      <c r="Q68" s="200"/>
      <c r="R68" s="239"/>
      <c r="S68" s="239"/>
      <c r="T68" s="239"/>
      <c r="U68" s="216"/>
      <c r="V68" s="217"/>
      <c r="W68" s="233"/>
      <c r="X68" s="123"/>
      <c r="Y68" s="117"/>
      <c r="Z68" s="117"/>
    </row>
    <row r="69" spans="1:26">
      <c r="A69" s="117"/>
      <c r="B69" s="117"/>
      <c r="C69" s="117"/>
      <c r="D69" s="117"/>
      <c r="E69" s="117"/>
      <c r="F69" s="117"/>
      <c r="G69" s="117"/>
      <c r="H69" s="117"/>
      <c r="I69" s="117"/>
      <c r="J69" s="117"/>
      <c r="K69" s="117"/>
      <c r="L69" s="117"/>
      <c r="M69" s="117"/>
      <c r="N69" s="117"/>
      <c r="O69" s="117"/>
      <c r="P69" s="117"/>
      <c r="Q69" s="200"/>
      <c r="R69" s="239"/>
      <c r="S69" s="239"/>
      <c r="T69" s="239"/>
      <c r="U69" s="216"/>
      <c r="V69" s="217"/>
      <c r="W69" s="233"/>
      <c r="X69" s="123"/>
      <c r="Y69" s="117"/>
      <c r="Z69" s="117"/>
    </row>
    <row r="70" spans="1:26">
      <c r="A70" s="117"/>
      <c r="B70" s="117"/>
      <c r="C70" s="117"/>
      <c r="D70" s="117"/>
      <c r="E70" s="117"/>
      <c r="F70" s="117"/>
      <c r="G70" s="117"/>
      <c r="H70" s="117"/>
      <c r="I70" s="117"/>
      <c r="J70" s="117"/>
      <c r="K70" s="117"/>
      <c r="L70" s="117"/>
      <c r="M70" s="117"/>
      <c r="N70" s="117"/>
      <c r="O70" s="117"/>
      <c r="P70" s="117"/>
      <c r="Q70" s="200"/>
      <c r="R70" s="239"/>
      <c r="S70" s="239"/>
      <c r="T70" s="239"/>
      <c r="U70" s="216"/>
      <c r="V70" s="217"/>
      <c r="W70" s="233"/>
      <c r="X70" s="123"/>
      <c r="Y70" s="117"/>
      <c r="Z70" s="117"/>
    </row>
    <row r="71" spans="1:26">
      <c r="A71" s="117"/>
      <c r="B71" s="117"/>
      <c r="C71" s="117"/>
      <c r="D71" s="117"/>
      <c r="E71" s="117"/>
      <c r="F71" s="117"/>
      <c r="G71" s="117"/>
      <c r="H71" s="117"/>
      <c r="I71" s="117"/>
      <c r="J71" s="117"/>
      <c r="K71" s="117"/>
      <c r="L71" s="117"/>
      <c r="M71" s="117"/>
      <c r="N71" s="117"/>
      <c r="O71" s="117"/>
      <c r="P71" s="117"/>
      <c r="Q71" s="200"/>
      <c r="R71" s="239"/>
      <c r="S71" s="239"/>
      <c r="T71" s="239"/>
      <c r="U71" s="216"/>
      <c r="V71" s="217"/>
      <c r="W71" s="233"/>
      <c r="X71" s="123"/>
      <c r="Y71" s="117"/>
      <c r="Z71" s="117"/>
    </row>
    <row r="72" spans="1:26">
      <c r="A72" s="117"/>
      <c r="B72" s="117"/>
      <c r="C72" s="117"/>
      <c r="D72" s="117"/>
      <c r="E72" s="117"/>
      <c r="F72" s="117"/>
      <c r="G72" s="117"/>
      <c r="H72" s="117"/>
      <c r="I72" s="117"/>
      <c r="J72" s="117"/>
      <c r="K72" s="117"/>
      <c r="L72" s="117"/>
      <c r="M72" s="117"/>
      <c r="N72" s="117"/>
      <c r="O72" s="117"/>
      <c r="P72" s="117"/>
      <c r="Q72" s="200"/>
      <c r="R72" s="239"/>
      <c r="S72" s="239"/>
      <c r="T72" s="239"/>
      <c r="U72" s="216"/>
      <c r="V72" s="217"/>
      <c r="W72" s="233"/>
      <c r="X72" s="123"/>
      <c r="Y72" s="117"/>
      <c r="Z72" s="117"/>
    </row>
    <row r="73" spans="1:26">
      <c r="A73" s="117"/>
      <c r="B73" s="117"/>
      <c r="C73" s="117"/>
      <c r="D73" s="117"/>
      <c r="E73" s="117"/>
      <c r="F73" s="117"/>
      <c r="G73" s="117"/>
      <c r="H73" s="117"/>
      <c r="I73" s="117"/>
      <c r="J73" s="117"/>
      <c r="K73" s="117"/>
      <c r="L73" s="117"/>
      <c r="M73" s="117"/>
      <c r="N73" s="117"/>
      <c r="O73" s="117"/>
      <c r="P73" s="117"/>
      <c r="Q73" s="200"/>
      <c r="R73" s="239"/>
      <c r="S73" s="239"/>
      <c r="T73" s="239"/>
      <c r="U73" s="216"/>
      <c r="V73" s="217"/>
      <c r="W73" s="233"/>
      <c r="X73" s="123"/>
      <c r="Y73" s="117"/>
      <c r="Z73" s="117"/>
    </row>
    <row r="74" spans="1:26">
      <c r="A74" s="117"/>
      <c r="B74" s="117"/>
      <c r="C74" s="117"/>
      <c r="D74" s="117"/>
      <c r="E74" s="117"/>
      <c r="F74" s="117"/>
      <c r="G74" s="117"/>
      <c r="H74" s="117"/>
      <c r="I74" s="117"/>
      <c r="J74" s="117"/>
      <c r="K74" s="117"/>
      <c r="L74" s="117"/>
      <c r="M74" s="117"/>
      <c r="N74" s="117"/>
      <c r="O74" s="117"/>
      <c r="P74" s="117"/>
      <c r="Q74" s="200"/>
      <c r="R74" s="239"/>
      <c r="S74" s="239"/>
      <c r="T74" s="239"/>
      <c r="U74" s="216"/>
      <c r="V74" s="217"/>
      <c r="W74" s="233"/>
      <c r="X74" s="123"/>
      <c r="Y74" s="117"/>
      <c r="Z74" s="117"/>
    </row>
    <row r="75" spans="1:26">
      <c r="A75" s="117"/>
      <c r="B75" s="117"/>
      <c r="C75" s="117"/>
      <c r="D75" s="117"/>
      <c r="E75" s="117"/>
      <c r="F75" s="117"/>
      <c r="G75" s="117"/>
      <c r="H75" s="117"/>
      <c r="I75" s="117"/>
      <c r="J75" s="117"/>
      <c r="K75" s="117"/>
      <c r="L75" s="117"/>
      <c r="M75" s="117"/>
      <c r="N75" s="117"/>
      <c r="O75" s="117"/>
      <c r="P75" s="117"/>
      <c r="Q75" s="200"/>
      <c r="R75" s="239"/>
      <c r="S75" s="239"/>
      <c r="T75" s="239"/>
      <c r="U75" s="216"/>
      <c r="V75" s="217"/>
      <c r="W75" s="233"/>
      <c r="X75" s="123"/>
      <c r="Y75" s="117"/>
      <c r="Z75" s="117"/>
    </row>
    <row r="76" spans="1:26">
      <c r="A76" s="117"/>
      <c r="B76" s="117"/>
      <c r="C76" s="117"/>
      <c r="D76" s="117"/>
      <c r="E76" s="117"/>
      <c r="F76" s="117"/>
      <c r="G76" s="117"/>
      <c r="H76" s="117"/>
      <c r="I76" s="117"/>
      <c r="J76" s="117"/>
      <c r="K76" s="117"/>
      <c r="L76" s="117"/>
      <c r="M76" s="117"/>
      <c r="N76" s="117"/>
      <c r="O76" s="117"/>
      <c r="P76" s="117"/>
      <c r="Q76" s="200"/>
      <c r="R76" s="239"/>
      <c r="S76" s="239"/>
      <c r="T76" s="239"/>
      <c r="U76" s="216"/>
      <c r="V76" s="217"/>
      <c r="W76" s="233"/>
      <c r="X76" s="123"/>
      <c r="Y76" s="117"/>
      <c r="Z76" s="117"/>
    </row>
    <row r="77" spans="1:26">
      <c r="A77" s="117"/>
      <c r="B77" s="117"/>
      <c r="C77" s="117"/>
      <c r="D77" s="117"/>
      <c r="E77" s="117"/>
      <c r="F77" s="117"/>
      <c r="G77" s="117"/>
      <c r="H77" s="117"/>
      <c r="I77" s="117"/>
      <c r="J77" s="117"/>
      <c r="K77" s="117"/>
      <c r="L77" s="117"/>
      <c r="M77" s="117"/>
      <c r="N77" s="117"/>
      <c r="O77" s="117"/>
      <c r="P77" s="117"/>
      <c r="Q77" s="200"/>
      <c r="R77" s="239"/>
      <c r="S77" s="239"/>
      <c r="T77" s="239"/>
      <c r="U77" s="216"/>
      <c r="V77" s="217"/>
      <c r="W77" s="233"/>
      <c r="X77" s="123"/>
      <c r="Y77" s="117"/>
      <c r="Z77" s="117"/>
    </row>
    <row r="78" spans="1:26">
      <c r="A78" s="117"/>
      <c r="B78" s="117"/>
      <c r="C78" s="117"/>
      <c r="D78" s="117"/>
      <c r="E78" s="117"/>
      <c r="F78" s="117"/>
      <c r="G78" s="117"/>
      <c r="H78" s="117"/>
      <c r="I78" s="117"/>
      <c r="J78" s="117"/>
      <c r="K78" s="117"/>
      <c r="L78" s="117"/>
      <c r="M78" s="117"/>
      <c r="N78" s="117"/>
      <c r="O78" s="117"/>
      <c r="P78" s="117"/>
      <c r="Q78" s="200"/>
      <c r="R78" s="239"/>
      <c r="S78" s="239"/>
      <c r="T78" s="239"/>
      <c r="U78" s="216"/>
      <c r="V78" s="217"/>
      <c r="W78" s="233"/>
      <c r="X78" s="123"/>
      <c r="Y78" s="117"/>
      <c r="Z78" s="117"/>
    </row>
    <row r="79" spans="1:26">
      <c r="A79" s="117"/>
      <c r="B79" s="117"/>
      <c r="C79" s="117"/>
      <c r="D79" s="117"/>
      <c r="E79" s="117"/>
      <c r="F79" s="117"/>
      <c r="G79" s="117"/>
      <c r="H79" s="117"/>
      <c r="I79" s="117"/>
      <c r="J79" s="117"/>
      <c r="K79" s="117"/>
      <c r="L79" s="117"/>
      <c r="M79" s="117"/>
      <c r="N79" s="117"/>
      <c r="O79" s="117"/>
      <c r="P79" s="117"/>
      <c r="Q79" s="200"/>
      <c r="R79" s="239"/>
      <c r="S79" s="239"/>
      <c r="T79" s="239"/>
      <c r="U79" s="216"/>
      <c r="V79" s="217"/>
      <c r="W79" s="233"/>
      <c r="X79" s="123"/>
      <c r="Y79" s="117"/>
      <c r="Z79" s="117"/>
    </row>
    <row r="80" spans="1:26">
      <c r="A80" s="117"/>
      <c r="B80" s="117"/>
      <c r="C80" s="117"/>
      <c r="D80" s="117"/>
      <c r="E80" s="117"/>
      <c r="F80" s="117"/>
      <c r="G80" s="117"/>
      <c r="H80" s="117"/>
      <c r="I80" s="117"/>
      <c r="J80" s="117"/>
      <c r="K80" s="117"/>
      <c r="L80" s="117"/>
      <c r="M80" s="117"/>
      <c r="N80" s="117"/>
      <c r="O80" s="117"/>
      <c r="P80" s="117"/>
      <c r="Q80" s="200"/>
      <c r="R80" s="239"/>
      <c r="S80" s="239"/>
      <c r="T80" s="239"/>
      <c r="U80" s="216"/>
      <c r="V80" s="217"/>
      <c r="W80" s="233"/>
      <c r="X80" s="123"/>
      <c r="Y80" s="117"/>
      <c r="Z80" s="117"/>
    </row>
    <row r="81" spans="1:26">
      <c r="A81" s="117"/>
      <c r="B81" s="117"/>
      <c r="C81" s="117"/>
      <c r="D81" s="117"/>
      <c r="E81" s="117"/>
      <c r="F81" s="117"/>
      <c r="G81" s="117"/>
      <c r="H81" s="117"/>
      <c r="I81" s="117"/>
      <c r="J81" s="117"/>
      <c r="K81" s="117"/>
      <c r="L81" s="117"/>
      <c r="M81" s="117"/>
      <c r="N81" s="117"/>
      <c r="O81" s="117"/>
      <c r="P81" s="117"/>
      <c r="Q81" s="200"/>
      <c r="R81" s="239"/>
      <c r="S81" s="239"/>
      <c r="T81" s="239"/>
      <c r="U81" s="216"/>
      <c r="V81" s="217"/>
      <c r="W81" s="233"/>
      <c r="X81" s="123"/>
      <c r="Y81" s="117"/>
      <c r="Z81" s="117"/>
    </row>
    <row r="82" spans="1:26">
      <c r="A82" s="117"/>
      <c r="B82" s="117"/>
      <c r="C82" s="117"/>
      <c r="D82" s="117"/>
      <c r="E82" s="117"/>
      <c r="F82" s="117"/>
      <c r="G82" s="117"/>
      <c r="H82" s="117"/>
      <c r="I82" s="117"/>
      <c r="J82" s="117"/>
      <c r="K82" s="117"/>
      <c r="L82" s="117"/>
      <c r="M82" s="117"/>
      <c r="N82" s="117"/>
      <c r="O82" s="117"/>
      <c r="P82" s="117"/>
      <c r="Q82" s="200"/>
      <c r="R82" s="239"/>
      <c r="S82" s="239"/>
      <c r="T82" s="239"/>
      <c r="U82" s="216"/>
      <c r="V82" s="217"/>
      <c r="W82" s="233"/>
      <c r="X82" s="123"/>
      <c r="Y82" s="117"/>
      <c r="Z82" s="117"/>
    </row>
    <row r="83" spans="1:26">
      <c r="A83" s="117"/>
      <c r="B83" s="117"/>
      <c r="C83" s="117"/>
      <c r="D83" s="117"/>
      <c r="E83" s="117"/>
      <c r="F83" s="117"/>
      <c r="G83" s="117"/>
      <c r="H83" s="117"/>
      <c r="I83" s="117"/>
      <c r="J83" s="117"/>
      <c r="K83" s="117"/>
      <c r="L83" s="117"/>
      <c r="M83" s="117"/>
      <c r="N83" s="117"/>
      <c r="O83" s="117"/>
      <c r="P83" s="117"/>
      <c r="Q83" s="200"/>
      <c r="R83" s="239"/>
      <c r="S83" s="239"/>
      <c r="T83" s="239"/>
      <c r="U83" s="216"/>
      <c r="V83" s="217"/>
      <c r="W83" s="233"/>
      <c r="X83" s="123"/>
      <c r="Y83" s="117"/>
      <c r="Z83" s="117"/>
    </row>
    <row r="84" spans="1:26">
      <c r="A84" s="117"/>
      <c r="B84" s="117"/>
      <c r="C84" s="117"/>
      <c r="D84" s="117"/>
      <c r="E84" s="117"/>
      <c r="F84" s="117"/>
      <c r="G84" s="117"/>
      <c r="H84" s="117"/>
      <c r="I84" s="117"/>
      <c r="J84" s="117"/>
      <c r="K84" s="117"/>
      <c r="L84" s="117"/>
      <c r="M84" s="117"/>
      <c r="N84" s="117"/>
      <c r="O84" s="117"/>
      <c r="P84" s="117"/>
      <c r="Q84" s="200"/>
      <c r="R84" s="239"/>
      <c r="S84" s="239"/>
      <c r="T84" s="239"/>
      <c r="U84" s="216"/>
      <c r="V84" s="217"/>
      <c r="W84" s="233"/>
      <c r="X84" s="123"/>
      <c r="Y84" s="117"/>
      <c r="Z84" s="117"/>
    </row>
    <row r="85" spans="1:26">
      <c r="A85" s="117"/>
      <c r="B85" s="117"/>
      <c r="C85" s="117"/>
      <c r="D85" s="117"/>
      <c r="E85" s="117"/>
      <c r="F85" s="117"/>
      <c r="G85" s="117"/>
      <c r="H85" s="117"/>
      <c r="I85" s="117"/>
      <c r="J85" s="117"/>
      <c r="K85" s="117"/>
      <c r="L85" s="117"/>
      <c r="M85" s="117"/>
      <c r="N85" s="117"/>
      <c r="O85" s="117"/>
      <c r="P85" s="117"/>
      <c r="Q85" s="200"/>
      <c r="R85" s="239"/>
      <c r="S85" s="239"/>
      <c r="T85" s="239"/>
      <c r="U85" s="216"/>
      <c r="V85" s="217"/>
      <c r="W85" s="233"/>
      <c r="X85" s="123"/>
      <c r="Y85" s="117"/>
      <c r="Z85" s="117"/>
    </row>
    <row r="86" spans="1:26">
      <c r="A86" s="117"/>
      <c r="B86" s="117"/>
      <c r="C86" s="117"/>
      <c r="D86" s="117"/>
      <c r="E86" s="117"/>
      <c r="F86" s="117"/>
      <c r="G86" s="117"/>
      <c r="H86" s="117"/>
      <c r="I86" s="117"/>
      <c r="J86" s="117"/>
      <c r="K86" s="117"/>
      <c r="L86" s="117"/>
      <c r="M86" s="117"/>
      <c r="N86" s="117"/>
      <c r="O86" s="117"/>
      <c r="P86" s="117"/>
      <c r="Q86" s="200"/>
      <c r="R86" s="239"/>
      <c r="S86" s="239"/>
      <c r="T86" s="239"/>
      <c r="U86" s="216"/>
      <c r="V86" s="217"/>
      <c r="W86" s="233"/>
      <c r="X86" s="123"/>
      <c r="Y86" s="117"/>
      <c r="Z86" s="117"/>
    </row>
    <row r="87" spans="1:26">
      <c r="A87" s="117"/>
      <c r="B87" s="117"/>
      <c r="C87" s="117"/>
      <c r="D87" s="117"/>
      <c r="E87" s="117"/>
      <c r="F87" s="117"/>
      <c r="G87" s="117"/>
      <c r="H87" s="117"/>
      <c r="I87" s="117"/>
      <c r="J87" s="117"/>
      <c r="K87" s="117"/>
      <c r="L87" s="117"/>
      <c r="M87" s="117"/>
      <c r="N87" s="117"/>
      <c r="O87" s="117"/>
      <c r="P87" s="117"/>
      <c r="Q87" s="200"/>
      <c r="R87" s="239"/>
      <c r="S87" s="239"/>
      <c r="T87" s="239"/>
      <c r="U87" s="216"/>
      <c r="V87" s="217"/>
      <c r="W87" s="233"/>
      <c r="X87" s="123"/>
      <c r="Y87" s="117"/>
      <c r="Z87" s="117"/>
    </row>
    <row r="88" spans="1:26">
      <c r="A88" s="117"/>
      <c r="B88" s="117"/>
      <c r="C88" s="117"/>
      <c r="D88" s="117"/>
      <c r="E88" s="117"/>
      <c r="F88" s="117"/>
      <c r="G88" s="117"/>
      <c r="H88" s="117"/>
      <c r="I88" s="117"/>
      <c r="J88" s="117"/>
      <c r="K88" s="117"/>
      <c r="L88" s="117"/>
      <c r="M88" s="117"/>
      <c r="N88" s="117"/>
      <c r="O88" s="117"/>
      <c r="P88" s="117"/>
      <c r="Q88" s="200"/>
      <c r="R88" s="239"/>
      <c r="S88" s="239"/>
      <c r="T88" s="239"/>
      <c r="U88" s="216"/>
      <c r="V88" s="217"/>
      <c r="W88" s="233"/>
      <c r="X88" s="123"/>
      <c r="Y88" s="117"/>
      <c r="Z88" s="117"/>
    </row>
    <row r="89" spans="1:26">
      <c r="A89" s="117"/>
      <c r="B89" s="117"/>
      <c r="C89" s="117"/>
      <c r="D89" s="117"/>
      <c r="E89" s="117"/>
      <c r="F89" s="117"/>
      <c r="G89" s="117"/>
      <c r="H89" s="117"/>
      <c r="I89" s="117"/>
      <c r="J89" s="117"/>
      <c r="K89" s="117"/>
      <c r="L89" s="117"/>
      <c r="M89" s="117"/>
      <c r="N89" s="117"/>
      <c r="O89" s="117"/>
      <c r="P89" s="117"/>
      <c r="Q89" s="200"/>
      <c r="R89" s="239"/>
      <c r="S89" s="239"/>
      <c r="T89" s="239"/>
      <c r="U89" s="216"/>
      <c r="V89" s="217"/>
      <c r="W89" s="233"/>
      <c r="X89" s="123"/>
      <c r="Y89" s="117"/>
      <c r="Z89" s="117"/>
    </row>
    <row r="90" spans="1:26">
      <c r="A90" s="117"/>
      <c r="B90" s="117"/>
      <c r="C90" s="117"/>
      <c r="D90" s="117"/>
      <c r="E90" s="117"/>
      <c r="F90" s="117"/>
      <c r="G90" s="117"/>
      <c r="H90" s="117"/>
      <c r="I90" s="117"/>
      <c r="J90" s="117"/>
      <c r="K90" s="117"/>
      <c r="L90" s="117"/>
      <c r="M90" s="117"/>
      <c r="N90" s="117"/>
      <c r="O90" s="117"/>
      <c r="P90" s="117"/>
      <c r="Q90" s="200"/>
      <c r="R90" s="239"/>
      <c r="S90" s="239"/>
      <c r="T90" s="239"/>
      <c r="U90" s="216"/>
      <c r="V90" s="217"/>
      <c r="W90" s="233"/>
      <c r="X90" s="123"/>
      <c r="Y90" s="117"/>
      <c r="Z90" s="117"/>
    </row>
    <row r="91" spans="1:26">
      <c r="A91" s="117"/>
      <c r="B91" s="117"/>
      <c r="C91" s="117"/>
      <c r="D91" s="117"/>
      <c r="E91" s="117"/>
      <c r="F91" s="117"/>
      <c r="G91" s="117"/>
      <c r="H91" s="117"/>
      <c r="I91" s="117"/>
      <c r="J91" s="117"/>
      <c r="K91" s="117"/>
      <c r="L91" s="117"/>
      <c r="M91" s="117"/>
      <c r="N91" s="117"/>
      <c r="O91" s="117"/>
      <c r="P91" s="117"/>
      <c r="Q91" s="200"/>
      <c r="R91" s="239"/>
      <c r="S91" s="239"/>
      <c r="T91" s="239"/>
      <c r="U91" s="216"/>
      <c r="V91" s="217"/>
      <c r="W91" s="233"/>
      <c r="X91" s="123"/>
      <c r="Y91" s="117"/>
      <c r="Z91" s="117"/>
    </row>
    <row r="92" spans="1:26">
      <c r="A92" s="117"/>
      <c r="B92" s="117"/>
      <c r="C92" s="117"/>
      <c r="D92" s="117"/>
      <c r="E92" s="117"/>
      <c r="F92" s="117"/>
      <c r="G92" s="117"/>
      <c r="H92" s="117"/>
      <c r="I92" s="117"/>
      <c r="J92" s="117"/>
      <c r="K92" s="117"/>
      <c r="L92" s="117"/>
      <c r="M92" s="117"/>
      <c r="N92" s="117"/>
      <c r="O92" s="117"/>
      <c r="P92" s="117"/>
      <c r="Q92" s="200"/>
      <c r="R92" s="239"/>
      <c r="S92" s="239"/>
      <c r="T92" s="239"/>
      <c r="U92" s="216"/>
      <c r="V92" s="217"/>
      <c r="W92" s="233"/>
      <c r="X92" s="123"/>
      <c r="Y92" s="117"/>
      <c r="Z92" s="117"/>
    </row>
    <row r="93" spans="1:26">
      <c r="A93" s="117"/>
      <c r="B93" s="117"/>
      <c r="C93" s="117"/>
      <c r="D93" s="117"/>
      <c r="E93" s="117"/>
      <c r="F93" s="117"/>
      <c r="G93" s="117"/>
      <c r="H93" s="117"/>
      <c r="I93" s="117"/>
      <c r="J93" s="117"/>
      <c r="K93" s="117"/>
      <c r="L93" s="117"/>
      <c r="M93" s="117"/>
      <c r="N93" s="117"/>
      <c r="O93" s="117"/>
      <c r="P93" s="117"/>
      <c r="Q93" s="200"/>
      <c r="R93" s="239"/>
      <c r="S93" s="239"/>
      <c r="T93" s="239"/>
      <c r="U93" s="216"/>
      <c r="V93" s="217"/>
      <c r="W93" s="233"/>
      <c r="X93" s="123"/>
      <c r="Y93" s="117"/>
      <c r="Z93" s="117"/>
    </row>
    <row r="94" spans="1:26">
      <c r="A94" s="117"/>
      <c r="B94" s="117"/>
      <c r="C94" s="117"/>
      <c r="D94" s="117"/>
      <c r="E94" s="117"/>
      <c r="F94" s="117"/>
      <c r="G94" s="117"/>
      <c r="H94" s="117"/>
      <c r="I94" s="117"/>
      <c r="J94" s="117"/>
      <c r="K94" s="117"/>
      <c r="L94" s="117"/>
      <c r="M94" s="117"/>
      <c r="N94" s="117"/>
      <c r="O94" s="117"/>
      <c r="P94" s="117"/>
      <c r="Q94" s="200"/>
      <c r="R94" s="239"/>
      <c r="S94" s="239"/>
      <c r="T94" s="239"/>
      <c r="U94" s="216"/>
      <c r="V94" s="217"/>
      <c r="W94" s="233"/>
      <c r="X94" s="123"/>
      <c r="Y94" s="117"/>
      <c r="Z94" s="117"/>
    </row>
    <row r="95" spans="1:26">
      <c r="A95" s="117"/>
      <c r="B95" s="117"/>
      <c r="C95" s="117"/>
      <c r="D95" s="117"/>
      <c r="E95" s="117"/>
      <c r="F95" s="117"/>
      <c r="G95" s="117"/>
      <c r="H95" s="117"/>
      <c r="I95" s="117"/>
      <c r="J95" s="117"/>
      <c r="K95" s="117"/>
      <c r="L95" s="117"/>
      <c r="M95" s="117"/>
      <c r="N95" s="117"/>
      <c r="O95" s="117"/>
      <c r="P95" s="117"/>
      <c r="Q95" s="200"/>
      <c r="R95" s="239"/>
      <c r="S95" s="239"/>
      <c r="T95" s="239"/>
      <c r="U95" s="216"/>
      <c r="V95" s="217"/>
      <c r="W95" s="233"/>
      <c r="X95" s="123"/>
      <c r="Y95" s="117"/>
      <c r="Z95" s="117"/>
    </row>
    <row r="96" spans="1:26">
      <c r="A96" s="117"/>
      <c r="B96" s="117"/>
      <c r="C96" s="117"/>
      <c r="D96" s="117"/>
      <c r="E96" s="117"/>
      <c r="F96" s="117"/>
      <c r="G96" s="117"/>
      <c r="H96" s="117"/>
      <c r="I96" s="117"/>
      <c r="J96" s="117"/>
      <c r="K96" s="117"/>
      <c r="L96" s="117"/>
      <c r="M96" s="117"/>
      <c r="N96" s="117"/>
      <c r="O96" s="117"/>
      <c r="P96" s="117"/>
      <c r="Q96" s="200"/>
      <c r="R96" s="239"/>
      <c r="S96" s="239"/>
      <c r="T96" s="239"/>
      <c r="U96" s="216"/>
      <c r="V96" s="217"/>
      <c r="W96" s="233"/>
      <c r="X96" s="123"/>
      <c r="Y96" s="117"/>
      <c r="Z96" s="117"/>
    </row>
    <row r="97" spans="1:26">
      <c r="A97" s="117"/>
      <c r="B97" s="117"/>
      <c r="C97" s="117"/>
      <c r="D97" s="117"/>
      <c r="E97" s="117"/>
      <c r="F97" s="117"/>
      <c r="G97" s="117"/>
      <c r="H97" s="117"/>
      <c r="I97" s="117"/>
      <c r="J97" s="117"/>
      <c r="K97" s="117"/>
      <c r="L97" s="117"/>
      <c r="M97" s="117"/>
      <c r="N97" s="117"/>
      <c r="O97" s="117"/>
      <c r="P97" s="117"/>
      <c r="Q97" s="200"/>
      <c r="R97" s="239"/>
      <c r="S97" s="239"/>
      <c r="T97" s="239"/>
      <c r="U97" s="216"/>
      <c r="V97" s="217"/>
      <c r="W97" s="233"/>
      <c r="X97" s="123"/>
      <c r="Y97" s="117"/>
      <c r="Z97" s="117"/>
    </row>
    <row r="98" spans="1:26">
      <c r="A98" s="117"/>
      <c r="B98" s="117"/>
      <c r="C98" s="117"/>
      <c r="D98" s="117"/>
      <c r="E98" s="117"/>
      <c r="F98" s="117"/>
      <c r="G98" s="117"/>
      <c r="H98" s="117"/>
      <c r="I98" s="117"/>
      <c r="J98" s="117"/>
      <c r="K98" s="117"/>
      <c r="L98" s="117"/>
      <c r="M98" s="117"/>
      <c r="N98" s="117"/>
      <c r="O98" s="117"/>
      <c r="P98" s="117"/>
      <c r="Q98" s="200"/>
      <c r="R98" s="239"/>
      <c r="S98" s="239"/>
      <c r="T98" s="239"/>
      <c r="U98" s="216"/>
      <c r="V98" s="217"/>
      <c r="W98" s="233"/>
      <c r="X98" s="123"/>
      <c r="Y98" s="117"/>
      <c r="Z98" s="117"/>
    </row>
    <row r="99" spans="1:26">
      <c r="A99" s="117"/>
      <c r="B99" s="117"/>
      <c r="C99" s="117"/>
      <c r="D99" s="117"/>
      <c r="E99" s="117"/>
      <c r="F99" s="117"/>
      <c r="G99" s="117"/>
      <c r="H99" s="117"/>
      <c r="I99" s="117"/>
      <c r="J99" s="117"/>
      <c r="K99" s="117"/>
      <c r="L99" s="117"/>
      <c r="M99" s="117"/>
      <c r="N99" s="117"/>
      <c r="O99" s="117"/>
      <c r="P99" s="117"/>
      <c r="Q99" s="200"/>
      <c r="R99" s="239"/>
      <c r="S99" s="239"/>
      <c r="T99" s="239"/>
      <c r="U99" s="216"/>
      <c r="V99" s="217"/>
      <c r="W99" s="233"/>
      <c r="X99" s="123"/>
      <c r="Y99" s="117"/>
      <c r="Z99" s="117"/>
    </row>
  </sheetData>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Z1388"/>
  <sheetViews>
    <sheetView workbookViewId="0">
      <pane xSplit="1" ySplit="1" topLeftCell="B135" activePane="bottomRight" state="frozen"/>
      <selection pane="topRight" activeCell="B1" sqref="B1"/>
      <selection pane="bottomLeft" activeCell="A2" sqref="A2"/>
      <selection pane="bottomRight" activeCell="F1" sqref="F1:F1048576"/>
    </sheetView>
  </sheetViews>
  <sheetFormatPr defaultColWidth="14.42578125" defaultRowHeight="15" customHeight="1"/>
  <cols>
    <col min="1" max="1" width="5.85546875" customWidth="1"/>
    <col min="2" max="2" width="7.140625" customWidth="1"/>
    <col min="3" max="3" width="6.28515625" customWidth="1"/>
    <col min="4" max="4" width="12.85546875" customWidth="1"/>
    <col min="5" max="5" width="3.5703125" customWidth="1"/>
    <col min="6" max="6" width="28" customWidth="1"/>
    <col min="7" max="7" width="28.42578125" customWidth="1"/>
    <col min="8" max="8" width="14.28515625" customWidth="1"/>
    <col min="9" max="10" width="8.42578125" customWidth="1"/>
    <col min="11" max="11" width="7.42578125" customWidth="1"/>
    <col min="12" max="12" width="9.7109375" customWidth="1"/>
    <col min="13" max="14" width="7.42578125" customWidth="1"/>
    <col min="15" max="16" width="8.42578125" customWidth="1"/>
    <col min="17" max="17" width="20.85546875" customWidth="1"/>
    <col min="18" max="18" width="6.5703125" customWidth="1"/>
    <col min="19" max="19" width="6.42578125" customWidth="1"/>
    <col min="20" max="20" width="7.5703125" customWidth="1"/>
    <col min="21" max="21" width="7.85546875" customWidth="1"/>
    <col min="22" max="22" width="8.85546875" customWidth="1"/>
    <col min="23" max="23" width="7.5703125" customWidth="1"/>
    <col min="24" max="24" width="8.7109375" customWidth="1"/>
    <col min="25" max="26" width="49" customWidth="1"/>
  </cols>
  <sheetData>
    <row r="1" spans="1:26" ht="45" customHeight="1">
      <c r="A1" s="2" t="s">
        <v>1</v>
      </c>
      <c r="B1" s="298" t="str">
        <f>HYPERLINK("#rangeid=2086300674","Content Owner")</f>
        <v>Content Owner</v>
      </c>
      <c r="C1" s="299" t="str">
        <f>HYPERLINK("#rangeid=632369931","Video Owner")</f>
        <v>Video Owner</v>
      </c>
      <c r="D1" s="300" t="s">
        <v>6</v>
      </c>
      <c r="E1" s="14" t="s">
        <v>12</v>
      </c>
      <c r="F1" s="16" t="s">
        <v>16</v>
      </c>
      <c r="G1" s="2" t="s">
        <v>18</v>
      </c>
      <c r="H1" s="301" t="str">
        <f>HYPERLINK("#rangeid=906849400","Description")</f>
        <v>Description</v>
      </c>
      <c r="I1" s="302" t="s">
        <v>22</v>
      </c>
      <c r="J1" s="2" t="s">
        <v>24</v>
      </c>
      <c r="K1" s="303" t="s">
        <v>2747</v>
      </c>
      <c r="L1" s="2" t="s">
        <v>27</v>
      </c>
      <c r="M1" s="304" t="s">
        <v>28</v>
      </c>
      <c r="N1" s="304" t="s">
        <v>29</v>
      </c>
      <c r="O1" s="304" t="s">
        <v>30</v>
      </c>
      <c r="P1" s="305" t="s">
        <v>31</v>
      </c>
      <c r="Q1" s="2" t="s">
        <v>32</v>
      </c>
      <c r="R1" s="28" t="s">
        <v>33</v>
      </c>
      <c r="S1" s="28" t="s">
        <v>34</v>
      </c>
      <c r="T1" s="28" t="s">
        <v>35</v>
      </c>
      <c r="U1" s="29" t="s">
        <v>36</v>
      </c>
      <c r="V1" s="30" t="s">
        <v>37</v>
      </c>
      <c r="W1" s="306" t="str">
        <f>HYPERLINK("#rangeid=120001109","Replay")</f>
        <v>Replay</v>
      </c>
      <c r="X1" s="33" t="s">
        <v>49</v>
      </c>
      <c r="Y1" s="34" t="s">
        <v>52</v>
      </c>
      <c r="Z1" s="36" t="s">
        <v>53</v>
      </c>
    </row>
    <row r="2" spans="1:26">
      <c r="A2" s="38">
        <v>1</v>
      </c>
      <c r="B2" s="38" t="s">
        <v>55</v>
      </c>
      <c r="C2" s="42"/>
      <c r="D2" s="38" t="s">
        <v>56</v>
      </c>
      <c r="E2" s="38" t="s">
        <v>58</v>
      </c>
      <c r="F2" s="43" t="s">
        <v>60</v>
      </c>
      <c r="G2" s="44" t="s">
        <v>118</v>
      </c>
      <c r="H2" s="45" t="s">
        <v>119</v>
      </c>
      <c r="I2" s="38"/>
      <c r="J2" s="38">
        <f>7*1000</f>
        <v>7000</v>
      </c>
      <c r="K2" s="46">
        <v>9.6296296296296303E-3</v>
      </c>
      <c r="L2" s="47" t="s">
        <v>61</v>
      </c>
      <c r="M2" s="307"/>
      <c r="N2" s="307"/>
      <c r="O2" s="307">
        <f t="shared" ref="O2:O167" si="0">N2-M2</f>
        <v>0</v>
      </c>
      <c r="P2" s="92">
        <v>42989</v>
      </c>
      <c r="Q2" s="410" t="str">
        <f ca="1">HYPERLINK(IF(INT(A2)-A2=0,E2,REPLACE(INDIRECT("MasterList!e"&amp;INT(A2)+1),25,8,"embed/")&amp;"?start="&amp;HOUR(M2)*3600+MINUTE(M2)*60+SECOND(M2)&amp;"&amp;end="&amp;HOUR(N2)*3600+MINUTE(N2)*60+SECOND(N2)&amp;"&amp;autoplay=1"))</f>
        <v>https://www.youtube.com/watch?v=RD7JpM4UrUA</v>
      </c>
      <c r="R2" s="50" t="s">
        <v>63</v>
      </c>
      <c r="S2" s="50" t="s">
        <v>63</v>
      </c>
      <c r="T2" s="50" t="s">
        <v>63</v>
      </c>
      <c r="U2" s="52"/>
      <c r="V2" s="53"/>
      <c r="W2" s="60" t="s">
        <v>64</v>
      </c>
      <c r="X2" s="56"/>
      <c r="Y2" s="38"/>
      <c r="Z2" s="38"/>
    </row>
    <row r="3" spans="1:26">
      <c r="A3" s="38">
        <v>2</v>
      </c>
      <c r="B3" s="38" t="s">
        <v>55</v>
      </c>
      <c r="C3" s="42"/>
      <c r="D3" s="38" t="s">
        <v>56</v>
      </c>
      <c r="E3" s="38" t="s">
        <v>65</v>
      </c>
      <c r="F3" s="43" t="s">
        <v>66</v>
      </c>
      <c r="G3" s="44" t="s">
        <v>128</v>
      </c>
      <c r="H3" s="58" t="s">
        <v>2749</v>
      </c>
      <c r="I3" s="38"/>
      <c r="J3" s="38">
        <f>4*1000</f>
        <v>4000</v>
      </c>
      <c r="K3" s="46">
        <v>1.0289351851851852E-2</v>
      </c>
      <c r="L3" s="47" t="s">
        <v>61</v>
      </c>
      <c r="M3" s="307"/>
      <c r="N3" s="307"/>
      <c r="O3" s="307">
        <f t="shared" si="0"/>
        <v>0</v>
      </c>
      <c r="P3" s="92">
        <v>42989</v>
      </c>
      <c r="Q3" s="410" t="str">
        <f t="shared" ref="Q3:Q66" ca="1" si="1">HYPERLINK(IF(INT(A3)-A3=0,E3,REPLACE(INDIRECT("MasterList!e"&amp;INT(A3)+1),25,8,"embed/")&amp;"?start="&amp;HOUR(M3)*3600+MINUTE(M3)*60+SECOND(M3)&amp;"&amp;end="&amp;HOUR(N3)*3600+MINUTE(N3)*60+SECOND(N3)&amp;"&amp;autoplay=1"))</f>
        <v>https://www.youtube.com/watch?v=jKuCWHsoXmQ</v>
      </c>
      <c r="R3" s="50" t="s">
        <v>63</v>
      </c>
      <c r="S3" s="50" t="s">
        <v>63</v>
      </c>
      <c r="T3" s="50" t="s">
        <v>63</v>
      </c>
      <c r="U3" s="52"/>
      <c r="V3" s="53"/>
      <c r="W3" s="60" t="s">
        <v>64</v>
      </c>
      <c r="X3" s="56"/>
      <c r="Y3" s="38"/>
      <c r="Z3" s="38"/>
    </row>
    <row r="4" spans="1:26">
      <c r="A4" s="38">
        <v>3</v>
      </c>
      <c r="B4" s="38" t="s">
        <v>55</v>
      </c>
      <c r="C4" s="42"/>
      <c r="D4" s="38" t="s">
        <v>56</v>
      </c>
      <c r="E4" s="38" t="s">
        <v>70</v>
      </c>
      <c r="F4" s="43" t="s">
        <v>71</v>
      </c>
      <c r="G4" s="44" t="s">
        <v>134</v>
      </c>
      <c r="H4" s="45" t="s">
        <v>135</v>
      </c>
      <c r="I4" s="38"/>
      <c r="J4" s="38">
        <f>826</f>
        <v>826</v>
      </c>
      <c r="K4" s="46">
        <v>2.1643518518518518E-3</v>
      </c>
      <c r="L4" s="47" t="s">
        <v>61</v>
      </c>
      <c r="M4" s="307"/>
      <c r="N4" s="307"/>
      <c r="O4" s="307">
        <f t="shared" si="0"/>
        <v>0</v>
      </c>
      <c r="P4" s="92">
        <v>42990</v>
      </c>
      <c r="Q4" s="410" t="str">
        <f t="shared" ca="1" si="1"/>
        <v>https://www.youtube.com/watch?v=21ZKFBL-Yc0</v>
      </c>
      <c r="R4" s="50" t="s">
        <v>63</v>
      </c>
      <c r="S4" s="50" t="s">
        <v>63</v>
      </c>
      <c r="T4" s="50" t="s">
        <v>63</v>
      </c>
      <c r="U4" s="52"/>
      <c r="V4" s="53"/>
      <c r="W4" s="60" t="s">
        <v>64</v>
      </c>
      <c r="X4" s="56"/>
      <c r="Y4" s="38"/>
      <c r="Z4" s="38"/>
    </row>
    <row r="5" spans="1:26">
      <c r="A5" s="38">
        <v>4</v>
      </c>
      <c r="B5" s="38" t="s">
        <v>55</v>
      </c>
      <c r="C5" s="42"/>
      <c r="D5" s="38" t="s">
        <v>142</v>
      </c>
      <c r="E5" s="38" t="s">
        <v>74</v>
      </c>
      <c r="F5" s="43" t="s">
        <v>75</v>
      </c>
      <c r="G5" s="44" t="s">
        <v>145</v>
      </c>
      <c r="H5" s="45"/>
      <c r="I5" s="38"/>
      <c r="J5" s="38">
        <f>10*1000</f>
        <v>10000</v>
      </c>
      <c r="K5" s="46">
        <v>9.7222222222222209E-4</v>
      </c>
      <c r="L5" s="47" t="s">
        <v>61</v>
      </c>
      <c r="M5" s="307"/>
      <c r="N5" s="307"/>
      <c r="O5" s="307">
        <f t="shared" si="0"/>
        <v>0</v>
      </c>
      <c r="P5" s="92">
        <v>42990</v>
      </c>
      <c r="Q5" s="410" t="str">
        <f t="shared" ca="1" si="1"/>
        <v>https://www.youtube.com/watch?v=FytdS2vMJfU</v>
      </c>
      <c r="R5" s="50" t="s">
        <v>63</v>
      </c>
      <c r="S5" s="50" t="s">
        <v>63</v>
      </c>
      <c r="T5" s="50" t="s">
        <v>148</v>
      </c>
      <c r="U5" s="52"/>
      <c r="V5" s="53"/>
      <c r="W5" s="60" t="s">
        <v>151</v>
      </c>
      <c r="X5" s="56"/>
      <c r="Y5" s="38"/>
      <c r="Z5" s="38"/>
    </row>
    <row r="6" spans="1:26">
      <c r="A6" s="38">
        <v>5</v>
      </c>
      <c r="B6" s="38" t="s">
        <v>55</v>
      </c>
      <c r="C6" s="42"/>
      <c r="D6" s="38" t="s">
        <v>142</v>
      </c>
      <c r="E6" s="38" t="s">
        <v>79</v>
      </c>
      <c r="F6" s="43" t="s">
        <v>80</v>
      </c>
      <c r="G6" s="44" t="s">
        <v>154</v>
      </c>
      <c r="H6" s="45" t="s">
        <v>154</v>
      </c>
      <c r="I6" s="38"/>
      <c r="J6" s="38">
        <f>749</f>
        <v>749</v>
      </c>
      <c r="K6" s="46">
        <v>4.0509259259259258E-4</v>
      </c>
      <c r="L6" s="47" t="s">
        <v>61</v>
      </c>
      <c r="M6" s="307"/>
      <c r="N6" s="307"/>
      <c r="O6" s="307">
        <f t="shared" si="0"/>
        <v>0</v>
      </c>
      <c r="P6" s="92">
        <v>42990</v>
      </c>
      <c r="Q6" s="410" t="str">
        <f t="shared" ca="1" si="1"/>
        <v>https://www.youtube.com/watch?v=7WsGnkGob7A</v>
      </c>
      <c r="R6" s="50" t="s">
        <v>63</v>
      </c>
      <c r="S6" s="50" t="s">
        <v>63</v>
      </c>
      <c r="T6" s="50" t="s">
        <v>148</v>
      </c>
      <c r="U6" s="52"/>
      <c r="V6" s="53"/>
      <c r="W6" s="60" t="s">
        <v>151</v>
      </c>
      <c r="X6" s="56"/>
      <c r="Y6" s="38"/>
      <c r="Z6" s="38"/>
    </row>
    <row r="7" spans="1:26">
      <c r="A7" s="38">
        <v>6</v>
      </c>
      <c r="B7" s="38" t="s">
        <v>55</v>
      </c>
      <c r="C7" s="42"/>
      <c r="D7" s="38" t="s">
        <v>142</v>
      </c>
      <c r="E7" s="38" t="s">
        <v>84</v>
      </c>
      <c r="F7" s="43" t="s">
        <v>85</v>
      </c>
      <c r="G7" s="61" t="s">
        <v>159</v>
      </c>
      <c r="H7" s="45"/>
      <c r="I7" s="38"/>
      <c r="J7" s="38">
        <f>1.7*1000</f>
        <v>1700</v>
      </c>
      <c r="K7" s="46">
        <v>3.9930555555555561E-3</v>
      </c>
      <c r="L7" s="47" t="s">
        <v>61</v>
      </c>
      <c r="M7" s="307"/>
      <c r="N7" s="307"/>
      <c r="O7" s="307">
        <f t="shared" si="0"/>
        <v>0</v>
      </c>
      <c r="P7" s="92">
        <v>42990</v>
      </c>
      <c r="Q7" s="410" t="str">
        <f t="shared" ca="1" si="1"/>
        <v>https://www.youtube.com/watch?v=WU456HIXN5U</v>
      </c>
      <c r="R7" s="50" t="s">
        <v>63</v>
      </c>
      <c r="S7" s="50" t="s">
        <v>63</v>
      </c>
      <c r="T7" s="50" t="s">
        <v>63</v>
      </c>
      <c r="U7" s="52"/>
      <c r="V7" s="53"/>
      <c r="W7" s="60" t="s">
        <v>151</v>
      </c>
      <c r="X7" s="56"/>
      <c r="Y7" s="38"/>
      <c r="Z7" s="38" t="s">
        <v>162</v>
      </c>
    </row>
    <row r="8" spans="1:26">
      <c r="A8" s="38">
        <v>7</v>
      </c>
      <c r="B8" s="38" t="s">
        <v>55</v>
      </c>
      <c r="C8" s="42"/>
      <c r="D8" s="38" t="s">
        <v>56</v>
      </c>
      <c r="E8" s="38" t="s">
        <v>90</v>
      </c>
      <c r="F8" s="43" t="s">
        <v>91</v>
      </c>
      <c r="G8" s="44" t="s">
        <v>165</v>
      </c>
      <c r="H8" s="45"/>
      <c r="I8" s="38"/>
      <c r="J8" s="38">
        <f>5.1*1000</f>
        <v>5100</v>
      </c>
      <c r="K8" s="46">
        <v>3.3680555555555551E-3</v>
      </c>
      <c r="L8" s="47" t="s">
        <v>61</v>
      </c>
      <c r="M8" s="307"/>
      <c r="N8" s="307"/>
      <c r="O8" s="307">
        <f t="shared" si="0"/>
        <v>0</v>
      </c>
      <c r="P8" s="92">
        <v>42990</v>
      </c>
      <c r="Q8" s="410" t="str">
        <f t="shared" ca="1" si="1"/>
        <v>https://www.youtube.com/watch?v=PcNDlU0LyJk</v>
      </c>
      <c r="R8" s="50" t="s">
        <v>63</v>
      </c>
      <c r="S8" s="50" t="s">
        <v>63</v>
      </c>
      <c r="T8" s="50" t="s">
        <v>63</v>
      </c>
      <c r="U8" s="52"/>
      <c r="V8" s="53"/>
      <c r="W8" s="60" t="s">
        <v>151</v>
      </c>
      <c r="X8" s="56"/>
      <c r="Y8" s="38"/>
      <c r="Z8" s="38"/>
    </row>
    <row r="9" spans="1:26">
      <c r="A9" s="38">
        <v>8</v>
      </c>
      <c r="B9" s="38" t="s">
        <v>55</v>
      </c>
      <c r="C9" s="42"/>
      <c r="D9" s="38" t="s">
        <v>56</v>
      </c>
      <c r="E9" s="38" t="s">
        <v>96</v>
      </c>
      <c r="F9" s="43" t="s">
        <v>97</v>
      </c>
      <c r="G9" s="44" t="s">
        <v>168</v>
      </c>
      <c r="H9" s="58" t="s">
        <v>2753</v>
      </c>
      <c r="I9" s="38"/>
      <c r="J9" s="38">
        <f>1.9*1000</f>
        <v>1900</v>
      </c>
      <c r="K9" s="46">
        <v>1.037037037037037E-2</v>
      </c>
      <c r="L9" s="47" t="s">
        <v>61</v>
      </c>
      <c r="M9" s="307"/>
      <c r="N9" s="307"/>
      <c r="O9" s="307">
        <f t="shared" si="0"/>
        <v>0</v>
      </c>
      <c r="P9" s="92">
        <v>42990</v>
      </c>
      <c r="Q9" s="410" t="str">
        <f t="shared" ca="1" si="1"/>
        <v>https://www.youtube.com/watch?v=mjFek0gF97s</v>
      </c>
      <c r="R9" s="50" t="s">
        <v>131</v>
      </c>
      <c r="S9" s="50" t="s">
        <v>63</v>
      </c>
      <c r="T9" s="50" t="s">
        <v>63</v>
      </c>
      <c r="U9" s="52"/>
      <c r="V9" s="53"/>
      <c r="W9" s="60" t="s">
        <v>151</v>
      </c>
      <c r="X9" s="56"/>
      <c r="Y9" s="38"/>
      <c r="Z9" s="38" t="s">
        <v>174</v>
      </c>
    </row>
    <row r="10" spans="1:26">
      <c r="A10" s="42">
        <v>8.01</v>
      </c>
      <c r="B10" s="38" t="s">
        <v>55</v>
      </c>
      <c r="C10" s="42"/>
      <c r="D10" s="38" t="s">
        <v>56</v>
      </c>
      <c r="E10" s="38"/>
      <c r="F10" s="43"/>
      <c r="G10" s="44" t="s">
        <v>175</v>
      </c>
      <c r="H10" s="45"/>
      <c r="I10" s="38"/>
      <c r="J10" s="38"/>
      <c r="K10" s="46"/>
      <c r="L10" s="47"/>
      <c r="M10" s="307">
        <v>2.0254629629629629E-3</v>
      </c>
      <c r="N10" s="307">
        <v>4.0393518518518521E-3</v>
      </c>
      <c r="O10" s="307">
        <f t="shared" si="0"/>
        <v>2.0138888888888893E-3</v>
      </c>
      <c r="P10" s="92">
        <v>42990</v>
      </c>
      <c r="Q10" s="410" t="str">
        <f t="shared" ca="1" si="1"/>
        <v>https://www.youtube.com/embed/mjFek0gF97s?start=175&amp;end=349&amp;autoplay=1</v>
      </c>
      <c r="R10" s="50" t="s">
        <v>63</v>
      </c>
      <c r="S10" s="50" t="s">
        <v>131</v>
      </c>
      <c r="T10" s="50" t="s">
        <v>63</v>
      </c>
      <c r="U10" s="52"/>
      <c r="V10" s="53"/>
      <c r="W10" s="60" t="s">
        <v>151</v>
      </c>
      <c r="X10" s="56"/>
      <c r="Y10" s="38"/>
      <c r="Z10" s="38" t="s">
        <v>181</v>
      </c>
    </row>
    <row r="11" spans="1:26">
      <c r="A11" s="38">
        <v>9</v>
      </c>
      <c r="B11" s="38" t="s">
        <v>55</v>
      </c>
      <c r="C11" s="42"/>
      <c r="D11" s="38" t="s">
        <v>56</v>
      </c>
      <c r="E11" s="38" t="s">
        <v>100</v>
      </c>
      <c r="F11" s="43" t="s">
        <v>101</v>
      </c>
      <c r="G11" s="44" t="s">
        <v>182</v>
      </c>
      <c r="H11" s="45" t="s">
        <v>183</v>
      </c>
      <c r="I11" s="38"/>
      <c r="J11" s="38">
        <f>1.7*1000</f>
        <v>1700</v>
      </c>
      <c r="K11" s="46">
        <v>3.472222222222222E-3</v>
      </c>
      <c r="L11" s="47" t="s">
        <v>61</v>
      </c>
      <c r="M11" s="307"/>
      <c r="N11" s="307"/>
      <c r="O11" s="307">
        <f t="shared" si="0"/>
        <v>0</v>
      </c>
      <c r="P11" s="92">
        <v>42990</v>
      </c>
      <c r="Q11" s="410" t="str">
        <f t="shared" ca="1" si="1"/>
        <v>https://www.youtube.com/watch?v=0_EJXPWJN4E</v>
      </c>
      <c r="R11" s="50" t="s">
        <v>63</v>
      </c>
      <c r="S11" s="50" t="s">
        <v>63</v>
      </c>
      <c r="T11" s="50" t="s">
        <v>63</v>
      </c>
      <c r="U11" s="52"/>
      <c r="V11" s="53"/>
      <c r="W11" s="60" t="s">
        <v>64</v>
      </c>
      <c r="X11" s="56"/>
      <c r="Y11" s="38"/>
      <c r="Z11" s="38" t="s">
        <v>2769</v>
      </c>
    </row>
    <row r="12" spans="1:26">
      <c r="A12" s="38">
        <v>10</v>
      </c>
      <c r="B12" s="38" t="s">
        <v>55</v>
      </c>
      <c r="C12" s="42"/>
      <c r="D12" s="38" t="s">
        <v>56</v>
      </c>
      <c r="E12" s="38" t="s">
        <v>105</v>
      </c>
      <c r="F12" s="43" t="s">
        <v>106</v>
      </c>
      <c r="G12" s="44" t="s">
        <v>189</v>
      </c>
      <c r="H12" s="45" t="s">
        <v>190</v>
      </c>
      <c r="I12" s="38"/>
      <c r="J12" s="38">
        <f>490</f>
        <v>490</v>
      </c>
      <c r="K12" s="46">
        <v>3.0324074074074073E-3</v>
      </c>
      <c r="L12" s="47" t="s">
        <v>61</v>
      </c>
      <c r="M12" s="307"/>
      <c r="N12" s="307"/>
      <c r="O12" s="307">
        <f t="shared" si="0"/>
        <v>0</v>
      </c>
      <c r="P12" s="92">
        <v>42990</v>
      </c>
      <c r="Q12" s="410" t="str">
        <f t="shared" ca="1" si="1"/>
        <v>https://www.youtube.com/watch?v=Kxuiy8OL30w</v>
      </c>
      <c r="R12" s="50" t="s">
        <v>63</v>
      </c>
      <c r="S12" s="50" t="s">
        <v>63</v>
      </c>
      <c r="T12" s="50" t="s">
        <v>63</v>
      </c>
      <c r="U12" s="52"/>
      <c r="V12" s="53"/>
      <c r="W12" s="60" t="s">
        <v>64</v>
      </c>
      <c r="X12" s="56"/>
      <c r="Y12" s="38"/>
      <c r="Z12" s="38"/>
    </row>
    <row r="13" spans="1:26">
      <c r="A13" s="42">
        <v>10.01</v>
      </c>
      <c r="B13" s="38" t="s">
        <v>55</v>
      </c>
      <c r="C13" s="42"/>
      <c r="D13" s="38" t="s">
        <v>56</v>
      </c>
      <c r="E13" s="38"/>
      <c r="F13" s="43"/>
      <c r="G13" s="44" t="s">
        <v>195</v>
      </c>
      <c r="H13" s="45"/>
      <c r="I13" s="38"/>
      <c r="J13" s="38"/>
      <c r="K13" s="46"/>
      <c r="L13" s="47"/>
      <c r="M13" s="307">
        <v>1.0300925925925926E-3</v>
      </c>
      <c r="N13" s="307">
        <v>1.4467592592592594E-3</v>
      </c>
      <c r="O13" s="307">
        <f t="shared" si="0"/>
        <v>4.1666666666666675E-4</v>
      </c>
      <c r="P13" s="92">
        <v>42990</v>
      </c>
      <c r="Q13" s="410" t="str">
        <f t="shared" ca="1" si="1"/>
        <v>https://www.youtube.com/embed/Kxuiy8OL30w?start=89&amp;end=125&amp;autoplay=1</v>
      </c>
      <c r="R13" s="50" t="s">
        <v>63</v>
      </c>
      <c r="S13" s="50" t="s">
        <v>63</v>
      </c>
      <c r="T13" s="50" t="s">
        <v>63</v>
      </c>
      <c r="U13" s="52"/>
      <c r="V13" s="53"/>
      <c r="W13" s="60" t="s">
        <v>64</v>
      </c>
      <c r="X13" s="56"/>
      <c r="Y13" s="38"/>
      <c r="Z13" s="38"/>
    </row>
    <row r="14" spans="1:26">
      <c r="A14" s="38">
        <v>11</v>
      </c>
      <c r="B14" s="38" t="s">
        <v>55</v>
      </c>
      <c r="C14" s="42"/>
      <c r="D14" s="38" t="s">
        <v>56</v>
      </c>
      <c r="E14" s="38" t="s">
        <v>109</v>
      </c>
      <c r="F14" s="43" t="s">
        <v>110</v>
      </c>
      <c r="G14" s="63" t="s">
        <v>2781</v>
      </c>
      <c r="H14" s="58" t="s">
        <v>2782</v>
      </c>
      <c r="I14" s="38"/>
      <c r="J14" s="38">
        <f>551</f>
        <v>551</v>
      </c>
      <c r="K14" s="46">
        <v>2.4189814814814816E-3</v>
      </c>
      <c r="L14" s="47" t="s">
        <v>61</v>
      </c>
      <c r="M14" s="307"/>
      <c r="N14" s="307"/>
      <c r="O14" s="307">
        <f t="shared" si="0"/>
        <v>0</v>
      </c>
      <c r="P14" s="92">
        <v>42991</v>
      </c>
      <c r="Q14" s="410" t="str">
        <f t="shared" ca="1" si="1"/>
        <v>https://www.youtube.com/watch?v=jMgGGixmfus</v>
      </c>
      <c r="R14" s="50" t="s">
        <v>63</v>
      </c>
      <c r="S14" s="50" t="s">
        <v>63</v>
      </c>
      <c r="T14" s="50" t="s">
        <v>63</v>
      </c>
      <c r="U14" s="52"/>
      <c r="V14" s="53"/>
      <c r="W14" s="60" t="s">
        <v>151</v>
      </c>
      <c r="X14" s="56"/>
      <c r="Y14" s="38"/>
      <c r="Z14" s="38" t="s">
        <v>162</v>
      </c>
    </row>
    <row r="15" spans="1:26">
      <c r="A15" s="38">
        <v>12</v>
      </c>
      <c r="B15" s="38" t="s">
        <v>55</v>
      </c>
      <c r="C15" s="42"/>
      <c r="D15" s="38" t="s">
        <v>56</v>
      </c>
      <c r="E15" s="38" t="s">
        <v>112</v>
      </c>
      <c r="F15" s="43" t="s">
        <v>114</v>
      </c>
      <c r="G15" s="45" t="s">
        <v>207</v>
      </c>
      <c r="H15" s="44" t="s">
        <v>208</v>
      </c>
      <c r="I15" s="44"/>
      <c r="J15" s="44">
        <v>384</v>
      </c>
      <c r="K15" s="46">
        <v>2.2222222222222222E-3</v>
      </c>
      <c r="L15" s="47" t="s">
        <v>61</v>
      </c>
      <c r="M15" s="307"/>
      <c r="N15" s="307"/>
      <c r="O15" s="307">
        <f t="shared" si="0"/>
        <v>0</v>
      </c>
      <c r="P15" s="92">
        <v>42991</v>
      </c>
      <c r="Q15" s="410" t="str">
        <f t="shared" ca="1" si="1"/>
        <v>https://www.youtube.com/watch?v=2UnJMns3fjs</v>
      </c>
      <c r="R15" s="50" t="s">
        <v>63</v>
      </c>
      <c r="S15" s="50" t="s">
        <v>63</v>
      </c>
      <c r="T15" s="50" t="s">
        <v>63</v>
      </c>
      <c r="U15" s="52"/>
      <c r="V15" s="53"/>
      <c r="W15" s="60" t="s">
        <v>151</v>
      </c>
      <c r="X15" s="56"/>
      <c r="Y15" s="38"/>
      <c r="Z15" s="38" t="s">
        <v>162</v>
      </c>
    </row>
    <row r="16" spans="1:26">
      <c r="A16" s="38">
        <v>13</v>
      </c>
      <c r="B16" s="38" t="s">
        <v>55</v>
      </c>
      <c r="C16" s="42"/>
      <c r="D16" s="38" t="s">
        <v>56</v>
      </c>
      <c r="E16" s="38" t="s">
        <v>116</v>
      </c>
      <c r="F16" s="43" t="s">
        <v>117</v>
      </c>
      <c r="G16" s="38" t="s">
        <v>213</v>
      </c>
      <c r="H16" s="45" t="s">
        <v>214</v>
      </c>
      <c r="I16" s="38"/>
      <c r="J16" s="38">
        <f>1.5*1000</f>
        <v>1500</v>
      </c>
      <c r="K16" s="46">
        <v>3.530092592592592E-3</v>
      </c>
      <c r="L16" s="47" t="s">
        <v>61</v>
      </c>
      <c r="M16" s="307"/>
      <c r="N16" s="307"/>
      <c r="O16" s="307">
        <f t="shared" si="0"/>
        <v>0</v>
      </c>
      <c r="P16" s="92">
        <v>42991</v>
      </c>
      <c r="Q16" s="410" t="str">
        <f t="shared" ca="1" si="1"/>
        <v>https://www.youtube.com/watch?v=KVDRl_wLqdM</v>
      </c>
      <c r="R16" s="50" t="s">
        <v>63</v>
      </c>
      <c r="S16" s="50" t="s">
        <v>63</v>
      </c>
      <c r="T16" s="50" t="s">
        <v>63</v>
      </c>
      <c r="U16" s="52"/>
      <c r="V16" s="53"/>
      <c r="W16" s="60" t="s">
        <v>151</v>
      </c>
      <c r="X16" s="56"/>
      <c r="Y16" s="38"/>
      <c r="Z16" s="38" t="s">
        <v>162</v>
      </c>
    </row>
    <row r="17" spans="1:26">
      <c r="A17" s="38">
        <v>14</v>
      </c>
      <c r="B17" s="38" t="s">
        <v>55</v>
      </c>
      <c r="C17" s="42"/>
      <c r="D17" s="38" t="s">
        <v>56</v>
      </c>
      <c r="E17" s="38" t="s">
        <v>122</v>
      </c>
      <c r="F17" s="43" t="s">
        <v>123</v>
      </c>
      <c r="G17" s="44" t="s">
        <v>218</v>
      </c>
      <c r="H17" s="45"/>
      <c r="I17" s="38"/>
      <c r="J17" s="38">
        <f>595</f>
        <v>595</v>
      </c>
      <c r="K17" s="46">
        <v>4.0740740740740746E-3</v>
      </c>
      <c r="L17" s="47" t="s">
        <v>61</v>
      </c>
      <c r="M17" s="307"/>
      <c r="N17" s="307"/>
      <c r="O17" s="307">
        <f t="shared" si="0"/>
        <v>0</v>
      </c>
      <c r="P17" s="92">
        <v>42991</v>
      </c>
      <c r="Q17" s="410" t="str">
        <f t="shared" ca="1" si="1"/>
        <v>https://www.youtube.com/watch?v=Smd_3o5vtLo</v>
      </c>
      <c r="R17" s="50" t="s">
        <v>63</v>
      </c>
      <c r="S17" s="50" t="s">
        <v>63</v>
      </c>
      <c r="T17" s="50" t="s">
        <v>63</v>
      </c>
      <c r="U17" s="52"/>
      <c r="V17" s="53"/>
      <c r="W17" s="60" t="s">
        <v>151</v>
      </c>
      <c r="X17" s="56"/>
      <c r="Y17" s="38"/>
      <c r="Z17" s="38" t="s">
        <v>162</v>
      </c>
    </row>
    <row r="18" spans="1:26">
      <c r="A18" s="38">
        <v>15</v>
      </c>
      <c r="B18" s="38" t="s">
        <v>55</v>
      </c>
      <c r="C18" s="42"/>
      <c r="D18" s="38" t="s">
        <v>56</v>
      </c>
      <c r="E18" s="38" t="s">
        <v>126</v>
      </c>
      <c r="F18" s="43" t="s">
        <v>127</v>
      </c>
      <c r="G18" s="44" t="s">
        <v>223</v>
      </c>
      <c r="H18" s="45"/>
      <c r="I18" s="38"/>
      <c r="J18" s="38">
        <f>477</f>
        <v>477</v>
      </c>
      <c r="K18" s="46">
        <v>2.673611111111111E-3</v>
      </c>
      <c r="L18" s="47" t="s">
        <v>61</v>
      </c>
      <c r="M18" s="307"/>
      <c r="N18" s="307"/>
      <c r="O18" s="307">
        <f t="shared" si="0"/>
        <v>0</v>
      </c>
      <c r="P18" s="92">
        <v>42991</v>
      </c>
      <c r="Q18" s="410" t="str">
        <f t="shared" ca="1" si="1"/>
        <v>https://www.youtube.com/watch?v=iBwpK4_JtEw</v>
      </c>
      <c r="R18" s="50" t="s">
        <v>63</v>
      </c>
      <c r="S18" s="50" t="s">
        <v>63</v>
      </c>
      <c r="T18" s="50" t="s">
        <v>63</v>
      </c>
      <c r="U18" s="52"/>
      <c r="V18" s="53"/>
      <c r="W18" s="60" t="s">
        <v>151</v>
      </c>
      <c r="X18" s="56"/>
      <c r="Y18" s="38"/>
      <c r="Z18" s="38"/>
    </row>
    <row r="19" spans="1:26">
      <c r="A19" s="38">
        <v>16</v>
      </c>
      <c r="B19" s="38" t="s">
        <v>55</v>
      </c>
      <c r="C19" s="42"/>
      <c r="D19" s="38" t="s">
        <v>56</v>
      </c>
      <c r="E19" s="38" t="s">
        <v>130</v>
      </c>
      <c r="F19" s="43" t="s">
        <v>132</v>
      </c>
      <c r="G19" s="44" t="s">
        <v>227</v>
      </c>
      <c r="H19" s="45" t="s">
        <v>228</v>
      </c>
      <c r="I19" s="38"/>
      <c r="J19" s="38">
        <f>506</f>
        <v>506</v>
      </c>
      <c r="K19" s="46">
        <v>5.7175925925925927E-3</v>
      </c>
      <c r="L19" s="47" t="s">
        <v>61</v>
      </c>
      <c r="M19" s="307"/>
      <c r="N19" s="307"/>
      <c r="O19" s="307">
        <f t="shared" si="0"/>
        <v>0</v>
      </c>
      <c r="P19" s="92">
        <v>42991</v>
      </c>
      <c r="Q19" s="410" t="str">
        <f t="shared" ca="1" si="1"/>
        <v>https://www.youtube.com/watch?v=NCOKqHoIW7M</v>
      </c>
      <c r="R19" s="50" t="s">
        <v>63</v>
      </c>
      <c r="S19" s="50" t="s">
        <v>63</v>
      </c>
      <c r="T19" s="50" t="s">
        <v>63</v>
      </c>
      <c r="U19" s="52"/>
      <c r="V19" s="53"/>
      <c r="W19" s="60" t="s">
        <v>151</v>
      </c>
      <c r="X19" s="56"/>
      <c r="Y19" s="38"/>
      <c r="Z19" s="38" t="s">
        <v>233</v>
      </c>
    </row>
    <row r="20" spans="1:26" hidden="1">
      <c r="A20" s="38">
        <v>17</v>
      </c>
      <c r="B20" s="38"/>
      <c r="C20" s="42"/>
      <c r="D20" s="38"/>
      <c r="E20" s="38" t="s">
        <v>140</v>
      </c>
      <c r="F20" s="43" t="s">
        <v>141</v>
      </c>
      <c r="G20" s="44"/>
      <c r="H20" s="45"/>
      <c r="I20" s="38"/>
      <c r="J20" s="38">
        <f>343</f>
        <v>343</v>
      </c>
      <c r="K20" s="46">
        <v>2.7430555555555559E-3</v>
      </c>
      <c r="L20" s="47" t="s">
        <v>61</v>
      </c>
      <c r="M20" s="307"/>
      <c r="N20" s="307"/>
      <c r="O20" s="307">
        <f t="shared" si="0"/>
        <v>0</v>
      </c>
      <c r="P20" s="92"/>
      <c r="Q20" s="410" t="str">
        <f t="shared" ca="1" si="1"/>
        <v>https://www.youtube.com/watch?v=tkF_3Ixn02I</v>
      </c>
      <c r="R20" s="50"/>
      <c r="S20" s="50"/>
      <c r="T20" s="50"/>
      <c r="U20" s="52"/>
      <c r="V20" s="53"/>
      <c r="W20" s="60"/>
      <c r="X20" s="56"/>
      <c r="Y20" s="38"/>
      <c r="Z20" s="38"/>
    </row>
    <row r="21" spans="1:26" hidden="1">
      <c r="A21" s="38">
        <v>18</v>
      </c>
      <c r="B21" s="38"/>
      <c r="C21" s="42"/>
      <c r="D21" s="38"/>
      <c r="E21" s="38" t="s">
        <v>146</v>
      </c>
      <c r="F21" s="43" t="s">
        <v>147</v>
      </c>
      <c r="G21" s="44"/>
      <c r="H21" s="45"/>
      <c r="I21" s="38"/>
      <c r="J21" s="38">
        <f>1*1000</f>
        <v>1000</v>
      </c>
      <c r="K21" s="46">
        <v>2.4652777777777776E-3</v>
      </c>
      <c r="L21" s="47" t="s">
        <v>61</v>
      </c>
      <c r="M21" s="307"/>
      <c r="N21" s="307"/>
      <c r="O21" s="307">
        <f t="shared" si="0"/>
        <v>0</v>
      </c>
      <c r="P21" s="92"/>
      <c r="Q21" s="410" t="str">
        <f t="shared" ca="1" si="1"/>
        <v>https://www.youtube.com/watch?v=0Y3z-QStbk8</v>
      </c>
      <c r="R21" s="50"/>
      <c r="S21" s="50"/>
      <c r="T21" s="50"/>
      <c r="U21" s="52"/>
      <c r="V21" s="53"/>
      <c r="W21" s="60"/>
      <c r="X21" s="56"/>
      <c r="Y21" s="38"/>
      <c r="Z21" s="38"/>
    </row>
    <row r="22" spans="1:26" hidden="1">
      <c r="A22" s="38">
        <v>19</v>
      </c>
      <c r="B22" s="38"/>
      <c r="C22" s="38"/>
      <c r="D22" s="38"/>
      <c r="E22" s="38" t="s">
        <v>152</v>
      </c>
      <c r="F22" s="43" t="s">
        <v>153</v>
      </c>
      <c r="G22" s="44"/>
      <c r="H22" s="45"/>
      <c r="I22" s="38"/>
      <c r="J22" s="38">
        <f>378</f>
        <v>378</v>
      </c>
      <c r="K22" s="46">
        <v>1.1226851851851851E-3</v>
      </c>
      <c r="L22" s="47" t="s">
        <v>61</v>
      </c>
      <c r="M22" s="307"/>
      <c r="N22" s="307"/>
      <c r="O22" s="307">
        <f t="shared" si="0"/>
        <v>0</v>
      </c>
      <c r="P22" s="92"/>
      <c r="Q22" s="410" t="str">
        <f t="shared" ca="1" si="1"/>
        <v>https://www.youtube.com/watch?v=Wpkt3HpzBTs</v>
      </c>
      <c r="R22" s="50"/>
      <c r="S22" s="50"/>
      <c r="T22" s="50"/>
      <c r="U22" s="52"/>
      <c r="V22" s="53"/>
      <c r="W22" s="60"/>
      <c r="X22" s="56"/>
      <c r="Y22" s="38"/>
      <c r="Z22" s="38"/>
    </row>
    <row r="23" spans="1:26">
      <c r="A23" s="38">
        <v>20</v>
      </c>
      <c r="B23" s="38" t="s">
        <v>155</v>
      </c>
      <c r="C23" s="42"/>
      <c r="D23" s="38" t="s">
        <v>56</v>
      </c>
      <c r="E23" s="38" t="s">
        <v>157</v>
      </c>
      <c r="F23" s="43" t="s">
        <v>158</v>
      </c>
      <c r="G23" s="44"/>
      <c r="H23" s="45"/>
      <c r="I23" s="38"/>
      <c r="J23" s="38">
        <f>8.5*1000</f>
        <v>8500</v>
      </c>
      <c r="K23" s="46">
        <v>7.1874999999999994E-3</v>
      </c>
      <c r="L23" s="47" t="s">
        <v>61</v>
      </c>
      <c r="M23" s="307"/>
      <c r="N23" s="307"/>
      <c r="O23" s="307">
        <f t="shared" si="0"/>
        <v>0</v>
      </c>
      <c r="P23" s="66">
        <v>42990</v>
      </c>
      <c r="Q23" s="410" t="str">
        <f t="shared" ca="1" si="1"/>
        <v>https://www.youtube.com/watch?v=_IcfDP-ezpo</v>
      </c>
      <c r="R23" s="50"/>
      <c r="S23" s="50"/>
      <c r="T23" s="50"/>
      <c r="U23" s="52"/>
      <c r="V23" s="53"/>
      <c r="W23" s="60"/>
      <c r="X23" s="56"/>
      <c r="Y23" s="38"/>
      <c r="Z23" s="38"/>
    </row>
    <row r="24" spans="1:26">
      <c r="A24" s="42">
        <v>20.010000000000002</v>
      </c>
      <c r="B24" s="38" t="s">
        <v>155</v>
      </c>
      <c r="C24" s="42"/>
      <c r="D24" s="38" t="s">
        <v>56</v>
      </c>
      <c r="E24" s="38"/>
      <c r="F24" s="43"/>
      <c r="G24" s="44" t="s">
        <v>723</v>
      </c>
      <c r="H24" s="58" t="s">
        <v>724</v>
      </c>
      <c r="I24" s="38"/>
      <c r="J24" s="38"/>
      <c r="K24" s="46"/>
      <c r="L24" s="47"/>
      <c r="M24" s="307">
        <v>5.7870370370370378E-4</v>
      </c>
      <c r="N24" s="307">
        <v>3.2407407407407406E-3</v>
      </c>
      <c r="O24" s="307">
        <f t="shared" si="0"/>
        <v>2.662037037037037E-3</v>
      </c>
      <c r="P24" s="66">
        <v>42990</v>
      </c>
      <c r="Q24" s="410" t="str">
        <f t="shared" ca="1" si="1"/>
        <v>https://www.youtube.com/embed/_IcfDP-ezpo?start=50&amp;end=280&amp;autoplay=1</v>
      </c>
      <c r="R24" s="67" t="s">
        <v>63</v>
      </c>
      <c r="S24" s="67" t="s">
        <v>561</v>
      </c>
      <c r="T24" s="67" t="s">
        <v>63</v>
      </c>
      <c r="U24" s="52"/>
      <c r="V24" s="53"/>
      <c r="W24" s="60"/>
      <c r="X24" s="56"/>
      <c r="Y24" s="38"/>
      <c r="Z24" s="38"/>
    </row>
    <row r="25" spans="1:26">
      <c r="A25" s="42">
        <v>20.02</v>
      </c>
      <c r="B25" s="38" t="s">
        <v>155</v>
      </c>
      <c r="C25" s="42"/>
      <c r="D25" s="38" t="s">
        <v>56</v>
      </c>
      <c r="E25" s="38"/>
      <c r="F25" s="43"/>
      <c r="G25" s="63" t="s">
        <v>731</v>
      </c>
      <c r="H25" s="44" t="s">
        <v>732</v>
      </c>
      <c r="I25" s="38"/>
      <c r="J25" s="38"/>
      <c r="K25" s="46"/>
      <c r="L25" s="47"/>
      <c r="M25" s="307">
        <v>3.2407407407407406E-3</v>
      </c>
      <c r="N25" s="307">
        <v>5.7754629629629623E-3</v>
      </c>
      <c r="O25" s="307">
        <f t="shared" si="0"/>
        <v>2.5347222222222216E-3</v>
      </c>
      <c r="P25" s="66">
        <v>42990</v>
      </c>
      <c r="Q25" s="410" t="str">
        <f t="shared" ca="1" si="1"/>
        <v>https://www.youtube.com/embed/_IcfDP-ezpo?start=280&amp;end=499&amp;autoplay=1</v>
      </c>
      <c r="R25" s="67" t="s">
        <v>63</v>
      </c>
      <c r="S25" s="67" t="s">
        <v>561</v>
      </c>
      <c r="T25" s="67" t="s">
        <v>63</v>
      </c>
      <c r="U25" s="52"/>
      <c r="V25" s="53"/>
      <c r="W25" s="60"/>
      <c r="X25" s="56"/>
      <c r="Y25" s="38"/>
      <c r="Z25" s="38"/>
    </row>
    <row r="26" spans="1:26">
      <c r="A26" s="42">
        <v>20.03</v>
      </c>
      <c r="B26" s="38" t="s">
        <v>155</v>
      </c>
      <c r="C26" s="42"/>
      <c r="D26" s="38" t="s">
        <v>56</v>
      </c>
      <c r="E26" s="38"/>
      <c r="F26" s="43"/>
      <c r="G26" s="44" t="s">
        <v>734</v>
      </c>
      <c r="H26" s="58" t="s">
        <v>735</v>
      </c>
      <c r="I26" s="38"/>
      <c r="J26" s="38"/>
      <c r="K26" s="46"/>
      <c r="L26" s="47"/>
      <c r="M26" s="307">
        <v>5.7754629629629623E-3</v>
      </c>
      <c r="N26" s="307">
        <v>7.1759259259259259E-3</v>
      </c>
      <c r="O26" s="307">
        <f t="shared" si="0"/>
        <v>1.4004629629629636E-3</v>
      </c>
      <c r="P26" s="66">
        <v>42990</v>
      </c>
      <c r="Q26" s="410" t="str">
        <f t="shared" ca="1" si="1"/>
        <v>https://www.youtube.com/embed/_IcfDP-ezpo?start=499&amp;end=620&amp;autoplay=1</v>
      </c>
      <c r="R26" s="67" t="s">
        <v>63</v>
      </c>
      <c r="S26" s="67" t="s">
        <v>561</v>
      </c>
      <c r="T26" s="67" t="s">
        <v>63</v>
      </c>
      <c r="U26" s="52"/>
      <c r="V26" s="53"/>
      <c r="W26" s="60"/>
      <c r="X26" s="56"/>
      <c r="Y26" s="38"/>
      <c r="Z26" s="38"/>
    </row>
    <row r="27" spans="1:26" hidden="1">
      <c r="A27" s="38">
        <v>21</v>
      </c>
      <c r="B27" s="38"/>
      <c r="C27" s="42"/>
      <c r="D27" s="38"/>
      <c r="E27" s="38" t="s">
        <v>166</v>
      </c>
      <c r="F27" s="43" t="s">
        <v>167</v>
      </c>
      <c r="G27" s="44"/>
      <c r="H27" s="45"/>
      <c r="I27" s="38"/>
      <c r="J27" s="38">
        <f>3.2*1000</f>
        <v>3200</v>
      </c>
      <c r="K27" s="46">
        <v>1.3078703703703705E-3</v>
      </c>
      <c r="L27" s="47" t="s">
        <v>61</v>
      </c>
      <c r="M27" s="307"/>
      <c r="N27" s="307"/>
      <c r="O27" s="307">
        <f t="shared" si="0"/>
        <v>0</v>
      </c>
      <c r="P27" s="92"/>
      <c r="Q27" s="410" t="str">
        <f t="shared" ca="1" si="1"/>
        <v>https://www.youtube.com/watch?v=DMG2XD9_nTI</v>
      </c>
      <c r="R27" s="50"/>
      <c r="S27" s="50"/>
      <c r="T27" s="50"/>
      <c r="U27" s="52"/>
      <c r="V27" s="53"/>
      <c r="W27" s="60"/>
      <c r="X27" s="56"/>
      <c r="Y27" s="38"/>
      <c r="Z27" s="38"/>
    </row>
    <row r="28" spans="1:26">
      <c r="A28" s="38">
        <v>22</v>
      </c>
      <c r="B28" s="38" t="s">
        <v>155</v>
      </c>
      <c r="C28" s="42"/>
      <c r="D28" s="38" t="s">
        <v>56</v>
      </c>
      <c r="E28" s="38" t="s">
        <v>170</v>
      </c>
      <c r="F28" s="43" t="s">
        <v>171</v>
      </c>
      <c r="G28" s="44"/>
      <c r="H28" s="45"/>
      <c r="I28" s="38"/>
      <c r="J28" s="38">
        <f>4.9*1000</f>
        <v>4900</v>
      </c>
      <c r="K28" s="46">
        <v>9.2939814814814812E-3</v>
      </c>
      <c r="L28" s="47" t="s">
        <v>61</v>
      </c>
      <c r="M28" s="307"/>
      <c r="N28" s="307"/>
      <c r="O28" s="307">
        <f t="shared" si="0"/>
        <v>0</v>
      </c>
      <c r="P28" s="66">
        <v>42990</v>
      </c>
      <c r="Q28" s="410" t="str">
        <f t="shared" ca="1" si="1"/>
        <v>https://www.youtube.com/watch?v=Uq2PJjcHiqI</v>
      </c>
      <c r="R28" s="50"/>
      <c r="S28" s="50"/>
      <c r="T28" s="50"/>
      <c r="U28" s="52"/>
      <c r="V28" s="53"/>
      <c r="W28" s="60"/>
      <c r="X28" s="56"/>
      <c r="Y28" s="38"/>
      <c r="Z28" s="38"/>
    </row>
    <row r="29" spans="1:26">
      <c r="A29" s="42">
        <v>22.01</v>
      </c>
      <c r="B29" s="38" t="s">
        <v>155</v>
      </c>
      <c r="C29" s="42"/>
      <c r="D29" s="38" t="s">
        <v>56</v>
      </c>
      <c r="E29" s="38"/>
      <c r="F29" s="43"/>
      <c r="G29" s="44" t="s">
        <v>742</v>
      </c>
      <c r="H29" s="58" t="s">
        <v>743</v>
      </c>
      <c r="I29" s="38"/>
      <c r="J29" s="38"/>
      <c r="K29" s="46"/>
      <c r="L29" s="47"/>
      <c r="M29" s="307">
        <v>0</v>
      </c>
      <c r="N29" s="307">
        <v>1.1805555555555556E-3</v>
      </c>
      <c r="O29" s="307">
        <f t="shared" si="0"/>
        <v>1.1805555555555556E-3</v>
      </c>
      <c r="P29" s="66">
        <v>42990</v>
      </c>
      <c r="Q29" s="410" t="str">
        <f t="shared" ca="1" si="1"/>
        <v>https://www.youtube.com/embed/Uq2PJjcHiqI?start=0&amp;end=102&amp;autoplay=1</v>
      </c>
      <c r="R29" s="67" t="s">
        <v>63</v>
      </c>
      <c r="S29" s="67" t="s">
        <v>561</v>
      </c>
      <c r="T29" s="67" t="s">
        <v>63</v>
      </c>
      <c r="U29" s="52"/>
      <c r="V29" s="53"/>
      <c r="W29" s="60"/>
      <c r="X29" s="56"/>
      <c r="Y29" s="38"/>
      <c r="Z29" s="38"/>
    </row>
    <row r="30" spans="1:26">
      <c r="A30" s="42">
        <v>22.02</v>
      </c>
      <c r="B30" s="38" t="s">
        <v>155</v>
      </c>
      <c r="C30" s="42"/>
      <c r="D30" s="38" t="s">
        <v>56</v>
      </c>
      <c r="E30" s="38"/>
      <c r="F30" s="43"/>
      <c r="G30" s="44" t="s">
        <v>747</v>
      </c>
      <c r="H30" s="58" t="s">
        <v>748</v>
      </c>
      <c r="I30" s="38"/>
      <c r="J30" s="38"/>
      <c r="K30" s="46"/>
      <c r="L30" s="47"/>
      <c r="M30" s="307">
        <v>1.1805555555555556E-3</v>
      </c>
      <c r="N30" s="307">
        <v>3.1018518518518522E-3</v>
      </c>
      <c r="O30" s="307">
        <f t="shared" si="0"/>
        <v>1.9212962962962966E-3</v>
      </c>
      <c r="P30" s="66">
        <v>42990</v>
      </c>
      <c r="Q30" s="410" t="str">
        <f t="shared" ca="1" si="1"/>
        <v>https://www.youtube.com/embed/Uq2PJjcHiqI?start=102&amp;end=268&amp;autoplay=1</v>
      </c>
      <c r="R30" s="67" t="s">
        <v>63</v>
      </c>
      <c r="S30" s="67" t="s">
        <v>561</v>
      </c>
      <c r="T30" s="67" t="s">
        <v>63</v>
      </c>
      <c r="U30" s="52"/>
      <c r="V30" s="53"/>
      <c r="W30" s="60"/>
      <c r="X30" s="56"/>
      <c r="Y30" s="38"/>
      <c r="Z30" s="38"/>
    </row>
    <row r="31" spans="1:26">
      <c r="A31" s="42">
        <v>22.03</v>
      </c>
      <c r="B31" s="38" t="s">
        <v>155</v>
      </c>
      <c r="C31" s="38"/>
      <c r="D31" s="38" t="s">
        <v>56</v>
      </c>
      <c r="E31" s="38"/>
      <c r="F31" s="43"/>
      <c r="G31" s="44" t="s">
        <v>752</v>
      </c>
      <c r="H31" s="58" t="s">
        <v>753</v>
      </c>
      <c r="I31" s="38"/>
      <c r="J31" s="38"/>
      <c r="K31" s="46"/>
      <c r="L31" s="47"/>
      <c r="M31" s="307">
        <v>3.1018518518518522E-3</v>
      </c>
      <c r="N31" s="307">
        <v>4.6412037037037038E-3</v>
      </c>
      <c r="O31" s="307">
        <f t="shared" si="0"/>
        <v>1.5393518518518516E-3</v>
      </c>
      <c r="P31" s="66">
        <v>42990</v>
      </c>
      <c r="Q31" s="410" t="str">
        <f t="shared" ca="1" si="1"/>
        <v>https://www.youtube.com/embed/Uq2PJjcHiqI?start=268&amp;end=401&amp;autoplay=1</v>
      </c>
      <c r="R31" s="67" t="s">
        <v>63</v>
      </c>
      <c r="S31" s="67" t="s">
        <v>561</v>
      </c>
      <c r="T31" s="67" t="s">
        <v>63</v>
      </c>
      <c r="U31" s="52"/>
      <c r="V31" s="53"/>
      <c r="W31" s="60"/>
      <c r="X31" s="78"/>
      <c r="Y31" s="61"/>
      <c r="Z31" s="61" t="s">
        <v>756</v>
      </c>
    </row>
    <row r="32" spans="1:26">
      <c r="A32" s="42">
        <v>22.04</v>
      </c>
      <c r="B32" s="38" t="s">
        <v>155</v>
      </c>
      <c r="C32" s="38"/>
      <c r="D32" s="38" t="s">
        <v>56</v>
      </c>
      <c r="E32" s="38"/>
      <c r="F32" s="43"/>
      <c r="G32" s="44" t="s">
        <v>758</v>
      </c>
      <c r="H32" s="58" t="s">
        <v>759</v>
      </c>
      <c r="I32" s="38"/>
      <c r="J32" s="38"/>
      <c r="K32" s="46"/>
      <c r="L32" s="47"/>
      <c r="M32" s="307">
        <v>4.6412037037037038E-3</v>
      </c>
      <c r="N32" s="307">
        <v>7.2106481481481475E-3</v>
      </c>
      <c r="O32" s="307">
        <f t="shared" si="0"/>
        <v>2.5694444444444436E-3</v>
      </c>
      <c r="P32" s="66">
        <v>42990</v>
      </c>
      <c r="Q32" s="410" t="str">
        <f t="shared" ca="1" si="1"/>
        <v>https://www.youtube.com/embed/Uq2PJjcHiqI?start=401&amp;end=623&amp;autoplay=1</v>
      </c>
      <c r="R32" s="67" t="s">
        <v>63</v>
      </c>
      <c r="S32" s="67" t="s">
        <v>561</v>
      </c>
      <c r="T32" s="67" t="s">
        <v>63</v>
      </c>
      <c r="U32" s="52"/>
      <c r="V32" s="53"/>
      <c r="W32" s="60"/>
      <c r="X32" s="78"/>
      <c r="Y32" s="61"/>
      <c r="Z32" s="61"/>
    </row>
    <row r="33" spans="1:26">
      <c r="A33" s="42">
        <v>22.05</v>
      </c>
      <c r="B33" s="38" t="s">
        <v>155</v>
      </c>
      <c r="C33" s="38"/>
      <c r="D33" s="38" t="s">
        <v>56</v>
      </c>
      <c r="E33" s="38"/>
      <c r="F33" s="43"/>
      <c r="G33" s="63" t="s">
        <v>760</v>
      </c>
      <c r="H33" s="58" t="s">
        <v>762</v>
      </c>
      <c r="I33" s="38"/>
      <c r="J33" s="38"/>
      <c r="K33" s="46"/>
      <c r="L33" s="47"/>
      <c r="M33" s="307">
        <v>7.2106481481481475E-3</v>
      </c>
      <c r="N33" s="307">
        <v>7.6736111111111111E-3</v>
      </c>
      <c r="O33" s="307">
        <f t="shared" si="0"/>
        <v>4.6296296296296363E-4</v>
      </c>
      <c r="P33" s="66">
        <v>42990</v>
      </c>
      <c r="Q33" s="410" t="str">
        <f t="shared" ca="1" si="1"/>
        <v>https://www.youtube.com/embed/Uq2PJjcHiqI?start=623&amp;end=663&amp;autoplay=1</v>
      </c>
      <c r="R33" s="67" t="s">
        <v>63</v>
      </c>
      <c r="S33" s="67" t="s">
        <v>561</v>
      </c>
      <c r="T33" s="67" t="s">
        <v>63</v>
      </c>
      <c r="U33" s="52"/>
      <c r="V33" s="53"/>
      <c r="W33" s="60"/>
      <c r="X33" s="78"/>
      <c r="Y33" s="61"/>
      <c r="Z33" s="61" t="s">
        <v>765</v>
      </c>
    </row>
    <row r="34" spans="1:26">
      <c r="A34" s="42">
        <v>22.06</v>
      </c>
      <c r="B34" s="38" t="s">
        <v>155</v>
      </c>
      <c r="C34" s="42"/>
      <c r="D34" s="38" t="s">
        <v>56</v>
      </c>
      <c r="E34" s="38"/>
      <c r="F34" s="43"/>
      <c r="G34" s="44" t="s">
        <v>766</v>
      </c>
      <c r="H34" s="58" t="s">
        <v>767</v>
      </c>
      <c r="I34" s="38"/>
      <c r="J34" s="38"/>
      <c r="K34" s="46"/>
      <c r="L34" s="47"/>
      <c r="M34" s="307">
        <v>7.6851851851851855E-3</v>
      </c>
      <c r="N34" s="307">
        <v>9.2824074074074076E-3</v>
      </c>
      <c r="O34" s="307">
        <f t="shared" si="0"/>
        <v>1.5972222222222221E-3</v>
      </c>
      <c r="P34" s="66">
        <v>42990</v>
      </c>
      <c r="Q34" s="410" t="str">
        <f t="shared" ca="1" si="1"/>
        <v>https://www.youtube.com/embed/Uq2PJjcHiqI?start=664&amp;end=802&amp;autoplay=1</v>
      </c>
      <c r="R34" s="67" t="s">
        <v>63</v>
      </c>
      <c r="S34" s="67" t="s">
        <v>561</v>
      </c>
      <c r="T34" s="67" t="s">
        <v>63</v>
      </c>
      <c r="U34" s="52"/>
      <c r="V34" s="53"/>
      <c r="W34" s="60"/>
      <c r="X34" s="78"/>
      <c r="Y34" s="61"/>
      <c r="Z34" s="61"/>
    </row>
    <row r="35" spans="1:26">
      <c r="A35" s="38">
        <v>23</v>
      </c>
      <c r="B35" s="38" t="s">
        <v>155</v>
      </c>
      <c r="C35" s="38"/>
      <c r="D35" s="38" t="s">
        <v>56</v>
      </c>
      <c r="E35" s="38" t="s">
        <v>177</v>
      </c>
      <c r="F35" s="43" t="s">
        <v>179</v>
      </c>
      <c r="G35" s="44"/>
      <c r="H35" s="45"/>
      <c r="I35" s="38"/>
      <c r="J35" s="38">
        <f>3.6*1000</f>
        <v>3600</v>
      </c>
      <c r="K35" s="46">
        <v>7.4768518518518526E-3</v>
      </c>
      <c r="L35" s="47" t="s">
        <v>61</v>
      </c>
      <c r="M35" s="307"/>
      <c r="N35" s="307"/>
      <c r="O35" s="307">
        <f t="shared" si="0"/>
        <v>0</v>
      </c>
      <c r="P35" s="66">
        <v>42991</v>
      </c>
      <c r="Q35" s="410" t="str">
        <f t="shared" ca="1" si="1"/>
        <v>https://www.youtube.com/watch?v=5LJPOCxc3E8</v>
      </c>
      <c r="R35" s="50"/>
      <c r="S35" s="50"/>
      <c r="T35" s="50"/>
      <c r="U35" s="52"/>
      <c r="V35" s="53"/>
      <c r="W35" s="60"/>
      <c r="X35" s="56"/>
      <c r="Y35" s="38"/>
      <c r="Z35" s="38"/>
    </row>
    <row r="36" spans="1:26">
      <c r="A36" s="42">
        <v>23.01</v>
      </c>
      <c r="B36" s="38" t="s">
        <v>155</v>
      </c>
      <c r="C36" s="38"/>
      <c r="D36" s="38" t="s">
        <v>56</v>
      </c>
      <c r="E36" s="38"/>
      <c r="F36" s="43"/>
      <c r="G36" s="44" t="s">
        <v>774</v>
      </c>
      <c r="H36" s="79" t="s">
        <v>775</v>
      </c>
      <c r="I36" s="38"/>
      <c r="J36" s="38"/>
      <c r="K36" s="46"/>
      <c r="L36" s="47"/>
      <c r="M36" s="307">
        <v>0</v>
      </c>
      <c r="N36" s="307">
        <v>1.5162037037037036E-3</v>
      </c>
      <c r="O36" s="307">
        <f t="shared" si="0"/>
        <v>1.5162037037037036E-3</v>
      </c>
      <c r="P36" s="66">
        <v>42991</v>
      </c>
      <c r="Q36" s="410" t="str">
        <f t="shared" ca="1" si="1"/>
        <v>https://www.youtube.com/embed/5LJPOCxc3E8?start=0&amp;end=131&amp;autoplay=1</v>
      </c>
      <c r="R36" s="50"/>
      <c r="S36" s="50"/>
      <c r="T36" s="50"/>
      <c r="U36" s="52"/>
      <c r="V36" s="53"/>
      <c r="W36" s="60"/>
      <c r="X36" s="56"/>
      <c r="Y36" s="38"/>
      <c r="Z36" s="38"/>
    </row>
    <row r="37" spans="1:26">
      <c r="A37" s="42">
        <v>23.02</v>
      </c>
      <c r="B37" s="38" t="s">
        <v>155</v>
      </c>
      <c r="C37" s="38"/>
      <c r="D37" s="38" t="s">
        <v>56</v>
      </c>
      <c r="E37" s="38"/>
      <c r="F37" s="43"/>
      <c r="G37" s="44" t="s">
        <v>776</v>
      </c>
      <c r="H37" s="79" t="s">
        <v>777</v>
      </c>
      <c r="I37" s="38"/>
      <c r="J37" s="38"/>
      <c r="K37" s="46"/>
      <c r="L37" s="47"/>
      <c r="M37" s="307">
        <v>1.5162037037037036E-3</v>
      </c>
      <c r="N37" s="307">
        <v>4.0856481481481481E-3</v>
      </c>
      <c r="O37" s="307">
        <f t="shared" si="0"/>
        <v>2.5694444444444445E-3</v>
      </c>
      <c r="P37" s="66">
        <v>42991</v>
      </c>
      <c r="Q37" s="410" t="str">
        <f t="shared" ca="1" si="1"/>
        <v>https://www.youtube.com/embed/5LJPOCxc3E8?start=131&amp;end=353&amp;autoplay=1</v>
      </c>
      <c r="R37" s="50"/>
      <c r="S37" s="50"/>
      <c r="T37" s="50"/>
      <c r="U37" s="52"/>
      <c r="V37" s="53"/>
      <c r="W37" s="60"/>
      <c r="X37" s="56"/>
      <c r="Y37" s="38"/>
      <c r="Z37" s="38"/>
    </row>
    <row r="38" spans="1:26">
      <c r="A38" s="42">
        <v>23.03</v>
      </c>
      <c r="B38" s="38" t="s">
        <v>155</v>
      </c>
      <c r="C38" s="38"/>
      <c r="D38" s="38" t="s">
        <v>56</v>
      </c>
      <c r="E38" s="38"/>
      <c r="F38" s="43"/>
      <c r="G38" s="44" t="s">
        <v>781</v>
      </c>
      <c r="H38" s="79" t="s">
        <v>782</v>
      </c>
      <c r="I38" s="38"/>
      <c r="J38" s="38"/>
      <c r="K38" s="46"/>
      <c r="L38" s="47"/>
      <c r="M38" s="307">
        <v>4.1435185185185186E-3</v>
      </c>
      <c r="N38" s="307">
        <v>7.3958333333333341E-3</v>
      </c>
      <c r="O38" s="307">
        <f t="shared" si="0"/>
        <v>3.2523148148148155E-3</v>
      </c>
      <c r="P38" s="66">
        <v>42991</v>
      </c>
      <c r="Q38" s="410" t="str">
        <f t="shared" ca="1" si="1"/>
        <v>https://www.youtube.com/embed/5LJPOCxc3E8?start=358&amp;end=639&amp;autoplay=1</v>
      </c>
      <c r="R38" s="50"/>
      <c r="S38" s="50"/>
      <c r="T38" s="50"/>
      <c r="U38" s="52"/>
      <c r="V38" s="53"/>
      <c r="W38" s="60"/>
      <c r="X38" s="56"/>
      <c r="Y38" s="38"/>
      <c r="Z38" s="38"/>
    </row>
    <row r="39" spans="1:26">
      <c r="A39" s="80">
        <v>24</v>
      </c>
      <c r="B39" s="42" t="s">
        <v>155</v>
      </c>
      <c r="C39" s="38"/>
      <c r="D39" s="42" t="s">
        <v>56</v>
      </c>
      <c r="E39" s="81" t="s">
        <v>184</v>
      </c>
      <c r="F39" s="82" t="s">
        <v>186</v>
      </c>
      <c r="G39" s="83" t="s">
        <v>859</v>
      </c>
      <c r="H39" s="73"/>
      <c r="I39" s="80"/>
      <c r="J39" s="80">
        <f>2.4*1000</f>
        <v>2400</v>
      </c>
      <c r="K39" s="46">
        <v>8.2523148148148148E-3</v>
      </c>
      <c r="L39" s="80" t="s">
        <v>61</v>
      </c>
      <c r="M39" s="307"/>
      <c r="N39" s="307"/>
      <c r="O39" s="307">
        <f t="shared" si="0"/>
        <v>0</v>
      </c>
      <c r="P39" s="66">
        <v>43008</v>
      </c>
      <c r="Q39" s="410" t="str">
        <f t="shared" ca="1" si="1"/>
        <v>https://www.youtube.com/watch?v=LdrmgXtd_rs</v>
      </c>
      <c r="R39" s="50"/>
      <c r="S39" s="50"/>
      <c r="T39" s="50"/>
      <c r="U39" s="52"/>
      <c r="V39" s="53"/>
      <c r="W39" s="60"/>
      <c r="X39" s="71"/>
      <c r="Y39" s="42"/>
      <c r="Z39" s="42" t="s">
        <v>862</v>
      </c>
    </row>
    <row r="40" spans="1:26">
      <c r="A40" s="42">
        <v>24.01</v>
      </c>
      <c r="B40" s="42" t="s">
        <v>155</v>
      </c>
      <c r="C40" s="42"/>
      <c r="D40" s="38" t="s">
        <v>56</v>
      </c>
      <c r="E40" s="38"/>
      <c r="F40" s="44"/>
      <c r="G40" s="42" t="s">
        <v>863</v>
      </c>
      <c r="H40" s="79" t="s">
        <v>864</v>
      </c>
      <c r="I40" s="38"/>
      <c r="J40" s="38"/>
      <c r="K40" s="46"/>
      <c r="L40" s="47"/>
      <c r="M40" s="307">
        <v>1.4236111111111112E-3</v>
      </c>
      <c r="N40" s="307">
        <v>1.9560185185185184E-3</v>
      </c>
      <c r="O40" s="307">
        <f t="shared" si="0"/>
        <v>5.3240740740740722E-4</v>
      </c>
      <c r="P40" s="66">
        <v>43008</v>
      </c>
      <c r="Q40" s="410" t="str">
        <f t="shared" ca="1" si="1"/>
        <v>https://www.youtube.com/embed/LdrmgXtd_rs?start=123&amp;end=169&amp;autoplay=1</v>
      </c>
      <c r="R40" s="67" t="s">
        <v>63</v>
      </c>
      <c r="S40" s="67" t="s">
        <v>561</v>
      </c>
      <c r="T40" s="67" t="s">
        <v>561</v>
      </c>
      <c r="U40" s="52"/>
      <c r="V40" s="53"/>
      <c r="W40" s="60"/>
      <c r="X40" s="84"/>
      <c r="Y40" s="73"/>
      <c r="Z40" s="73"/>
    </row>
    <row r="41" spans="1:26">
      <c r="A41" s="42">
        <v>24.02</v>
      </c>
      <c r="B41" s="42" t="s">
        <v>155</v>
      </c>
      <c r="C41" s="38"/>
      <c r="D41" s="38" t="s">
        <v>56</v>
      </c>
      <c r="E41" s="38"/>
      <c r="F41" s="44"/>
      <c r="G41" s="42" t="s">
        <v>867</v>
      </c>
      <c r="H41" s="79" t="s">
        <v>868</v>
      </c>
      <c r="I41" s="38"/>
      <c r="J41" s="38"/>
      <c r="K41" s="46"/>
      <c r="L41" s="47"/>
      <c r="M41" s="307">
        <v>2.5810185185185185E-3</v>
      </c>
      <c r="N41" s="307">
        <v>5.4629629629629629E-3</v>
      </c>
      <c r="O41" s="307">
        <f t="shared" si="0"/>
        <v>2.8819444444444444E-3</v>
      </c>
      <c r="P41" s="66">
        <v>43008</v>
      </c>
      <c r="Q41" s="410" t="str">
        <f t="shared" ca="1" si="1"/>
        <v>https://www.youtube.com/embed/LdrmgXtd_rs?start=223&amp;end=472&amp;autoplay=1</v>
      </c>
      <c r="R41" s="50"/>
      <c r="S41" s="50"/>
      <c r="T41" s="50"/>
      <c r="U41" s="52"/>
      <c r="V41" s="53"/>
      <c r="W41" s="60"/>
      <c r="X41" s="56"/>
      <c r="Y41" s="38"/>
      <c r="Z41" s="38"/>
    </row>
    <row r="42" spans="1:26">
      <c r="A42" s="42">
        <v>24.03</v>
      </c>
      <c r="B42" s="42" t="s">
        <v>155</v>
      </c>
      <c r="C42" s="38"/>
      <c r="D42" s="38" t="s">
        <v>56</v>
      </c>
      <c r="E42" s="38"/>
      <c r="F42" s="44"/>
      <c r="G42" s="42" t="s">
        <v>871</v>
      </c>
      <c r="H42" s="79" t="s">
        <v>872</v>
      </c>
      <c r="I42" s="38"/>
      <c r="J42" s="38"/>
      <c r="K42" s="46"/>
      <c r="L42" s="47"/>
      <c r="M42" s="307">
        <v>5.4629629629629629E-3</v>
      </c>
      <c r="N42" s="307">
        <v>6.6203703703703702E-3</v>
      </c>
      <c r="O42" s="307">
        <f t="shared" si="0"/>
        <v>1.1574074074074073E-3</v>
      </c>
      <c r="P42" s="66">
        <v>43008</v>
      </c>
      <c r="Q42" s="410" t="str">
        <f t="shared" ca="1" si="1"/>
        <v>https://www.youtube.com/embed/LdrmgXtd_rs?start=472&amp;end=572&amp;autoplay=1</v>
      </c>
      <c r="R42" s="50"/>
      <c r="S42" s="50"/>
      <c r="T42" s="50"/>
      <c r="U42" s="52"/>
      <c r="V42" s="53"/>
      <c r="W42" s="60"/>
      <c r="X42" s="56"/>
      <c r="Y42" s="38"/>
      <c r="Z42" s="38"/>
    </row>
    <row r="43" spans="1:26">
      <c r="A43" s="42">
        <v>24.04</v>
      </c>
      <c r="B43" s="42" t="s">
        <v>155</v>
      </c>
      <c r="C43" s="38"/>
      <c r="D43" s="38" t="s">
        <v>56</v>
      </c>
      <c r="E43" s="38"/>
      <c r="F43" s="44"/>
      <c r="G43" s="42" t="s">
        <v>875</v>
      </c>
      <c r="H43" s="79" t="s">
        <v>876</v>
      </c>
      <c r="I43" s="38"/>
      <c r="J43" s="38"/>
      <c r="K43" s="46"/>
      <c r="L43" s="47"/>
      <c r="M43" s="307">
        <v>6.6203703703703702E-3</v>
      </c>
      <c r="N43" s="307">
        <v>8.2407407407407412E-3</v>
      </c>
      <c r="O43" s="307">
        <f t="shared" si="0"/>
        <v>1.620370370370371E-3</v>
      </c>
      <c r="P43" s="66">
        <v>43008</v>
      </c>
      <c r="Q43" s="410" t="str">
        <f t="shared" ca="1" si="1"/>
        <v>https://www.youtube.com/embed/LdrmgXtd_rs?start=572&amp;end=712&amp;autoplay=1</v>
      </c>
      <c r="R43" s="50"/>
      <c r="S43" s="50"/>
      <c r="T43" s="50"/>
      <c r="U43" s="52"/>
      <c r="V43" s="53"/>
      <c r="W43" s="60"/>
      <c r="X43" s="56"/>
      <c r="Y43" s="38"/>
      <c r="Z43" s="38"/>
    </row>
    <row r="44" spans="1:26">
      <c r="A44" s="38">
        <v>25</v>
      </c>
      <c r="B44" s="42" t="s">
        <v>155</v>
      </c>
      <c r="C44" s="38"/>
      <c r="D44" s="42" t="s">
        <v>56</v>
      </c>
      <c r="E44" s="38" t="s">
        <v>193</v>
      </c>
      <c r="F44" s="43" t="s">
        <v>194</v>
      </c>
      <c r="G44" s="44"/>
      <c r="H44" s="45"/>
      <c r="I44" s="38"/>
      <c r="J44" s="38">
        <f>2.1*1000</f>
        <v>2100</v>
      </c>
      <c r="K44" s="46">
        <v>9.618055555555555E-3</v>
      </c>
      <c r="L44" s="47" t="s">
        <v>61</v>
      </c>
      <c r="M44" s="307"/>
      <c r="N44" s="307"/>
      <c r="O44" s="307">
        <f t="shared" si="0"/>
        <v>0</v>
      </c>
      <c r="P44" s="66">
        <v>43008</v>
      </c>
      <c r="Q44" s="410" t="str">
        <f t="shared" ca="1" si="1"/>
        <v>https://www.youtube.com/watch?v=gbWoqwJKhbM</v>
      </c>
      <c r="R44" s="38"/>
      <c r="S44" s="38"/>
      <c r="T44" s="38"/>
      <c r="U44" s="38"/>
      <c r="V44" s="38"/>
      <c r="W44" s="38"/>
      <c r="X44" s="71"/>
      <c r="Y44" s="42"/>
      <c r="Z44" s="42" t="s">
        <v>879</v>
      </c>
    </row>
    <row r="45" spans="1:26">
      <c r="A45" s="42">
        <v>25.01</v>
      </c>
      <c r="B45" s="42" t="s">
        <v>155</v>
      </c>
      <c r="C45" s="38"/>
      <c r="D45" s="42" t="s">
        <v>56</v>
      </c>
      <c r="E45" s="38"/>
      <c r="F45" s="44"/>
      <c r="G45" s="42" t="s">
        <v>875</v>
      </c>
      <c r="H45" s="79" t="s">
        <v>880</v>
      </c>
      <c r="I45" s="38"/>
      <c r="J45" s="38"/>
      <c r="K45" s="46"/>
      <c r="L45" s="47"/>
      <c r="M45" s="307">
        <v>2.3148148148148147E-5</v>
      </c>
      <c r="N45" s="307">
        <v>6.0648148148148145E-3</v>
      </c>
      <c r="O45" s="307">
        <f t="shared" si="0"/>
        <v>6.0416666666666665E-3</v>
      </c>
      <c r="P45" s="66">
        <v>43008</v>
      </c>
      <c r="Q45" s="410" t="str">
        <f t="shared" ca="1" si="1"/>
        <v>https://www.youtube.com/embed/gbWoqwJKhbM?start=2&amp;end=524&amp;autoplay=1</v>
      </c>
      <c r="R45" s="67" t="s">
        <v>63</v>
      </c>
      <c r="S45" s="67" t="s">
        <v>561</v>
      </c>
      <c r="T45" s="67" t="s">
        <v>561</v>
      </c>
      <c r="U45" s="52"/>
      <c r="V45" s="53"/>
      <c r="W45" s="60"/>
      <c r="X45" s="56"/>
      <c r="Y45" s="38"/>
      <c r="Z45" s="38"/>
    </row>
    <row r="46" spans="1:26">
      <c r="A46" s="38">
        <v>26</v>
      </c>
      <c r="B46" s="38" t="s">
        <v>155</v>
      </c>
      <c r="C46" s="38"/>
      <c r="D46" s="38" t="s">
        <v>56</v>
      </c>
      <c r="E46" s="38" t="s">
        <v>198</v>
      </c>
      <c r="F46" s="43" t="s">
        <v>199</v>
      </c>
      <c r="G46" s="44"/>
      <c r="H46" s="45"/>
      <c r="I46" s="38"/>
      <c r="J46" s="38">
        <f>14*1000</f>
        <v>14000</v>
      </c>
      <c r="K46" s="46">
        <v>7.4884259259259262E-3</v>
      </c>
      <c r="L46" s="47" t="s">
        <v>61</v>
      </c>
      <c r="M46" s="307"/>
      <c r="N46" s="307"/>
      <c r="O46" s="307">
        <f t="shared" si="0"/>
        <v>0</v>
      </c>
      <c r="P46" s="66">
        <v>42991</v>
      </c>
      <c r="Q46" s="410" t="str">
        <f t="shared" ca="1" si="1"/>
        <v>https://www.youtube.com/watch?v=RdBz1kIwrqo</v>
      </c>
      <c r="R46" s="50"/>
      <c r="S46" s="50"/>
      <c r="T46" s="50"/>
      <c r="U46" s="52"/>
      <c r="V46" s="53"/>
      <c r="W46" s="60"/>
      <c r="X46" s="56"/>
      <c r="Y46" s="38"/>
      <c r="Z46" s="38"/>
    </row>
    <row r="47" spans="1:26">
      <c r="A47" s="42">
        <v>26.01</v>
      </c>
      <c r="B47" s="38" t="s">
        <v>155</v>
      </c>
      <c r="C47" s="38"/>
      <c r="D47" s="38" t="s">
        <v>56</v>
      </c>
      <c r="E47" s="38"/>
      <c r="F47" s="43"/>
      <c r="G47" s="44" t="s">
        <v>747</v>
      </c>
      <c r="H47" s="58" t="s">
        <v>786</v>
      </c>
      <c r="I47" s="38"/>
      <c r="J47" s="38"/>
      <c r="K47" s="46"/>
      <c r="L47" s="47"/>
      <c r="M47" s="307">
        <v>9.2592592592592585E-4</v>
      </c>
      <c r="N47" s="307">
        <v>2.9861111111111113E-3</v>
      </c>
      <c r="O47" s="307">
        <f t="shared" si="0"/>
        <v>2.0601851851851853E-3</v>
      </c>
      <c r="P47" s="66">
        <v>42991</v>
      </c>
      <c r="Q47" s="410" t="str">
        <f t="shared" ca="1" si="1"/>
        <v>https://www.youtube.com/embed/RdBz1kIwrqo?start=80&amp;end=258&amp;autoplay=1</v>
      </c>
      <c r="R47" s="50"/>
      <c r="S47" s="50"/>
      <c r="T47" s="50"/>
      <c r="U47" s="52"/>
      <c r="V47" s="53"/>
      <c r="W47" s="60"/>
      <c r="X47" s="78"/>
      <c r="Y47" s="61"/>
      <c r="Z47" s="61" t="s">
        <v>790</v>
      </c>
    </row>
    <row r="48" spans="1:26">
      <c r="A48" s="42">
        <v>26.02</v>
      </c>
      <c r="B48" s="38" t="s">
        <v>155</v>
      </c>
      <c r="C48" s="38"/>
      <c r="D48" s="38" t="s">
        <v>56</v>
      </c>
      <c r="E48" s="38"/>
      <c r="F48" s="43"/>
      <c r="G48" s="44" t="s">
        <v>792</v>
      </c>
      <c r="H48" s="58" t="s">
        <v>793</v>
      </c>
      <c r="I48" s="38"/>
      <c r="J48" s="38"/>
      <c r="K48" s="46"/>
      <c r="L48" s="47"/>
      <c r="M48" s="307">
        <v>3.0787037037037037E-3</v>
      </c>
      <c r="N48" s="307">
        <v>4.6412037037037038E-3</v>
      </c>
      <c r="O48" s="307">
        <f t="shared" si="0"/>
        <v>1.5625000000000001E-3</v>
      </c>
      <c r="P48" s="66">
        <v>42991</v>
      </c>
      <c r="Q48" s="410" t="str">
        <f t="shared" ca="1" si="1"/>
        <v>https://www.youtube.com/embed/RdBz1kIwrqo?start=266&amp;end=401&amp;autoplay=1</v>
      </c>
      <c r="R48" s="50"/>
      <c r="S48" s="50"/>
      <c r="T48" s="50"/>
      <c r="U48" s="52"/>
      <c r="V48" s="53"/>
      <c r="W48" s="60"/>
      <c r="X48" s="78"/>
      <c r="Y48" s="61"/>
      <c r="Z48" s="61"/>
    </row>
    <row r="49" spans="1:26">
      <c r="A49" s="42">
        <v>26.03</v>
      </c>
      <c r="B49" s="38" t="s">
        <v>155</v>
      </c>
      <c r="C49" s="38"/>
      <c r="D49" s="38" t="s">
        <v>56</v>
      </c>
      <c r="E49" s="38"/>
      <c r="F49" s="43"/>
      <c r="G49" s="44" t="s">
        <v>798</v>
      </c>
      <c r="H49" s="58" t="s">
        <v>799</v>
      </c>
      <c r="I49" s="38"/>
      <c r="J49" s="38"/>
      <c r="K49" s="46"/>
      <c r="L49" s="47"/>
      <c r="M49" s="307">
        <v>6.5162037037037037E-3</v>
      </c>
      <c r="N49" s="307">
        <v>7.4768518518518526E-3</v>
      </c>
      <c r="O49" s="307">
        <f t="shared" si="0"/>
        <v>9.6064814814814884E-4</v>
      </c>
      <c r="P49" s="66">
        <v>42991</v>
      </c>
      <c r="Q49" s="410" t="str">
        <f t="shared" ca="1" si="1"/>
        <v>https://www.youtube.com/embed/RdBz1kIwrqo?start=563&amp;end=646&amp;autoplay=1</v>
      </c>
      <c r="R49" s="50"/>
      <c r="S49" s="50"/>
      <c r="T49" s="50"/>
      <c r="U49" s="52"/>
      <c r="V49" s="53"/>
      <c r="W49" s="60"/>
      <c r="X49" s="78"/>
      <c r="Y49" s="61"/>
      <c r="Z49" s="61"/>
    </row>
    <row r="50" spans="1:26">
      <c r="A50" s="38">
        <v>27</v>
      </c>
      <c r="B50" s="38" t="s">
        <v>155</v>
      </c>
      <c r="C50" s="38"/>
      <c r="D50" s="38" t="s">
        <v>56</v>
      </c>
      <c r="E50" s="38" t="s">
        <v>205</v>
      </c>
      <c r="F50" s="43" t="s">
        <v>206</v>
      </c>
      <c r="G50" s="44"/>
      <c r="H50" s="45"/>
      <c r="I50" s="38"/>
      <c r="J50" s="38">
        <f>15*1000</f>
        <v>15000</v>
      </c>
      <c r="K50" s="46">
        <v>3.2407407407407406E-3</v>
      </c>
      <c r="L50" s="47" t="s">
        <v>61</v>
      </c>
      <c r="M50" s="307"/>
      <c r="N50" s="307"/>
      <c r="O50" s="307">
        <f t="shared" si="0"/>
        <v>0</v>
      </c>
      <c r="P50" s="66">
        <v>42991</v>
      </c>
      <c r="Q50" s="410" t="str">
        <f t="shared" ca="1" si="1"/>
        <v>https://www.youtube.com/watch?v=WsjxXfklatk</v>
      </c>
      <c r="R50" s="50"/>
      <c r="S50" s="50"/>
      <c r="T50" s="50"/>
      <c r="U50" s="52"/>
      <c r="V50" s="53"/>
      <c r="W50" s="60"/>
      <c r="X50" s="78"/>
      <c r="Y50" s="61"/>
      <c r="Z50" s="61" t="s">
        <v>802</v>
      </c>
    </row>
    <row r="51" spans="1:26">
      <c r="A51" s="38">
        <v>28</v>
      </c>
      <c r="B51" s="38" t="s">
        <v>155</v>
      </c>
      <c r="C51" s="38"/>
      <c r="D51" s="38" t="s">
        <v>56</v>
      </c>
      <c r="E51" s="38" t="s">
        <v>210</v>
      </c>
      <c r="F51" s="43" t="s">
        <v>212</v>
      </c>
      <c r="G51" s="44"/>
      <c r="H51" s="45"/>
      <c r="I51" s="38"/>
      <c r="J51" s="38">
        <f>9.3*1000</f>
        <v>9300</v>
      </c>
      <c r="K51" s="46">
        <v>8.0671296296296307E-3</v>
      </c>
      <c r="L51" s="47" t="s">
        <v>61</v>
      </c>
      <c r="M51" s="307"/>
      <c r="N51" s="307"/>
      <c r="O51" s="307">
        <f t="shared" si="0"/>
        <v>0</v>
      </c>
      <c r="P51" s="66">
        <v>42991</v>
      </c>
      <c r="Q51" s="410" t="str">
        <f t="shared" ca="1" si="1"/>
        <v>https://www.youtube.com/watch?v=N0PD3TuLvoo</v>
      </c>
      <c r="R51" s="50"/>
      <c r="S51" s="50"/>
      <c r="T51" s="50"/>
      <c r="U51" s="52"/>
      <c r="V51" s="53"/>
      <c r="W51" s="60"/>
      <c r="X51" s="56"/>
      <c r="Y51" s="38"/>
      <c r="Z51" s="38"/>
    </row>
    <row r="52" spans="1:26">
      <c r="A52" s="42">
        <v>28.01</v>
      </c>
      <c r="B52" s="38" t="s">
        <v>155</v>
      </c>
      <c r="C52" s="38"/>
      <c r="D52" s="38" t="s">
        <v>56</v>
      </c>
      <c r="E52" s="38"/>
      <c r="F52" s="43"/>
      <c r="G52" s="44" t="s">
        <v>804</v>
      </c>
      <c r="H52" s="58" t="s">
        <v>805</v>
      </c>
      <c r="I52" s="38"/>
      <c r="J52" s="38"/>
      <c r="K52" s="46"/>
      <c r="L52" s="47"/>
      <c r="M52" s="307">
        <v>0</v>
      </c>
      <c r="N52" s="307">
        <v>8.7962962962962962E-4</v>
      </c>
      <c r="O52" s="307">
        <f t="shared" si="0"/>
        <v>8.7962962962962962E-4</v>
      </c>
      <c r="P52" s="66">
        <v>42991</v>
      </c>
      <c r="Q52" s="410" t="str">
        <f t="shared" ca="1" si="1"/>
        <v>https://www.youtube.com/embed/N0PD3TuLvoo?start=0&amp;end=76&amp;autoplay=1</v>
      </c>
      <c r="R52" s="50"/>
      <c r="S52" s="50"/>
      <c r="T52" s="50"/>
      <c r="U52" s="52"/>
      <c r="V52" s="53"/>
      <c r="W52" s="60"/>
      <c r="X52" s="78"/>
      <c r="Y52" s="61"/>
      <c r="Z52" s="61"/>
    </row>
    <row r="53" spans="1:26">
      <c r="A53" s="42">
        <v>28.02</v>
      </c>
      <c r="B53" s="38" t="s">
        <v>155</v>
      </c>
      <c r="C53" s="38"/>
      <c r="D53" s="38" t="s">
        <v>56</v>
      </c>
      <c r="E53" s="38"/>
      <c r="F53" s="43"/>
      <c r="G53" s="44" t="s">
        <v>807</v>
      </c>
      <c r="H53" s="58" t="s">
        <v>808</v>
      </c>
      <c r="I53" s="38"/>
      <c r="J53" s="38"/>
      <c r="K53" s="46"/>
      <c r="L53" s="47"/>
      <c r="M53" s="307">
        <v>8.9120370370370362E-4</v>
      </c>
      <c r="N53" s="307">
        <v>2.1296296296296298E-3</v>
      </c>
      <c r="O53" s="307">
        <f t="shared" si="0"/>
        <v>1.2384259259259262E-3</v>
      </c>
      <c r="P53" s="66">
        <v>42991</v>
      </c>
      <c r="Q53" s="410" t="str">
        <f t="shared" ca="1" si="1"/>
        <v>https://www.youtube.com/embed/N0PD3TuLvoo?start=77&amp;end=184&amp;autoplay=1</v>
      </c>
      <c r="R53" s="50"/>
      <c r="S53" s="50"/>
      <c r="T53" s="50"/>
      <c r="U53" s="52"/>
      <c r="V53" s="53"/>
      <c r="W53" s="60"/>
      <c r="X53" s="78"/>
      <c r="Y53" s="61"/>
      <c r="Z53" s="61" t="s">
        <v>812</v>
      </c>
    </row>
    <row r="54" spans="1:26">
      <c r="A54" s="42">
        <v>28.03</v>
      </c>
      <c r="B54" s="38" t="s">
        <v>155</v>
      </c>
      <c r="C54" s="38"/>
      <c r="D54" s="38" t="s">
        <v>56</v>
      </c>
      <c r="E54" s="38"/>
      <c r="F54" s="43"/>
      <c r="G54" s="63" t="s">
        <v>813</v>
      </c>
      <c r="H54" s="58" t="s">
        <v>814</v>
      </c>
      <c r="I54" s="38"/>
      <c r="J54" s="38"/>
      <c r="K54" s="46"/>
      <c r="L54" s="47"/>
      <c r="M54" s="307">
        <v>2.2800925925925927E-3</v>
      </c>
      <c r="N54" s="307">
        <v>3.5185185185185185E-3</v>
      </c>
      <c r="O54" s="307">
        <f t="shared" si="0"/>
        <v>1.2384259259259258E-3</v>
      </c>
      <c r="P54" s="66">
        <v>42991</v>
      </c>
      <c r="Q54" s="410" t="str">
        <f t="shared" ca="1" si="1"/>
        <v>https://www.youtube.com/embed/N0PD3TuLvoo?start=197&amp;end=304&amp;autoplay=1</v>
      </c>
      <c r="R54" s="50"/>
      <c r="S54" s="50"/>
      <c r="T54" s="50"/>
      <c r="U54" s="52"/>
      <c r="V54" s="53"/>
      <c r="W54" s="60"/>
      <c r="X54" s="78"/>
      <c r="Y54" s="61"/>
      <c r="Z54" s="61" t="s">
        <v>812</v>
      </c>
    </row>
    <row r="55" spans="1:26">
      <c r="A55" s="42">
        <v>28.04</v>
      </c>
      <c r="B55" s="38" t="s">
        <v>155</v>
      </c>
      <c r="C55" s="38"/>
      <c r="D55" s="38" t="s">
        <v>56</v>
      </c>
      <c r="E55" s="38"/>
      <c r="F55" s="43"/>
      <c r="G55" s="44" t="s">
        <v>815</v>
      </c>
      <c r="H55" s="58" t="s">
        <v>816</v>
      </c>
      <c r="I55" s="38"/>
      <c r="J55" s="38"/>
      <c r="K55" s="46"/>
      <c r="L55" s="47"/>
      <c r="M55" s="307">
        <v>3.5185185185185185E-3</v>
      </c>
      <c r="N55" s="307">
        <v>6.0995370370370361E-3</v>
      </c>
      <c r="O55" s="307">
        <f t="shared" si="0"/>
        <v>2.5810185185185176E-3</v>
      </c>
      <c r="P55" s="66">
        <v>42991</v>
      </c>
      <c r="Q55" s="410" t="str">
        <f t="shared" ca="1" si="1"/>
        <v>https://www.youtube.com/embed/N0PD3TuLvoo?start=304&amp;end=527&amp;autoplay=1</v>
      </c>
      <c r="R55" s="50"/>
      <c r="S55" s="50"/>
      <c r="T55" s="50"/>
      <c r="U55" s="52"/>
      <c r="V55" s="53"/>
      <c r="W55" s="60"/>
      <c r="X55" s="78"/>
      <c r="Y55" s="61"/>
      <c r="Z55" s="61" t="s">
        <v>817</v>
      </c>
    </row>
    <row r="56" spans="1:26">
      <c r="A56" s="38">
        <v>29</v>
      </c>
      <c r="B56" s="38" t="s">
        <v>155</v>
      </c>
      <c r="C56" s="38"/>
      <c r="D56" s="38" t="s">
        <v>56</v>
      </c>
      <c r="E56" s="38" t="s">
        <v>215</v>
      </c>
      <c r="F56" s="43" t="s">
        <v>216</v>
      </c>
      <c r="G56" s="44"/>
      <c r="H56" s="45"/>
      <c r="I56" s="38"/>
      <c r="J56" s="38">
        <f>35*1000</f>
        <v>35000</v>
      </c>
      <c r="K56" s="46">
        <v>7.6851851851851847E-3</v>
      </c>
      <c r="L56" s="47" t="s">
        <v>61</v>
      </c>
      <c r="M56" s="307"/>
      <c r="N56" s="307"/>
      <c r="O56" s="307">
        <f t="shared" si="0"/>
        <v>0</v>
      </c>
      <c r="P56" s="66">
        <v>42992</v>
      </c>
      <c r="Q56" s="410" t="str">
        <f t="shared" ca="1" si="1"/>
        <v>https://www.youtube.com/watch?v=C3_6Ub1GnfA</v>
      </c>
      <c r="R56" s="50"/>
      <c r="S56" s="50"/>
      <c r="T56" s="50"/>
      <c r="U56" s="52"/>
      <c r="V56" s="53"/>
      <c r="W56" s="60"/>
      <c r="X56" s="56"/>
      <c r="Y56" s="38"/>
      <c r="Z56" s="38"/>
    </row>
    <row r="57" spans="1:26">
      <c r="A57" s="42">
        <v>29.01</v>
      </c>
      <c r="B57" s="38" t="s">
        <v>155</v>
      </c>
      <c r="C57" s="38"/>
      <c r="D57" s="38" t="s">
        <v>56</v>
      </c>
      <c r="E57" s="38"/>
      <c r="F57" s="43"/>
      <c r="G57" s="44" t="s">
        <v>723</v>
      </c>
      <c r="H57" s="58" t="s">
        <v>820</v>
      </c>
      <c r="I57" s="38"/>
      <c r="J57" s="38"/>
      <c r="K57" s="46"/>
      <c r="L57" s="47"/>
      <c r="M57" s="307">
        <v>0</v>
      </c>
      <c r="N57" s="307">
        <v>2.4421296296296296E-3</v>
      </c>
      <c r="O57" s="307">
        <f t="shared" si="0"/>
        <v>2.4421296296296296E-3</v>
      </c>
      <c r="P57" s="66">
        <v>42992</v>
      </c>
      <c r="Q57" s="410" t="str">
        <f t="shared" ca="1" si="1"/>
        <v>https://www.youtube.com/embed/C3_6Ub1GnfA?start=0&amp;end=211&amp;autoplay=1</v>
      </c>
      <c r="R57" s="50"/>
      <c r="S57" s="50"/>
      <c r="T57" s="50"/>
      <c r="U57" s="52"/>
      <c r="V57" s="53"/>
      <c r="W57" s="60"/>
      <c r="X57" s="56"/>
      <c r="Y57" s="38"/>
      <c r="Z57" s="38"/>
    </row>
    <row r="58" spans="1:26">
      <c r="A58" s="42">
        <v>29.02</v>
      </c>
      <c r="B58" s="38" t="s">
        <v>155</v>
      </c>
      <c r="C58" s="38"/>
      <c r="D58" s="38" t="s">
        <v>56</v>
      </c>
      <c r="E58" s="38"/>
      <c r="F58" s="43"/>
      <c r="G58" s="44" t="s">
        <v>792</v>
      </c>
      <c r="H58" s="58" t="s">
        <v>821</v>
      </c>
      <c r="I58" s="38"/>
      <c r="J58" s="38"/>
      <c r="K58" s="46"/>
      <c r="L58" s="47"/>
      <c r="M58" s="307">
        <v>2.4421296296296296E-3</v>
      </c>
      <c r="N58" s="307">
        <v>4.9768518518518521E-3</v>
      </c>
      <c r="O58" s="307">
        <f t="shared" si="0"/>
        <v>2.5347222222222225E-3</v>
      </c>
      <c r="P58" s="91">
        <v>42992</v>
      </c>
      <c r="Q58" s="410" t="str">
        <f t="shared" ca="1" si="1"/>
        <v>https://www.youtube.com/embed/C3_6Ub1GnfA?start=211&amp;end=430&amp;autoplay=1</v>
      </c>
      <c r="R58" s="50"/>
      <c r="S58" s="50"/>
      <c r="T58" s="50"/>
      <c r="U58" s="52"/>
      <c r="V58" s="53"/>
      <c r="W58" s="60"/>
      <c r="X58" s="56"/>
      <c r="Y58" s="38"/>
      <c r="Z58" s="38"/>
    </row>
    <row r="59" spans="1:26">
      <c r="A59" s="42">
        <v>29.03</v>
      </c>
      <c r="B59" s="38" t="s">
        <v>155</v>
      </c>
      <c r="C59" s="38"/>
      <c r="D59" s="38" t="s">
        <v>56</v>
      </c>
      <c r="E59" s="38"/>
      <c r="F59" s="43"/>
      <c r="G59" s="44" t="s">
        <v>823</v>
      </c>
      <c r="H59" s="58" t="s">
        <v>824</v>
      </c>
      <c r="I59" s="38"/>
      <c r="J59" s="38"/>
      <c r="K59" s="46"/>
      <c r="L59" s="47"/>
      <c r="M59" s="307">
        <v>4.9884259259259265E-3</v>
      </c>
      <c r="N59" s="307">
        <v>6.0185185185185177E-3</v>
      </c>
      <c r="O59" s="307">
        <f t="shared" si="0"/>
        <v>1.0300925925925911E-3</v>
      </c>
      <c r="P59" s="91">
        <v>42992</v>
      </c>
      <c r="Q59" s="410" t="str">
        <f t="shared" ca="1" si="1"/>
        <v>https://www.youtube.com/embed/C3_6Ub1GnfA?start=431&amp;end=520&amp;autoplay=1</v>
      </c>
      <c r="R59" s="50"/>
      <c r="S59" s="50"/>
      <c r="T59" s="50"/>
      <c r="U59" s="52"/>
      <c r="V59" s="53"/>
      <c r="W59" s="60"/>
      <c r="X59" s="56"/>
      <c r="Y59" s="38"/>
      <c r="Z59" s="38"/>
    </row>
    <row r="60" spans="1:26">
      <c r="A60" s="42">
        <v>29.04</v>
      </c>
      <c r="B60" s="38" t="s">
        <v>155</v>
      </c>
      <c r="C60" s="42"/>
      <c r="D60" s="38" t="s">
        <v>56</v>
      </c>
      <c r="E60" s="38"/>
      <c r="F60" s="43"/>
      <c r="G60" s="63" t="s">
        <v>825</v>
      </c>
      <c r="H60" s="58" t="s">
        <v>826</v>
      </c>
      <c r="I60" s="38"/>
      <c r="J60" s="38"/>
      <c r="K60" s="46"/>
      <c r="L60" s="47"/>
      <c r="M60" s="307">
        <v>6.2268518518518515E-3</v>
      </c>
      <c r="N60" s="307">
        <v>6.8171296296296287E-3</v>
      </c>
      <c r="O60" s="307">
        <f t="shared" si="0"/>
        <v>5.9027777777777724E-4</v>
      </c>
      <c r="P60" s="91">
        <v>42992</v>
      </c>
      <c r="Q60" s="410" t="str">
        <f t="shared" ca="1" si="1"/>
        <v>https://www.youtube.com/embed/C3_6Ub1GnfA?start=538&amp;end=589&amp;autoplay=1</v>
      </c>
      <c r="R60" s="50"/>
      <c r="S60" s="50"/>
      <c r="T60" s="50"/>
      <c r="U60" s="52"/>
      <c r="V60" s="53"/>
      <c r="W60" s="60"/>
      <c r="X60" s="56"/>
      <c r="Y60" s="38"/>
      <c r="Z60" s="38"/>
    </row>
    <row r="61" spans="1:26">
      <c r="A61" s="42">
        <v>29.05</v>
      </c>
      <c r="B61" s="38" t="s">
        <v>155</v>
      </c>
      <c r="C61" s="38"/>
      <c r="D61" s="38" t="s">
        <v>56</v>
      </c>
      <c r="E61" s="38"/>
      <c r="F61" s="43"/>
      <c r="G61" s="44" t="s">
        <v>747</v>
      </c>
      <c r="H61" s="58" t="s">
        <v>827</v>
      </c>
      <c r="I61" s="38"/>
      <c r="J61" s="38"/>
      <c r="K61" s="46"/>
      <c r="L61" s="47"/>
      <c r="M61" s="307">
        <v>6.8171296296296287E-3</v>
      </c>
      <c r="N61" s="307">
        <v>7.6736111111111111E-3</v>
      </c>
      <c r="O61" s="307">
        <f t="shared" si="0"/>
        <v>8.5648148148148237E-4</v>
      </c>
      <c r="P61" s="91">
        <v>42992</v>
      </c>
      <c r="Q61" s="410" t="str">
        <f t="shared" ca="1" si="1"/>
        <v>https://www.youtube.com/embed/C3_6Ub1GnfA?start=589&amp;end=663&amp;autoplay=1</v>
      </c>
      <c r="R61" s="50"/>
      <c r="S61" s="50"/>
      <c r="T61" s="50"/>
      <c r="U61" s="52"/>
      <c r="V61" s="53"/>
      <c r="W61" s="60"/>
      <c r="X61" s="56"/>
      <c r="Y61" s="38"/>
      <c r="Z61" s="38"/>
    </row>
    <row r="62" spans="1:26" hidden="1">
      <c r="A62" s="38">
        <v>30</v>
      </c>
      <c r="B62" s="38"/>
      <c r="C62" s="38"/>
      <c r="D62" s="38"/>
      <c r="E62" s="38" t="s">
        <v>220</v>
      </c>
      <c r="F62" s="43" t="s">
        <v>221</v>
      </c>
      <c r="G62" s="44"/>
      <c r="H62" s="45"/>
      <c r="I62" s="38"/>
      <c r="J62" s="38">
        <f>6.9*1000</f>
        <v>6900</v>
      </c>
      <c r="K62" s="46">
        <v>5.208333333333333E-3</v>
      </c>
      <c r="L62" s="47" t="s">
        <v>61</v>
      </c>
      <c r="M62" s="307"/>
      <c r="N62" s="307"/>
      <c r="O62" s="307">
        <f t="shared" si="0"/>
        <v>0</v>
      </c>
      <c r="P62" s="92"/>
      <c r="Q62" s="410" t="str">
        <f t="shared" ca="1" si="1"/>
        <v>https://www.youtube.com/watch?v=dp7l5qmLHJI</v>
      </c>
      <c r="R62" s="50"/>
      <c r="S62" s="50"/>
      <c r="T62" s="50"/>
      <c r="U62" s="52"/>
      <c r="V62" s="53"/>
      <c r="W62" s="60"/>
      <c r="X62" s="56"/>
      <c r="Y62" s="38"/>
      <c r="Z62" s="38"/>
    </row>
    <row r="63" spans="1:26" hidden="1">
      <c r="A63" s="38">
        <v>31</v>
      </c>
      <c r="B63" s="38"/>
      <c r="C63" s="42"/>
      <c r="D63" s="38"/>
      <c r="E63" s="38" t="s">
        <v>225</v>
      </c>
      <c r="F63" s="43" t="s">
        <v>226</v>
      </c>
      <c r="G63" s="44"/>
      <c r="H63" s="45"/>
      <c r="I63" s="38"/>
      <c r="J63" s="38">
        <f>645</f>
        <v>645</v>
      </c>
      <c r="K63" s="46">
        <v>4.8611111111111112E-3</v>
      </c>
      <c r="L63" s="47" t="s">
        <v>61</v>
      </c>
      <c r="M63" s="307"/>
      <c r="N63" s="307"/>
      <c r="O63" s="307">
        <f t="shared" si="0"/>
        <v>0</v>
      </c>
      <c r="P63" s="92"/>
      <c r="Q63" s="410" t="str">
        <f t="shared" ca="1" si="1"/>
        <v>https://www.youtube.com/watch?v=elqL0Sr_sVU</v>
      </c>
      <c r="R63" s="50"/>
      <c r="S63" s="50"/>
      <c r="T63" s="50"/>
      <c r="U63" s="52"/>
      <c r="V63" s="53"/>
      <c r="W63" s="60"/>
      <c r="X63" s="56"/>
      <c r="Y63" s="38"/>
      <c r="Z63" s="38"/>
    </row>
    <row r="64" spans="1:26" hidden="1">
      <c r="A64" s="38">
        <v>32</v>
      </c>
      <c r="B64" s="38"/>
      <c r="C64" s="38"/>
      <c r="D64" s="38"/>
      <c r="E64" s="38" t="s">
        <v>231</v>
      </c>
      <c r="F64" s="43" t="s">
        <v>232</v>
      </c>
      <c r="G64" s="44"/>
      <c r="H64" s="45"/>
      <c r="I64" s="38"/>
      <c r="J64" s="38">
        <f>282</f>
        <v>282</v>
      </c>
      <c r="K64" s="46">
        <v>1.2037037037037038E-3</v>
      </c>
      <c r="L64" s="47" t="s">
        <v>61</v>
      </c>
      <c r="M64" s="307"/>
      <c r="N64" s="307"/>
      <c r="O64" s="307">
        <f t="shared" si="0"/>
        <v>0</v>
      </c>
      <c r="P64" s="92"/>
      <c r="Q64" s="410" t="str">
        <f t="shared" ca="1" si="1"/>
        <v>https://www.youtube.com/watch?v=ryQMb29oX3s</v>
      </c>
      <c r="R64" s="50"/>
      <c r="S64" s="50"/>
      <c r="T64" s="50"/>
      <c r="U64" s="52"/>
      <c r="V64" s="53"/>
      <c r="W64" s="60"/>
      <c r="X64" s="56"/>
      <c r="Y64" s="38"/>
      <c r="Z64" s="38"/>
    </row>
    <row r="65" spans="1:26" hidden="1">
      <c r="A65" s="38">
        <v>33</v>
      </c>
      <c r="B65" s="38"/>
      <c r="C65" s="38"/>
      <c r="D65" s="38"/>
      <c r="E65" s="38" t="s">
        <v>238</v>
      </c>
      <c r="F65" s="43" t="s">
        <v>239</v>
      </c>
      <c r="G65" s="44"/>
      <c r="H65" s="45"/>
      <c r="I65" s="38"/>
      <c r="J65" s="38">
        <f>732</f>
        <v>732</v>
      </c>
      <c r="K65" s="46">
        <v>7.3379629629629628E-3</v>
      </c>
      <c r="L65" s="47" t="s">
        <v>61</v>
      </c>
      <c r="M65" s="307"/>
      <c r="N65" s="307"/>
      <c r="O65" s="307">
        <f t="shared" si="0"/>
        <v>0</v>
      </c>
      <c r="P65" s="66"/>
      <c r="Q65" s="410" t="str">
        <f t="shared" ca="1" si="1"/>
        <v>https://www.youtube.com/watch?v=BEz8X5SUwjY</v>
      </c>
      <c r="R65" s="50"/>
      <c r="S65" s="50"/>
      <c r="T65" s="50"/>
      <c r="U65" s="52"/>
      <c r="V65" s="53"/>
      <c r="W65" s="60"/>
      <c r="X65" s="56"/>
      <c r="Y65" s="38"/>
      <c r="Z65" s="38"/>
    </row>
    <row r="66" spans="1:26">
      <c r="A66" s="42">
        <v>33.01</v>
      </c>
      <c r="B66" s="42" t="s">
        <v>155</v>
      </c>
      <c r="C66" s="38"/>
      <c r="D66" s="42" t="s">
        <v>56</v>
      </c>
      <c r="E66" s="38"/>
      <c r="F66" s="43"/>
      <c r="G66" s="63" t="s">
        <v>885</v>
      </c>
      <c r="H66" s="58" t="s">
        <v>886</v>
      </c>
      <c r="I66" s="38"/>
      <c r="J66" s="38"/>
      <c r="K66" s="46"/>
      <c r="L66" s="47"/>
      <c r="M66" s="342">
        <v>7.7546296296296293E-4</v>
      </c>
      <c r="N66" s="342">
        <v>4.1087962962962962E-3</v>
      </c>
      <c r="O66" s="307">
        <f t="shared" si="0"/>
        <v>3.3333333333333331E-3</v>
      </c>
      <c r="P66" s="66">
        <v>43012</v>
      </c>
      <c r="Q66" s="410" t="str">
        <f t="shared" ca="1" si="1"/>
        <v>https://www.youtube.com/embed/BEz8X5SUwjY?start=67&amp;end=355&amp;autoplay=1</v>
      </c>
      <c r="R66" s="67" t="s">
        <v>63</v>
      </c>
      <c r="S66" s="67" t="s">
        <v>63</v>
      </c>
      <c r="T66" s="67" t="s">
        <v>63</v>
      </c>
      <c r="U66" s="52"/>
      <c r="V66" s="53"/>
      <c r="W66" s="57" t="s">
        <v>64</v>
      </c>
      <c r="X66" s="78"/>
      <c r="Y66" s="61"/>
      <c r="Z66" s="168" t="s">
        <v>891</v>
      </c>
    </row>
    <row r="67" spans="1:26">
      <c r="A67" s="42">
        <v>33.020000000000003</v>
      </c>
      <c r="B67" s="42" t="s">
        <v>155</v>
      </c>
      <c r="C67" s="38"/>
      <c r="D67" s="42" t="s">
        <v>56</v>
      </c>
      <c r="E67" s="38"/>
      <c r="F67" s="43"/>
      <c r="G67" s="63" t="s">
        <v>894</v>
      </c>
      <c r="H67" s="58" t="s">
        <v>895</v>
      </c>
      <c r="I67" s="38"/>
      <c r="J67" s="38"/>
      <c r="K67" s="46"/>
      <c r="L67" s="47"/>
      <c r="M67" s="342">
        <v>4.1087962962962962E-3</v>
      </c>
      <c r="N67" s="342">
        <v>7.3263888888888892E-3</v>
      </c>
      <c r="O67" s="307">
        <f t="shared" si="0"/>
        <v>3.2175925925925931E-3</v>
      </c>
      <c r="P67" s="66">
        <v>43012</v>
      </c>
      <c r="Q67" s="410" t="str">
        <f t="shared" ref="Q67:Q130" ca="1" si="2">HYPERLINK(IF(INT(A67)-A67=0,E67,REPLACE(INDIRECT("MasterList!e"&amp;INT(A67)+1),25,8,"embed/")&amp;"?start="&amp;HOUR(M67)*3600+MINUTE(M67)*60+SECOND(M67)&amp;"&amp;end="&amp;HOUR(N67)*3600+MINUTE(N67)*60+SECOND(N67)&amp;"&amp;autoplay=1"))</f>
        <v>https://www.youtube.com/embed/BEz8X5SUwjY?start=355&amp;end=633&amp;autoplay=1</v>
      </c>
      <c r="R67" s="67" t="s">
        <v>63</v>
      </c>
      <c r="S67" s="67" t="s">
        <v>63</v>
      </c>
      <c r="T67" s="67" t="s">
        <v>63</v>
      </c>
      <c r="U67" s="52"/>
      <c r="V67" s="53"/>
      <c r="W67" s="57" t="s">
        <v>64</v>
      </c>
      <c r="X67" s="78"/>
      <c r="Y67" s="61"/>
      <c r="Z67" s="61"/>
    </row>
    <row r="68" spans="1:26">
      <c r="A68" s="38">
        <v>34</v>
      </c>
      <c r="B68" s="42" t="s">
        <v>155</v>
      </c>
      <c r="C68" s="38"/>
      <c r="D68" s="42" t="s">
        <v>56</v>
      </c>
      <c r="E68" s="38" t="s">
        <v>245</v>
      </c>
      <c r="F68" s="43" t="s">
        <v>246</v>
      </c>
      <c r="G68" s="44"/>
      <c r="H68" s="45"/>
      <c r="I68" s="38"/>
      <c r="J68" s="38">
        <f>459</f>
        <v>459</v>
      </c>
      <c r="K68" s="46">
        <v>7.6388888888888886E-3</v>
      </c>
      <c r="L68" s="47" t="s">
        <v>61</v>
      </c>
      <c r="M68" s="307"/>
      <c r="N68" s="307"/>
      <c r="O68" s="307">
        <f t="shared" si="0"/>
        <v>0</v>
      </c>
      <c r="P68" s="66">
        <v>43012</v>
      </c>
      <c r="Q68" s="410" t="str">
        <f t="shared" ca="1" si="2"/>
        <v>https://www.youtube.com/watch?v=lzMEDrUFlpw</v>
      </c>
      <c r="R68" s="50"/>
      <c r="S68" s="50"/>
      <c r="T68" s="50"/>
      <c r="U68" s="52"/>
      <c r="V68" s="53"/>
      <c r="W68" s="60"/>
      <c r="X68" s="56"/>
      <c r="Y68" s="38"/>
      <c r="Z68" s="38"/>
    </row>
    <row r="69" spans="1:26">
      <c r="A69" s="42">
        <v>34.01</v>
      </c>
      <c r="B69" s="42" t="s">
        <v>155</v>
      </c>
      <c r="C69" s="38"/>
      <c r="D69" s="42" t="s">
        <v>56</v>
      </c>
      <c r="E69" s="38"/>
      <c r="F69" s="43"/>
      <c r="G69" s="63" t="s">
        <v>902</v>
      </c>
      <c r="H69" s="58" t="s">
        <v>903</v>
      </c>
      <c r="I69" s="38"/>
      <c r="J69" s="38"/>
      <c r="K69" s="46"/>
      <c r="L69" s="47"/>
      <c r="M69" s="342">
        <v>0</v>
      </c>
      <c r="N69" s="342">
        <v>4.2592592592592595E-3</v>
      </c>
      <c r="O69" s="307">
        <f t="shared" si="0"/>
        <v>4.2592592592592595E-3</v>
      </c>
      <c r="P69" s="66">
        <v>43012</v>
      </c>
      <c r="Q69" s="410" t="str">
        <f t="shared" ca="1" si="2"/>
        <v>https://www.youtube.com/embed/lzMEDrUFlpw?start=0&amp;end=368&amp;autoplay=1</v>
      </c>
      <c r="R69" s="50"/>
      <c r="S69" s="50"/>
      <c r="T69" s="50"/>
      <c r="U69" s="52"/>
      <c r="V69" s="53"/>
      <c r="W69" s="57" t="s">
        <v>64</v>
      </c>
      <c r="X69" s="78"/>
      <c r="Y69" s="61"/>
      <c r="Z69" s="61"/>
    </row>
    <row r="70" spans="1:26">
      <c r="A70" s="42">
        <v>34.020000000000003</v>
      </c>
      <c r="B70" s="42" t="s">
        <v>155</v>
      </c>
      <c r="C70" s="38"/>
      <c r="D70" s="42" t="s">
        <v>56</v>
      </c>
      <c r="E70" s="38"/>
      <c r="F70" s="43"/>
      <c r="G70" s="63" t="s">
        <v>906</v>
      </c>
      <c r="H70" s="58" t="s">
        <v>907</v>
      </c>
      <c r="I70" s="38"/>
      <c r="J70" s="38"/>
      <c r="K70" s="46"/>
      <c r="L70" s="47"/>
      <c r="M70" s="342">
        <v>4.2592592592592595E-3</v>
      </c>
      <c r="N70" s="342">
        <v>6.2731481481481484E-3</v>
      </c>
      <c r="O70" s="307">
        <f t="shared" si="0"/>
        <v>2.0138888888888888E-3</v>
      </c>
      <c r="P70" s="66">
        <v>43012</v>
      </c>
      <c r="Q70" s="410" t="str">
        <f t="shared" ca="1" si="2"/>
        <v>https://www.youtube.com/embed/lzMEDrUFlpw?start=368&amp;end=542&amp;autoplay=1</v>
      </c>
      <c r="R70" s="50"/>
      <c r="S70" s="50"/>
      <c r="T70" s="50"/>
      <c r="U70" s="52"/>
      <c r="V70" s="53"/>
      <c r="W70" s="57" t="s">
        <v>64</v>
      </c>
      <c r="X70" s="78"/>
      <c r="Y70" s="61"/>
      <c r="Z70" s="61"/>
    </row>
    <row r="71" spans="1:26">
      <c r="A71" s="42">
        <v>34.03</v>
      </c>
      <c r="B71" s="42" t="s">
        <v>155</v>
      </c>
      <c r="C71" s="38"/>
      <c r="D71" s="42" t="s">
        <v>56</v>
      </c>
      <c r="E71" s="38"/>
      <c r="F71" s="43"/>
      <c r="G71" s="63" t="s">
        <v>910</v>
      </c>
      <c r="H71" s="58" t="s">
        <v>911</v>
      </c>
      <c r="I71" s="38"/>
      <c r="J71" s="38"/>
      <c r="K71" s="46"/>
      <c r="L71" s="47"/>
      <c r="M71" s="342">
        <v>6.2731481481481484E-3</v>
      </c>
      <c r="N71" s="342">
        <v>7.6273148148148151E-3</v>
      </c>
      <c r="O71" s="307">
        <f t="shared" si="0"/>
        <v>1.3541666666666667E-3</v>
      </c>
      <c r="P71" s="66">
        <v>43012</v>
      </c>
      <c r="Q71" s="410" t="str">
        <f t="shared" ca="1" si="2"/>
        <v>https://www.youtube.com/embed/lzMEDrUFlpw?start=542&amp;end=659&amp;autoplay=1</v>
      </c>
      <c r="R71" s="50"/>
      <c r="S71" s="50"/>
      <c r="T71" s="50"/>
      <c r="U71" s="52"/>
      <c r="V71" s="53"/>
      <c r="W71" s="57" t="s">
        <v>64</v>
      </c>
      <c r="X71" s="78"/>
      <c r="Y71" s="61"/>
      <c r="Z71" s="61"/>
    </row>
    <row r="72" spans="1:26">
      <c r="A72" s="38">
        <v>35</v>
      </c>
      <c r="B72" s="42" t="s">
        <v>155</v>
      </c>
      <c r="C72" s="38"/>
      <c r="D72" s="42" t="s">
        <v>56</v>
      </c>
      <c r="E72" s="38" t="s">
        <v>252</v>
      </c>
      <c r="F72" s="43" t="s">
        <v>253</v>
      </c>
      <c r="G72" s="44"/>
      <c r="H72" s="45"/>
      <c r="I72" s="38"/>
      <c r="J72" s="38">
        <f>419</f>
        <v>419</v>
      </c>
      <c r="K72" s="46">
        <v>5.9490740740740745E-3</v>
      </c>
      <c r="L72" s="47" t="s">
        <v>61</v>
      </c>
      <c r="M72" s="307"/>
      <c r="N72" s="307"/>
      <c r="O72" s="307">
        <f t="shared" si="0"/>
        <v>0</v>
      </c>
      <c r="P72" s="66">
        <v>43012</v>
      </c>
      <c r="Q72" s="410" t="str">
        <f t="shared" ca="1" si="2"/>
        <v>https://www.youtube.com/watch?v=qCG2vqnaUx4</v>
      </c>
      <c r="R72" s="50"/>
      <c r="S72" s="50"/>
      <c r="T72" s="50"/>
      <c r="U72" s="52"/>
      <c r="V72" s="53"/>
      <c r="W72" s="60"/>
      <c r="X72" s="56"/>
      <c r="Y72" s="38"/>
      <c r="Z72" s="38"/>
    </row>
    <row r="73" spans="1:26">
      <c r="A73" s="42">
        <v>35.01</v>
      </c>
      <c r="B73" s="42" t="s">
        <v>155</v>
      </c>
      <c r="C73" s="38"/>
      <c r="D73" s="42" t="s">
        <v>56</v>
      </c>
      <c r="E73" s="38"/>
      <c r="F73" s="43"/>
      <c r="G73" s="63" t="s">
        <v>916</v>
      </c>
      <c r="H73" s="58" t="s">
        <v>917</v>
      </c>
      <c r="I73" s="38"/>
      <c r="J73" s="38"/>
      <c r="K73" s="46"/>
      <c r="L73" s="47"/>
      <c r="M73" s="342">
        <v>0</v>
      </c>
      <c r="N73" s="342">
        <v>4.0162037037037041E-3</v>
      </c>
      <c r="O73" s="307">
        <f t="shared" si="0"/>
        <v>4.0162037037037041E-3</v>
      </c>
      <c r="P73" s="66">
        <v>43012</v>
      </c>
      <c r="Q73" s="410" t="str">
        <f t="shared" ca="1" si="2"/>
        <v>https://www.youtube.com/embed/qCG2vqnaUx4?start=0&amp;end=347&amp;autoplay=1</v>
      </c>
      <c r="R73" s="50"/>
      <c r="S73" s="50"/>
      <c r="T73" s="50"/>
      <c r="U73" s="52"/>
      <c r="V73" s="53"/>
      <c r="W73" s="57" t="s">
        <v>64</v>
      </c>
      <c r="X73" s="56"/>
      <c r="Y73" s="38"/>
      <c r="Z73" s="38"/>
    </row>
    <row r="74" spans="1:26">
      <c r="A74" s="42">
        <v>35.020000000000003</v>
      </c>
      <c r="B74" s="42" t="s">
        <v>155</v>
      </c>
      <c r="C74" s="38"/>
      <c r="D74" s="42" t="s">
        <v>56</v>
      </c>
      <c r="E74" s="38"/>
      <c r="F74" s="43"/>
      <c r="G74" s="63" t="s">
        <v>920</v>
      </c>
      <c r="H74" s="58" t="s">
        <v>921</v>
      </c>
      <c r="I74" s="38"/>
      <c r="J74" s="38"/>
      <c r="K74" s="46"/>
      <c r="L74" s="47"/>
      <c r="M74" s="342">
        <v>4.0162037037037041E-3</v>
      </c>
      <c r="N74" s="342">
        <v>5.9490740740740745E-3</v>
      </c>
      <c r="O74" s="307">
        <f t="shared" si="0"/>
        <v>1.9328703703703704E-3</v>
      </c>
      <c r="P74" s="66">
        <v>43012</v>
      </c>
      <c r="Q74" s="410" t="str">
        <f t="shared" ca="1" si="2"/>
        <v>https://www.youtube.com/embed/qCG2vqnaUx4?start=347&amp;end=514&amp;autoplay=1</v>
      </c>
      <c r="R74" s="50"/>
      <c r="S74" s="50"/>
      <c r="T74" s="50"/>
      <c r="U74" s="52"/>
      <c r="V74" s="53"/>
      <c r="W74" s="57" t="s">
        <v>64</v>
      </c>
      <c r="X74" s="56"/>
      <c r="Y74" s="38"/>
      <c r="Z74" s="38"/>
    </row>
    <row r="75" spans="1:26">
      <c r="A75" s="38">
        <v>36</v>
      </c>
      <c r="B75" s="42" t="s">
        <v>155</v>
      </c>
      <c r="C75" s="38"/>
      <c r="D75" s="42" t="s">
        <v>56</v>
      </c>
      <c r="E75" s="38" t="s">
        <v>257</v>
      </c>
      <c r="F75" s="43" t="s">
        <v>258</v>
      </c>
      <c r="G75" s="44"/>
      <c r="H75" s="45"/>
      <c r="I75" s="38"/>
      <c r="J75" s="38">
        <f>755</f>
        <v>755</v>
      </c>
      <c r="K75" s="46">
        <v>8.3449074074074085E-3</v>
      </c>
      <c r="L75" s="47" t="s">
        <v>61</v>
      </c>
      <c r="M75" s="307"/>
      <c r="N75" s="307"/>
      <c r="O75" s="307">
        <f t="shared" si="0"/>
        <v>0</v>
      </c>
      <c r="P75" s="91">
        <v>43013</v>
      </c>
      <c r="Q75" s="410" t="str">
        <f t="shared" ca="1" si="2"/>
        <v>https://www.youtube.com/watch?v=ycnvyB8pDEM</v>
      </c>
      <c r="R75" s="50"/>
      <c r="S75" s="50"/>
      <c r="T75" s="50"/>
      <c r="U75" s="52"/>
      <c r="V75" s="53"/>
      <c r="W75" s="60"/>
      <c r="X75" s="56"/>
      <c r="Y75" s="38"/>
      <c r="Z75" s="38"/>
    </row>
    <row r="76" spans="1:26">
      <c r="A76" s="42">
        <v>36.01</v>
      </c>
      <c r="B76" s="42" t="s">
        <v>155</v>
      </c>
      <c r="C76" s="38"/>
      <c r="D76" s="42" t="s">
        <v>56</v>
      </c>
      <c r="E76" s="38"/>
      <c r="F76" s="43"/>
      <c r="G76" s="63" t="s">
        <v>926</v>
      </c>
      <c r="H76" s="58" t="s">
        <v>927</v>
      </c>
      <c r="I76" s="38"/>
      <c r="J76" s="38"/>
      <c r="K76" s="46"/>
      <c r="L76" s="47"/>
      <c r="M76" s="342">
        <v>3.5879629629629629E-4</v>
      </c>
      <c r="N76" s="342">
        <v>3.5416666666666665E-3</v>
      </c>
      <c r="O76" s="307">
        <f t="shared" si="0"/>
        <v>3.1828703703703702E-3</v>
      </c>
      <c r="P76" s="91">
        <v>43013</v>
      </c>
      <c r="Q76" s="410" t="str">
        <f t="shared" ca="1" si="2"/>
        <v>https://www.youtube.com/embed/ycnvyB8pDEM?start=31&amp;end=306&amp;autoplay=1</v>
      </c>
      <c r="R76" s="67" t="s">
        <v>561</v>
      </c>
      <c r="S76" s="67" t="s">
        <v>63</v>
      </c>
      <c r="T76" s="67" t="s">
        <v>63</v>
      </c>
      <c r="U76" s="52"/>
      <c r="V76" s="53"/>
      <c r="W76" s="57" t="s">
        <v>64</v>
      </c>
      <c r="X76" s="56"/>
      <c r="Y76" s="38"/>
      <c r="Z76" s="168" t="s">
        <v>930</v>
      </c>
    </row>
    <row r="77" spans="1:26">
      <c r="A77" s="42">
        <v>36.020000000000003</v>
      </c>
      <c r="B77" s="42" t="s">
        <v>155</v>
      </c>
      <c r="C77" s="42"/>
      <c r="D77" s="42" t="s">
        <v>56</v>
      </c>
      <c r="E77" s="38"/>
      <c r="F77" s="43"/>
      <c r="G77" s="63" t="s">
        <v>933</v>
      </c>
      <c r="H77" s="58" t="s">
        <v>934</v>
      </c>
      <c r="I77" s="38"/>
      <c r="J77" s="38"/>
      <c r="K77" s="46"/>
      <c r="L77" s="47"/>
      <c r="M77" s="342">
        <v>3.5532407407407409E-3</v>
      </c>
      <c r="N77" s="342">
        <v>4.5717592592592589E-3</v>
      </c>
      <c r="O77" s="307">
        <f t="shared" si="0"/>
        <v>1.018518518518518E-3</v>
      </c>
      <c r="P77" s="91">
        <v>43013</v>
      </c>
      <c r="Q77" s="410" t="str">
        <f t="shared" ca="1" si="2"/>
        <v>https://www.youtube.com/embed/ycnvyB8pDEM?start=307&amp;end=395&amp;autoplay=1</v>
      </c>
      <c r="R77" s="67" t="s">
        <v>63</v>
      </c>
      <c r="S77" s="67" t="s">
        <v>63</v>
      </c>
      <c r="T77" s="67" t="s">
        <v>63</v>
      </c>
      <c r="U77" s="52"/>
      <c r="V77" s="53"/>
      <c r="W77" s="57" t="s">
        <v>64</v>
      </c>
      <c r="X77" s="56"/>
      <c r="Y77" s="38"/>
      <c r="Z77" s="38"/>
    </row>
    <row r="78" spans="1:26">
      <c r="A78" s="42">
        <v>36.03</v>
      </c>
      <c r="B78" s="42" t="s">
        <v>155</v>
      </c>
      <c r="C78" s="38"/>
      <c r="D78" s="42" t="s">
        <v>56</v>
      </c>
      <c r="E78" s="38"/>
      <c r="F78" s="43"/>
      <c r="G78" s="63" t="s">
        <v>937</v>
      </c>
      <c r="H78" s="58" t="s">
        <v>938</v>
      </c>
      <c r="I78" s="38"/>
      <c r="J78" s="38"/>
      <c r="K78" s="46"/>
      <c r="L78" s="47"/>
      <c r="M78" s="342">
        <v>4.5717592592592589E-3</v>
      </c>
      <c r="N78" s="342">
        <v>6.1111111111111114E-3</v>
      </c>
      <c r="O78" s="307">
        <f t="shared" si="0"/>
        <v>1.5393518518518525E-3</v>
      </c>
      <c r="P78" s="91">
        <v>43013</v>
      </c>
      <c r="Q78" s="410" t="str">
        <f t="shared" ca="1" si="2"/>
        <v>https://www.youtube.com/embed/ycnvyB8pDEM?start=395&amp;end=528&amp;autoplay=1</v>
      </c>
      <c r="R78" s="67" t="s">
        <v>63</v>
      </c>
      <c r="S78" s="67" t="s">
        <v>63</v>
      </c>
      <c r="T78" s="67" t="s">
        <v>63</v>
      </c>
      <c r="U78" s="52"/>
      <c r="V78" s="53"/>
      <c r="W78" s="57" t="s">
        <v>64</v>
      </c>
      <c r="X78" s="56"/>
      <c r="Y78" s="38"/>
      <c r="Z78" s="42" t="s">
        <v>940</v>
      </c>
    </row>
    <row r="79" spans="1:26">
      <c r="A79" s="42">
        <v>36.04</v>
      </c>
      <c r="B79" s="42" t="s">
        <v>155</v>
      </c>
      <c r="C79" s="38"/>
      <c r="D79" s="42" t="s">
        <v>56</v>
      </c>
      <c r="E79" s="38"/>
      <c r="F79" s="43"/>
      <c r="G79" s="63" t="s">
        <v>942</v>
      </c>
      <c r="H79" s="58" t="s">
        <v>943</v>
      </c>
      <c r="I79" s="38"/>
      <c r="J79" s="38"/>
      <c r="K79" s="46"/>
      <c r="L79" s="47"/>
      <c r="M79" s="342">
        <v>6.1111111111111114E-3</v>
      </c>
      <c r="N79" s="342">
        <v>7.8125E-3</v>
      </c>
      <c r="O79" s="307">
        <f t="shared" si="0"/>
        <v>1.7013888888888886E-3</v>
      </c>
      <c r="P79" s="91">
        <v>43013</v>
      </c>
      <c r="Q79" s="410" t="str">
        <f t="shared" ca="1" si="2"/>
        <v>https://www.youtube.com/embed/ycnvyB8pDEM?start=528&amp;end=675&amp;autoplay=1</v>
      </c>
      <c r="R79" s="67" t="s">
        <v>63</v>
      </c>
      <c r="S79" s="67" t="s">
        <v>63</v>
      </c>
      <c r="T79" s="67" t="s">
        <v>63</v>
      </c>
      <c r="U79" s="52"/>
      <c r="V79" s="53"/>
      <c r="W79" s="57" t="s">
        <v>64</v>
      </c>
      <c r="X79" s="56"/>
      <c r="Y79" s="38"/>
      <c r="Z79" s="42" t="s">
        <v>940</v>
      </c>
    </row>
    <row r="80" spans="1:26">
      <c r="A80" s="38">
        <v>37</v>
      </c>
      <c r="B80" s="42" t="s">
        <v>155</v>
      </c>
      <c r="C80" s="38"/>
      <c r="D80" s="42" t="s">
        <v>56</v>
      </c>
      <c r="E80" s="38" t="s">
        <v>264</v>
      </c>
      <c r="F80" s="43" t="s">
        <v>265</v>
      </c>
      <c r="G80" s="44"/>
      <c r="H80" s="45"/>
      <c r="I80" s="38"/>
      <c r="J80" s="38">
        <f>773</f>
        <v>773</v>
      </c>
      <c r="K80" s="46">
        <v>9.5486111111111101E-3</v>
      </c>
      <c r="L80" s="47" t="s">
        <v>61</v>
      </c>
      <c r="M80" s="307"/>
      <c r="N80" s="307"/>
      <c r="O80" s="307">
        <f t="shared" si="0"/>
        <v>0</v>
      </c>
      <c r="P80" s="91">
        <v>43013</v>
      </c>
      <c r="Q80" s="410" t="str">
        <f t="shared" ca="1" si="2"/>
        <v>https://www.youtube.com/watch?v=xANxZaCCD70</v>
      </c>
      <c r="R80" s="50"/>
      <c r="S80" s="50"/>
      <c r="T80" s="50"/>
      <c r="U80" s="52"/>
      <c r="V80" s="53"/>
      <c r="W80" s="60"/>
      <c r="X80" s="56"/>
      <c r="Y80" s="38"/>
      <c r="Z80" s="38"/>
    </row>
    <row r="81" spans="1:26">
      <c r="A81" s="42">
        <v>37.01</v>
      </c>
      <c r="B81" s="42" t="s">
        <v>155</v>
      </c>
      <c r="C81" s="38"/>
      <c r="D81" s="42" t="s">
        <v>56</v>
      </c>
      <c r="E81" s="38"/>
      <c r="F81" s="43"/>
      <c r="G81" s="63" t="s">
        <v>948</v>
      </c>
      <c r="H81" s="58" t="s">
        <v>949</v>
      </c>
      <c r="I81" s="38"/>
      <c r="J81" s="38"/>
      <c r="K81" s="46"/>
      <c r="L81" s="47"/>
      <c r="M81" s="342">
        <v>0</v>
      </c>
      <c r="N81" s="342">
        <v>3.6805555555555554E-3</v>
      </c>
      <c r="O81" s="307">
        <f t="shared" si="0"/>
        <v>3.6805555555555554E-3</v>
      </c>
      <c r="P81" s="91">
        <v>43013</v>
      </c>
      <c r="Q81" s="410" t="str">
        <f t="shared" ca="1" si="2"/>
        <v>https://www.youtube.com/embed/xANxZaCCD70?start=0&amp;end=318&amp;autoplay=1</v>
      </c>
      <c r="R81" s="67" t="s">
        <v>63</v>
      </c>
      <c r="S81" s="67" t="s">
        <v>63</v>
      </c>
      <c r="T81" s="67" t="s">
        <v>63</v>
      </c>
      <c r="U81" s="40"/>
      <c r="V81" s="54"/>
      <c r="W81" s="69" t="s">
        <v>64</v>
      </c>
      <c r="X81" s="56"/>
      <c r="Y81" s="38"/>
      <c r="Z81" s="38"/>
    </row>
    <row r="82" spans="1:26">
      <c r="A82" s="42">
        <v>37.020000000000003</v>
      </c>
      <c r="B82" s="42" t="s">
        <v>155</v>
      </c>
      <c r="C82" s="38"/>
      <c r="D82" s="42" t="s">
        <v>56</v>
      </c>
      <c r="E82" s="38"/>
      <c r="F82" s="43"/>
      <c r="G82" s="63" t="s">
        <v>954</v>
      </c>
      <c r="H82" s="58" t="s">
        <v>955</v>
      </c>
      <c r="I82" s="38"/>
      <c r="J82" s="38"/>
      <c r="K82" s="46"/>
      <c r="L82" s="47"/>
      <c r="M82" s="342">
        <v>3.6805555555555554E-3</v>
      </c>
      <c r="N82" s="342">
        <v>5.0694444444444441E-3</v>
      </c>
      <c r="O82" s="307">
        <f t="shared" si="0"/>
        <v>1.3888888888888887E-3</v>
      </c>
      <c r="P82" s="91">
        <v>43013</v>
      </c>
      <c r="Q82" s="410" t="str">
        <f t="shared" ca="1" si="2"/>
        <v>https://www.youtube.com/embed/xANxZaCCD70?start=318&amp;end=438&amp;autoplay=1</v>
      </c>
      <c r="R82" s="39" t="s">
        <v>561</v>
      </c>
      <c r="S82" s="39" t="s">
        <v>63</v>
      </c>
      <c r="T82" s="39" t="s">
        <v>63</v>
      </c>
      <c r="U82" s="40"/>
      <c r="V82" s="54"/>
      <c r="W82" s="69" t="s">
        <v>64</v>
      </c>
      <c r="X82" s="56"/>
      <c r="Y82" s="38"/>
      <c r="Z82" s="42" t="s">
        <v>957</v>
      </c>
    </row>
    <row r="83" spans="1:26">
      <c r="A83" s="42">
        <v>37.03</v>
      </c>
      <c r="B83" s="42" t="s">
        <v>155</v>
      </c>
      <c r="C83" s="38"/>
      <c r="D83" s="42" t="s">
        <v>56</v>
      </c>
      <c r="E83" s="38"/>
      <c r="F83" s="43"/>
      <c r="G83" s="63" t="s">
        <v>960</v>
      </c>
      <c r="H83" s="58" t="s">
        <v>961</v>
      </c>
      <c r="I83" s="38"/>
      <c r="J83" s="38"/>
      <c r="K83" s="46"/>
      <c r="L83" s="47"/>
      <c r="M83" s="342">
        <v>5.092592592592593E-3</v>
      </c>
      <c r="N83" s="342">
        <v>9.5370370370370366E-3</v>
      </c>
      <c r="O83" s="307">
        <f t="shared" si="0"/>
        <v>4.4444444444444436E-3</v>
      </c>
      <c r="P83" s="91">
        <v>43013</v>
      </c>
      <c r="Q83" s="410" t="str">
        <f t="shared" ca="1" si="2"/>
        <v>https://www.youtube.com/embed/xANxZaCCD70?start=440&amp;end=824&amp;autoplay=1</v>
      </c>
      <c r="R83" s="51"/>
      <c r="S83" s="51"/>
      <c r="T83" s="51"/>
      <c r="U83" s="40"/>
      <c r="V83" s="54"/>
      <c r="W83" s="69" t="s">
        <v>64</v>
      </c>
      <c r="X83" s="56"/>
      <c r="Y83" s="38"/>
      <c r="Z83" s="42" t="s">
        <v>962</v>
      </c>
    </row>
    <row r="84" spans="1:26">
      <c r="A84" s="38">
        <v>38</v>
      </c>
      <c r="B84" s="42" t="s">
        <v>155</v>
      </c>
      <c r="C84" s="38"/>
      <c r="D84" s="42" t="s">
        <v>142</v>
      </c>
      <c r="E84" s="38" t="s">
        <v>270</v>
      </c>
      <c r="F84" s="43" t="s">
        <v>271</v>
      </c>
      <c r="G84" s="44"/>
      <c r="H84" s="45"/>
      <c r="I84" s="38"/>
      <c r="J84" s="38">
        <f>427</f>
        <v>427</v>
      </c>
      <c r="K84" s="46">
        <v>3.3564814814814811E-3</v>
      </c>
      <c r="L84" s="47" t="s">
        <v>61</v>
      </c>
      <c r="M84" s="307"/>
      <c r="N84" s="307"/>
      <c r="O84" s="307">
        <f t="shared" si="0"/>
        <v>0</v>
      </c>
      <c r="P84" s="91">
        <v>43014</v>
      </c>
      <c r="Q84" s="410" t="str">
        <f t="shared" ca="1" si="2"/>
        <v>https://www.youtube.com/watch?v=VeR7IhIkDk0</v>
      </c>
      <c r="R84" s="50"/>
      <c r="S84" s="50"/>
      <c r="T84" s="50"/>
      <c r="U84" s="52"/>
      <c r="V84" s="53"/>
      <c r="W84" s="60"/>
      <c r="X84" s="56"/>
      <c r="Y84" s="38"/>
      <c r="Z84" s="38"/>
    </row>
    <row r="85" spans="1:26" hidden="1">
      <c r="A85" s="38">
        <v>39</v>
      </c>
      <c r="B85" s="38"/>
      <c r="C85" s="38"/>
      <c r="D85" s="38"/>
      <c r="E85" s="38" t="s">
        <v>120</v>
      </c>
      <c r="F85" s="43" t="s">
        <v>121</v>
      </c>
      <c r="G85" s="44"/>
      <c r="H85" s="45"/>
      <c r="I85" s="38"/>
      <c r="J85" s="38">
        <f>5.9*1000</f>
        <v>5900</v>
      </c>
      <c r="K85" s="46">
        <v>6.5740740740740733E-3</v>
      </c>
      <c r="L85" s="47" t="s">
        <v>61</v>
      </c>
      <c r="M85" s="307"/>
      <c r="N85" s="307"/>
      <c r="O85" s="307">
        <f t="shared" si="0"/>
        <v>0</v>
      </c>
      <c r="P85" s="92"/>
      <c r="Q85" s="410" t="str">
        <f t="shared" ca="1" si="2"/>
        <v>https://www.youtube.com/watch?v=iS7CE9mrtI4</v>
      </c>
      <c r="R85" s="50"/>
      <c r="S85" s="50"/>
      <c r="T85" s="50"/>
      <c r="U85" s="52"/>
      <c r="V85" s="53"/>
      <c r="W85" s="60"/>
      <c r="X85" s="56"/>
      <c r="Y85" s="38"/>
      <c r="Z85" s="38"/>
    </row>
    <row r="86" spans="1:26">
      <c r="A86" s="38">
        <v>40</v>
      </c>
      <c r="B86" s="39" t="s">
        <v>54</v>
      </c>
      <c r="C86" s="40"/>
      <c r="D86" s="42" t="s">
        <v>56</v>
      </c>
      <c r="E86" s="38" t="s">
        <v>143</v>
      </c>
      <c r="F86" s="43" t="s">
        <v>144</v>
      </c>
      <c r="G86" s="44"/>
      <c r="H86" s="45"/>
      <c r="I86" s="38"/>
      <c r="J86" s="38">
        <f>3*1000</f>
        <v>3000</v>
      </c>
      <c r="K86" s="46">
        <v>3.1944444444444442E-3</v>
      </c>
      <c r="L86" s="47" t="s">
        <v>61</v>
      </c>
      <c r="M86" s="307"/>
      <c r="N86" s="307"/>
      <c r="O86" s="307">
        <f t="shared" si="0"/>
        <v>0</v>
      </c>
      <c r="P86" s="66">
        <v>43015</v>
      </c>
      <c r="Q86" s="410" t="str">
        <f t="shared" ca="1" si="2"/>
        <v>https://www.youtube.com/watch?v=THua8SMPtK4</v>
      </c>
      <c r="R86" s="50"/>
      <c r="S86" s="50"/>
      <c r="T86" s="50"/>
      <c r="U86" s="52"/>
      <c r="V86" s="53"/>
      <c r="W86" s="60"/>
      <c r="X86" s="56"/>
      <c r="Y86" s="38"/>
      <c r="Z86" s="38"/>
    </row>
    <row r="87" spans="1:26">
      <c r="A87" s="42">
        <v>40.01</v>
      </c>
      <c r="B87" s="39" t="s">
        <v>54</v>
      </c>
      <c r="C87" s="40"/>
      <c r="D87" s="42" t="s">
        <v>56</v>
      </c>
      <c r="E87" s="38"/>
      <c r="F87" s="43"/>
      <c r="G87" s="63" t="s">
        <v>149</v>
      </c>
      <c r="H87" s="58" t="s">
        <v>150</v>
      </c>
      <c r="I87" s="38"/>
      <c r="J87" s="38"/>
      <c r="K87" s="46"/>
      <c r="L87" s="47"/>
      <c r="M87" s="342">
        <v>0</v>
      </c>
      <c r="N87" s="342">
        <v>3.1944444444444446E-3</v>
      </c>
      <c r="O87" s="307">
        <f t="shared" si="0"/>
        <v>3.1944444444444446E-3</v>
      </c>
      <c r="P87" s="66">
        <v>43015</v>
      </c>
      <c r="Q87" s="410" t="str">
        <f t="shared" ca="1" si="2"/>
        <v>https://www.youtube.com/embed/THua8SMPtK4?start=0&amp;end=276&amp;autoplay=1</v>
      </c>
      <c r="R87" s="39" t="s">
        <v>63</v>
      </c>
      <c r="S87" s="39" t="s">
        <v>131</v>
      </c>
      <c r="T87" s="39" t="s">
        <v>63</v>
      </c>
      <c r="U87" s="40"/>
      <c r="V87" s="54"/>
      <c r="W87" s="69" t="s">
        <v>64</v>
      </c>
      <c r="X87" s="56"/>
      <c r="Y87" s="38"/>
      <c r="Z87" s="42" t="s">
        <v>156</v>
      </c>
    </row>
    <row r="88" spans="1:26">
      <c r="A88" s="38">
        <v>41</v>
      </c>
      <c r="B88" s="39" t="s">
        <v>54</v>
      </c>
      <c r="C88" s="40"/>
      <c r="D88" s="42" t="s">
        <v>56</v>
      </c>
      <c r="E88" s="38" t="s">
        <v>160</v>
      </c>
      <c r="F88" s="43" t="s">
        <v>161</v>
      </c>
      <c r="G88" s="44"/>
      <c r="H88" s="45"/>
      <c r="I88" s="38"/>
      <c r="J88" s="38">
        <f>3.3*1000</f>
        <v>3300</v>
      </c>
      <c r="K88" s="46">
        <v>8.8657407407407417E-3</v>
      </c>
      <c r="L88" s="47" t="s">
        <v>61</v>
      </c>
      <c r="M88" s="307"/>
      <c r="N88" s="307"/>
      <c r="O88" s="307">
        <f t="shared" si="0"/>
        <v>0</v>
      </c>
      <c r="P88" s="66">
        <v>43015</v>
      </c>
      <c r="Q88" s="410" t="str">
        <f t="shared" ca="1" si="2"/>
        <v>https://www.youtube.com/watch?v=6_9IYK6ZlyY</v>
      </c>
      <c r="R88" s="50"/>
      <c r="S88" s="50"/>
      <c r="T88" s="50"/>
      <c r="U88" s="52"/>
      <c r="V88" s="53"/>
      <c r="W88" s="60"/>
      <c r="X88" s="56"/>
      <c r="Y88" s="38"/>
      <c r="Z88" s="38"/>
    </row>
    <row r="89" spans="1:26">
      <c r="A89" s="42">
        <v>41.01</v>
      </c>
      <c r="B89" s="39" t="s">
        <v>54</v>
      </c>
      <c r="C89" s="40"/>
      <c r="D89" s="42" t="s">
        <v>56</v>
      </c>
      <c r="E89" s="38"/>
      <c r="F89" s="43"/>
      <c r="G89" s="63" t="s">
        <v>163</v>
      </c>
      <c r="H89" s="58" t="s">
        <v>164</v>
      </c>
      <c r="I89" s="38"/>
      <c r="J89" s="38"/>
      <c r="K89" s="46"/>
      <c r="L89" s="47"/>
      <c r="M89" s="342">
        <v>9.9537037037037042E-4</v>
      </c>
      <c r="N89" s="342">
        <v>2.1759259259259258E-3</v>
      </c>
      <c r="O89" s="307">
        <f t="shared" si="0"/>
        <v>1.1805555555555554E-3</v>
      </c>
      <c r="P89" s="66">
        <v>43015</v>
      </c>
      <c r="Q89" s="410" t="str">
        <f t="shared" ca="1" si="2"/>
        <v>https://www.youtube.com/embed/6_9IYK6ZlyY?start=86&amp;end=188&amp;autoplay=1</v>
      </c>
      <c r="R89" s="39" t="s">
        <v>63</v>
      </c>
      <c r="S89" s="39" t="s">
        <v>63</v>
      </c>
      <c r="T89" s="39" t="s">
        <v>63</v>
      </c>
      <c r="U89" s="40"/>
      <c r="V89" s="54"/>
      <c r="W89" s="69" t="s">
        <v>64</v>
      </c>
      <c r="X89" s="56"/>
      <c r="Y89" s="38"/>
      <c r="Z89" s="38"/>
    </row>
    <row r="90" spans="1:26">
      <c r="A90" s="42">
        <v>41.02</v>
      </c>
      <c r="B90" s="39" t="s">
        <v>54</v>
      </c>
      <c r="C90" s="40"/>
      <c r="D90" s="42" t="s">
        <v>56</v>
      </c>
      <c r="E90" s="38"/>
      <c r="F90" s="43"/>
      <c r="G90" s="63" t="s">
        <v>172</v>
      </c>
      <c r="H90" s="58" t="s">
        <v>173</v>
      </c>
      <c r="I90" s="38"/>
      <c r="J90" s="38"/>
      <c r="K90" s="46"/>
      <c r="L90" s="47"/>
      <c r="M90" s="342">
        <v>2.1875000000000002E-3</v>
      </c>
      <c r="N90" s="342">
        <v>3.6458333333333334E-3</v>
      </c>
      <c r="O90" s="307">
        <f t="shared" si="0"/>
        <v>1.4583333333333332E-3</v>
      </c>
      <c r="P90" s="66">
        <v>43015</v>
      </c>
      <c r="Q90" s="410" t="str">
        <f t="shared" ca="1" si="2"/>
        <v>https://www.youtube.com/embed/6_9IYK6ZlyY?start=189&amp;end=315&amp;autoplay=1</v>
      </c>
      <c r="R90" s="39" t="s">
        <v>63</v>
      </c>
      <c r="S90" s="39" t="s">
        <v>63</v>
      </c>
      <c r="T90" s="39" t="s">
        <v>63</v>
      </c>
      <c r="U90" s="40"/>
      <c r="V90" s="54"/>
      <c r="W90" s="69" t="s">
        <v>64</v>
      </c>
      <c r="X90" s="56"/>
      <c r="Y90" s="38"/>
      <c r="Z90" s="42" t="s">
        <v>176</v>
      </c>
    </row>
    <row r="91" spans="1:26">
      <c r="A91" s="42">
        <v>41.03</v>
      </c>
      <c r="B91" s="39" t="s">
        <v>54</v>
      </c>
      <c r="C91" s="40"/>
      <c r="D91" s="42" t="s">
        <v>56</v>
      </c>
      <c r="E91" s="38"/>
      <c r="F91" s="43"/>
      <c r="G91" s="63" t="s">
        <v>178</v>
      </c>
      <c r="H91" s="58" t="s">
        <v>180</v>
      </c>
      <c r="I91" s="38"/>
      <c r="J91" s="38"/>
      <c r="K91" s="46"/>
      <c r="L91" s="47"/>
      <c r="M91" s="342">
        <v>3.6574074074074074E-3</v>
      </c>
      <c r="N91" s="342">
        <v>5.5092592592592589E-3</v>
      </c>
      <c r="O91" s="307">
        <f t="shared" si="0"/>
        <v>1.8518518518518515E-3</v>
      </c>
      <c r="P91" s="66">
        <v>43015</v>
      </c>
      <c r="Q91" s="410" t="str">
        <f t="shared" ca="1" si="2"/>
        <v>https://www.youtube.com/embed/6_9IYK6ZlyY?start=316&amp;end=476&amp;autoplay=1</v>
      </c>
      <c r="R91" s="39" t="s">
        <v>63</v>
      </c>
      <c r="S91" s="39" t="s">
        <v>63</v>
      </c>
      <c r="T91" s="39" t="s">
        <v>63</v>
      </c>
      <c r="U91" s="40"/>
      <c r="V91" s="54"/>
      <c r="W91" s="69" t="s">
        <v>64</v>
      </c>
      <c r="X91" s="56"/>
      <c r="Y91" s="38"/>
      <c r="Z91" s="42" t="s">
        <v>176</v>
      </c>
    </row>
    <row r="92" spans="1:26">
      <c r="A92" s="42">
        <v>41.04</v>
      </c>
      <c r="B92" s="39" t="s">
        <v>54</v>
      </c>
      <c r="C92" s="40"/>
      <c r="D92" s="42" t="s">
        <v>56</v>
      </c>
      <c r="E92" s="38"/>
      <c r="F92" s="43"/>
      <c r="G92" s="63" t="s">
        <v>185</v>
      </c>
      <c r="H92" s="58" t="s">
        <v>187</v>
      </c>
      <c r="I92" s="38"/>
      <c r="J92" s="38"/>
      <c r="K92" s="46"/>
      <c r="L92" s="47"/>
      <c r="M92" s="342">
        <v>5.5208333333333333E-3</v>
      </c>
      <c r="N92" s="342">
        <v>8.8425925925925929E-3</v>
      </c>
      <c r="O92" s="307">
        <f t="shared" si="0"/>
        <v>3.3217592592592595E-3</v>
      </c>
      <c r="P92" s="66">
        <v>43015</v>
      </c>
      <c r="Q92" s="410" t="str">
        <f t="shared" ca="1" si="2"/>
        <v>https://www.youtube.com/embed/6_9IYK6ZlyY?start=477&amp;end=764&amp;autoplay=1</v>
      </c>
      <c r="R92" s="39" t="s">
        <v>63</v>
      </c>
      <c r="S92" s="39" t="s">
        <v>63</v>
      </c>
      <c r="T92" s="39" t="s">
        <v>63</v>
      </c>
      <c r="U92" s="40"/>
      <c r="V92" s="54"/>
      <c r="W92" s="69" t="s">
        <v>64</v>
      </c>
      <c r="X92" s="56"/>
      <c r="Y92" s="38"/>
      <c r="Z92" s="42" t="s">
        <v>176</v>
      </c>
    </row>
    <row r="93" spans="1:26">
      <c r="A93" s="38">
        <v>42</v>
      </c>
      <c r="B93" s="39" t="s">
        <v>54</v>
      </c>
      <c r="C93" s="40"/>
      <c r="D93" s="42" t="s">
        <v>56</v>
      </c>
      <c r="E93" s="38" t="s">
        <v>191</v>
      </c>
      <c r="F93" s="43" t="s">
        <v>192</v>
      </c>
      <c r="G93" s="44"/>
      <c r="H93" s="45"/>
      <c r="I93" s="38"/>
      <c r="J93" s="38">
        <f>1.7*1000</f>
        <v>1700</v>
      </c>
      <c r="K93" s="46">
        <v>5.1967592592592595E-3</v>
      </c>
      <c r="L93" s="47" t="s">
        <v>61</v>
      </c>
      <c r="M93" s="307"/>
      <c r="N93" s="307"/>
      <c r="O93" s="307">
        <f t="shared" si="0"/>
        <v>0</v>
      </c>
      <c r="P93" s="66">
        <v>43015</v>
      </c>
      <c r="Q93" s="410" t="str">
        <f t="shared" ca="1" si="2"/>
        <v>https://www.youtube.com/watch?v=LXrKKz7Mld8</v>
      </c>
      <c r="R93" s="50"/>
      <c r="S93" s="50"/>
      <c r="T93" s="50"/>
      <c r="U93" s="52"/>
      <c r="V93" s="53"/>
      <c r="W93" s="60"/>
      <c r="X93" s="56"/>
      <c r="Y93" s="38"/>
      <c r="Z93" s="38"/>
    </row>
    <row r="94" spans="1:26">
      <c r="A94" s="42">
        <v>42.1</v>
      </c>
      <c r="B94" s="39" t="s">
        <v>54</v>
      </c>
      <c r="C94" s="40"/>
      <c r="D94" s="42" t="s">
        <v>56</v>
      </c>
      <c r="E94" s="38"/>
      <c r="F94" s="43"/>
      <c r="G94" s="63" t="s">
        <v>196</v>
      </c>
      <c r="H94" s="58" t="s">
        <v>197</v>
      </c>
      <c r="I94" s="38"/>
      <c r="J94" s="38"/>
      <c r="K94" s="46"/>
      <c r="L94" s="47"/>
      <c r="M94" s="342">
        <v>0</v>
      </c>
      <c r="N94" s="342">
        <v>5.1736111111111115E-3</v>
      </c>
      <c r="O94" s="307">
        <f t="shared" si="0"/>
        <v>5.1736111111111115E-3</v>
      </c>
      <c r="P94" s="66">
        <v>43015</v>
      </c>
      <c r="Q94" s="410" t="str">
        <f t="shared" ca="1" si="2"/>
        <v>https://www.youtube.com/embed/LXrKKz7Mld8?start=0&amp;end=447&amp;autoplay=1</v>
      </c>
      <c r="R94" s="39" t="s">
        <v>63</v>
      </c>
      <c r="S94" s="39" t="s">
        <v>63</v>
      </c>
      <c r="T94" s="39" t="s">
        <v>63</v>
      </c>
      <c r="U94" s="40"/>
      <c r="V94" s="54"/>
      <c r="W94" s="69" t="s">
        <v>64</v>
      </c>
      <c r="X94" s="56"/>
      <c r="Y94" s="38"/>
      <c r="Z94" s="42" t="s">
        <v>202</v>
      </c>
    </row>
    <row r="95" spans="1:26">
      <c r="A95" s="38">
        <v>43</v>
      </c>
      <c r="B95" s="39" t="s">
        <v>54</v>
      </c>
      <c r="C95" s="40"/>
      <c r="D95" s="42" t="s">
        <v>56</v>
      </c>
      <c r="E95" s="38" t="s">
        <v>203</v>
      </c>
      <c r="F95" s="43" t="s">
        <v>204</v>
      </c>
      <c r="G95" s="44"/>
      <c r="H95" s="45"/>
      <c r="I95" s="38"/>
      <c r="J95" s="38">
        <f>1*1000</f>
        <v>1000</v>
      </c>
      <c r="K95" s="46">
        <v>3.4490740740740745E-3</v>
      </c>
      <c r="L95" s="47" t="s">
        <v>61</v>
      </c>
      <c r="M95" s="307"/>
      <c r="N95" s="307"/>
      <c r="O95" s="307">
        <f t="shared" si="0"/>
        <v>0</v>
      </c>
      <c r="P95" s="66">
        <v>43015</v>
      </c>
      <c r="Q95" s="410" t="str">
        <f t="shared" ca="1" si="2"/>
        <v>https://www.youtube.com/watch?v=ufZ1BZcZzKI</v>
      </c>
      <c r="R95" s="50"/>
      <c r="S95" s="50"/>
      <c r="T95" s="50"/>
      <c r="U95" s="52"/>
      <c r="V95" s="53"/>
      <c r="W95" s="60"/>
      <c r="X95" s="56"/>
      <c r="Y95" s="38"/>
      <c r="Z95" s="38"/>
    </row>
    <row r="96" spans="1:26">
      <c r="A96" s="42">
        <v>43.1</v>
      </c>
      <c r="B96" s="39" t="s">
        <v>54</v>
      </c>
      <c r="C96" s="40"/>
      <c r="D96" s="42" t="s">
        <v>56</v>
      </c>
      <c r="E96" s="38"/>
      <c r="F96" s="43"/>
      <c r="G96" s="63" t="s">
        <v>209</v>
      </c>
      <c r="H96" s="58" t="s">
        <v>211</v>
      </c>
      <c r="I96" s="38"/>
      <c r="J96" s="38"/>
      <c r="K96" s="46"/>
      <c r="L96" s="47"/>
      <c r="M96" s="342">
        <v>0</v>
      </c>
      <c r="N96" s="342">
        <v>3.4375E-3</v>
      </c>
      <c r="O96" s="307">
        <f t="shared" si="0"/>
        <v>3.4375E-3</v>
      </c>
      <c r="P96" s="66">
        <v>43015</v>
      </c>
      <c r="Q96" s="410" t="str">
        <f t="shared" ca="1" si="2"/>
        <v>https://www.youtube.com/embed/ufZ1BZcZzKI?start=0&amp;end=297&amp;autoplay=1</v>
      </c>
      <c r="R96" s="39" t="s">
        <v>63</v>
      </c>
      <c r="S96" s="39" t="s">
        <v>63</v>
      </c>
      <c r="T96" s="39" t="s">
        <v>63</v>
      </c>
      <c r="U96" s="40"/>
      <c r="V96" s="54"/>
      <c r="W96" s="69" t="s">
        <v>64</v>
      </c>
      <c r="X96" s="56"/>
      <c r="Y96" s="38"/>
      <c r="Z96" s="343" t="s">
        <v>176</v>
      </c>
    </row>
    <row r="97" spans="1:26">
      <c r="A97" s="38">
        <v>44</v>
      </c>
      <c r="B97" s="39" t="s">
        <v>54</v>
      </c>
      <c r="C97" s="40"/>
      <c r="D97" s="42" t="s">
        <v>56</v>
      </c>
      <c r="E97" s="38" t="s">
        <v>217</v>
      </c>
      <c r="F97" s="43" t="s">
        <v>219</v>
      </c>
      <c r="G97" s="44"/>
      <c r="H97" s="45"/>
      <c r="I97" s="38"/>
      <c r="J97" s="38">
        <f>1.3*1000</f>
        <v>1300</v>
      </c>
      <c r="K97" s="46">
        <v>5.3240740740740748E-3</v>
      </c>
      <c r="L97" s="47" t="s">
        <v>61</v>
      </c>
      <c r="M97" s="307"/>
      <c r="N97" s="307"/>
      <c r="O97" s="307">
        <f t="shared" si="0"/>
        <v>0</v>
      </c>
      <c r="P97" s="66">
        <v>43015</v>
      </c>
      <c r="Q97" s="410" t="str">
        <f t="shared" ca="1" si="2"/>
        <v>https://www.youtube.com/watch?v=rNhQIKC2jPM</v>
      </c>
      <c r="R97" s="50"/>
      <c r="S97" s="50"/>
      <c r="T97" s="50"/>
      <c r="U97" s="52"/>
      <c r="V97" s="53"/>
      <c r="W97" s="60"/>
      <c r="X97" s="56"/>
      <c r="Y97" s="38"/>
      <c r="Z97" s="38"/>
    </row>
    <row r="98" spans="1:26">
      <c r="A98" s="42">
        <v>44.1</v>
      </c>
      <c r="B98" s="39" t="s">
        <v>54</v>
      </c>
      <c r="C98" s="40"/>
      <c r="D98" s="42" t="s">
        <v>56</v>
      </c>
      <c r="E98" s="38"/>
      <c r="F98" s="43"/>
      <c r="G98" s="63" t="s">
        <v>222</v>
      </c>
      <c r="H98" s="58" t="s">
        <v>224</v>
      </c>
      <c r="I98" s="38"/>
      <c r="J98" s="38"/>
      <c r="K98" s="46"/>
      <c r="L98" s="47"/>
      <c r="M98" s="342">
        <v>3.0208333333333333E-3</v>
      </c>
      <c r="N98" s="342">
        <v>5.2893518518518515E-3</v>
      </c>
      <c r="O98" s="307">
        <f t="shared" si="0"/>
        <v>2.2685185185185182E-3</v>
      </c>
      <c r="P98" s="66">
        <v>43015</v>
      </c>
      <c r="Q98" s="410" t="str">
        <f t="shared" ca="1" si="2"/>
        <v>https://www.youtube.com/embed/rNhQIKC2jPM?start=261&amp;end=457&amp;autoplay=1</v>
      </c>
      <c r="R98" s="39" t="s">
        <v>63</v>
      </c>
      <c r="S98" s="39" t="s">
        <v>63</v>
      </c>
      <c r="T98" s="39" t="s">
        <v>63</v>
      </c>
      <c r="U98" s="40"/>
      <c r="V98" s="54"/>
      <c r="W98" s="69" t="s">
        <v>64</v>
      </c>
      <c r="X98" s="56"/>
      <c r="Y98" s="38"/>
      <c r="Z98" s="42" t="s">
        <v>176</v>
      </c>
    </row>
    <row r="99" spans="1:26">
      <c r="A99" s="38">
        <v>45</v>
      </c>
      <c r="B99" s="39" t="s">
        <v>54</v>
      </c>
      <c r="C99" s="40"/>
      <c r="D99" s="42" t="s">
        <v>56</v>
      </c>
      <c r="E99" s="38" t="s">
        <v>229</v>
      </c>
      <c r="F99" s="43" t="s">
        <v>230</v>
      </c>
      <c r="G99" s="44"/>
      <c r="H99" s="45"/>
      <c r="I99" s="38"/>
      <c r="J99" s="38">
        <f>1.3*1000</f>
        <v>1300</v>
      </c>
      <c r="K99" s="46">
        <v>8.2407407407407412E-3</v>
      </c>
      <c r="L99" s="47" t="s">
        <v>61</v>
      </c>
      <c r="M99" s="307"/>
      <c r="N99" s="307"/>
      <c r="O99" s="307">
        <f t="shared" si="0"/>
        <v>0</v>
      </c>
      <c r="P99" s="66">
        <v>43015</v>
      </c>
      <c r="Q99" s="410" t="str">
        <f t="shared" ca="1" si="2"/>
        <v>https://www.youtube.com/watch?v=FndfcBhZklU</v>
      </c>
      <c r="R99" s="50"/>
      <c r="S99" s="50"/>
      <c r="T99" s="50"/>
      <c r="U99" s="52"/>
      <c r="V99" s="53"/>
      <c r="W99" s="60"/>
      <c r="X99" s="56"/>
      <c r="Y99" s="38"/>
      <c r="Z99" s="38"/>
    </row>
    <row r="100" spans="1:26">
      <c r="A100" s="42">
        <v>45.1</v>
      </c>
      <c r="B100" s="39" t="s">
        <v>54</v>
      </c>
      <c r="C100" s="40"/>
      <c r="D100" s="42" t="s">
        <v>56</v>
      </c>
      <c r="E100" s="38"/>
      <c r="F100" s="43"/>
      <c r="G100" s="63" t="s">
        <v>236</v>
      </c>
      <c r="H100" s="58" t="s">
        <v>237</v>
      </c>
      <c r="I100" s="38"/>
      <c r="J100" s="38"/>
      <c r="K100" s="46"/>
      <c r="L100" s="47"/>
      <c r="M100" s="342">
        <v>0</v>
      </c>
      <c r="N100" s="342">
        <v>4.1666666666666666E-3</v>
      </c>
      <c r="O100" s="307">
        <f t="shared" si="0"/>
        <v>4.1666666666666666E-3</v>
      </c>
      <c r="P100" s="66">
        <v>43015</v>
      </c>
      <c r="Q100" s="410" t="str">
        <f t="shared" ca="1" si="2"/>
        <v>https://www.youtube.com/embed/FndfcBhZklU?start=0&amp;end=360&amp;autoplay=1</v>
      </c>
      <c r="R100" s="39" t="s">
        <v>131</v>
      </c>
      <c r="S100" s="39" t="s">
        <v>63</v>
      </c>
      <c r="T100" s="39" t="s">
        <v>63</v>
      </c>
      <c r="U100" s="40"/>
      <c r="V100" s="54"/>
      <c r="W100" s="55"/>
      <c r="X100" s="56"/>
      <c r="Y100" s="38"/>
      <c r="Z100" s="42" t="s">
        <v>240</v>
      </c>
    </row>
    <row r="101" spans="1:26">
      <c r="A101" s="38">
        <v>46</v>
      </c>
      <c r="B101" s="39" t="s">
        <v>54</v>
      </c>
      <c r="C101" s="40"/>
      <c r="D101" s="42" t="s">
        <v>56</v>
      </c>
      <c r="E101" s="38" t="s">
        <v>243</v>
      </c>
      <c r="F101" s="43" t="s">
        <v>244</v>
      </c>
      <c r="G101" s="44"/>
      <c r="H101" s="45"/>
      <c r="I101" s="38"/>
      <c r="J101" s="38">
        <f>940</f>
        <v>940</v>
      </c>
      <c r="K101" s="46">
        <v>2.5925925925925925E-3</v>
      </c>
      <c r="L101" s="47" t="s">
        <v>61</v>
      </c>
      <c r="M101" s="307"/>
      <c r="N101" s="307"/>
      <c r="O101" s="307">
        <f t="shared" si="0"/>
        <v>0</v>
      </c>
      <c r="P101" s="66">
        <v>43015</v>
      </c>
      <c r="Q101" s="410" t="str">
        <f t="shared" ca="1" si="2"/>
        <v>https://www.youtube.com/watch?v=20u8yHim1tM</v>
      </c>
      <c r="R101" s="50"/>
      <c r="S101" s="50"/>
      <c r="T101" s="50"/>
      <c r="U101" s="52"/>
      <c r="V101" s="53"/>
      <c r="W101" s="60"/>
      <c r="X101" s="56"/>
      <c r="Y101" s="38"/>
      <c r="Z101" s="38"/>
    </row>
    <row r="102" spans="1:26">
      <c r="A102" s="42">
        <v>46.1</v>
      </c>
      <c r="B102" s="39" t="s">
        <v>54</v>
      </c>
      <c r="C102" s="40"/>
      <c r="D102" s="42" t="s">
        <v>56</v>
      </c>
      <c r="E102" s="38"/>
      <c r="F102" s="43"/>
      <c r="G102" s="63" t="s">
        <v>249</v>
      </c>
      <c r="H102" s="45"/>
      <c r="I102" s="38"/>
      <c r="J102" s="38"/>
      <c r="K102" s="46"/>
      <c r="L102" s="47"/>
      <c r="M102" s="342">
        <v>0</v>
      </c>
      <c r="N102" s="342">
        <v>2.5694444444444445E-3</v>
      </c>
      <c r="O102" s="307">
        <f t="shared" si="0"/>
        <v>2.5694444444444445E-3</v>
      </c>
      <c r="P102" s="66">
        <v>43015</v>
      </c>
      <c r="Q102" s="410" t="str">
        <f t="shared" ca="1" si="2"/>
        <v>https://www.youtube.com/embed/20u8yHim1tM?start=0&amp;end=222&amp;autoplay=1</v>
      </c>
      <c r="R102" s="39" t="s">
        <v>63</v>
      </c>
      <c r="S102" s="39" t="s">
        <v>63</v>
      </c>
      <c r="T102" s="39" t="s">
        <v>63</v>
      </c>
      <c r="U102" s="40"/>
      <c r="V102" s="54"/>
      <c r="W102" s="69" t="s">
        <v>64</v>
      </c>
      <c r="X102" s="56"/>
      <c r="Y102" s="38"/>
      <c r="Z102" s="42" t="s">
        <v>254</v>
      </c>
    </row>
    <row r="103" spans="1:26">
      <c r="A103" s="38">
        <v>47</v>
      </c>
      <c r="B103" s="39" t="s">
        <v>54</v>
      </c>
      <c r="C103" s="40"/>
      <c r="D103" s="42" t="s">
        <v>142</v>
      </c>
      <c r="E103" s="38" t="s">
        <v>255</v>
      </c>
      <c r="F103" s="43" t="s">
        <v>256</v>
      </c>
      <c r="G103" s="44"/>
      <c r="H103" s="45"/>
      <c r="I103" s="38"/>
      <c r="J103" s="38">
        <f>864</f>
        <v>864</v>
      </c>
      <c r="K103" s="46">
        <v>4.1898148148148146E-3</v>
      </c>
      <c r="L103" s="47" t="s">
        <v>61</v>
      </c>
      <c r="M103" s="307"/>
      <c r="N103" s="307"/>
      <c r="O103" s="307">
        <f t="shared" si="0"/>
        <v>0</v>
      </c>
      <c r="P103" s="66">
        <v>43015</v>
      </c>
      <c r="Q103" s="410" t="str">
        <f t="shared" ca="1" si="2"/>
        <v>https://www.youtube.com/watch?v=K9s433rQloA</v>
      </c>
      <c r="R103" s="50"/>
      <c r="S103" s="50"/>
      <c r="T103" s="50"/>
      <c r="U103" s="52"/>
      <c r="V103" s="53"/>
      <c r="W103" s="60"/>
      <c r="X103" s="56"/>
      <c r="Y103" s="38"/>
      <c r="Z103" s="38"/>
    </row>
    <row r="104" spans="1:26">
      <c r="A104" s="38">
        <v>48</v>
      </c>
      <c r="B104" s="39" t="s">
        <v>54</v>
      </c>
      <c r="C104" s="40"/>
      <c r="D104" s="42" t="s">
        <v>56</v>
      </c>
      <c r="E104" s="38" t="s">
        <v>262</v>
      </c>
      <c r="F104" s="43" t="s">
        <v>263</v>
      </c>
      <c r="G104" s="44"/>
      <c r="H104" s="45"/>
      <c r="I104" s="38"/>
      <c r="J104" s="38">
        <f>1.1*1000</f>
        <v>1100</v>
      </c>
      <c r="K104" s="46">
        <v>3.2986111111111111E-3</v>
      </c>
      <c r="L104" s="47" t="s">
        <v>61</v>
      </c>
      <c r="M104" s="307"/>
      <c r="N104" s="307"/>
      <c r="O104" s="307">
        <f t="shared" si="0"/>
        <v>0</v>
      </c>
      <c r="P104" s="66">
        <v>43015</v>
      </c>
      <c r="Q104" s="410" t="str">
        <f t="shared" ca="1" si="2"/>
        <v>https://www.youtube.com/watch?v=QEUeYDEFtsE</v>
      </c>
      <c r="R104" s="50"/>
      <c r="S104" s="50"/>
      <c r="T104" s="50"/>
      <c r="U104" s="52"/>
      <c r="V104" s="53"/>
      <c r="W104" s="60"/>
      <c r="X104" s="56"/>
      <c r="Y104" s="38"/>
      <c r="Z104" s="38"/>
    </row>
    <row r="105" spans="1:26">
      <c r="A105" s="42">
        <v>48.1</v>
      </c>
      <c r="B105" s="39" t="s">
        <v>54</v>
      </c>
      <c r="C105" s="40"/>
      <c r="D105" s="42" t="s">
        <v>56</v>
      </c>
      <c r="E105" s="38"/>
      <c r="F105" s="43"/>
      <c r="G105" s="63" t="s">
        <v>266</v>
      </c>
      <c r="H105" s="45"/>
      <c r="I105" s="38"/>
      <c r="J105" s="38"/>
      <c r="K105" s="46"/>
      <c r="L105" s="47"/>
      <c r="M105" s="342">
        <v>0</v>
      </c>
      <c r="N105" s="342">
        <v>3.2870370370370371E-3</v>
      </c>
      <c r="O105" s="307">
        <f t="shared" si="0"/>
        <v>3.2870370370370371E-3</v>
      </c>
      <c r="P105" s="66">
        <v>43015</v>
      </c>
      <c r="Q105" s="410" t="str">
        <f t="shared" ca="1" si="2"/>
        <v>https://www.youtube.com/embed/QEUeYDEFtsE?start=0&amp;end=284&amp;autoplay=1</v>
      </c>
      <c r="R105" s="39" t="s">
        <v>63</v>
      </c>
      <c r="S105" s="39" t="s">
        <v>131</v>
      </c>
      <c r="T105" s="39" t="s">
        <v>63</v>
      </c>
      <c r="U105" s="40"/>
      <c r="V105" s="54"/>
      <c r="W105" s="69" t="s">
        <v>64</v>
      </c>
      <c r="X105" s="56"/>
      <c r="Y105" s="38"/>
      <c r="Z105" s="42" t="s">
        <v>269</v>
      </c>
    </row>
    <row r="106" spans="1:26">
      <c r="A106" s="38">
        <v>49</v>
      </c>
      <c r="B106" s="39" t="s">
        <v>54</v>
      </c>
      <c r="C106" s="40"/>
      <c r="D106" s="42" t="s">
        <v>56</v>
      </c>
      <c r="E106" s="38" t="s">
        <v>273</v>
      </c>
      <c r="F106" s="43" t="s">
        <v>274</v>
      </c>
      <c r="G106" s="44"/>
      <c r="H106" s="45"/>
      <c r="I106" s="38"/>
      <c r="J106" s="38">
        <f>1.5*1000</f>
        <v>1500</v>
      </c>
      <c r="K106" s="46">
        <v>8.9467592592592585E-3</v>
      </c>
      <c r="L106" s="47" t="s">
        <v>61</v>
      </c>
      <c r="M106" s="307"/>
      <c r="N106" s="307"/>
      <c r="O106" s="307">
        <f t="shared" si="0"/>
        <v>0</v>
      </c>
      <c r="P106" s="66">
        <v>43015</v>
      </c>
      <c r="Q106" s="410" t="str">
        <f t="shared" ca="1" si="2"/>
        <v>https://www.youtube.com/watch?v=Yhp3rFuo5Cw</v>
      </c>
      <c r="R106" s="50"/>
      <c r="S106" s="50"/>
      <c r="T106" s="50"/>
      <c r="U106" s="52"/>
      <c r="V106" s="53"/>
      <c r="W106" s="60"/>
      <c r="X106" s="56"/>
      <c r="Y106" s="38"/>
      <c r="Z106" s="38"/>
    </row>
    <row r="107" spans="1:26">
      <c r="A107" s="42">
        <v>49.01</v>
      </c>
      <c r="B107" s="39" t="s">
        <v>54</v>
      </c>
      <c r="C107" s="40"/>
      <c r="D107" s="42" t="s">
        <v>56</v>
      </c>
      <c r="E107" s="38"/>
      <c r="F107" s="43"/>
      <c r="G107" s="63" t="s">
        <v>276</v>
      </c>
      <c r="H107" s="45"/>
      <c r="I107" s="38"/>
      <c r="J107" s="38"/>
      <c r="K107" s="46"/>
      <c r="L107" s="47"/>
      <c r="M107" s="342">
        <v>0</v>
      </c>
      <c r="N107" s="342">
        <v>4.1666666666666666E-3</v>
      </c>
      <c r="O107" s="307">
        <f t="shared" si="0"/>
        <v>4.1666666666666666E-3</v>
      </c>
      <c r="P107" s="66">
        <v>43015</v>
      </c>
      <c r="Q107" s="410" t="str">
        <f t="shared" ca="1" si="2"/>
        <v>https://www.youtube.com/embed/Yhp3rFuo5Cw?start=0&amp;end=360&amp;autoplay=1</v>
      </c>
      <c r="R107" s="67" t="s">
        <v>63</v>
      </c>
      <c r="S107" s="67" t="s">
        <v>63</v>
      </c>
      <c r="T107" s="67" t="s">
        <v>63</v>
      </c>
      <c r="U107" s="52"/>
      <c r="V107" s="53"/>
      <c r="W107" s="57" t="s">
        <v>64</v>
      </c>
      <c r="X107" s="56"/>
      <c r="Y107" s="38"/>
      <c r="Z107" s="42" t="s">
        <v>279</v>
      </c>
    </row>
    <row r="108" spans="1:26">
      <c r="A108" s="42">
        <v>49.02</v>
      </c>
      <c r="B108" s="39" t="s">
        <v>54</v>
      </c>
      <c r="C108" s="40"/>
      <c r="D108" s="42" t="s">
        <v>56</v>
      </c>
      <c r="E108" s="38"/>
      <c r="F108" s="43"/>
      <c r="G108" s="63" t="s">
        <v>280</v>
      </c>
      <c r="H108" s="58"/>
      <c r="I108" s="38"/>
      <c r="J108" s="38"/>
      <c r="K108" s="46"/>
      <c r="L108" s="47"/>
      <c r="M108" s="342">
        <v>4.178240740740741E-3</v>
      </c>
      <c r="N108" s="342">
        <v>8.9236111111111113E-3</v>
      </c>
      <c r="O108" s="307">
        <f t="shared" si="0"/>
        <v>4.7453703703703703E-3</v>
      </c>
      <c r="P108" s="66">
        <v>43015</v>
      </c>
      <c r="Q108" s="410" t="str">
        <f t="shared" ca="1" si="2"/>
        <v>https://www.youtube.com/embed/Yhp3rFuo5Cw?start=361&amp;end=771&amp;autoplay=1</v>
      </c>
      <c r="R108" s="67" t="s">
        <v>63</v>
      </c>
      <c r="S108" s="67" t="s">
        <v>63</v>
      </c>
      <c r="T108" s="67" t="s">
        <v>63</v>
      </c>
      <c r="U108" s="52"/>
      <c r="V108" s="53"/>
      <c r="W108" s="57" t="s">
        <v>64</v>
      </c>
      <c r="X108" s="56"/>
      <c r="Y108" s="38"/>
      <c r="Z108" s="42" t="s">
        <v>279</v>
      </c>
    </row>
    <row r="109" spans="1:26">
      <c r="A109" s="38">
        <v>50</v>
      </c>
      <c r="B109" s="42" t="s">
        <v>155</v>
      </c>
      <c r="C109" s="38"/>
      <c r="D109" s="42" t="s">
        <v>56</v>
      </c>
      <c r="E109" s="38" t="s">
        <v>316</v>
      </c>
      <c r="F109" s="43" t="s">
        <v>317</v>
      </c>
      <c r="G109" s="44"/>
      <c r="H109" s="45"/>
      <c r="I109" s="38"/>
      <c r="J109" s="38">
        <f>1.7*1000</f>
        <v>1700</v>
      </c>
      <c r="K109" s="46">
        <v>1.0266203703703703E-2</v>
      </c>
      <c r="L109" s="47" t="s">
        <v>61</v>
      </c>
      <c r="M109" s="307"/>
      <c r="N109" s="307"/>
      <c r="O109" s="307">
        <f t="shared" si="0"/>
        <v>0</v>
      </c>
      <c r="P109" s="91">
        <v>43014</v>
      </c>
      <c r="Q109" s="410" t="str">
        <f t="shared" ca="1" si="2"/>
        <v>https://www.youtube.com/watch?v=8qjQH_-WzyE</v>
      </c>
      <c r="R109" s="50"/>
      <c r="S109" s="50"/>
      <c r="T109" s="50"/>
      <c r="U109" s="52"/>
      <c r="V109" s="53"/>
      <c r="W109" s="60"/>
      <c r="X109" s="56"/>
      <c r="Y109" s="38"/>
      <c r="Z109" s="38"/>
    </row>
    <row r="110" spans="1:26">
      <c r="A110" s="42">
        <v>50.01</v>
      </c>
      <c r="B110" s="42" t="s">
        <v>155</v>
      </c>
      <c r="C110" s="38"/>
      <c r="D110" s="42" t="s">
        <v>56</v>
      </c>
      <c r="E110" s="38"/>
      <c r="F110" s="43"/>
      <c r="G110" s="63" t="s">
        <v>968</v>
      </c>
      <c r="H110" s="58" t="s">
        <v>970</v>
      </c>
      <c r="I110" s="38"/>
      <c r="J110" s="38"/>
      <c r="K110" s="46"/>
      <c r="L110" s="47"/>
      <c r="M110" s="342">
        <v>0</v>
      </c>
      <c r="N110" s="342">
        <v>3.9814814814814817E-3</v>
      </c>
      <c r="O110" s="307">
        <f t="shared" si="0"/>
        <v>3.9814814814814817E-3</v>
      </c>
      <c r="P110" s="91">
        <v>43014</v>
      </c>
      <c r="Q110" s="410" t="str">
        <f t="shared" ca="1" si="2"/>
        <v>https://www.youtube.com/embed/8qjQH_-WzyE?start=0&amp;end=344&amp;autoplay=1</v>
      </c>
      <c r="R110" s="67" t="s">
        <v>63</v>
      </c>
      <c r="S110" s="67" t="s">
        <v>131</v>
      </c>
      <c r="T110" s="67" t="s">
        <v>63</v>
      </c>
      <c r="U110" s="52"/>
      <c r="V110" s="53"/>
      <c r="W110" s="69" t="s">
        <v>64</v>
      </c>
      <c r="X110" s="56"/>
      <c r="Y110" s="38"/>
      <c r="Z110" s="38"/>
    </row>
    <row r="111" spans="1:26">
      <c r="A111" s="42">
        <v>50.02</v>
      </c>
      <c r="B111" s="42" t="s">
        <v>155</v>
      </c>
      <c r="C111" s="38"/>
      <c r="D111" s="42" t="s">
        <v>142</v>
      </c>
      <c r="E111" s="38"/>
      <c r="F111" s="43"/>
      <c r="G111" s="63" t="s">
        <v>974</v>
      </c>
      <c r="H111" s="58" t="s">
        <v>975</v>
      </c>
      <c r="I111" s="38"/>
      <c r="J111" s="38"/>
      <c r="K111" s="46"/>
      <c r="L111" s="47"/>
      <c r="M111" s="342">
        <v>3.9930555555555552E-3</v>
      </c>
      <c r="N111" s="342">
        <v>4.7453703703703703E-3</v>
      </c>
      <c r="O111" s="307">
        <f t="shared" si="0"/>
        <v>7.5231481481481503E-4</v>
      </c>
      <c r="P111" s="91">
        <v>43014</v>
      </c>
      <c r="Q111" s="410" t="str">
        <f t="shared" ca="1" si="2"/>
        <v>https://www.youtube.com/embed/8qjQH_-WzyE?start=345&amp;end=410&amp;autoplay=1</v>
      </c>
      <c r="R111" s="67" t="s">
        <v>63</v>
      </c>
      <c r="S111" s="67" t="s">
        <v>63</v>
      </c>
      <c r="T111" s="67" t="s">
        <v>63</v>
      </c>
      <c r="U111" s="52"/>
      <c r="V111" s="53"/>
      <c r="W111" s="69" t="s">
        <v>151</v>
      </c>
      <c r="X111" s="56"/>
      <c r="Y111" s="38"/>
      <c r="Z111" s="42" t="s">
        <v>976</v>
      </c>
    </row>
    <row r="112" spans="1:26">
      <c r="A112" s="42">
        <v>50.03</v>
      </c>
      <c r="B112" s="42" t="s">
        <v>155</v>
      </c>
      <c r="C112" s="38"/>
      <c r="D112" s="42" t="s">
        <v>56</v>
      </c>
      <c r="E112" s="38"/>
      <c r="F112" s="43"/>
      <c r="G112" s="63" t="s">
        <v>977</v>
      </c>
      <c r="H112" s="58" t="s">
        <v>978</v>
      </c>
      <c r="I112" s="38"/>
      <c r="J112" s="38"/>
      <c r="K112" s="46"/>
      <c r="L112" s="47"/>
      <c r="M112" s="342">
        <v>4.7569444444444447E-3</v>
      </c>
      <c r="N112" s="342">
        <v>7.1759259259259259E-3</v>
      </c>
      <c r="O112" s="307">
        <f t="shared" si="0"/>
        <v>2.4189814814814812E-3</v>
      </c>
      <c r="P112" s="91">
        <v>43014</v>
      </c>
      <c r="Q112" s="410" t="str">
        <f t="shared" ca="1" si="2"/>
        <v>https://www.youtube.com/embed/8qjQH_-WzyE?start=411&amp;end=620&amp;autoplay=1</v>
      </c>
      <c r="R112" s="67" t="s">
        <v>63</v>
      </c>
      <c r="S112" s="67" t="s">
        <v>63</v>
      </c>
      <c r="T112" s="67" t="s">
        <v>63</v>
      </c>
      <c r="U112" s="52"/>
      <c r="V112" s="53"/>
      <c r="W112" s="69" t="s">
        <v>64</v>
      </c>
      <c r="X112" s="56"/>
      <c r="Y112" s="38"/>
      <c r="Z112" s="38"/>
    </row>
    <row r="113" spans="1:26">
      <c r="A113" s="42">
        <v>50.04</v>
      </c>
      <c r="B113" s="42" t="s">
        <v>155</v>
      </c>
      <c r="C113" s="38"/>
      <c r="D113" s="42" t="s">
        <v>56</v>
      </c>
      <c r="E113" s="38"/>
      <c r="F113" s="43"/>
      <c r="G113" s="63" t="s">
        <v>981</v>
      </c>
      <c r="H113" s="58" t="s">
        <v>982</v>
      </c>
      <c r="I113" s="38"/>
      <c r="J113" s="38"/>
      <c r="K113" s="46"/>
      <c r="L113" s="47"/>
      <c r="M113" s="342">
        <v>7.1875000000000003E-3</v>
      </c>
      <c r="N113" s="342">
        <v>9.4212962962962957E-3</v>
      </c>
      <c r="O113" s="307">
        <f t="shared" si="0"/>
        <v>2.2337962962962954E-3</v>
      </c>
      <c r="P113" s="91">
        <v>43014</v>
      </c>
      <c r="Q113" s="410" t="str">
        <f t="shared" ca="1" si="2"/>
        <v>https://www.youtube.com/embed/8qjQH_-WzyE?start=621&amp;end=814&amp;autoplay=1</v>
      </c>
      <c r="R113" s="67" t="s">
        <v>63</v>
      </c>
      <c r="S113" s="67" t="s">
        <v>63</v>
      </c>
      <c r="T113" s="67" t="s">
        <v>63</v>
      </c>
      <c r="U113" s="52"/>
      <c r="V113" s="53"/>
      <c r="W113" s="69" t="s">
        <v>64</v>
      </c>
      <c r="X113" s="56"/>
      <c r="Y113" s="38"/>
      <c r="Z113" s="38"/>
    </row>
    <row r="114" spans="1:26">
      <c r="A114" s="38">
        <v>51</v>
      </c>
      <c r="B114" s="42" t="s">
        <v>155</v>
      </c>
      <c r="C114" s="38"/>
      <c r="D114" s="42" t="s">
        <v>56</v>
      </c>
      <c r="E114" s="38" t="s">
        <v>321</v>
      </c>
      <c r="F114" s="43" t="s">
        <v>322</v>
      </c>
      <c r="G114" s="44"/>
      <c r="H114" s="45"/>
      <c r="I114" s="38"/>
      <c r="J114" s="38">
        <f>679</f>
        <v>679</v>
      </c>
      <c r="K114" s="46">
        <v>6.0879629629629643E-3</v>
      </c>
      <c r="L114" s="47" t="s">
        <v>61</v>
      </c>
      <c r="M114" s="307"/>
      <c r="N114" s="307"/>
      <c r="O114" s="307">
        <f t="shared" si="0"/>
        <v>0</v>
      </c>
      <c r="P114" s="66">
        <v>43016</v>
      </c>
      <c r="Q114" s="410" t="str">
        <f t="shared" ca="1" si="2"/>
        <v>https://www.youtube.com/watch?v=vHWsmGyjOk0</v>
      </c>
      <c r="R114" s="50"/>
      <c r="S114" s="50"/>
      <c r="T114" s="50"/>
      <c r="U114" s="52"/>
      <c r="V114" s="53"/>
      <c r="W114" s="60"/>
      <c r="X114" s="56"/>
      <c r="Y114" s="38"/>
      <c r="Z114" s="38"/>
    </row>
    <row r="115" spans="1:26">
      <c r="A115" s="42">
        <v>51.01</v>
      </c>
      <c r="B115" s="42" t="s">
        <v>155</v>
      </c>
      <c r="C115" s="38"/>
      <c r="D115" s="42" t="s">
        <v>56</v>
      </c>
      <c r="E115" s="38"/>
      <c r="F115" s="43"/>
      <c r="G115" s="63" t="s">
        <v>987</v>
      </c>
      <c r="H115" s="58" t="s">
        <v>988</v>
      </c>
      <c r="I115" s="38"/>
      <c r="J115" s="38"/>
      <c r="K115" s="46"/>
      <c r="L115" s="47"/>
      <c r="M115" s="342">
        <v>0</v>
      </c>
      <c r="N115" s="342">
        <v>4.6874999999999998E-3</v>
      </c>
      <c r="O115" s="307">
        <f t="shared" si="0"/>
        <v>4.6874999999999998E-3</v>
      </c>
      <c r="P115" s="66">
        <v>43016</v>
      </c>
      <c r="Q115" s="410" t="str">
        <f t="shared" ca="1" si="2"/>
        <v>https://www.youtube.com/embed/vHWsmGyjOk0?start=0&amp;end=405&amp;autoplay=1</v>
      </c>
      <c r="R115" s="67" t="s">
        <v>63</v>
      </c>
      <c r="S115" s="67" t="s">
        <v>63</v>
      </c>
      <c r="T115" s="67" t="s">
        <v>63</v>
      </c>
      <c r="U115" s="52"/>
      <c r="V115" s="53"/>
      <c r="W115" s="69" t="s">
        <v>64</v>
      </c>
      <c r="X115" s="56"/>
      <c r="Y115" s="38"/>
      <c r="Z115" s="42" t="s">
        <v>991</v>
      </c>
    </row>
    <row r="116" spans="1:26">
      <c r="A116" s="38">
        <v>52</v>
      </c>
      <c r="B116" s="42" t="s">
        <v>155</v>
      </c>
      <c r="C116" s="42"/>
      <c r="D116" s="42" t="s">
        <v>56</v>
      </c>
      <c r="E116" s="38" t="s">
        <v>327</v>
      </c>
      <c r="F116" s="43" t="s">
        <v>328</v>
      </c>
      <c r="G116" s="44"/>
      <c r="H116" s="45"/>
      <c r="I116" s="38"/>
      <c r="J116" s="38">
        <f>928</f>
        <v>928</v>
      </c>
      <c r="K116" s="46">
        <v>0.01</v>
      </c>
      <c r="L116" s="47" t="s">
        <v>61</v>
      </c>
      <c r="M116" s="307"/>
      <c r="N116" s="307"/>
      <c r="O116" s="307">
        <f t="shared" si="0"/>
        <v>0</v>
      </c>
      <c r="P116" s="66">
        <v>43016</v>
      </c>
      <c r="Q116" s="410" t="str">
        <f t="shared" ca="1" si="2"/>
        <v>https://www.youtube.com/watch?v=-udb2VYB5uo</v>
      </c>
      <c r="R116" s="50"/>
      <c r="S116" s="50"/>
      <c r="T116" s="50"/>
      <c r="U116" s="52"/>
      <c r="V116" s="53"/>
      <c r="W116" s="60"/>
      <c r="X116" s="56"/>
      <c r="Y116" s="38"/>
      <c r="Z116" s="38"/>
    </row>
    <row r="117" spans="1:26">
      <c r="A117" s="42">
        <v>52.01</v>
      </c>
      <c r="B117" s="42" t="s">
        <v>155</v>
      </c>
      <c r="C117" s="38"/>
      <c r="D117" s="344" t="s">
        <v>56</v>
      </c>
      <c r="E117" s="38"/>
      <c r="F117" s="43"/>
      <c r="G117" s="63" t="s">
        <v>998</v>
      </c>
      <c r="H117" s="58" t="s">
        <v>999</v>
      </c>
      <c r="I117" s="38"/>
      <c r="J117" s="38"/>
      <c r="K117" s="46"/>
      <c r="L117" s="47"/>
      <c r="M117" s="342">
        <v>0</v>
      </c>
      <c r="N117" s="342">
        <v>3.1712962962962962E-3</v>
      </c>
      <c r="O117" s="307">
        <f t="shared" si="0"/>
        <v>3.1712962962962962E-3</v>
      </c>
      <c r="P117" s="66">
        <v>43016</v>
      </c>
      <c r="Q117" s="410" t="str">
        <f t="shared" ca="1" si="2"/>
        <v>https://www.youtube.com/embed/-udb2VYB5uo?start=0&amp;end=274&amp;autoplay=1</v>
      </c>
      <c r="R117" s="67" t="s">
        <v>63</v>
      </c>
      <c r="S117" s="67" t="s">
        <v>63</v>
      </c>
      <c r="T117" s="67" t="s">
        <v>63</v>
      </c>
      <c r="U117" s="52"/>
      <c r="V117" s="53"/>
      <c r="W117" s="69" t="s">
        <v>64</v>
      </c>
      <c r="X117" s="56"/>
      <c r="Y117" s="38"/>
      <c r="Z117" s="38"/>
    </row>
    <row r="118" spans="1:26">
      <c r="A118" s="42">
        <v>52.02</v>
      </c>
      <c r="B118" s="42" t="s">
        <v>155</v>
      </c>
      <c r="C118" s="38"/>
      <c r="D118" s="344" t="s">
        <v>56</v>
      </c>
      <c r="E118" s="38"/>
      <c r="F118" s="43"/>
      <c r="G118" s="63" t="s">
        <v>1002</v>
      </c>
      <c r="H118" s="58" t="s">
        <v>1003</v>
      </c>
      <c r="I118" s="38"/>
      <c r="J118" s="38"/>
      <c r="K118" s="46"/>
      <c r="L118" s="47"/>
      <c r="M118" s="342">
        <v>3.1828703703703702E-3</v>
      </c>
      <c r="N118" s="342">
        <v>9.9884259259259266E-3</v>
      </c>
      <c r="O118" s="307">
        <f t="shared" si="0"/>
        <v>6.805555555555556E-3</v>
      </c>
      <c r="P118" s="66">
        <v>43016</v>
      </c>
      <c r="Q118" s="410" t="str">
        <f t="shared" ca="1" si="2"/>
        <v>https://www.youtube.com/embed/-udb2VYB5uo?start=275&amp;end=863&amp;autoplay=1</v>
      </c>
      <c r="R118" s="67" t="s">
        <v>63</v>
      </c>
      <c r="S118" s="67" t="s">
        <v>63</v>
      </c>
      <c r="T118" s="67" t="s">
        <v>63</v>
      </c>
      <c r="U118" s="52"/>
      <c r="V118" s="53"/>
      <c r="W118" s="69" t="s">
        <v>64</v>
      </c>
      <c r="X118" s="56"/>
      <c r="Y118" s="38"/>
      <c r="Z118" s="38"/>
    </row>
    <row r="119" spans="1:26">
      <c r="A119" s="38">
        <v>53</v>
      </c>
      <c r="B119" s="42" t="s">
        <v>155</v>
      </c>
      <c r="C119" s="42"/>
      <c r="D119" s="42" t="s">
        <v>56</v>
      </c>
      <c r="E119" s="38" t="s">
        <v>332</v>
      </c>
      <c r="F119" s="43" t="s">
        <v>333</v>
      </c>
      <c r="G119" s="44"/>
      <c r="H119" s="45"/>
      <c r="I119" s="38"/>
      <c r="J119" s="38">
        <f>961</f>
        <v>961</v>
      </c>
      <c r="K119" s="46">
        <v>8.9814814814814809E-3</v>
      </c>
      <c r="L119" s="47" t="s">
        <v>61</v>
      </c>
      <c r="M119" s="307"/>
      <c r="N119" s="307"/>
      <c r="O119" s="307">
        <f t="shared" si="0"/>
        <v>0</v>
      </c>
      <c r="P119" s="66">
        <v>43017</v>
      </c>
      <c r="Q119" s="410" t="str">
        <f t="shared" ca="1" si="2"/>
        <v>https://www.youtube.com/watch?v=f-MLHIb4dFU</v>
      </c>
      <c r="R119" s="50"/>
      <c r="S119" s="50"/>
      <c r="T119" s="50"/>
      <c r="U119" s="52"/>
      <c r="V119" s="53"/>
      <c r="W119" s="60"/>
      <c r="X119" s="56"/>
      <c r="Y119" s="38"/>
      <c r="Z119" s="38"/>
    </row>
    <row r="120" spans="1:26">
      <c r="A120" s="42">
        <v>53.01</v>
      </c>
      <c r="B120" s="42" t="s">
        <v>155</v>
      </c>
      <c r="C120" s="42"/>
      <c r="D120" s="42" t="s">
        <v>56</v>
      </c>
      <c r="E120" s="38"/>
      <c r="F120" s="43"/>
      <c r="G120" s="63" t="s">
        <v>894</v>
      </c>
      <c r="H120" s="58" t="s">
        <v>1006</v>
      </c>
      <c r="I120" s="38"/>
      <c r="J120" s="38"/>
      <c r="K120" s="46"/>
      <c r="L120" s="47"/>
      <c r="M120" s="342">
        <v>0</v>
      </c>
      <c r="N120" s="342">
        <v>2.1990740740740742E-3</v>
      </c>
      <c r="O120" s="307">
        <f t="shared" si="0"/>
        <v>2.1990740740740742E-3</v>
      </c>
      <c r="P120" s="66">
        <v>43017</v>
      </c>
      <c r="Q120" s="410" t="str">
        <f t="shared" ca="1" si="2"/>
        <v>https://www.youtube.com/embed/f-MLHIb4dFU?start=0&amp;end=190&amp;autoplay=1</v>
      </c>
      <c r="R120" s="67" t="s">
        <v>63</v>
      </c>
      <c r="S120" s="67" t="s">
        <v>63</v>
      </c>
      <c r="T120" s="67" t="s">
        <v>63</v>
      </c>
      <c r="U120" s="52"/>
      <c r="V120" s="53"/>
      <c r="W120" s="57" t="s">
        <v>64</v>
      </c>
      <c r="X120" s="56"/>
      <c r="Y120" s="38"/>
      <c r="Z120" s="42" t="s">
        <v>1009</v>
      </c>
    </row>
    <row r="121" spans="1:26">
      <c r="A121" s="42">
        <v>53.02</v>
      </c>
      <c r="B121" s="42" t="s">
        <v>155</v>
      </c>
      <c r="C121" s="38"/>
      <c r="D121" s="42" t="s">
        <v>56</v>
      </c>
      <c r="E121" s="38"/>
      <c r="F121" s="43"/>
      <c r="G121" s="63" t="s">
        <v>1010</v>
      </c>
      <c r="H121" s="45" t="s">
        <v>767</v>
      </c>
      <c r="I121" s="38"/>
      <c r="J121" s="38"/>
      <c r="K121" s="46"/>
      <c r="L121" s="47"/>
      <c r="M121" s="342">
        <v>3.1712962962962962E-3</v>
      </c>
      <c r="N121" s="342">
        <v>4.8148148148148152E-3</v>
      </c>
      <c r="O121" s="307">
        <f t="shared" si="0"/>
        <v>1.643518518518519E-3</v>
      </c>
      <c r="P121" s="66">
        <v>43017</v>
      </c>
      <c r="Q121" s="410" t="str">
        <f t="shared" ca="1" si="2"/>
        <v>https://www.youtube.com/embed/f-MLHIb4dFU?start=274&amp;end=416&amp;autoplay=1</v>
      </c>
      <c r="R121" s="67" t="s">
        <v>63</v>
      </c>
      <c r="S121" s="67" t="s">
        <v>63</v>
      </c>
      <c r="T121" s="67" t="s">
        <v>63</v>
      </c>
      <c r="U121" s="52"/>
      <c r="V121" s="53"/>
      <c r="W121" s="57" t="s">
        <v>64</v>
      </c>
      <c r="X121" s="56"/>
      <c r="Y121" s="38"/>
      <c r="Z121" s="42" t="s">
        <v>1013</v>
      </c>
    </row>
    <row r="122" spans="1:26">
      <c r="A122" s="42">
        <v>53.03</v>
      </c>
      <c r="B122" s="42" t="s">
        <v>155</v>
      </c>
      <c r="C122" s="38"/>
      <c r="D122" s="42" t="s">
        <v>56</v>
      </c>
      <c r="E122" s="38"/>
      <c r="F122" s="43"/>
      <c r="G122" s="63" t="s">
        <v>1014</v>
      </c>
      <c r="H122" s="58" t="s">
        <v>1015</v>
      </c>
      <c r="I122" s="38"/>
      <c r="J122" s="38"/>
      <c r="K122" s="46"/>
      <c r="L122" s="47"/>
      <c r="M122" s="342">
        <v>6.5277777777777782E-3</v>
      </c>
      <c r="N122" s="342">
        <v>7.060185185185185E-3</v>
      </c>
      <c r="O122" s="307">
        <f t="shared" si="0"/>
        <v>5.3240740740740679E-4</v>
      </c>
      <c r="P122" s="66">
        <v>43017</v>
      </c>
      <c r="Q122" s="410" t="str">
        <f t="shared" ca="1" si="2"/>
        <v>https://www.youtube.com/embed/f-MLHIb4dFU?start=564&amp;end=610&amp;autoplay=1</v>
      </c>
      <c r="R122" s="67" t="s">
        <v>63</v>
      </c>
      <c r="S122" s="67" t="s">
        <v>63</v>
      </c>
      <c r="T122" s="67" t="s">
        <v>63</v>
      </c>
      <c r="U122" s="52"/>
      <c r="V122" s="53"/>
      <c r="W122" s="57" t="s">
        <v>64</v>
      </c>
      <c r="X122" s="56"/>
      <c r="Y122" s="38"/>
      <c r="Z122" s="38"/>
    </row>
    <row r="123" spans="1:26">
      <c r="A123" s="42">
        <v>53.04</v>
      </c>
      <c r="B123" s="42" t="s">
        <v>155</v>
      </c>
      <c r="C123" s="38"/>
      <c r="D123" s="42" t="s">
        <v>56</v>
      </c>
      <c r="E123" s="38"/>
      <c r="F123" s="43"/>
      <c r="G123" s="44" t="s">
        <v>823</v>
      </c>
      <c r="H123" s="58" t="s">
        <v>824</v>
      </c>
      <c r="I123" s="38"/>
      <c r="J123" s="38"/>
      <c r="K123" s="46"/>
      <c r="L123" s="47"/>
      <c r="M123" s="342">
        <v>7.2337962962962963E-3</v>
      </c>
      <c r="N123" s="342">
        <v>8.2754629629629636E-3</v>
      </c>
      <c r="O123" s="307">
        <f t="shared" si="0"/>
        <v>1.0416666666666673E-3</v>
      </c>
      <c r="P123" s="66">
        <v>43017</v>
      </c>
      <c r="Q123" s="410" t="str">
        <f t="shared" ca="1" si="2"/>
        <v>https://www.youtube.com/embed/f-MLHIb4dFU?start=625&amp;end=715&amp;autoplay=1</v>
      </c>
      <c r="R123" s="67" t="s">
        <v>63</v>
      </c>
      <c r="S123" s="67" t="s">
        <v>63</v>
      </c>
      <c r="T123" s="67" t="s">
        <v>63</v>
      </c>
      <c r="U123" s="52"/>
      <c r="V123" s="53"/>
      <c r="W123" s="57" t="s">
        <v>64</v>
      </c>
      <c r="X123" s="56"/>
      <c r="Y123" s="38"/>
      <c r="Z123" s="42" t="s">
        <v>1018</v>
      </c>
    </row>
    <row r="124" spans="1:26" hidden="1">
      <c r="A124" s="38">
        <v>54</v>
      </c>
      <c r="B124" s="38"/>
      <c r="C124" s="38"/>
      <c r="D124" s="38"/>
      <c r="E124" s="38" t="s">
        <v>337</v>
      </c>
      <c r="F124" s="43" t="s">
        <v>338</v>
      </c>
      <c r="G124" s="44"/>
      <c r="H124" s="45"/>
      <c r="I124" s="38"/>
      <c r="J124" s="38">
        <f>1.3*1000</f>
        <v>1300</v>
      </c>
      <c r="K124" s="46">
        <v>9.3171296296296283E-3</v>
      </c>
      <c r="L124" s="47" t="s">
        <v>61</v>
      </c>
      <c r="M124" s="307"/>
      <c r="N124" s="307"/>
      <c r="O124" s="307">
        <f t="shared" si="0"/>
        <v>0</v>
      </c>
      <c r="P124" s="92"/>
      <c r="Q124" s="410" t="str">
        <f t="shared" ca="1" si="2"/>
        <v>https://www.youtube.com/watch?v=m3jwqSSyVkg</v>
      </c>
      <c r="R124" s="50"/>
      <c r="S124" s="50"/>
      <c r="T124" s="50"/>
      <c r="U124" s="52"/>
      <c r="V124" s="53"/>
      <c r="W124" s="60"/>
      <c r="X124" s="56"/>
      <c r="Y124" s="38"/>
      <c r="Z124" s="38"/>
    </row>
    <row r="125" spans="1:26" hidden="1">
      <c r="A125" s="38">
        <v>55</v>
      </c>
      <c r="B125" s="38"/>
      <c r="C125" s="38"/>
      <c r="D125" s="38"/>
      <c r="E125" s="38" t="s">
        <v>342</v>
      </c>
      <c r="F125" s="43" t="s">
        <v>343</v>
      </c>
      <c r="G125" s="44"/>
      <c r="H125" s="45"/>
      <c r="I125" s="38"/>
      <c r="J125" s="38">
        <f>959</f>
        <v>959</v>
      </c>
      <c r="K125" s="46">
        <v>9.0740740740740729E-3</v>
      </c>
      <c r="L125" s="47" t="s">
        <v>61</v>
      </c>
      <c r="M125" s="307"/>
      <c r="N125" s="307"/>
      <c r="O125" s="307">
        <f t="shared" si="0"/>
        <v>0</v>
      </c>
      <c r="P125" s="92"/>
      <c r="Q125" s="410" t="str">
        <f t="shared" ca="1" si="2"/>
        <v>https://www.youtube.com/watch?v=QWaXqmcxm94</v>
      </c>
      <c r="R125" s="50"/>
      <c r="S125" s="50"/>
      <c r="T125" s="50"/>
      <c r="U125" s="52"/>
      <c r="V125" s="53"/>
      <c r="W125" s="60"/>
      <c r="X125" s="56"/>
      <c r="Y125" s="38"/>
      <c r="Z125" s="38"/>
    </row>
    <row r="126" spans="1:26" hidden="1">
      <c r="A126" s="38">
        <v>56</v>
      </c>
      <c r="B126" s="38"/>
      <c r="C126" s="38"/>
      <c r="D126" s="38"/>
      <c r="E126" s="38" t="s">
        <v>348</v>
      </c>
      <c r="F126" s="43" t="s">
        <v>349</v>
      </c>
      <c r="G126" s="44"/>
      <c r="H126" s="45"/>
      <c r="I126" s="38"/>
      <c r="J126" s="38">
        <f>1.1*1000</f>
        <v>1100</v>
      </c>
      <c r="K126" s="46">
        <v>5.185185185185185E-3</v>
      </c>
      <c r="L126" s="47" t="s">
        <v>61</v>
      </c>
      <c r="M126" s="307"/>
      <c r="N126" s="307"/>
      <c r="O126" s="307">
        <f t="shared" si="0"/>
        <v>0</v>
      </c>
      <c r="P126" s="92"/>
      <c r="Q126" s="410" t="str">
        <f t="shared" ca="1" si="2"/>
        <v>https://www.youtube.com/watch?v=JXjMYvGqqDE</v>
      </c>
      <c r="R126" s="50"/>
      <c r="S126" s="50"/>
      <c r="T126" s="50"/>
      <c r="U126" s="52"/>
      <c r="V126" s="53"/>
      <c r="W126" s="60"/>
      <c r="X126" s="56"/>
      <c r="Y126" s="38"/>
      <c r="Z126" s="38"/>
    </row>
    <row r="127" spans="1:26" hidden="1">
      <c r="A127" s="38">
        <v>57</v>
      </c>
      <c r="B127" s="38"/>
      <c r="C127" s="38"/>
      <c r="D127" s="38"/>
      <c r="E127" s="38" t="s">
        <v>352</v>
      </c>
      <c r="F127" s="43" t="s">
        <v>353</v>
      </c>
      <c r="G127" s="44"/>
      <c r="H127" s="45"/>
      <c r="I127" s="38"/>
      <c r="J127" s="38">
        <f>1*1000</f>
        <v>1000</v>
      </c>
      <c r="K127" s="46">
        <v>8.5995370370370357E-3</v>
      </c>
      <c r="L127" s="47" t="s">
        <v>61</v>
      </c>
      <c r="M127" s="307"/>
      <c r="N127" s="307"/>
      <c r="O127" s="307">
        <f t="shared" si="0"/>
        <v>0</v>
      </c>
      <c r="P127" s="92"/>
      <c r="Q127" s="410" t="str">
        <f t="shared" ca="1" si="2"/>
        <v>https://www.youtube.com/watch?v=TGgYE0Ui0co</v>
      </c>
      <c r="R127" s="50"/>
      <c r="S127" s="50"/>
      <c r="T127" s="50"/>
      <c r="U127" s="52"/>
      <c r="V127" s="53"/>
      <c r="W127" s="60"/>
      <c r="X127" s="56"/>
      <c r="Y127" s="38"/>
      <c r="Z127" s="38"/>
    </row>
    <row r="128" spans="1:26" hidden="1">
      <c r="A128" s="38">
        <v>58</v>
      </c>
      <c r="B128" s="38"/>
      <c r="C128" s="38"/>
      <c r="D128" s="38"/>
      <c r="E128" s="38" t="s">
        <v>356</v>
      </c>
      <c r="F128" s="43" t="s">
        <v>357</v>
      </c>
      <c r="G128" s="44"/>
      <c r="H128" s="45"/>
      <c r="I128" s="38"/>
      <c r="J128" s="38">
        <f>1.5*1000</f>
        <v>1500</v>
      </c>
      <c r="K128" s="46">
        <v>0.01</v>
      </c>
      <c r="L128" s="47" t="s">
        <v>61</v>
      </c>
      <c r="M128" s="307"/>
      <c r="N128" s="307"/>
      <c r="O128" s="307">
        <f t="shared" si="0"/>
        <v>0</v>
      </c>
      <c r="P128" s="92"/>
      <c r="Q128" s="410" t="str">
        <f t="shared" ca="1" si="2"/>
        <v>https://www.youtube.com/watch?v=xtHzknvaS7s</v>
      </c>
      <c r="R128" s="50"/>
      <c r="S128" s="50"/>
      <c r="T128" s="50"/>
      <c r="U128" s="52"/>
      <c r="V128" s="53"/>
      <c r="W128" s="60"/>
      <c r="X128" s="56"/>
      <c r="Y128" s="38"/>
      <c r="Z128" s="38"/>
    </row>
    <row r="129" spans="1:26">
      <c r="A129" s="38">
        <v>59</v>
      </c>
      <c r="B129" s="38" t="s">
        <v>55</v>
      </c>
      <c r="C129" s="38"/>
      <c r="D129" s="38" t="s">
        <v>56</v>
      </c>
      <c r="E129" s="38" t="s">
        <v>234</v>
      </c>
      <c r="F129" s="43" t="s">
        <v>235</v>
      </c>
      <c r="G129" s="44"/>
      <c r="H129" s="45"/>
      <c r="I129" s="38"/>
      <c r="J129" s="38">
        <f>3.6*1000</f>
        <v>3600</v>
      </c>
      <c r="K129" s="46">
        <v>3.6516203703703703E-2</v>
      </c>
      <c r="L129" s="47" t="s">
        <v>61</v>
      </c>
      <c r="M129" s="307"/>
      <c r="N129" s="307"/>
      <c r="O129" s="307">
        <f t="shared" si="0"/>
        <v>0</v>
      </c>
      <c r="P129" s="92">
        <v>42989</v>
      </c>
      <c r="Q129" s="410" t="str">
        <f t="shared" ca="1" si="2"/>
        <v>https://www.youtube.com/watch?v=ByaheAphduQ</v>
      </c>
      <c r="R129" s="103" t="s">
        <v>63</v>
      </c>
      <c r="S129" s="50" t="s">
        <v>63</v>
      </c>
      <c r="T129" s="50" t="s">
        <v>63</v>
      </c>
      <c r="U129" s="52"/>
      <c r="V129" s="53"/>
      <c r="W129" s="60" t="s">
        <v>64</v>
      </c>
      <c r="X129" s="56"/>
      <c r="Y129" s="38"/>
      <c r="Z129" s="38"/>
    </row>
    <row r="130" spans="1:26">
      <c r="A130" s="105">
        <v>59.01</v>
      </c>
      <c r="B130" s="38" t="s">
        <v>55</v>
      </c>
      <c r="C130" s="42"/>
      <c r="D130" s="38" t="s">
        <v>56</v>
      </c>
      <c r="E130" s="38"/>
      <c r="F130" s="38"/>
      <c r="G130" s="38" t="s">
        <v>241</v>
      </c>
      <c r="H130" s="58" t="s">
        <v>2967</v>
      </c>
      <c r="I130" s="38"/>
      <c r="J130" s="38"/>
      <c r="K130" s="46"/>
      <c r="L130" s="47"/>
      <c r="M130" s="307">
        <v>0</v>
      </c>
      <c r="N130" s="307">
        <v>5.208333333333333E-3</v>
      </c>
      <c r="O130" s="307">
        <f t="shared" si="0"/>
        <v>5.208333333333333E-3</v>
      </c>
      <c r="P130" s="92">
        <v>42989</v>
      </c>
      <c r="Q130" s="410" t="str">
        <f t="shared" ca="1" si="2"/>
        <v>https://www.youtube.com/embed/ByaheAphduQ?start=0&amp;end=450&amp;autoplay=1</v>
      </c>
      <c r="R130" s="103" t="s">
        <v>63</v>
      </c>
      <c r="S130" s="50" t="s">
        <v>63</v>
      </c>
      <c r="T130" s="50" t="s">
        <v>63</v>
      </c>
      <c r="U130" s="52"/>
      <c r="V130" s="53"/>
      <c r="W130" s="60" t="s">
        <v>64</v>
      </c>
      <c r="X130" s="56"/>
      <c r="Y130" s="38"/>
      <c r="Z130" s="38"/>
    </row>
    <row r="131" spans="1:26">
      <c r="A131" s="105">
        <v>59.02</v>
      </c>
      <c r="B131" s="38" t="s">
        <v>55</v>
      </c>
      <c r="C131" s="38"/>
      <c r="D131" s="38" t="s">
        <v>56</v>
      </c>
      <c r="E131" s="38"/>
      <c r="F131" s="38"/>
      <c r="G131" s="38" t="s">
        <v>247</v>
      </c>
      <c r="H131" s="45" t="s">
        <v>248</v>
      </c>
      <c r="I131" s="38"/>
      <c r="J131" s="38"/>
      <c r="K131" s="46"/>
      <c r="L131" s="47"/>
      <c r="M131" s="307">
        <v>6.1921296296296299E-3</v>
      </c>
      <c r="N131" s="307">
        <v>1.1064814814814814E-2</v>
      </c>
      <c r="O131" s="307">
        <f t="shared" si="0"/>
        <v>4.8726851851851839E-3</v>
      </c>
      <c r="P131" s="92">
        <v>42989</v>
      </c>
      <c r="Q131" s="410" t="str">
        <f t="shared" ref="Q131:Q194" ca="1" si="3">HYPERLINK(IF(INT(A131)-A131=0,E131,REPLACE(INDIRECT("MasterList!e"&amp;INT(A131)+1),25,8,"embed/")&amp;"?start="&amp;HOUR(M131)*3600+MINUTE(M131)*60+SECOND(M131)&amp;"&amp;end="&amp;HOUR(N131)*3600+MINUTE(N131)*60+SECOND(N131)&amp;"&amp;autoplay=1"))</f>
        <v>https://www.youtube.com/embed/ByaheAphduQ?start=535&amp;end=956&amp;autoplay=1</v>
      </c>
      <c r="R131" s="103" t="s">
        <v>63</v>
      </c>
      <c r="S131" s="50" t="s">
        <v>63</v>
      </c>
      <c r="T131" s="50" t="s">
        <v>63</v>
      </c>
      <c r="U131" s="52"/>
      <c r="V131" s="53"/>
      <c r="W131" s="60" t="s">
        <v>64</v>
      </c>
      <c r="X131" s="56"/>
      <c r="Y131" s="38"/>
      <c r="Z131" s="38"/>
    </row>
    <row r="132" spans="1:26">
      <c r="A132" s="105">
        <v>59.03</v>
      </c>
      <c r="B132" s="38" t="s">
        <v>55</v>
      </c>
      <c r="C132" s="38"/>
      <c r="D132" s="38" t="s">
        <v>56</v>
      </c>
      <c r="E132" s="38"/>
      <c r="F132" s="38"/>
      <c r="G132" s="38" t="s">
        <v>250</v>
      </c>
      <c r="H132" s="14" t="s">
        <v>251</v>
      </c>
      <c r="I132" s="38"/>
      <c r="J132" s="38"/>
      <c r="K132" s="46"/>
      <c r="L132" s="47"/>
      <c r="M132" s="307">
        <v>1.2615740740740742E-2</v>
      </c>
      <c r="N132" s="307">
        <v>1.3877314814814815E-2</v>
      </c>
      <c r="O132" s="307">
        <f t="shared" si="0"/>
        <v>1.2615740740740729E-3</v>
      </c>
      <c r="P132" s="92">
        <v>42989</v>
      </c>
      <c r="Q132" s="410" t="str">
        <f t="shared" ca="1" si="3"/>
        <v>https://www.youtube.com/embed/ByaheAphduQ?start=1090&amp;end=1199&amp;autoplay=1</v>
      </c>
      <c r="R132" s="103" t="s">
        <v>63</v>
      </c>
      <c r="S132" s="50" t="s">
        <v>63</v>
      </c>
      <c r="T132" s="50" t="s">
        <v>63</v>
      </c>
      <c r="U132" s="52"/>
      <c r="V132" s="53"/>
      <c r="W132" s="60" t="s">
        <v>64</v>
      </c>
      <c r="X132" s="56"/>
      <c r="Y132" s="38"/>
      <c r="Z132" s="38"/>
    </row>
    <row r="133" spans="1:26">
      <c r="A133" s="105">
        <v>59.04</v>
      </c>
      <c r="B133" s="38" t="s">
        <v>55</v>
      </c>
      <c r="C133" s="42"/>
      <c r="D133" s="38" t="s">
        <v>56</v>
      </c>
      <c r="E133" s="38"/>
      <c r="F133" s="38"/>
      <c r="G133" s="38" t="s">
        <v>260</v>
      </c>
      <c r="H133" s="45" t="s">
        <v>261</v>
      </c>
      <c r="I133" s="38"/>
      <c r="J133" s="38"/>
      <c r="K133" s="46"/>
      <c r="L133" s="47"/>
      <c r="M133" s="307">
        <v>1.3946759259259258E-2</v>
      </c>
      <c r="N133" s="307">
        <v>1.4814814814814814E-2</v>
      </c>
      <c r="O133" s="307">
        <f t="shared" si="0"/>
        <v>8.6805555555555594E-4</v>
      </c>
      <c r="P133" s="92">
        <v>42989</v>
      </c>
      <c r="Q133" s="410" t="str">
        <f t="shared" ca="1" si="3"/>
        <v>https://www.youtube.com/embed/ByaheAphduQ?start=1205&amp;end=1280&amp;autoplay=1</v>
      </c>
      <c r="R133" s="103" t="s">
        <v>63</v>
      </c>
      <c r="S133" s="50" t="s">
        <v>63</v>
      </c>
      <c r="T133" s="50" t="s">
        <v>63</v>
      </c>
      <c r="U133" s="52"/>
      <c r="V133" s="53"/>
      <c r="W133" s="60" t="s">
        <v>64</v>
      </c>
      <c r="X133" s="56"/>
      <c r="Y133" s="38"/>
      <c r="Z133" s="38"/>
    </row>
    <row r="134" spans="1:26">
      <c r="A134" s="105">
        <v>59.05</v>
      </c>
      <c r="B134" s="38" t="s">
        <v>55</v>
      </c>
      <c r="C134" s="38"/>
      <c r="D134" s="38" t="s">
        <v>56</v>
      </c>
      <c r="E134" s="38"/>
      <c r="F134" s="38"/>
      <c r="G134" s="38" t="s">
        <v>267</v>
      </c>
      <c r="H134" s="14" t="s">
        <v>268</v>
      </c>
      <c r="I134" s="38"/>
      <c r="J134" s="38"/>
      <c r="K134" s="46"/>
      <c r="L134" s="47"/>
      <c r="M134" s="307">
        <v>1.4837962962962963E-2</v>
      </c>
      <c r="N134" s="307">
        <v>1.6319444444444445E-2</v>
      </c>
      <c r="O134" s="307">
        <f t="shared" si="0"/>
        <v>1.4814814814814829E-3</v>
      </c>
      <c r="P134" s="92">
        <v>42989</v>
      </c>
      <c r="Q134" s="410" t="str">
        <f t="shared" ca="1" si="3"/>
        <v>https://www.youtube.com/embed/ByaheAphduQ?start=1282&amp;end=1410&amp;autoplay=1</v>
      </c>
      <c r="R134" s="103" t="s">
        <v>63</v>
      </c>
      <c r="S134" s="50" t="s">
        <v>63</v>
      </c>
      <c r="T134" s="50" t="s">
        <v>63</v>
      </c>
      <c r="U134" s="52"/>
      <c r="V134" s="53"/>
      <c r="W134" s="60" t="s">
        <v>64</v>
      </c>
      <c r="X134" s="56"/>
      <c r="Y134" s="38"/>
      <c r="Z134" s="38"/>
    </row>
    <row r="135" spans="1:26">
      <c r="A135" s="105">
        <v>59.06</v>
      </c>
      <c r="B135" s="38" t="s">
        <v>55</v>
      </c>
      <c r="C135" s="38"/>
      <c r="D135" s="38" t="s">
        <v>56</v>
      </c>
      <c r="E135" s="38"/>
      <c r="F135" s="38"/>
      <c r="G135" s="38" t="s">
        <v>272</v>
      </c>
      <c r="H135" s="14"/>
      <c r="I135" s="38"/>
      <c r="J135" s="38"/>
      <c r="K135" s="46"/>
      <c r="L135" s="47"/>
      <c r="M135" s="307">
        <v>1.6782407407407409E-2</v>
      </c>
      <c r="N135" s="307">
        <v>1.8749999999999999E-2</v>
      </c>
      <c r="O135" s="307">
        <f t="shared" si="0"/>
        <v>1.9675925925925902E-3</v>
      </c>
      <c r="P135" s="92">
        <v>42989</v>
      </c>
      <c r="Q135" s="410" t="str">
        <f t="shared" ca="1" si="3"/>
        <v>https://www.youtube.com/embed/ByaheAphduQ?start=1450&amp;end=1620&amp;autoplay=1</v>
      </c>
      <c r="R135" s="103" t="s">
        <v>63</v>
      </c>
      <c r="S135" s="50" t="s">
        <v>63</v>
      </c>
      <c r="T135" s="50" t="s">
        <v>63</v>
      </c>
      <c r="U135" s="52"/>
      <c r="V135" s="53"/>
      <c r="W135" s="60" t="s">
        <v>64</v>
      </c>
      <c r="X135" s="56"/>
      <c r="Y135" s="38"/>
      <c r="Z135" s="38"/>
    </row>
    <row r="136" spans="1:26">
      <c r="A136" s="105">
        <v>59.07</v>
      </c>
      <c r="B136" s="38" t="s">
        <v>55</v>
      </c>
      <c r="C136" s="38"/>
      <c r="D136" s="38" t="s">
        <v>56</v>
      </c>
      <c r="E136" s="38"/>
      <c r="F136" s="38"/>
      <c r="G136" s="38" t="s">
        <v>275</v>
      </c>
      <c r="H136" s="45"/>
      <c r="I136" s="38"/>
      <c r="J136" s="38"/>
      <c r="K136" s="46"/>
      <c r="L136" s="47"/>
      <c r="M136" s="307">
        <v>1.9490740740740743E-2</v>
      </c>
      <c r="N136" s="307">
        <v>2.071759259259259E-2</v>
      </c>
      <c r="O136" s="307">
        <f t="shared" si="0"/>
        <v>1.226851851851847E-3</v>
      </c>
      <c r="P136" s="92">
        <v>42989</v>
      </c>
      <c r="Q136" s="410" t="str">
        <f t="shared" ca="1" si="3"/>
        <v>https://www.youtube.com/embed/ByaheAphduQ?start=1684&amp;end=1790&amp;autoplay=1</v>
      </c>
      <c r="R136" s="103" t="s">
        <v>63</v>
      </c>
      <c r="S136" s="50" t="s">
        <v>63</v>
      </c>
      <c r="T136" s="50" t="s">
        <v>63</v>
      </c>
      <c r="U136" s="52"/>
      <c r="V136" s="53"/>
      <c r="W136" s="60" t="s">
        <v>64</v>
      </c>
      <c r="X136" s="56"/>
      <c r="Y136" s="38"/>
      <c r="Z136" s="38"/>
    </row>
    <row r="137" spans="1:26">
      <c r="A137" s="105">
        <v>59.08</v>
      </c>
      <c r="B137" s="38" t="s">
        <v>55</v>
      </c>
      <c r="C137" s="38"/>
      <c r="D137" s="38" t="s">
        <v>56</v>
      </c>
      <c r="E137" s="38"/>
      <c r="F137" s="38"/>
      <c r="G137" s="38" t="s">
        <v>277</v>
      </c>
      <c r="H137" s="58" t="s">
        <v>2968</v>
      </c>
      <c r="I137" s="38"/>
      <c r="J137" s="38"/>
      <c r="K137" s="46"/>
      <c r="L137" s="47"/>
      <c r="M137" s="307">
        <v>2.1122685185185185E-2</v>
      </c>
      <c r="N137" s="307">
        <v>2.1701388888888892E-2</v>
      </c>
      <c r="O137" s="307">
        <f t="shared" si="0"/>
        <v>5.7870370370370627E-4</v>
      </c>
      <c r="P137" s="92">
        <v>42989</v>
      </c>
      <c r="Q137" s="410" t="str">
        <f t="shared" ca="1" si="3"/>
        <v>https://www.youtube.com/embed/ByaheAphduQ?start=1825&amp;end=1875&amp;autoplay=1</v>
      </c>
      <c r="R137" s="103" t="s">
        <v>63</v>
      </c>
      <c r="S137" s="50" t="s">
        <v>63</v>
      </c>
      <c r="T137" s="50" t="s">
        <v>63</v>
      </c>
      <c r="U137" s="52"/>
      <c r="V137" s="53"/>
      <c r="W137" s="60" t="s">
        <v>64</v>
      </c>
      <c r="X137" s="56"/>
      <c r="Y137" s="38"/>
      <c r="Z137" s="38"/>
    </row>
    <row r="138" spans="1:26">
      <c r="A138" s="105">
        <v>59.09</v>
      </c>
      <c r="B138" s="38" t="s">
        <v>55</v>
      </c>
      <c r="C138" s="38"/>
      <c r="D138" s="38" t="s">
        <v>56</v>
      </c>
      <c r="E138" s="38"/>
      <c r="F138" s="38"/>
      <c r="G138" s="42" t="s">
        <v>2969</v>
      </c>
      <c r="H138" s="45" t="s">
        <v>282</v>
      </c>
      <c r="I138" s="38"/>
      <c r="J138" s="38"/>
      <c r="K138" s="46"/>
      <c r="L138" s="47"/>
      <c r="M138" s="307">
        <v>2.2800925925925929E-2</v>
      </c>
      <c r="N138" s="307">
        <v>2.4212962962962964E-2</v>
      </c>
      <c r="O138" s="307">
        <f t="shared" si="0"/>
        <v>1.4120370370370346E-3</v>
      </c>
      <c r="P138" s="92">
        <v>42989</v>
      </c>
      <c r="Q138" s="410" t="str">
        <f t="shared" ca="1" si="3"/>
        <v>https://www.youtube.com/embed/ByaheAphduQ?start=1970&amp;end=2092&amp;autoplay=1</v>
      </c>
      <c r="R138" s="103" t="s">
        <v>63</v>
      </c>
      <c r="S138" s="50" t="s">
        <v>63</v>
      </c>
      <c r="T138" s="50" t="s">
        <v>63</v>
      </c>
      <c r="U138" s="52"/>
      <c r="V138" s="53"/>
      <c r="W138" s="60" t="s">
        <v>64</v>
      </c>
      <c r="X138" s="56"/>
      <c r="Y138" s="38"/>
      <c r="Z138" s="38"/>
    </row>
    <row r="139" spans="1:26">
      <c r="A139" s="105">
        <v>59.1</v>
      </c>
      <c r="B139" s="38" t="s">
        <v>55</v>
      </c>
      <c r="C139" s="38"/>
      <c r="D139" s="38" t="s">
        <v>56</v>
      </c>
      <c r="E139" s="38"/>
      <c r="F139" s="38"/>
      <c r="G139" s="38" t="s">
        <v>285</v>
      </c>
      <c r="H139" s="45"/>
      <c r="I139" s="38"/>
      <c r="J139" s="38"/>
      <c r="K139" s="46"/>
      <c r="L139" s="47"/>
      <c r="M139" s="307">
        <v>2.4999999999999998E-2</v>
      </c>
      <c r="N139" s="307">
        <v>2.659722222222222E-2</v>
      </c>
      <c r="O139" s="307">
        <f t="shared" si="0"/>
        <v>1.5972222222222221E-3</v>
      </c>
      <c r="P139" s="92">
        <v>42989</v>
      </c>
      <c r="Q139" s="410" t="str">
        <f t="shared" ca="1" si="3"/>
        <v>https://www.youtube.com/embed/ByaheAphduQ?start=2160&amp;end=2298&amp;autoplay=1</v>
      </c>
      <c r="R139" s="103" t="s">
        <v>63</v>
      </c>
      <c r="S139" s="50" t="s">
        <v>63</v>
      </c>
      <c r="T139" s="50" t="s">
        <v>63</v>
      </c>
      <c r="U139" s="52"/>
      <c r="V139" s="53"/>
      <c r="W139" s="60" t="s">
        <v>64</v>
      </c>
      <c r="X139" s="56"/>
      <c r="Y139" s="38"/>
      <c r="Z139" s="38"/>
    </row>
    <row r="140" spans="1:26">
      <c r="A140" s="105">
        <v>59.11</v>
      </c>
      <c r="B140" s="38" t="s">
        <v>55</v>
      </c>
      <c r="C140" s="38"/>
      <c r="D140" s="38" t="s">
        <v>56</v>
      </c>
      <c r="E140" s="38"/>
      <c r="F140" s="38"/>
      <c r="G140" s="38" t="s">
        <v>288</v>
      </c>
      <c r="H140" s="45"/>
      <c r="I140" s="38"/>
      <c r="J140" s="38"/>
      <c r="K140" s="46"/>
      <c r="L140" s="47"/>
      <c r="M140" s="307">
        <v>2.6736111111111113E-2</v>
      </c>
      <c r="N140" s="307">
        <v>2.9571759259259259E-2</v>
      </c>
      <c r="O140" s="307">
        <f t="shared" si="0"/>
        <v>2.8356481481481462E-3</v>
      </c>
      <c r="P140" s="92">
        <v>42989</v>
      </c>
      <c r="Q140" s="410" t="str">
        <f t="shared" ca="1" si="3"/>
        <v>https://www.youtube.com/embed/ByaheAphduQ?start=2310&amp;end=2555&amp;autoplay=1</v>
      </c>
      <c r="R140" s="103" t="s">
        <v>63</v>
      </c>
      <c r="S140" s="50" t="s">
        <v>63</v>
      </c>
      <c r="T140" s="50" t="s">
        <v>63</v>
      </c>
      <c r="U140" s="52"/>
      <c r="V140" s="53"/>
      <c r="W140" s="60" t="s">
        <v>64</v>
      </c>
      <c r="X140" s="56"/>
      <c r="Y140" s="38"/>
      <c r="Z140" s="38"/>
    </row>
    <row r="141" spans="1:26">
      <c r="A141" s="105">
        <v>59.120000000000097</v>
      </c>
      <c r="B141" s="38" t="s">
        <v>55</v>
      </c>
      <c r="C141" s="38"/>
      <c r="D141" s="38" t="s">
        <v>56</v>
      </c>
      <c r="E141" s="38"/>
      <c r="F141" s="38"/>
      <c r="G141" s="38" t="s">
        <v>291</v>
      </c>
      <c r="H141" s="45"/>
      <c r="I141" s="38"/>
      <c r="J141" s="38"/>
      <c r="K141" s="46"/>
      <c r="L141" s="47"/>
      <c r="M141" s="307">
        <v>3.0034722222222223E-2</v>
      </c>
      <c r="N141" s="307">
        <v>3.0671296296296294E-2</v>
      </c>
      <c r="O141" s="307">
        <f t="shared" si="0"/>
        <v>6.3657407407407066E-4</v>
      </c>
      <c r="P141" s="92">
        <v>42989</v>
      </c>
      <c r="Q141" s="410" t="str">
        <f t="shared" ca="1" si="3"/>
        <v>https://www.youtube.com/embed/ByaheAphduQ?start=2595&amp;end=2650&amp;autoplay=1</v>
      </c>
      <c r="R141" s="103" t="s">
        <v>63</v>
      </c>
      <c r="S141" s="50" t="s">
        <v>63</v>
      </c>
      <c r="T141" s="50" t="s">
        <v>63</v>
      </c>
      <c r="U141" s="52"/>
      <c r="V141" s="53"/>
      <c r="W141" s="60" t="s">
        <v>64</v>
      </c>
      <c r="X141" s="56"/>
      <c r="Y141" s="38"/>
      <c r="Z141" s="38"/>
    </row>
    <row r="142" spans="1:26">
      <c r="A142" s="105">
        <v>59.130000000000102</v>
      </c>
      <c r="B142" s="38" t="s">
        <v>55</v>
      </c>
      <c r="C142" s="38"/>
      <c r="D142" s="38" t="s">
        <v>56</v>
      </c>
      <c r="E142" s="38"/>
      <c r="F142" s="38"/>
      <c r="G142" s="38" t="s">
        <v>294</v>
      </c>
      <c r="H142" s="45" t="s">
        <v>295</v>
      </c>
      <c r="I142" s="38"/>
      <c r="J142" s="38"/>
      <c r="K142" s="46"/>
      <c r="L142" s="47"/>
      <c r="M142" s="307">
        <v>3.1944444444444449E-2</v>
      </c>
      <c r="N142" s="307">
        <v>3.3912037037037039E-2</v>
      </c>
      <c r="O142" s="307">
        <f t="shared" si="0"/>
        <v>1.9675925925925902E-3</v>
      </c>
      <c r="P142" s="92">
        <v>42989</v>
      </c>
      <c r="Q142" s="410" t="str">
        <f t="shared" ca="1" si="3"/>
        <v>https://www.youtube.com/embed/ByaheAphduQ?start=2760&amp;end=2930&amp;autoplay=1</v>
      </c>
      <c r="R142" s="103" t="s">
        <v>63</v>
      </c>
      <c r="S142" s="50" t="s">
        <v>63</v>
      </c>
      <c r="T142" s="50" t="s">
        <v>63</v>
      </c>
      <c r="U142" s="52"/>
      <c r="V142" s="53"/>
      <c r="W142" s="60" t="s">
        <v>64</v>
      </c>
      <c r="X142" s="56"/>
      <c r="Y142" s="38"/>
      <c r="Z142" s="38"/>
    </row>
    <row r="143" spans="1:26">
      <c r="A143" s="105">
        <v>59.1400000000001</v>
      </c>
      <c r="B143" s="38" t="s">
        <v>55</v>
      </c>
      <c r="C143" s="38"/>
      <c r="D143" s="38" t="s">
        <v>56</v>
      </c>
      <c r="E143" s="38"/>
      <c r="F143" s="38"/>
      <c r="G143" s="38" t="s">
        <v>296</v>
      </c>
      <c r="H143" s="45" t="s">
        <v>297</v>
      </c>
      <c r="I143" s="38"/>
      <c r="J143" s="38"/>
      <c r="K143" s="46"/>
      <c r="L143" s="47"/>
      <c r="M143" s="307">
        <v>3.4606481481481481E-2</v>
      </c>
      <c r="N143" s="307">
        <v>3.5196759259259254E-2</v>
      </c>
      <c r="O143" s="307">
        <f t="shared" si="0"/>
        <v>5.9027777777777291E-4</v>
      </c>
      <c r="P143" s="92">
        <v>42989</v>
      </c>
      <c r="Q143" s="410" t="str">
        <f t="shared" ca="1" si="3"/>
        <v>https://www.youtube.com/embed/ByaheAphduQ?start=2990&amp;end=3041&amp;autoplay=1</v>
      </c>
      <c r="R143" s="103" t="s">
        <v>63</v>
      </c>
      <c r="S143" s="50" t="s">
        <v>63</v>
      </c>
      <c r="T143" s="50" t="s">
        <v>63</v>
      </c>
      <c r="U143" s="52"/>
      <c r="V143" s="53"/>
      <c r="W143" s="60" t="s">
        <v>64</v>
      </c>
      <c r="X143" s="56"/>
      <c r="Y143" s="38"/>
      <c r="Z143" s="38"/>
    </row>
    <row r="144" spans="1:26" hidden="1">
      <c r="A144" s="38">
        <v>60</v>
      </c>
      <c r="B144" s="38"/>
      <c r="C144" s="38"/>
      <c r="D144" s="38"/>
      <c r="E144" s="38" t="s">
        <v>371</v>
      </c>
      <c r="F144" s="43" t="s">
        <v>373</v>
      </c>
      <c r="G144" s="44"/>
      <c r="H144" s="45"/>
      <c r="I144" s="38"/>
      <c r="J144" s="38">
        <f>2.3*1000</f>
        <v>2300</v>
      </c>
      <c r="K144" s="46">
        <v>5.6018518518518518E-3</v>
      </c>
      <c r="L144" s="47" t="s">
        <v>286</v>
      </c>
      <c r="M144" s="307"/>
      <c r="N144" s="307"/>
      <c r="O144" s="307">
        <f t="shared" si="0"/>
        <v>0</v>
      </c>
      <c r="P144" s="92"/>
      <c r="Q144" s="410" t="str">
        <f t="shared" ca="1" si="3"/>
        <v>https://www.youtube.com/watch?v=sc4OOSLMiQQ</v>
      </c>
      <c r="R144" s="50"/>
      <c r="S144" s="50"/>
      <c r="T144" s="50"/>
      <c r="U144" s="52"/>
      <c r="V144" s="53"/>
      <c r="W144" s="60"/>
      <c r="X144" s="56"/>
      <c r="Y144" s="38"/>
      <c r="Z144" s="38"/>
    </row>
    <row r="145" spans="1:26" hidden="1">
      <c r="A145" s="38">
        <v>61</v>
      </c>
      <c r="B145" s="38"/>
      <c r="C145" s="38"/>
      <c r="D145" s="38"/>
      <c r="E145" s="38" t="s">
        <v>377</v>
      </c>
      <c r="F145" s="43" t="s">
        <v>378</v>
      </c>
      <c r="G145" s="44"/>
      <c r="H145" s="45"/>
      <c r="I145" s="38"/>
      <c r="J145" s="38">
        <f>709</f>
        <v>709</v>
      </c>
      <c r="K145" s="46">
        <v>2.0138888888888888E-3</v>
      </c>
      <c r="L145" s="47" t="s">
        <v>286</v>
      </c>
      <c r="M145" s="307"/>
      <c r="N145" s="307"/>
      <c r="O145" s="307">
        <f t="shared" si="0"/>
        <v>0</v>
      </c>
      <c r="P145" s="92"/>
      <c r="Q145" s="410" t="str">
        <f t="shared" ca="1" si="3"/>
        <v>https://www.youtube.com/watch?v=QZxRsM9xvK4</v>
      </c>
      <c r="R145" s="50"/>
      <c r="S145" s="50"/>
      <c r="T145" s="50"/>
      <c r="U145" s="52"/>
      <c r="V145" s="53"/>
      <c r="W145" s="60"/>
      <c r="X145" s="56"/>
      <c r="Y145" s="38"/>
      <c r="Z145" s="38"/>
    </row>
    <row r="146" spans="1:26">
      <c r="A146" s="38">
        <v>62</v>
      </c>
      <c r="B146" s="38" t="s">
        <v>55</v>
      </c>
      <c r="C146" s="42"/>
      <c r="D146" s="38" t="s">
        <v>56</v>
      </c>
      <c r="E146" s="38" t="s">
        <v>299</v>
      </c>
      <c r="F146" s="43" t="s">
        <v>300</v>
      </c>
      <c r="G146" s="44"/>
      <c r="H146" s="45"/>
      <c r="I146" s="38"/>
      <c r="J146" s="38">
        <f>6.1*1000</f>
        <v>6100</v>
      </c>
      <c r="K146" s="46">
        <v>3.6041666666666666E-2</v>
      </c>
      <c r="L146" s="47" t="s">
        <v>286</v>
      </c>
      <c r="M146" s="307"/>
      <c r="N146" s="307"/>
      <c r="O146" s="307">
        <f t="shared" si="0"/>
        <v>0</v>
      </c>
      <c r="P146" s="92">
        <v>42997</v>
      </c>
      <c r="Q146" s="410" t="str">
        <f t="shared" ca="1" si="3"/>
        <v>https://www.youtube.com/watch?v=s3LVHHEe2vc</v>
      </c>
      <c r="R146" s="50" t="s">
        <v>63</v>
      </c>
      <c r="S146" s="50" t="s">
        <v>63</v>
      </c>
      <c r="T146" s="50" t="s">
        <v>63</v>
      </c>
      <c r="U146" s="52"/>
      <c r="V146" s="53"/>
      <c r="W146" s="60" t="s">
        <v>151</v>
      </c>
      <c r="X146" s="56"/>
      <c r="Y146" s="38"/>
      <c r="Z146" s="38"/>
    </row>
    <row r="147" spans="1:26">
      <c r="A147" s="85">
        <v>62.01</v>
      </c>
      <c r="B147" s="38" t="s">
        <v>55</v>
      </c>
      <c r="C147" s="38"/>
      <c r="D147" s="38" t="s">
        <v>56</v>
      </c>
      <c r="E147" s="38"/>
      <c r="F147" s="43"/>
      <c r="G147" s="44" t="s">
        <v>302</v>
      </c>
      <c r="H147" s="45"/>
      <c r="I147" s="38"/>
      <c r="J147" s="38"/>
      <c r="K147" s="46"/>
      <c r="L147" s="47"/>
      <c r="M147" s="307">
        <v>2.9166666666666668E-3</v>
      </c>
      <c r="N147" s="307">
        <v>4.1666666666666666E-3</v>
      </c>
      <c r="O147" s="307">
        <f t="shared" si="0"/>
        <v>1.2499999999999998E-3</v>
      </c>
      <c r="P147" s="92">
        <v>42997</v>
      </c>
      <c r="Q147" s="410" t="str">
        <f t="shared" ca="1" si="3"/>
        <v>https://www.youtube.com/embed/s3LVHHEe2vc?start=252&amp;end=360&amp;autoplay=1</v>
      </c>
      <c r="R147" s="50" t="s">
        <v>63</v>
      </c>
      <c r="S147" s="50" t="s">
        <v>63</v>
      </c>
      <c r="T147" s="50" t="s">
        <v>63</v>
      </c>
      <c r="U147" s="52"/>
      <c r="V147" s="53"/>
      <c r="W147" s="60" t="s">
        <v>151</v>
      </c>
      <c r="X147" s="56"/>
      <c r="Y147" s="38"/>
      <c r="Z147" s="38"/>
    </row>
    <row r="148" spans="1:26">
      <c r="A148" s="85">
        <v>62.02</v>
      </c>
      <c r="B148" s="38" t="s">
        <v>55</v>
      </c>
      <c r="C148" s="38"/>
      <c r="D148" s="38" t="s">
        <v>56</v>
      </c>
      <c r="E148" s="38"/>
      <c r="F148" s="43"/>
      <c r="G148" s="44" t="s">
        <v>304</v>
      </c>
      <c r="H148" s="45" t="s">
        <v>305</v>
      </c>
      <c r="I148" s="38"/>
      <c r="J148" s="38"/>
      <c r="K148" s="46"/>
      <c r="L148" s="47"/>
      <c r="M148" s="307">
        <v>5.0347222222222225E-3</v>
      </c>
      <c r="N148" s="307">
        <v>6.4930555555555549E-3</v>
      </c>
      <c r="O148" s="307">
        <f t="shared" si="0"/>
        <v>1.4583333333333323E-3</v>
      </c>
      <c r="P148" s="92">
        <v>42997</v>
      </c>
      <c r="Q148" s="410" t="str">
        <f t="shared" ca="1" si="3"/>
        <v>https://www.youtube.com/embed/s3LVHHEe2vc?start=435&amp;end=561&amp;autoplay=1</v>
      </c>
      <c r="R148" s="50" t="s">
        <v>63</v>
      </c>
      <c r="S148" s="50" t="s">
        <v>63</v>
      </c>
      <c r="T148" s="50" t="s">
        <v>63</v>
      </c>
      <c r="U148" s="52"/>
      <c r="V148" s="53"/>
      <c r="W148" s="60" t="s">
        <v>151</v>
      </c>
      <c r="X148" s="56"/>
      <c r="Y148" s="38"/>
      <c r="Z148" s="38"/>
    </row>
    <row r="149" spans="1:26">
      <c r="A149" s="85">
        <v>62.03</v>
      </c>
      <c r="B149" s="38" t="s">
        <v>55</v>
      </c>
      <c r="C149" s="38"/>
      <c r="D149" s="38" t="s">
        <v>56</v>
      </c>
      <c r="E149" s="38"/>
      <c r="F149" s="43"/>
      <c r="G149" s="44" t="s">
        <v>307</v>
      </c>
      <c r="H149" s="45" t="s">
        <v>308</v>
      </c>
      <c r="I149" s="38"/>
      <c r="J149" s="38"/>
      <c r="K149" s="46"/>
      <c r="L149" s="47"/>
      <c r="M149" s="307">
        <v>8.4490740740740741E-3</v>
      </c>
      <c r="N149" s="307">
        <v>1.1574074074074075E-2</v>
      </c>
      <c r="O149" s="307">
        <f t="shared" si="0"/>
        <v>3.125000000000001E-3</v>
      </c>
      <c r="P149" s="92">
        <v>42997</v>
      </c>
      <c r="Q149" s="410" t="str">
        <f t="shared" ca="1" si="3"/>
        <v>https://www.youtube.com/embed/s3LVHHEe2vc?start=730&amp;end=1000&amp;autoplay=1</v>
      </c>
      <c r="R149" s="50" t="s">
        <v>63</v>
      </c>
      <c r="S149" s="50" t="s">
        <v>63</v>
      </c>
      <c r="T149" s="50" t="s">
        <v>63</v>
      </c>
      <c r="U149" s="52"/>
      <c r="V149" s="53"/>
      <c r="W149" s="60" t="s">
        <v>151</v>
      </c>
      <c r="X149" s="56"/>
      <c r="Y149" s="38"/>
      <c r="Z149" s="38"/>
    </row>
    <row r="150" spans="1:26">
      <c r="A150" s="85">
        <v>62.04</v>
      </c>
      <c r="B150" s="38" t="s">
        <v>55</v>
      </c>
      <c r="C150" s="38"/>
      <c r="D150" s="38" t="s">
        <v>56</v>
      </c>
      <c r="E150" s="38"/>
      <c r="F150" s="43"/>
      <c r="G150" s="44" t="s">
        <v>310</v>
      </c>
      <c r="H150" s="45"/>
      <c r="I150" s="38"/>
      <c r="J150" s="38"/>
      <c r="K150" s="46"/>
      <c r="L150" s="47"/>
      <c r="M150" s="307">
        <v>2.5891203703703704E-2</v>
      </c>
      <c r="N150" s="307">
        <v>2.7083333333333334E-2</v>
      </c>
      <c r="O150" s="307">
        <f t="shared" si="0"/>
        <v>1.1921296296296298E-3</v>
      </c>
      <c r="P150" s="92">
        <v>42997</v>
      </c>
      <c r="Q150" s="410" t="str">
        <f t="shared" ca="1" si="3"/>
        <v>https://www.youtube.com/embed/s3LVHHEe2vc?start=2237&amp;end=2340&amp;autoplay=1</v>
      </c>
      <c r="R150" s="50" t="s">
        <v>63</v>
      </c>
      <c r="S150" s="50" t="s">
        <v>63</v>
      </c>
      <c r="T150" s="50" t="s">
        <v>63</v>
      </c>
      <c r="U150" s="52"/>
      <c r="V150" s="53"/>
      <c r="W150" s="60" t="s">
        <v>151</v>
      </c>
      <c r="X150" s="56"/>
      <c r="Y150" s="38"/>
      <c r="Z150" s="38"/>
    </row>
    <row r="151" spans="1:26">
      <c r="A151" s="85">
        <v>62.05</v>
      </c>
      <c r="B151" s="38" t="s">
        <v>55</v>
      </c>
      <c r="C151" s="38"/>
      <c r="D151" s="38" t="s">
        <v>56</v>
      </c>
      <c r="E151" s="38"/>
      <c r="F151" s="43"/>
      <c r="G151" s="44" t="s">
        <v>311</v>
      </c>
      <c r="H151" s="45"/>
      <c r="I151" s="38"/>
      <c r="J151" s="38"/>
      <c r="K151" s="46"/>
      <c r="L151" s="47"/>
      <c r="M151" s="307">
        <v>2.7546296296296294E-2</v>
      </c>
      <c r="N151" s="307">
        <v>2.8645833333333332E-2</v>
      </c>
      <c r="O151" s="307">
        <f t="shared" si="0"/>
        <v>1.0995370370370378E-3</v>
      </c>
      <c r="P151" s="92">
        <v>42997</v>
      </c>
      <c r="Q151" s="410" t="str">
        <f t="shared" ca="1" si="3"/>
        <v>https://www.youtube.com/embed/s3LVHHEe2vc?start=2380&amp;end=2475&amp;autoplay=1</v>
      </c>
      <c r="R151" s="50" t="s">
        <v>63</v>
      </c>
      <c r="S151" s="50" t="s">
        <v>63</v>
      </c>
      <c r="T151" s="50" t="s">
        <v>63</v>
      </c>
      <c r="U151" s="52"/>
      <c r="V151" s="53"/>
      <c r="W151" s="60" t="s">
        <v>151</v>
      </c>
      <c r="X151" s="56"/>
      <c r="Y151" s="38"/>
      <c r="Z151" s="38"/>
    </row>
    <row r="152" spans="1:26">
      <c r="A152" s="85">
        <v>62.06</v>
      </c>
      <c r="B152" s="38" t="s">
        <v>55</v>
      </c>
      <c r="C152" s="38"/>
      <c r="D152" s="38" t="s">
        <v>56</v>
      </c>
      <c r="E152" s="38"/>
      <c r="F152" s="43"/>
      <c r="G152" s="44" t="s">
        <v>313</v>
      </c>
      <c r="H152" s="45"/>
      <c r="I152" s="38"/>
      <c r="J152" s="38"/>
      <c r="K152" s="46"/>
      <c r="L152" s="47"/>
      <c r="M152" s="307">
        <v>2.8645833333333332E-2</v>
      </c>
      <c r="N152" s="307">
        <v>3.0439814814814819E-2</v>
      </c>
      <c r="O152" s="307">
        <f t="shared" si="0"/>
        <v>1.7939814814814867E-3</v>
      </c>
      <c r="P152" s="92">
        <v>42997</v>
      </c>
      <c r="Q152" s="410" t="str">
        <f t="shared" ca="1" si="3"/>
        <v>https://www.youtube.com/embed/s3LVHHEe2vc?start=2475&amp;end=2630&amp;autoplay=1</v>
      </c>
      <c r="R152" s="50" t="s">
        <v>63</v>
      </c>
      <c r="S152" s="50" t="s">
        <v>63</v>
      </c>
      <c r="T152" s="50" t="s">
        <v>63</v>
      </c>
      <c r="U152" s="52"/>
      <c r="V152" s="53"/>
      <c r="W152" s="60" t="s">
        <v>151</v>
      </c>
      <c r="X152" s="56"/>
      <c r="Y152" s="38"/>
      <c r="Z152" s="38"/>
    </row>
    <row r="153" spans="1:26">
      <c r="A153" s="85">
        <v>62.07</v>
      </c>
      <c r="B153" s="38" t="s">
        <v>55</v>
      </c>
      <c r="C153" s="38"/>
      <c r="D153" s="38" t="s">
        <v>56</v>
      </c>
      <c r="E153" s="38"/>
      <c r="F153" s="43"/>
      <c r="G153" s="44" t="s">
        <v>314</v>
      </c>
      <c r="H153" s="45"/>
      <c r="I153" s="38"/>
      <c r="J153" s="38"/>
      <c r="K153" s="46"/>
      <c r="L153" s="47"/>
      <c r="M153" s="307">
        <v>3.0497685185185183E-2</v>
      </c>
      <c r="N153" s="307">
        <v>3.2870370370370376E-2</v>
      </c>
      <c r="O153" s="307">
        <f t="shared" si="0"/>
        <v>2.3726851851851929E-3</v>
      </c>
      <c r="P153" s="92">
        <v>42997</v>
      </c>
      <c r="Q153" s="410" t="str">
        <f t="shared" ca="1" si="3"/>
        <v>https://www.youtube.com/embed/s3LVHHEe2vc?start=2635&amp;end=2840&amp;autoplay=1</v>
      </c>
      <c r="R153" s="50" t="s">
        <v>63</v>
      </c>
      <c r="S153" s="50" t="s">
        <v>63</v>
      </c>
      <c r="T153" s="50" t="s">
        <v>63</v>
      </c>
      <c r="U153" s="52"/>
      <c r="V153" s="53"/>
      <c r="W153" s="60" t="s">
        <v>151</v>
      </c>
      <c r="X153" s="56"/>
      <c r="Y153" s="38"/>
      <c r="Z153" s="38"/>
    </row>
    <row r="154" spans="1:26">
      <c r="A154" s="38">
        <v>63</v>
      </c>
      <c r="B154" s="39" t="s">
        <v>382</v>
      </c>
      <c r="C154" s="40"/>
      <c r="D154" s="42" t="s">
        <v>56</v>
      </c>
      <c r="E154" s="38" t="s">
        <v>384</v>
      </c>
      <c r="F154" s="43" t="s">
        <v>385</v>
      </c>
      <c r="G154" s="63" t="s">
        <v>2355</v>
      </c>
      <c r="H154" s="83" t="s">
        <v>2356</v>
      </c>
      <c r="I154" s="38"/>
      <c r="J154" s="38">
        <f>1.2*1000</f>
        <v>1200</v>
      </c>
      <c r="K154" s="46">
        <v>1.1446759259259261E-2</v>
      </c>
      <c r="L154" s="47" t="s">
        <v>286</v>
      </c>
      <c r="M154" s="307"/>
      <c r="N154" s="307"/>
      <c r="O154" s="307">
        <f t="shared" si="0"/>
        <v>0</v>
      </c>
      <c r="P154" s="66">
        <v>43022</v>
      </c>
      <c r="Q154" s="410" t="str">
        <f t="shared" ca="1" si="3"/>
        <v>https://www.youtube.com/watch?v=-3rtVbNkNNQ</v>
      </c>
      <c r="R154" s="39" t="s">
        <v>63</v>
      </c>
      <c r="S154" s="39" t="s">
        <v>63</v>
      </c>
      <c r="T154" s="39" t="s">
        <v>63</v>
      </c>
      <c r="U154" s="40"/>
      <c r="V154" s="54"/>
      <c r="W154" s="55"/>
      <c r="X154" s="56"/>
      <c r="Y154" s="38"/>
      <c r="Z154" s="38"/>
    </row>
    <row r="155" spans="1:26">
      <c r="A155" s="38">
        <v>64</v>
      </c>
      <c r="B155" s="39" t="s">
        <v>382</v>
      </c>
      <c r="C155" s="40"/>
      <c r="D155" s="42" t="s">
        <v>56</v>
      </c>
      <c r="E155" s="38" t="s">
        <v>388</v>
      </c>
      <c r="F155" s="43" t="s">
        <v>389</v>
      </c>
      <c r="G155" s="44"/>
      <c r="H155" s="45"/>
      <c r="I155" s="38"/>
      <c r="J155" s="38">
        <f>694</f>
        <v>694</v>
      </c>
      <c r="K155" s="46">
        <v>9.1203703703703707E-3</v>
      </c>
      <c r="L155" s="47" t="s">
        <v>286</v>
      </c>
      <c r="M155" s="307"/>
      <c r="N155" s="307"/>
      <c r="O155" s="307">
        <f t="shared" si="0"/>
        <v>0</v>
      </c>
      <c r="P155" s="66">
        <v>43022</v>
      </c>
      <c r="Q155" s="410" t="str">
        <f t="shared" ca="1" si="3"/>
        <v>https://www.youtube.com/watch?v=ytrFjytVgtk</v>
      </c>
      <c r="R155" s="39" t="s">
        <v>63</v>
      </c>
      <c r="S155" s="39" t="s">
        <v>63</v>
      </c>
      <c r="T155" s="39" t="s">
        <v>63</v>
      </c>
      <c r="U155" s="40"/>
      <c r="V155" s="54"/>
      <c r="W155" s="55"/>
      <c r="X155" s="56"/>
      <c r="Y155" s="38"/>
      <c r="Z155" s="38"/>
    </row>
    <row r="156" spans="1:26">
      <c r="A156" s="83">
        <v>64.010000000000005</v>
      </c>
      <c r="B156" s="39" t="s">
        <v>382</v>
      </c>
      <c r="C156" s="40"/>
      <c r="D156" s="42" t="s">
        <v>56</v>
      </c>
      <c r="E156" s="308"/>
      <c r="F156" s="308"/>
      <c r="G156" s="83" t="s">
        <v>2363</v>
      </c>
      <c r="H156" s="83" t="s">
        <v>2364</v>
      </c>
      <c r="I156" s="73"/>
      <c r="J156" s="73"/>
      <c r="K156" s="73"/>
      <c r="L156" s="73"/>
      <c r="M156" s="345">
        <v>4.6296296296296294E-3</v>
      </c>
      <c r="N156" s="345">
        <v>7.7083333333333335E-3</v>
      </c>
      <c r="O156" s="307">
        <f t="shared" si="0"/>
        <v>3.0787037037037042E-3</v>
      </c>
      <c r="P156" s="66">
        <v>43022</v>
      </c>
      <c r="Q156" s="410" t="str">
        <f t="shared" ca="1" si="3"/>
        <v>https://www.youtube.com/embed/ytrFjytVgtk?start=400&amp;end=666&amp;autoplay=1</v>
      </c>
      <c r="R156" s="83" t="s">
        <v>63</v>
      </c>
      <c r="S156" s="83" t="s">
        <v>63</v>
      </c>
      <c r="T156" s="83" t="s">
        <v>63</v>
      </c>
      <c r="U156" s="83" t="s">
        <v>151</v>
      </c>
      <c r="V156" s="73"/>
      <c r="W156" s="83"/>
      <c r="X156" s="83"/>
      <c r="Y156" s="308"/>
      <c r="Z156" s="308"/>
    </row>
    <row r="157" spans="1:26">
      <c r="A157" s="38">
        <v>65</v>
      </c>
      <c r="B157" s="39" t="s">
        <v>382</v>
      </c>
      <c r="C157" s="40"/>
      <c r="D157" s="42" t="s">
        <v>56</v>
      </c>
      <c r="E157" s="38" t="s">
        <v>393</v>
      </c>
      <c r="F157" s="43" t="s">
        <v>394</v>
      </c>
      <c r="G157" s="44"/>
      <c r="H157" s="45"/>
      <c r="I157" s="38"/>
      <c r="J157" s="38">
        <f>588</f>
        <v>588</v>
      </c>
      <c r="K157" s="46">
        <v>7.1990740740740739E-3</v>
      </c>
      <c r="L157" s="47" t="s">
        <v>286</v>
      </c>
      <c r="M157" s="307"/>
      <c r="N157" s="307"/>
      <c r="O157" s="307">
        <f t="shared" si="0"/>
        <v>0</v>
      </c>
      <c r="P157" s="66">
        <v>43023</v>
      </c>
      <c r="Q157" s="410" t="str">
        <f t="shared" ca="1" si="3"/>
        <v>https://www.youtube.com/watch?v=28dLjjiriJA</v>
      </c>
      <c r="R157" s="51"/>
      <c r="S157" s="51"/>
      <c r="T157" s="51"/>
      <c r="U157" s="40"/>
      <c r="V157" s="54"/>
      <c r="W157" s="55"/>
      <c r="X157" s="56"/>
      <c r="Y157" s="38"/>
      <c r="Z157" s="38"/>
    </row>
    <row r="158" spans="1:26">
      <c r="A158" s="83">
        <v>65.010000000000005</v>
      </c>
      <c r="B158" s="39" t="s">
        <v>382</v>
      </c>
      <c r="C158" s="40"/>
      <c r="D158" s="42" t="s">
        <v>56</v>
      </c>
      <c r="E158" s="38"/>
      <c r="F158" s="43"/>
      <c r="G158" s="63" t="s">
        <v>2369</v>
      </c>
      <c r="H158" s="45"/>
      <c r="I158" s="38"/>
      <c r="J158" s="38"/>
      <c r="K158" s="46"/>
      <c r="L158" s="47"/>
      <c r="M158" s="342">
        <v>1.1574074074074075E-4</v>
      </c>
      <c r="N158" s="342">
        <v>2.8935185185185184E-3</v>
      </c>
      <c r="O158" s="307">
        <f t="shared" si="0"/>
        <v>2.7777777777777775E-3</v>
      </c>
      <c r="P158" s="66">
        <v>43023</v>
      </c>
      <c r="Q158" s="410" t="str">
        <f t="shared" ca="1" si="3"/>
        <v>https://www.youtube.com/embed/28dLjjiriJA?start=10&amp;end=250&amp;autoplay=1</v>
      </c>
      <c r="R158" s="39" t="s">
        <v>63</v>
      </c>
      <c r="S158" s="39" t="s">
        <v>63</v>
      </c>
      <c r="T158" s="39" t="s">
        <v>63</v>
      </c>
      <c r="U158" s="40"/>
      <c r="V158" s="54"/>
      <c r="W158" s="55"/>
      <c r="X158" s="56"/>
      <c r="Y158" s="38"/>
      <c r="Z158" s="38"/>
    </row>
    <row r="159" spans="1:26">
      <c r="A159" s="83">
        <v>65.02</v>
      </c>
      <c r="B159" s="39" t="s">
        <v>382</v>
      </c>
      <c r="C159" s="40"/>
      <c r="D159" s="42" t="s">
        <v>56</v>
      </c>
      <c r="E159" s="38"/>
      <c r="F159" s="43"/>
      <c r="G159" s="63" t="s">
        <v>2372</v>
      </c>
      <c r="H159" s="45"/>
      <c r="I159" s="38"/>
      <c r="J159" s="38"/>
      <c r="K159" s="46"/>
      <c r="L159" s="47"/>
      <c r="M159" s="342">
        <v>2.9166666666666668E-3</v>
      </c>
      <c r="N159" s="342">
        <v>6.7129629629629631E-3</v>
      </c>
      <c r="O159" s="307">
        <f t="shared" si="0"/>
        <v>3.7962962962962963E-3</v>
      </c>
      <c r="P159" s="66">
        <v>43023</v>
      </c>
      <c r="Q159" s="410" t="str">
        <f t="shared" ca="1" si="3"/>
        <v>https://www.youtube.com/embed/28dLjjiriJA?start=252&amp;end=580&amp;autoplay=1</v>
      </c>
      <c r="R159" s="39" t="s">
        <v>63</v>
      </c>
      <c r="S159" s="39" t="s">
        <v>63</v>
      </c>
      <c r="T159" s="39" t="s">
        <v>63</v>
      </c>
      <c r="U159" s="40"/>
      <c r="V159" s="54"/>
      <c r="W159" s="55"/>
      <c r="X159" s="56"/>
      <c r="Y159" s="38"/>
      <c r="Z159" s="38"/>
    </row>
    <row r="160" spans="1:26" hidden="1">
      <c r="A160" s="38">
        <v>66</v>
      </c>
      <c r="B160" s="38"/>
      <c r="C160" s="38"/>
      <c r="D160" s="38"/>
      <c r="E160" s="38" t="s">
        <v>399</v>
      </c>
      <c r="F160" s="43" t="s">
        <v>401</v>
      </c>
      <c r="G160" s="44"/>
      <c r="H160" s="45"/>
      <c r="I160" s="38"/>
      <c r="J160" s="38">
        <f>2.9*1000</f>
        <v>2900</v>
      </c>
      <c r="K160" s="46">
        <v>2.7766203703703706E-2</v>
      </c>
      <c r="L160" s="47" t="s">
        <v>286</v>
      </c>
      <c r="M160" s="307"/>
      <c r="N160" s="307"/>
      <c r="O160" s="307">
        <f t="shared" si="0"/>
        <v>0</v>
      </c>
      <c r="P160" s="92"/>
      <c r="Q160" s="410" t="str">
        <f t="shared" ca="1" si="3"/>
        <v>https://www.youtube.com/watch?v=mhHQNrL_bkM</v>
      </c>
      <c r="R160" s="50"/>
      <c r="S160" s="50"/>
      <c r="T160" s="50"/>
      <c r="U160" s="52"/>
      <c r="V160" s="53"/>
      <c r="W160" s="60"/>
      <c r="X160" s="56"/>
      <c r="Y160" s="38"/>
      <c r="Z160" s="38"/>
    </row>
    <row r="161" spans="1:26" hidden="1">
      <c r="A161" s="38">
        <v>67</v>
      </c>
      <c r="B161" s="38"/>
      <c r="C161" s="38"/>
      <c r="D161" s="38"/>
      <c r="E161" s="38" t="s">
        <v>404</v>
      </c>
      <c r="F161" s="43" t="s">
        <v>407</v>
      </c>
      <c r="G161" s="44"/>
      <c r="H161" s="45"/>
      <c r="I161" s="38"/>
      <c r="J161" s="38">
        <f>575</f>
        <v>575</v>
      </c>
      <c r="K161" s="46">
        <v>5.0347222222222225E-3</v>
      </c>
      <c r="L161" s="47" t="s">
        <v>286</v>
      </c>
      <c r="M161" s="307"/>
      <c r="N161" s="307"/>
      <c r="O161" s="307">
        <f t="shared" si="0"/>
        <v>0</v>
      </c>
      <c r="P161" s="92"/>
      <c r="Q161" s="410" t="str">
        <f t="shared" ca="1" si="3"/>
        <v>https://www.youtube.com/watch?v=HZ6X5Xt1nS8</v>
      </c>
      <c r="R161" s="50"/>
      <c r="S161" s="50"/>
      <c r="T161" s="50"/>
      <c r="U161" s="52"/>
      <c r="V161" s="53"/>
      <c r="W161" s="60"/>
      <c r="X161" s="56"/>
      <c r="Y161" s="38"/>
      <c r="Z161" s="38"/>
    </row>
    <row r="162" spans="1:26">
      <c r="A162" s="38">
        <v>68</v>
      </c>
      <c r="B162" s="39" t="s">
        <v>382</v>
      </c>
      <c r="C162" s="40"/>
      <c r="D162" s="42" t="s">
        <v>56</v>
      </c>
      <c r="E162" s="38" t="s">
        <v>412</v>
      </c>
      <c r="F162" s="43" t="s">
        <v>414</v>
      </c>
      <c r="G162" s="63" t="s">
        <v>2373</v>
      </c>
      <c r="H162" s="58" t="s">
        <v>2374</v>
      </c>
      <c r="I162" s="38"/>
      <c r="J162" s="38">
        <f t="shared" ref="J162:J163" si="4">2.5*1000</f>
        <v>2500</v>
      </c>
      <c r="K162" s="46">
        <v>2.4166666666666666E-2</v>
      </c>
      <c r="L162" s="47" t="s">
        <v>286</v>
      </c>
      <c r="M162" s="342">
        <v>3.1250000000000001E-4</v>
      </c>
      <c r="N162" s="342">
        <v>2.361111111111111E-2</v>
      </c>
      <c r="O162" s="307">
        <f t="shared" si="0"/>
        <v>2.329861111111111E-2</v>
      </c>
      <c r="P162" s="66">
        <v>43029</v>
      </c>
      <c r="Q162" s="410" t="str">
        <f t="shared" ca="1" si="3"/>
        <v>https://www.youtube.com/watch?v=IAmXafhUmYc</v>
      </c>
      <c r="R162" s="39" t="s">
        <v>63</v>
      </c>
      <c r="S162" s="39" t="s">
        <v>63</v>
      </c>
      <c r="T162" s="39" t="s">
        <v>63</v>
      </c>
      <c r="U162" s="40"/>
      <c r="V162" s="54"/>
      <c r="W162" s="69" t="s">
        <v>64</v>
      </c>
      <c r="X162" s="56"/>
      <c r="Y162" s="38"/>
      <c r="Z162" s="38"/>
    </row>
    <row r="163" spans="1:26" ht="14.25" customHeight="1">
      <c r="A163" s="38">
        <v>69</v>
      </c>
      <c r="B163" s="39" t="s">
        <v>382</v>
      </c>
      <c r="C163" s="40"/>
      <c r="D163" s="42" t="s">
        <v>56</v>
      </c>
      <c r="E163" s="38" t="s">
        <v>418</v>
      </c>
      <c r="F163" s="43" t="s">
        <v>420</v>
      </c>
      <c r="G163" s="44"/>
      <c r="H163" s="45"/>
      <c r="I163" s="38"/>
      <c r="J163" s="38">
        <f t="shared" si="4"/>
        <v>2500</v>
      </c>
      <c r="K163" s="46">
        <v>3.5428240740740739E-2</v>
      </c>
      <c r="L163" s="47" t="s">
        <v>286</v>
      </c>
      <c r="M163" s="48"/>
      <c r="N163" s="48"/>
      <c r="O163" s="48">
        <f t="shared" si="0"/>
        <v>0</v>
      </c>
      <c r="P163" s="66">
        <v>43030</v>
      </c>
      <c r="Q163" s="410" t="str">
        <f t="shared" ca="1" si="3"/>
        <v>https://www.youtube.com/watch?v=M-zdPqtp9Kk</v>
      </c>
      <c r="R163" s="51"/>
      <c r="S163" s="51"/>
      <c r="T163" s="51"/>
      <c r="U163" s="40"/>
      <c r="V163" s="54"/>
      <c r="W163" s="55"/>
      <c r="X163" s="56"/>
      <c r="Y163" s="38"/>
      <c r="Z163" s="38"/>
    </row>
    <row r="164" spans="1:26">
      <c r="A164" s="42">
        <v>69.010000000000005</v>
      </c>
      <c r="B164" s="39" t="s">
        <v>382</v>
      </c>
      <c r="C164" s="40"/>
      <c r="D164" s="42" t="s">
        <v>56</v>
      </c>
      <c r="E164" s="38"/>
      <c r="F164" s="43"/>
      <c r="G164" s="63" t="s">
        <v>2381</v>
      </c>
      <c r="H164" s="58" t="s">
        <v>2374</v>
      </c>
      <c r="I164" s="38"/>
      <c r="J164" s="38"/>
      <c r="K164" s="46"/>
      <c r="L164" s="47"/>
      <c r="M164" s="93">
        <v>9.3171296296296301E-3</v>
      </c>
      <c r="N164" s="93">
        <v>2.1354166666666667E-2</v>
      </c>
      <c r="O164" s="48">
        <f t="shared" si="0"/>
        <v>1.2037037037037037E-2</v>
      </c>
      <c r="P164" s="66">
        <v>43030</v>
      </c>
      <c r="Q164" s="410" t="str">
        <f t="shared" ca="1" si="3"/>
        <v>https://www.youtube.com/embed/M-zdPqtp9Kk?start=805&amp;end=1845&amp;autoplay=1</v>
      </c>
      <c r="R164" s="39" t="s">
        <v>63</v>
      </c>
      <c r="S164" s="39" t="s">
        <v>2382</v>
      </c>
      <c r="T164" s="39" t="s">
        <v>63</v>
      </c>
      <c r="U164" s="40"/>
      <c r="V164" s="54"/>
      <c r="W164" s="55"/>
      <c r="X164" s="71" t="s">
        <v>64</v>
      </c>
      <c r="Y164" s="38"/>
      <c r="Z164" s="38"/>
    </row>
    <row r="165" spans="1:26">
      <c r="A165" s="42">
        <v>69.02</v>
      </c>
      <c r="B165" s="39" t="s">
        <v>382</v>
      </c>
      <c r="C165" s="40"/>
      <c r="D165" s="42" t="s">
        <v>56</v>
      </c>
      <c r="E165" s="38"/>
      <c r="F165" s="43"/>
      <c r="G165" s="63" t="s">
        <v>2383</v>
      </c>
      <c r="H165" s="58" t="s">
        <v>2384</v>
      </c>
      <c r="I165" s="38"/>
      <c r="J165" s="38"/>
      <c r="K165" s="46"/>
      <c r="L165" s="47"/>
      <c r="M165" s="93">
        <v>2.1354166666666667E-2</v>
      </c>
      <c r="N165" s="93">
        <v>3.6111111111111108E-2</v>
      </c>
      <c r="O165" s="48">
        <f t="shared" si="0"/>
        <v>1.4756944444444441E-2</v>
      </c>
      <c r="P165" s="66">
        <v>43030</v>
      </c>
      <c r="Q165" s="410" t="str">
        <f t="shared" ca="1" si="3"/>
        <v>https://www.youtube.com/embed/M-zdPqtp9Kk?start=1845&amp;end=3120&amp;autoplay=1</v>
      </c>
      <c r="R165" s="39" t="s">
        <v>63</v>
      </c>
      <c r="S165" s="39" t="s">
        <v>2382</v>
      </c>
      <c r="T165" s="39" t="s">
        <v>63</v>
      </c>
      <c r="U165" s="40"/>
      <c r="V165" s="54"/>
      <c r="W165" s="55"/>
      <c r="X165" s="71" t="s">
        <v>64</v>
      </c>
      <c r="Y165" s="38"/>
      <c r="Z165" s="38"/>
    </row>
    <row r="166" spans="1:26">
      <c r="A166" s="38">
        <v>70</v>
      </c>
      <c r="B166" s="39" t="s">
        <v>382</v>
      </c>
      <c r="C166" s="40"/>
      <c r="D166" s="42" t="s">
        <v>56</v>
      </c>
      <c r="E166" s="38" t="s">
        <v>422</v>
      </c>
      <c r="F166" s="43" t="s">
        <v>423</v>
      </c>
      <c r="G166" s="44"/>
      <c r="H166" s="45"/>
      <c r="I166" s="38"/>
      <c r="J166" s="38">
        <f>568</f>
        <v>568</v>
      </c>
      <c r="K166" s="46">
        <v>3.5185185185185185E-3</v>
      </c>
      <c r="L166" s="47" t="s">
        <v>286</v>
      </c>
      <c r="M166" s="48"/>
      <c r="N166" s="48"/>
      <c r="O166" s="48">
        <f t="shared" si="0"/>
        <v>0</v>
      </c>
      <c r="P166" s="65">
        <v>43031</v>
      </c>
      <c r="Q166" s="410" t="str">
        <f t="shared" ca="1" si="3"/>
        <v>https://www.youtube.com/watch?v=J5mYtIH7Pho</v>
      </c>
      <c r="R166" s="39" t="s">
        <v>63</v>
      </c>
      <c r="S166" s="39" t="s">
        <v>63</v>
      </c>
      <c r="T166" s="39" t="s">
        <v>63</v>
      </c>
      <c r="U166" s="40"/>
      <c r="V166" s="54"/>
      <c r="W166" s="55"/>
      <c r="X166" s="56"/>
      <c r="Y166" s="38"/>
      <c r="Z166" s="38"/>
    </row>
    <row r="167" spans="1:26">
      <c r="A167" s="38">
        <v>71</v>
      </c>
      <c r="B167" s="39" t="s">
        <v>382</v>
      </c>
      <c r="C167" s="40"/>
      <c r="D167" s="42" t="s">
        <v>56</v>
      </c>
      <c r="E167" s="38" t="s">
        <v>429</v>
      </c>
      <c r="F167" s="43" t="s">
        <v>430</v>
      </c>
      <c r="G167" s="63" t="s">
        <v>2392</v>
      </c>
      <c r="H167" s="58" t="s">
        <v>2393</v>
      </c>
      <c r="I167" s="38"/>
      <c r="J167" s="38">
        <f>1.1*1000</f>
        <v>1100</v>
      </c>
      <c r="K167" s="46">
        <v>8.5532407407407415E-3</v>
      </c>
      <c r="L167" s="47" t="s">
        <v>286</v>
      </c>
      <c r="M167" s="48"/>
      <c r="N167" s="48"/>
      <c r="O167" s="48">
        <f t="shared" si="0"/>
        <v>0</v>
      </c>
      <c r="P167" s="65">
        <v>43035</v>
      </c>
      <c r="Q167" s="410" t="str">
        <f t="shared" ca="1" si="3"/>
        <v>https://www.youtube.com/watch?v=OpsoPcAUMbw</v>
      </c>
      <c r="R167" s="39" t="s">
        <v>63</v>
      </c>
      <c r="S167" s="39" t="s">
        <v>63</v>
      </c>
      <c r="T167" s="39" t="s">
        <v>63</v>
      </c>
      <c r="U167" s="40"/>
      <c r="V167" s="54"/>
      <c r="W167" s="55"/>
      <c r="X167" s="56"/>
      <c r="Y167" s="38"/>
      <c r="Z167" s="38"/>
    </row>
    <row r="168" spans="1:26">
      <c r="A168" s="38">
        <v>72</v>
      </c>
      <c r="B168" s="39" t="s">
        <v>382</v>
      </c>
      <c r="C168" s="40"/>
      <c r="D168" s="42" t="s">
        <v>56</v>
      </c>
      <c r="E168" s="38" t="s">
        <v>437</v>
      </c>
      <c r="F168" s="43" t="s">
        <v>438</v>
      </c>
      <c r="G168" s="63"/>
      <c r="H168" s="45"/>
      <c r="I168" s="38"/>
      <c r="J168" s="38">
        <f>868</f>
        <v>868</v>
      </c>
      <c r="K168" s="46">
        <v>1.091435185185185E-2</v>
      </c>
      <c r="L168" s="47" t="s">
        <v>286</v>
      </c>
      <c r="M168" s="48"/>
      <c r="N168" s="48"/>
      <c r="O168" s="38"/>
      <c r="P168" s="65">
        <v>43039</v>
      </c>
      <c r="Q168" s="410" t="str">
        <f t="shared" ca="1" si="3"/>
        <v>https://www.youtube.com/watch?v=MlTxtaiX1xI</v>
      </c>
      <c r="R168" s="39" t="s">
        <v>63</v>
      </c>
      <c r="S168" s="39" t="s">
        <v>2382</v>
      </c>
      <c r="T168" s="39" t="s">
        <v>63</v>
      </c>
      <c r="U168" s="40"/>
      <c r="V168" s="54"/>
      <c r="W168" s="55"/>
      <c r="X168" s="56"/>
      <c r="Y168" s="38"/>
      <c r="Z168" s="38"/>
    </row>
    <row r="169" spans="1:26">
      <c r="A169" s="85">
        <v>72.010000000000005</v>
      </c>
      <c r="B169" s="39" t="s">
        <v>382</v>
      </c>
      <c r="C169" s="40"/>
      <c r="D169" s="42" t="s">
        <v>56</v>
      </c>
      <c r="E169" s="38" t="s">
        <v>437</v>
      </c>
      <c r="F169" s="43" t="s">
        <v>438</v>
      </c>
      <c r="G169" s="63" t="s">
        <v>2398</v>
      </c>
      <c r="H169" s="58" t="s">
        <v>2399</v>
      </c>
      <c r="I169" s="38"/>
      <c r="J169" s="38"/>
      <c r="K169" s="46"/>
      <c r="L169" s="47"/>
      <c r="M169" s="93">
        <v>5.7291666666666663E-3</v>
      </c>
      <c r="N169" s="93">
        <v>9.5486111111111119E-3</v>
      </c>
      <c r="O169" s="38"/>
      <c r="P169" s="65">
        <v>43039</v>
      </c>
      <c r="Q169" s="410" t="str">
        <f t="shared" ca="1" si="3"/>
        <v>https://www.youtube.com/embed/MlTxtaiX1xI?start=495&amp;end=825&amp;autoplay=1</v>
      </c>
      <c r="R169" s="39" t="s">
        <v>63</v>
      </c>
      <c r="S169" s="39" t="s">
        <v>2382</v>
      </c>
      <c r="T169" s="39" t="s">
        <v>63</v>
      </c>
      <c r="U169" s="40"/>
      <c r="V169" s="54"/>
      <c r="W169" s="55"/>
      <c r="X169" s="56"/>
      <c r="Y169" s="38"/>
      <c r="Z169" s="38"/>
    </row>
    <row r="170" spans="1:26">
      <c r="A170" s="38">
        <v>73</v>
      </c>
      <c r="B170" s="39" t="s">
        <v>54</v>
      </c>
      <c r="C170" s="40"/>
      <c r="D170" s="42" t="s">
        <v>56</v>
      </c>
      <c r="E170" s="38" t="s">
        <v>283</v>
      </c>
      <c r="F170" s="43" t="s">
        <v>284</v>
      </c>
      <c r="G170" s="44"/>
      <c r="H170" s="45"/>
      <c r="I170" s="38"/>
      <c r="J170" s="38">
        <f>28*1000</f>
        <v>28000</v>
      </c>
      <c r="K170" s="46">
        <v>6.7152777777777783E-2</v>
      </c>
      <c r="L170" s="47" t="s">
        <v>286</v>
      </c>
      <c r="M170" s="307"/>
      <c r="N170" s="307"/>
      <c r="O170" s="307">
        <f t="shared" ref="O170:O333" si="5">N170-M170</f>
        <v>0</v>
      </c>
      <c r="P170" s="66">
        <v>43021</v>
      </c>
      <c r="Q170" s="410" t="str">
        <f t="shared" ca="1" si="3"/>
        <v>https://www.youtube.com/watch?v=4yz6ZL-TC94</v>
      </c>
      <c r="R170" s="51"/>
      <c r="S170" s="51"/>
      <c r="T170" s="51"/>
      <c r="U170" s="40"/>
      <c r="V170" s="54"/>
      <c r="W170" s="55"/>
      <c r="X170" s="56"/>
      <c r="Y170" s="38"/>
      <c r="Z170" s="38"/>
    </row>
    <row r="171" spans="1:26">
      <c r="A171" s="42">
        <v>73.010000000000005</v>
      </c>
      <c r="B171" s="39" t="s">
        <v>54</v>
      </c>
      <c r="C171" s="40"/>
      <c r="D171" s="42" t="s">
        <v>56</v>
      </c>
      <c r="E171" s="38"/>
      <c r="F171" s="43"/>
      <c r="G171" s="63" t="s">
        <v>287</v>
      </c>
      <c r="H171" s="58" t="s">
        <v>289</v>
      </c>
      <c r="I171" s="38"/>
      <c r="J171" s="38"/>
      <c r="K171" s="46"/>
      <c r="L171" s="47"/>
      <c r="M171" s="342">
        <v>2.5925925925925925E-3</v>
      </c>
      <c r="N171" s="342">
        <v>7.9398148148148145E-3</v>
      </c>
      <c r="O171" s="307">
        <f t="shared" si="5"/>
        <v>5.347222222222222E-3</v>
      </c>
      <c r="P171" s="66">
        <v>43021</v>
      </c>
      <c r="Q171" s="410" t="str">
        <f t="shared" ca="1" si="3"/>
        <v>https://www.youtube.com/embed/4yz6ZL-TC94?start=224&amp;end=686&amp;autoplay=1</v>
      </c>
      <c r="R171" s="67" t="s">
        <v>131</v>
      </c>
      <c r="S171" s="67" t="s">
        <v>131</v>
      </c>
      <c r="T171" s="67" t="s">
        <v>63</v>
      </c>
      <c r="U171" s="52"/>
      <c r="V171" s="53"/>
      <c r="W171" s="57" t="s">
        <v>64</v>
      </c>
      <c r="X171" s="78"/>
      <c r="Y171" s="61"/>
      <c r="Z171" s="42" t="s">
        <v>290</v>
      </c>
    </row>
    <row r="172" spans="1:26">
      <c r="A172" s="42">
        <v>73.02</v>
      </c>
      <c r="B172" s="39" t="s">
        <v>54</v>
      </c>
      <c r="C172" s="40"/>
      <c r="D172" s="42" t="s">
        <v>56</v>
      </c>
      <c r="E172" s="38"/>
      <c r="F172" s="43"/>
      <c r="G172" s="63" t="s">
        <v>292</v>
      </c>
      <c r="H172" s="58"/>
      <c r="I172" s="38"/>
      <c r="J172" s="38"/>
      <c r="K172" s="46"/>
      <c r="L172" s="47"/>
      <c r="M172" s="342">
        <v>1.1631944444444445E-2</v>
      </c>
      <c r="N172" s="342">
        <v>1.5104166666666667E-2</v>
      </c>
      <c r="O172" s="307">
        <f t="shared" si="5"/>
        <v>3.472222222222222E-3</v>
      </c>
      <c r="P172" s="66">
        <v>43021</v>
      </c>
      <c r="Q172" s="410" t="str">
        <f t="shared" ca="1" si="3"/>
        <v>https://www.youtube.com/embed/4yz6ZL-TC94?start=1005&amp;end=1305&amp;autoplay=1</v>
      </c>
      <c r="R172" s="67" t="s">
        <v>63</v>
      </c>
      <c r="S172" s="67" t="s">
        <v>131</v>
      </c>
      <c r="T172" s="67" t="s">
        <v>63</v>
      </c>
      <c r="U172" s="52"/>
      <c r="V172" s="53"/>
      <c r="W172" s="57" t="s">
        <v>64</v>
      </c>
      <c r="X172" s="78"/>
      <c r="Y172" s="61"/>
      <c r="Z172" s="61"/>
    </row>
    <row r="173" spans="1:26">
      <c r="A173" s="42">
        <v>73.03</v>
      </c>
      <c r="B173" s="39" t="s">
        <v>54</v>
      </c>
      <c r="C173" s="40"/>
      <c r="D173" s="42" t="s">
        <v>56</v>
      </c>
      <c r="E173" s="38"/>
      <c r="F173" s="43"/>
      <c r="G173" s="63" t="s">
        <v>293</v>
      </c>
      <c r="H173" s="58"/>
      <c r="I173" s="38"/>
      <c r="J173" s="38"/>
      <c r="K173" s="46"/>
      <c r="L173" s="47"/>
      <c r="M173" s="342">
        <v>1.5474537037037037E-2</v>
      </c>
      <c r="N173" s="342">
        <v>1.7361111111111112E-2</v>
      </c>
      <c r="O173" s="307">
        <f t="shared" si="5"/>
        <v>1.8865740740740752E-3</v>
      </c>
      <c r="P173" s="66">
        <v>43021</v>
      </c>
      <c r="Q173" s="410" t="str">
        <f t="shared" ca="1" si="3"/>
        <v>https://www.youtube.com/embed/4yz6ZL-TC94?start=1337&amp;end=1500&amp;autoplay=1</v>
      </c>
      <c r="R173" s="67" t="s">
        <v>63</v>
      </c>
      <c r="S173" s="67" t="s">
        <v>131</v>
      </c>
      <c r="T173" s="67" t="s">
        <v>63</v>
      </c>
      <c r="U173" s="52"/>
      <c r="V173" s="53"/>
      <c r="W173" s="57" t="s">
        <v>64</v>
      </c>
      <c r="X173" s="78"/>
      <c r="Y173" s="61"/>
      <c r="Z173" s="61"/>
    </row>
    <row r="174" spans="1:26">
      <c r="A174" s="42">
        <v>73.040000000000006</v>
      </c>
      <c r="B174" s="39" t="s">
        <v>54</v>
      </c>
      <c r="C174" s="40"/>
      <c r="D174" s="42" t="s">
        <v>56</v>
      </c>
      <c r="E174" s="38"/>
      <c r="F174" s="43"/>
      <c r="G174" s="63" t="s">
        <v>298</v>
      </c>
      <c r="H174" s="58"/>
      <c r="I174" s="38"/>
      <c r="J174" s="38"/>
      <c r="K174" s="46"/>
      <c r="L174" s="47"/>
      <c r="M174" s="342">
        <v>1.7372685185185185E-2</v>
      </c>
      <c r="N174" s="342">
        <v>1.9965277777777776E-2</v>
      </c>
      <c r="O174" s="307">
        <f t="shared" si="5"/>
        <v>2.5925925925925908E-3</v>
      </c>
      <c r="P174" s="66">
        <v>43021</v>
      </c>
      <c r="Q174" s="410" t="str">
        <f t="shared" ca="1" si="3"/>
        <v>https://www.youtube.com/embed/4yz6ZL-TC94?start=1501&amp;end=1725&amp;autoplay=1</v>
      </c>
      <c r="R174" s="67" t="s">
        <v>63</v>
      </c>
      <c r="S174" s="67" t="s">
        <v>131</v>
      </c>
      <c r="T174" s="67" t="s">
        <v>63</v>
      </c>
      <c r="U174" s="52"/>
      <c r="V174" s="53"/>
      <c r="W174" s="57" t="s">
        <v>64</v>
      </c>
      <c r="X174" s="78"/>
      <c r="Y174" s="61"/>
      <c r="Z174" s="61"/>
    </row>
    <row r="175" spans="1:26">
      <c r="A175" s="42">
        <v>73.05</v>
      </c>
      <c r="B175" s="39" t="s">
        <v>54</v>
      </c>
      <c r="C175" s="40"/>
      <c r="D175" s="42" t="s">
        <v>56</v>
      </c>
      <c r="E175" s="38"/>
      <c r="F175" s="43"/>
      <c r="G175" s="63" t="s">
        <v>301</v>
      </c>
      <c r="H175" s="45"/>
      <c r="I175" s="38"/>
      <c r="J175" s="38"/>
      <c r="K175" s="46"/>
      <c r="L175" s="47"/>
      <c r="M175" s="342">
        <v>2.0104166666666666E-2</v>
      </c>
      <c r="N175" s="342">
        <v>2.4583333333333332E-2</v>
      </c>
      <c r="O175" s="307">
        <f t="shared" si="5"/>
        <v>4.479166666666666E-3</v>
      </c>
      <c r="P175" s="66">
        <v>43021</v>
      </c>
      <c r="Q175" s="410" t="str">
        <f t="shared" ca="1" si="3"/>
        <v>https://www.youtube.com/embed/4yz6ZL-TC94?start=1737&amp;end=2124&amp;autoplay=1</v>
      </c>
      <c r="R175" s="67" t="s">
        <v>63</v>
      </c>
      <c r="S175" s="67" t="s">
        <v>131</v>
      </c>
      <c r="T175" s="67" t="s">
        <v>63</v>
      </c>
      <c r="U175" s="52"/>
      <c r="V175" s="53"/>
      <c r="W175" s="57" t="s">
        <v>64</v>
      </c>
      <c r="X175" s="56"/>
      <c r="Y175" s="38"/>
      <c r="Z175" s="38"/>
    </row>
    <row r="176" spans="1:26">
      <c r="A176" s="42">
        <v>73.06</v>
      </c>
      <c r="B176" s="39" t="s">
        <v>54</v>
      </c>
      <c r="C176" s="40"/>
      <c r="D176" s="42" t="s">
        <v>56</v>
      </c>
      <c r="E176" s="38"/>
      <c r="F176" s="43"/>
      <c r="G176" s="63" t="s">
        <v>303</v>
      </c>
      <c r="H176" s="79"/>
      <c r="I176" s="38"/>
      <c r="J176" s="38"/>
      <c r="K176" s="46"/>
      <c r="L176" s="47"/>
      <c r="M176" s="342">
        <v>2.5520833333333333E-2</v>
      </c>
      <c r="N176" s="342">
        <v>2.9189814814814814E-2</v>
      </c>
      <c r="O176" s="307">
        <f t="shared" si="5"/>
        <v>3.6689814814814814E-3</v>
      </c>
      <c r="P176" s="66">
        <v>43021</v>
      </c>
      <c r="Q176" s="410" t="str">
        <f t="shared" ca="1" si="3"/>
        <v>https://www.youtube.com/embed/4yz6ZL-TC94?start=2205&amp;end=2522&amp;autoplay=1</v>
      </c>
      <c r="R176" s="67" t="s">
        <v>63</v>
      </c>
      <c r="S176" s="67" t="s">
        <v>131</v>
      </c>
      <c r="T176" s="67" t="s">
        <v>63</v>
      </c>
      <c r="U176" s="52"/>
      <c r="V176" s="53"/>
      <c r="W176" s="57" t="s">
        <v>64</v>
      </c>
      <c r="X176" s="56"/>
      <c r="Y176" s="38"/>
      <c r="Z176" s="38"/>
    </row>
    <row r="177" spans="1:26">
      <c r="A177" s="42">
        <v>73.069999999999993</v>
      </c>
      <c r="B177" s="39" t="s">
        <v>54</v>
      </c>
      <c r="C177" s="40"/>
      <c r="D177" s="42" t="s">
        <v>56</v>
      </c>
      <c r="E177" s="38"/>
      <c r="F177" s="43"/>
      <c r="G177" s="63" t="s">
        <v>306</v>
      </c>
      <c r="H177" s="79"/>
      <c r="I177" s="38"/>
      <c r="J177" s="38"/>
      <c r="K177" s="46"/>
      <c r="L177" s="47"/>
      <c r="M177" s="342">
        <v>2.9421296296296296E-2</v>
      </c>
      <c r="N177" s="342">
        <v>3.574074074074074E-2</v>
      </c>
      <c r="O177" s="307">
        <f t="shared" si="5"/>
        <v>6.3194444444444435E-3</v>
      </c>
      <c r="P177" s="66">
        <v>43021</v>
      </c>
      <c r="Q177" s="410" t="str">
        <f t="shared" ca="1" si="3"/>
        <v>https://www.youtube.com/embed/4yz6ZL-TC94?start=2542&amp;end=3088&amp;autoplay=1</v>
      </c>
      <c r="R177" s="67" t="s">
        <v>63</v>
      </c>
      <c r="S177" s="67" t="s">
        <v>131</v>
      </c>
      <c r="T177" s="67" t="s">
        <v>63</v>
      </c>
      <c r="U177" s="52"/>
      <c r="V177" s="53"/>
      <c r="W177" s="57" t="s">
        <v>64</v>
      </c>
      <c r="X177" s="56"/>
      <c r="Y177" s="38"/>
      <c r="Z177" s="38"/>
    </row>
    <row r="178" spans="1:26">
      <c r="A178" s="42">
        <v>73.08</v>
      </c>
      <c r="B178" s="39" t="s">
        <v>54</v>
      </c>
      <c r="C178" s="40"/>
      <c r="D178" s="42" t="s">
        <v>56</v>
      </c>
      <c r="E178" s="38"/>
      <c r="F178" s="43"/>
      <c r="G178" s="63" t="s">
        <v>309</v>
      </c>
      <c r="H178" s="79"/>
      <c r="I178" s="38"/>
      <c r="J178" s="38"/>
      <c r="K178" s="46"/>
      <c r="L178" s="47"/>
      <c r="M178" s="342">
        <v>3.5821759259259262E-2</v>
      </c>
      <c r="N178" s="342">
        <v>3.9780092592592596E-2</v>
      </c>
      <c r="O178" s="307">
        <f t="shared" si="5"/>
        <v>3.9583333333333345E-3</v>
      </c>
      <c r="P178" s="66">
        <v>43021</v>
      </c>
      <c r="Q178" s="410" t="str">
        <f t="shared" ca="1" si="3"/>
        <v>https://www.youtube.com/embed/4yz6ZL-TC94?start=3095&amp;end=3437&amp;autoplay=1</v>
      </c>
      <c r="R178" s="67" t="s">
        <v>63</v>
      </c>
      <c r="S178" s="67" t="s">
        <v>131</v>
      </c>
      <c r="T178" s="67" t="s">
        <v>63</v>
      </c>
      <c r="U178" s="52"/>
      <c r="V178" s="53"/>
      <c r="W178" s="57" t="s">
        <v>64</v>
      </c>
      <c r="X178" s="56"/>
      <c r="Y178" s="38"/>
      <c r="Z178" s="38"/>
    </row>
    <row r="179" spans="1:26">
      <c r="A179" s="42">
        <v>73.09</v>
      </c>
      <c r="B179" s="39" t="s">
        <v>54</v>
      </c>
      <c r="C179" s="40"/>
      <c r="D179" s="42" t="s">
        <v>56</v>
      </c>
      <c r="E179" s="81"/>
      <c r="F179" s="82"/>
      <c r="G179" s="83" t="s">
        <v>312</v>
      </c>
      <c r="H179" s="73"/>
      <c r="I179" s="80"/>
      <c r="J179" s="80"/>
      <c r="K179" s="46"/>
      <c r="L179" s="80"/>
      <c r="M179" s="342">
        <v>3.8414351851851852E-2</v>
      </c>
      <c r="N179" s="342">
        <v>4.4837962962962961E-2</v>
      </c>
      <c r="O179" s="307">
        <f t="shared" si="5"/>
        <v>6.4236111111111091E-3</v>
      </c>
      <c r="P179" s="66">
        <v>43021</v>
      </c>
      <c r="Q179" s="410" t="str">
        <f t="shared" ca="1" si="3"/>
        <v>https://www.youtube.com/embed/4yz6ZL-TC94?start=3319&amp;end=3874&amp;autoplay=1</v>
      </c>
      <c r="R179" s="67" t="s">
        <v>63</v>
      </c>
      <c r="S179" s="67" t="s">
        <v>131</v>
      </c>
      <c r="T179" s="67" t="s">
        <v>63</v>
      </c>
      <c r="U179" s="52"/>
      <c r="V179" s="53"/>
      <c r="W179" s="57" t="s">
        <v>64</v>
      </c>
      <c r="X179" s="71"/>
      <c r="Y179" s="42"/>
      <c r="Z179" s="42"/>
    </row>
    <row r="180" spans="1:26">
      <c r="A180" s="85">
        <v>73.099999999999994</v>
      </c>
      <c r="B180" s="39" t="s">
        <v>54</v>
      </c>
      <c r="C180" s="40"/>
      <c r="D180" s="42" t="s">
        <v>56</v>
      </c>
      <c r="E180" s="38"/>
      <c r="F180" s="44"/>
      <c r="G180" s="42" t="s">
        <v>315</v>
      </c>
      <c r="H180" s="79"/>
      <c r="I180" s="38"/>
      <c r="J180" s="38"/>
      <c r="K180" s="46"/>
      <c r="L180" s="47"/>
      <c r="M180" s="342">
        <v>4.4849537037037035E-2</v>
      </c>
      <c r="N180" s="342">
        <v>4.7534722222222221E-2</v>
      </c>
      <c r="O180" s="307">
        <f t="shared" si="5"/>
        <v>2.6851851851851863E-3</v>
      </c>
      <c r="P180" s="66">
        <v>43021</v>
      </c>
      <c r="Q180" s="410" t="str">
        <f t="shared" ca="1" si="3"/>
        <v>https://www.youtube.com/embed/4yz6ZL-TC94?start=3875&amp;end=4107&amp;autoplay=1</v>
      </c>
      <c r="R180" s="67" t="s">
        <v>63</v>
      </c>
      <c r="S180" s="67" t="s">
        <v>131</v>
      </c>
      <c r="T180" s="67" t="s">
        <v>63</v>
      </c>
      <c r="U180" s="52"/>
      <c r="V180" s="53"/>
      <c r="W180" s="57" t="s">
        <v>64</v>
      </c>
      <c r="X180" s="84"/>
      <c r="Y180" s="73"/>
      <c r="Z180" s="73"/>
    </row>
    <row r="181" spans="1:26">
      <c r="A181" s="42">
        <v>73.11</v>
      </c>
      <c r="B181" s="39" t="s">
        <v>54</v>
      </c>
      <c r="C181" s="40"/>
      <c r="D181" s="42" t="s">
        <v>56</v>
      </c>
      <c r="E181" s="38"/>
      <c r="F181" s="44"/>
      <c r="G181" s="42" t="s">
        <v>320</v>
      </c>
      <c r="H181" s="79"/>
      <c r="I181" s="38"/>
      <c r="J181" s="38"/>
      <c r="K181" s="46"/>
      <c r="L181" s="47"/>
      <c r="M181" s="342">
        <v>4.8576388888888891E-2</v>
      </c>
      <c r="N181" s="342">
        <v>5.0613425925925923E-2</v>
      </c>
      <c r="O181" s="307">
        <f t="shared" si="5"/>
        <v>2.0370370370370317E-3</v>
      </c>
      <c r="P181" s="66">
        <v>43021</v>
      </c>
      <c r="Q181" s="410" t="str">
        <f t="shared" ca="1" si="3"/>
        <v>https://www.youtube.com/embed/4yz6ZL-TC94?start=4197&amp;end=4373&amp;autoplay=1</v>
      </c>
      <c r="R181" s="67" t="s">
        <v>63</v>
      </c>
      <c r="S181" s="67" t="s">
        <v>131</v>
      </c>
      <c r="T181" s="67" t="s">
        <v>63</v>
      </c>
      <c r="U181" s="52"/>
      <c r="V181" s="53"/>
      <c r="W181" s="57" t="s">
        <v>64</v>
      </c>
      <c r="X181" s="56"/>
      <c r="Y181" s="38"/>
      <c r="Z181" s="38"/>
    </row>
    <row r="182" spans="1:26">
      <c r="A182" s="42">
        <v>73.12</v>
      </c>
      <c r="B182" s="39" t="s">
        <v>54</v>
      </c>
      <c r="C182" s="40"/>
      <c r="D182" s="42" t="s">
        <v>56</v>
      </c>
      <c r="E182" s="38"/>
      <c r="F182" s="44"/>
      <c r="G182" s="42" t="s">
        <v>325</v>
      </c>
      <c r="H182" s="79"/>
      <c r="I182" s="38"/>
      <c r="J182" s="38"/>
      <c r="K182" s="46"/>
      <c r="L182" s="47"/>
      <c r="M182" s="342">
        <v>5.0856481481481482E-2</v>
      </c>
      <c r="N182" s="342">
        <v>5.2233796296296299E-2</v>
      </c>
      <c r="O182" s="307">
        <f t="shared" si="5"/>
        <v>1.3773148148148173E-3</v>
      </c>
      <c r="P182" s="66">
        <v>43021</v>
      </c>
      <c r="Q182" s="410" t="str">
        <f t="shared" ca="1" si="3"/>
        <v>https://www.youtube.com/embed/4yz6ZL-TC94?start=4394&amp;end=4513&amp;autoplay=1</v>
      </c>
      <c r="R182" s="67" t="s">
        <v>63</v>
      </c>
      <c r="S182" s="67" t="s">
        <v>131</v>
      </c>
      <c r="T182" s="67" t="s">
        <v>63</v>
      </c>
      <c r="U182" s="52"/>
      <c r="V182" s="53"/>
      <c r="W182" s="57" t="s">
        <v>64</v>
      </c>
      <c r="X182" s="56"/>
      <c r="Y182" s="38"/>
      <c r="Z182" s="38"/>
    </row>
    <row r="183" spans="1:26">
      <c r="A183" s="42">
        <v>73.13</v>
      </c>
      <c r="B183" s="39" t="s">
        <v>54</v>
      </c>
      <c r="C183" s="40"/>
      <c r="D183" s="42" t="s">
        <v>56</v>
      </c>
      <c r="E183" s="38"/>
      <c r="F183" s="44"/>
      <c r="G183" s="42" t="s">
        <v>329</v>
      </c>
      <c r="H183" s="79"/>
      <c r="I183" s="38"/>
      <c r="J183" s="38"/>
      <c r="K183" s="46"/>
      <c r="L183" s="47"/>
      <c r="M183" s="342">
        <v>5.2256944444444446E-2</v>
      </c>
      <c r="N183" s="342">
        <v>5.5069444444444442E-2</v>
      </c>
      <c r="O183" s="307">
        <f t="shared" si="5"/>
        <v>2.8124999999999956E-3</v>
      </c>
      <c r="P183" s="66">
        <v>43021</v>
      </c>
      <c r="Q183" s="410" t="str">
        <f t="shared" ca="1" si="3"/>
        <v>https://www.youtube.com/embed/4yz6ZL-TC94?start=4515&amp;end=4758&amp;autoplay=1</v>
      </c>
      <c r="R183" s="67" t="s">
        <v>63</v>
      </c>
      <c r="S183" s="67" t="s">
        <v>131</v>
      </c>
      <c r="T183" s="67" t="s">
        <v>63</v>
      </c>
      <c r="U183" s="52"/>
      <c r="V183" s="53"/>
      <c r="W183" s="57" t="s">
        <v>64</v>
      </c>
      <c r="X183" s="56"/>
      <c r="Y183" s="38"/>
      <c r="Z183" s="38"/>
    </row>
    <row r="184" spans="1:26">
      <c r="A184" s="42">
        <v>73.14</v>
      </c>
      <c r="B184" s="39" t="s">
        <v>54</v>
      </c>
      <c r="C184" s="40"/>
      <c r="D184" s="42" t="s">
        <v>56</v>
      </c>
      <c r="E184" s="38"/>
      <c r="F184" s="44"/>
      <c r="G184" s="42" t="s">
        <v>334</v>
      </c>
      <c r="H184" s="79"/>
      <c r="I184" s="38"/>
      <c r="J184" s="38"/>
      <c r="K184" s="46"/>
      <c r="L184" s="47"/>
      <c r="M184" s="342">
        <v>5.5115740740740743E-2</v>
      </c>
      <c r="N184" s="342">
        <v>5.8321759259259261E-2</v>
      </c>
      <c r="O184" s="307">
        <f t="shared" si="5"/>
        <v>3.2060185185185178E-3</v>
      </c>
      <c r="P184" s="66">
        <v>43021</v>
      </c>
      <c r="Q184" s="410" t="str">
        <f t="shared" ca="1" si="3"/>
        <v>https://www.youtube.com/embed/4yz6ZL-TC94?start=4762&amp;end=5039&amp;autoplay=1</v>
      </c>
      <c r="R184" s="67" t="s">
        <v>63</v>
      </c>
      <c r="S184" s="67" t="s">
        <v>131</v>
      </c>
      <c r="T184" s="67" t="s">
        <v>63</v>
      </c>
      <c r="U184" s="52"/>
      <c r="V184" s="53"/>
      <c r="W184" s="57" t="s">
        <v>64</v>
      </c>
      <c r="X184" s="71"/>
      <c r="Y184" s="42"/>
      <c r="Z184" s="42"/>
    </row>
    <row r="185" spans="1:26">
      <c r="A185" s="42">
        <v>73.150000000000006</v>
      </c>
      <c r="B185" s="39" t="s">
        <v>54</v>
      </c>
      <c r="C185" s="40"/>
      <c r="D185" s="42" t="s">
        <v>56</v>
      </c>
      <c r="E185" s="38"/>
      <c r="F185" s="44"/>
      <c r="G185" s="42" t="s">
        <v>336</v>
      </c>
      <c r="H185" s="79"/>
      <c r="I185" s="38"/>
      <c r="J185" s="38"/>
      <c r="K185" s="46"/>
      <c r="L185" s="47"/>
      <c r="M185" s="342">
        <v>5.8344907407407408E-2</v>
      </c>
      <c r="N185" s="342">
        <v>6.25E-2</v>
      </c>
      <c r="O185" s="307">
        <f t="shared" si="5"/>
        <v>4.1550925925925922E-3</v>
      </c>
      <c r="P185" s="66">
        <v>43021</v>
      </c>
      <c r="Q185" s="410" t="str">
        <f t="shared" ca="1" si="3"/>
        <v>https://www.youtube.com/embed/4yz6ZL-TC94?start=5041&amp;end=5400&amp;autoplay=1</v>
      </c>
      <c r="R185" s="67" t="s">
        <v>63</v>
      </c>
      <c r="S185" s="67" t="s">
        <v>131</v>
      </c>
      <c r="T185" s="67" t="s">
        <v>63</v>
      </c>
      <c r="U185" s="52"/>
      <c r="V185" s="53"/>
      <c r="W185" s="57" t="s">
        <v>64</v>
      </c>
      <c r="X185" s="56"/>
      <c r="Y185" s="38"/>
      <c r="Z185" s="38"/>
    </row>
    <row r="186" spans="1:26">
      <c r="A186" s="42">
        <v>73.16</v>
      </c>
      <c r="B186" s="39" t="s">
        <v>54</v>
      </c>
      <c r="C186" s="40"/>
      <c r="D186" s="42" t="s">
        <v>56</v>
      </c>
      <c r="E186" s="38"/>
      <c r="F186" s="43"/>
      <c r="G186" s="63" t="s">
        <v>341</v>
      </c>
      <c r="H186" s="45"/>
      <c r="I186" s="38"/>
      <c r="J186" s="38"/>
      <c r="K186" s="46"/>
      <c r="L186" s="47"/>
      <c r="M186" s="342">
        <v>6.25E-2</v>
      </c>
      <c r="N186" s="342">
        <v>6.5104166666666671E-2</v>
      </c>
      <c r="O186" s="307">
        <f t="shared" si="5"/>
        <v>2.6041666666666713E-3</v>
      </c>
      <c r="P186" s="66">
        <v>43021</v>
      </c>
      <c r="Q186" s="410" t="str">
        <f t="shared" ca="1" si="3"/>
        <v>https://www.youtube.com/embed/4yz6ZL-TC94?start=5400&amp;end=5625&amp;autoplay=1</v>
      </c>
      <c r="R186" s="67" t="s">
        <v>63</v>
      </c>
      <c r="S186" s="67" t="s">
        <v>131</v>
      </c>
      <c r="T186" s="67" t="s">
        <v>63</v>
      </c>
      <c r="U186" s="52"/>
      <c r="V186" s="53"/>
      <c r="W186" s="57" t="s">
        <v>64</v>
      </c>
      <c r="X186" s="56"/>
      <c r="Y186" s="38"/>
      <c r="Z186" s="38"/>
    </row>
    <row r="187" spans="1:26">
      <c r="A187" s="38">
        <v>74</v>
      </c>
      <c r="B187" s="38" t="s">
        <v>55</v>
      </c>
      <c r="C187" s="38"/>
      <c r="D187" s="38" t="s">
        <v>56</v>
      </c>
      <c r="E187" s="38" t="s">
        <v>318</v>
      </c>
      <c r="F187" s="43" t="s">
        <v>319</v>
      </c>
      <c r="G187" s="44"/>
      <c r="H187" s="45"/>
      <c r="I187" s="38"/>
      <c r="J187" s="38">
        <f>4.4*1000</f>
        <v>4400</v>
      </c>
      <c r="K187" s="46">
        <v>4.2280092592592598E-2</v>
      </c>
      <c r="L187" s="47" t="s">
        <v>286</v>
      </c>
      <c r="M187" s="307"/>
      <c r="N187" s="307"/>
      <c r="O187" s="307">
        <f t="shared" si="5"/>
        <v>0</v>
      </c>
      <c r="P187" s="92">
        <v>43003</v>
      </c>
      <c r="Q187" s="410" t="str">
        <f t="shared" ca="1" si="3"/>
        <v>https://www.youtube.com/watch?v=YFmL65VsWdk</v>
      </c>
      <c r="R187" s="50" t="s">
        <v>63</v>
      </c>
      <c r="S187" s="50" t="s">
        <v>323</v>
      </c>
      <c r="T187" s="50" t="s">
        <v>63</v>
      </c>
      <c r="U187" s="52"/>
      <c r="V187" s="53"/>
      <c r="W187" s="60" t="s">
        <v>64</v>
      </c>
      <c r="X187" s="56"/>
      <c r="Y187" s="38"/>
      <c r="Z187" s="38"/>
    </row>
    <row r="188" spans="1:26">
      <c r="A188" s="105">
        <v>74.010000000000005</v>
      </c>
      <c r="B188" s="38" t="s">
        <v>55</v>
      </c>
      <c r="C188" s="38"/>
      <c r="D188" s="38" t="s">
        <v>56</v>
      </c>
      <c r="E188" s="38"/>
      <c r="F188" s="43"/>
      <c r="G188" s="63" t="s">
        <v>2970</v>
      </c>
      <c r="H188" s="45"/>
      <c r="I188" s="38"/>
      <c r="J188" s="38"/>
      <c r="K188" s="46"/>
      <c r="L188" s="47"/>
      <c r="M188" s="307">
        <v>4.3981481481481484E-3</v>
      </c>
      <c r="N188" s="307">
        <v>4.7453703703703703E-3</v>
      </c>
      <c r="O188" s="307">
        <f t="shared" si="5"/>
        <v>3.4722222222222186E-4</v>
      </c>
      <c r="P188" s="92">
        <v>43003</v>
      </c>
      <c r="Q188" s="410" t="str">
        <f t="shared" ca="1" si="3"/>
        <v>https://www.youtube.com/embed/YFmL65VsWdk?start=380&amp;end=410&amp;autoplay=1</v>
      </c>
      <c r="R188" s="50" t="s">
        <v>63</v>
      </c>
      <c r="S188" s="50" t="s">
        <v>326</v>
      </c>
      <c r="T188" s="50" t="s">
        <v>63</v>
      </c>
      <c r="U188" s="52"/>
      <c r="V188" s="53"/>
      <c r="W188" s="60" t="s">
        <v>151</v>
      </c>
      <c r="X188" s="56"/>
      <c r="Y188" s="38"/>
      <c r="Z188" s="38"/>
    </row>
    <row r="189" spans="1:26">
      <c r="A189" s="105">
        <v>74.02</v>
      </c>
      <c r="B189" s="38" t="s">
        <v>55</v>
      </c>
      <c r="C189" s="38"/>
      <c r="D189" s="38" t="s">
        <v>56</v>
      </c>
      <c r="E189" s="38"/>
      <c r="F189" s="43"/>
      <c r="G189" s="44" t="s">
        <v>330</v>
      </c>
      <c r="H189" s="45" t="s">
        <v>331</v>
      </c>
      <c r="I189" s="38"/>
      <c r="J189" s="38"/>
      <c r="K189" s="46"/>
      <c r="L189" s="47"/>
      <c r="M189" s="307">
        <v>4.7800925925925919E-3</v>
      </c>
      <c r="N189" s="307">
        <v>5.4861111111111117E-3</v>
      </c>
      <c r="O189" s="307">
        <f t="shared" si="5"/>
        <v>7.0601851851851988E-4</v>
      </c>
      <c r="P189" s="92">
        <v>43003</v>
      </c>
      <c r="Q189" s="410" t="str">
        <f t="shared" ca="1" si="3"/>
        <v>https://www.youtube.com/embed/YFmL65VsWdk?start=413&amp;end=474&amp;autoplay=1</v>
      </c>
      <c r="R189" s="50" t="s">
        <v>63</v>
      </c>
      <c r="S189" s="50" t="s">
        <v>326</v>
      </c>
      <c r="T189" s="50" t="s">
        <v>63</v>
      </c>
      <c r="U189" s="52"/>
      <c r="V189" s="53"/>
      <c r="W189" s="60" t="s">
        <v>151</v>
      </c>
      <c r="X189" s="56"/>
      <c r="Y189" s="38"/>
      <c r="Z189" s="38"/>
    </row>
    <row r="190" spans="1:26">
      <c r="A190" s="105">
        <v>74.03</v>
      </c>
      <c r="B190" s="38" t="s">
        <v>55</v>
      </c>
      <c r="C190" s="38"/>
      <c r="D190" s="38" t="s">
        <v>56</v>
      </c>
      <c r="E190" s="38"/>
      <c r="F190" s="43"/>
      <c r="G190" s="44" t="s">
        <v>335</v>
      </c>
      <c r="H190" s="45"/>
      <c r="I190" s="38"/>
      <c r="J190" s="38"/>
      <c r="K190" s="46"/>
      <c r="L190" s="47"/>
      <c r="M190" s="307">
        <v>7.106481481481481E-3</v>
      </c>
      <c r="N190" s="307">
        <v>9.2592592592592605E-3</v>
      </c>
      <c r="O190" s="307">
        <f t="shared" si="5"/>
        <v>2.1527777777777795E-3</v>
      </c>
      <c r="P190" s="92">
        <v>43003</v>
      </c>
      <c r="Q190" s="410" t="str">
        <f t="shared" ca="1" si="3"/>
        <v>https://www.youtube.com/embed/YFmL65VsWdk?start=614&amp;end=800&amp;autoplay=1</v>
      </c>
      <c r="R190" s="50" t="s">
        <v>63</v>
      </c>
      <c r="S190" s="50" t="s">
        <v>326</v>
      </c>
      <c r="T190" s="50" t="s">
        <v>63</v>
      </c>
      <c r="U190" s="52"/>
      <c r="V190" s="53"/>
      <c r="W190" s="60" t="s">
        <v>151</v>
      </c>
      <c r="X190" s="56"/>
      <c r="Y190" s="38"/>
      <c r="Z190" s="38"/>
    </row>
    <row r="191" spans="1:26">
      <c r="A191" s="105">
        <v>74.040000000000006</v>
      </c>
      <c r="B191" s="38" t="s">
        <v>55</v>
      </c>
      <c r="C191" s="38"/>
      <c r="D191" s="38" t="s">
        <v>56</v>
      </c>
      <c r="E191" s="38"/>
      <c r="F191" s="43"/>
      <c r="G191" s="44" t="s">
        <v>339</v>
      </c>
      <c r="H191" s="45" t="s">
        <v>340</v>
      </c>
      <c r="I191" s="38"/>
      <c r="J191" s="38"/>
      <c r="K191" s="46"/>
      <c r="L191" s="47"/>
      <c r="M191" s="307">
        <v>9.2708333333333341E-3</v>
      </c>
      <c r="N191" s="307">
        <v>1.0995370370370371E-2</v>
      </c>
      <c r="O191" s="307">
        <f t="shared" si="5"/>
        <v>1.7245370370370366E-3</v>
      </c>
      <c r="P191" s="92">
        <v>43003</v>
      </c>
      <c r="Q191" s="410" t="str">
        <f t="shared" ca="1" si="3"/>
        <v>https://www.youtube.com/embed/YFmL65VsWdk?start=801&amp;end=950&amp;autoplay=1</v>
      </c>
      <c r="R191" s="50" t="s">
        <v>63</v>
      </c>
      <c r="S191" s="50" t="s">
        <v>326</v>
      </c>
      <c r="T191" s="50" t="s">
        <v>63</v>
      </c>
      <c r="U191" s="52"/>
      <c r="V191" s="53"/>
      <c r="W191" s="60" t="s">
        <v>151</v>
      </c>
      <c r="X191" s="56"/>
      <c r="Y191" s="38"/>
      <c r="Z191" s="38"/>
    </row>
    <row r="192" spans="1:26">
      <c r="A192" s="105">
        <v>74.05</v>
      </c>
      <c r="B192" s="38" t="s">
        <v>55</v>
      </c>
      <c r="C192" s="38"/>
      <c r="D192" s="38" t="s">
        <v>56</v>
      </c>
      <c r="E192" s="38"/>
      <c r="F192" s="43"/>
      <c r="G192" s="44" t="s">
        <v>344</v>
      </c>
      <c r="H192" s="45"/>
      <c r="I192" s="38"/>
      <c r="J192" s="38"/>
      <c r="K192" s="46"/>
      <c r="L192" s="47"/>
      <c r="M192" s="307">
        <v>9.8958333333333329E-3</v>
      </c>
      <c r="N192" s="307">
        <v>1.0416666666666666E-2</v>
      </c>
      <c r="O192" s="307">
        <f t="shared" si="5"/>
        <v>5.2083333333333322E-4</v>
      </c>
      <c r="P192" s="92">
        <v>43003</v>
      </c>
      <c r="Q192" s="410" t="str">
        <f t="shared" ca="1" si="3"/>
        <v>https://www.youtube.com/embed/YFmL65VsWdk?start=855&amp;end=900&amp;autoplay=1</v>
      </c>
      <c r="R192" s="50" t="s">
        <v>63</v>
      </c>
      <c r="S192" s="50" t="s">
        <v>326</v>
      </c>
      <c r="T192" s="50" t="s">
        <v>63</v>
      </c>
      <c r="U192" s="52"/>
      <c r="V192" s="53"/>
      <c r="W192" s="60" t="s">
        <v>151</v>
      </c>
      <c r="X192" s="56"/>
      <c r="Y192" s="38"/>
      <c r="Z192" s="38"/>
    </row>
    <row r="193" spans="1:26">
      <c r="A193" s="105">
        <v>74.06</v>
      </c>
      <c r="B193" s="38" t="s">
        <v>55</v>
      </c>
      <c r="C193" s="38"/>
      <c r="D193" s="38" t="s">
        <v>56</v>
      </c>
      <c r="E193" s="38"/>
      <c r="F193" s="43"/>
      <c r="G193" s="44" t="s">
        <v>347</v>
      </c>
      <c r="H193" s="45"/>
      <c r="I193" s="38"/>
      <c r="J193" s="38"/>
      <c r="K193" s="46"/>
      <c r="L193" s="47"/>
      <c r="M193" s="307">
        <v>1.0474537037037037E-2</v>
      </c>
      <c r="N193" s="307">
        <v>1.0995370370370371E-2</v>
      </c>
      <c r="O193" s="307">
        <f t="shared" si="5"/>
        <v>5.2083333333333322E-4</v>
      </c>
      <c r="P193" s="92">
        <v>43003</v>
      </c>
      <c r="Q193" s="410" t="str">
        <f t="shared" ca="1" si="3"/>
        <v>https://www.youtube.com/embed/YFmL65VsWdk?start=905&amp;end=950&amp;autoplay=1</v>
      </c>
      <c r="R193" s="50" t="s">
        <v>63</v>
      </c>
      <c r="S193" s="50" t="s">
        <v>326</v>
      </c>
      <c r="T193" s="50" t="s">
        <v>63</v>
      </c>
      <c r="U193" s="52"/>
      <c r="V193" s="53"/>
      <c r="W193" s="60" t="s">
        <v>151</v>
      </c>
      <c r="X193" s="56"/>
      <c r="Y193" s="38"/>
      <c r="Z193" s="38"/>
    </row>
    <row r="194" spans="1:26">
      <c r="A194" s="105">
        <v>74.069999999999993</v>
      </c>
      <c r="B194" s="38" t="s">
        <v>55</v>
      </c>
      <c r="C194" s="38"/>
      <c r="D194" s="38" t="s">
        <v>56</v>
      </c>
      <c r="E194" s="38"/>
      <c r="F194" s="43"/>
      <c r="G194" s="44" t="s">
        <v>350</v>
      </c>
      <c r="H194" s="45"/>
      <c r="I194" s="38"/>
      <c r="J194" s="38"/>
      <c r="K194" s="46"/>
      <c r="L194" s="47"/>
      <c r="M194" s="307">
        <v>1.1168981481481481E-2</v>
      </c>
      <c r="N194" s="307">
        <v>1.2430555555555554E-2</v>
      </c>
      <c r="O194" s="307">
        <f t="shared" si="5"/>
        <v>1.2615740740740729E-3</v>
      </c>
      <c r="P194" s="92">
        <v>43003</v>
      </c>
      <c r="Q194" s="410" t="str">
        <f t="shared" ca="1" si="3"/>
        <v>https://www.youtube.com/embed/YFmL65VsWdk?start=965&amp;end=1074&amp;autoplay=1</v>
      </c>
      <c r="R194" s="50" t="s">
        <v>63</v>
      </c>
      <c r="S194" s="50" t="s">
        <v>326</v>
      </c>
      <c r="T194" s="50" t="s">
        <v>63</v>
      </c>
      <c r="U194" s="52"/>
      <c r="V194" s="53"/>
      <c r="W194" s="60" t="s">
        <v>151</v>
      </c>
      <c r="X194" s="56"/>
      <c r="Y194" s="38"/>
      <c r="Z194" s="38"/>
    </row>
    <row r="195" spans="1:26">
      <c r="A195" s="105">
        <v>74.079999999999899</v>
      </c>
      <c r="B195" s="38" t="s">
        <v>55</v>
      </c>
      <c r="C195" s="38"/>
      <c r="D195" s="38" t="s">
        <v>56</v>
      </c>
      <c r="E195" s="38"/>
      <c r="F195" s="43"/>
      <c r="G195" s="44" t="s">
        <v>354</v>
      </c>
      <c r="H195" s="45"/>
      <c r="I195" s="38"/>
      <c r="J195" s="38"/>
      <c r="K195" s="46"/>
      <c r="L195" s="47"/>
      <c r="M195" s="307">
        <v>1.8229166666666668E-2</v>
      </c>
      <c r="N195" s="307">
        <v>2.2222222222222223E-2</v>
      </c>
      <c r="O195" s="307">
        <f t="shared" si="5"/>
        <v>3.9930555555555552E-3</v>
      </c>
      <c r="P195" s="92">
        <v>43003</v>
      </c>
      <c r="Q195" s="410" t="str">
        <f t="shared" ref="Q195:Q258" ca="1" si="6">HYPERLINK(IF(INT(A195)-A195=0,E195,REPLACE(INDIRECT("MasterList!e"&amp;INT(A195)+1),25,8,"embed/")&amp;"?start="&amp;HOUR(M195)*3600+MINUTE(M195)*60+SECOND(M195)&amp;"&amp;end="&amp;HOUR(N195)*3600+MINUTE(N195)*60+SECOND(N195)&amp;"&amp;autoplay=1"))</f>
        <v>https://www.youtube.com/embed/YFmL65VsWdk?start=1575&amp;end=1920&amp;autoplay=1</v>
      </c>
      <c r="R195" s="50" t="s">
        <v>63</v>
      </c>
      <c r="S195" s="50" t="s">
        <v>326</v>
      </c>
      <c r="T195" s="50" t="s">
        <v>63</v>
      </c>
      <c r="U195" s="52"/>
      <c r="V195" s="53"/>
      <c r="W195" s="60" t="s">
        <v>151</v>
      </c>
      <c r="X195" s="56"/>
      <c r="Y195" s="38"/>
      <c r="Z195" s="38"/>
    </row>
    <row r="196" spans="1:26">
      <c r="A196" s="105">
        <v>74.089999999999904</v>
      </c>
      <c r="B196" s="38" t="s">
        <v>55</v>
      </c>
      <c r="C196" s="38"/>
      <c r="D196" s="38" t="s">
        <v>56</v>
      </c>
      <c r="E196" s="38"/>
      <c r="F196" s="43"/>
      <c r="G196" s="44" t="s">
        <v>355</v>
      </c>
      <c r="H196" s="45"/>
      <c r="I196" s="38"/>
      <c r="J196" s="38"/>
      <c r="K196" s="46"/>
      <c r="L196" s="47"/>
      <c r="M196" s="307">
        <v>2.0312500000000001E-2</v>
      </c>
      <c r="N196" s="307">
        <v>2.1597222222222223E-2</v>
      </c>
      <c r="O196" s="307">
        <f t="shared" si="5"/>
        <v>1.2847222222222218E-3</v>
      </c>
      <c r="P196" s="92">
        <v>43003</v>
      </c>
      <c r="Q196" s="410" t="str">
        <f t="shared" ca="1" si="6"/>
        <v>https://www.youtube.com/embed/YFmL65VsWdk?start=1755&amp;end=1866&amp;autoplay=1</v>
      </c>
      <c r="R196" s="50" t="s">
        <v>63</v>
      </c>
      <c r="S196" s="50" t="s">
        <v>326</v>
      </c>
      <c r="T196" s="50" t="s">
        <v>63</v>
      </c>
      <c r="U196" s="52"/>
      <c r="V196" s="53"/>
      <c r="W196" s="60" t="s">
        <v>151</v>
      </c>
      <c r="X196" s="56"/>
      <c r="Y196" s="38"/>
      <c r="Z196" s="38"/>
    </row>
    <row r="197" spans="1:26">
      <c r="A197" s="105">
        <v>74.099999999999895</v>
      </c>
      <c r="B197" s="38" t="s">
        <v>55</v>
      </c>
      <c r="C197" s="38"/>
      <c r="D197" s="38" t="s">
        <v>56</v>
      </c>
      <c r="E197" s="38"/>
      <c r="F197" s="43"/>
      <c r="G197" s="44" t="s">
        <v>359</v>
      </c>
      <c r="H197" s="45"/>
      <c r="I197" s="38"/>
      <c r="J197" s="38"/>
      <c r="K197" s="46"/>
      <c r="L197" s="47"/>
      <c r="M197" s="307">
        <v>2.4155092592592589E-2</v>
      </c>
      <c r="N197" s="307">
        <v>2.5543981481481483E-2</v>
      </c>
      <c r="O197" s="307">
        <f t="shared" si="5"/>
        <v>1.3888888888888944E-3</v>
      </c>
      <c r="P197" s="92">
        <v>43003</v>
      </c>
      <c r="Q197" s="410" t="str">
        <f t="shared" ca="1" si="6"/>
        <v>https://www.youtube.com/embed/YFmL65VsWdk?start=2087&amp;end=2207&amp;autoplay=1</v>
      </c>
      <c r="R197" s="50" t="s">
        <v>63</v>
      </c>
      <c r="S197" s="50" t="s">
        <v>326</v>
      </c>
      <c r="T197" s="50" t="s">
        <v>63</v>
      </c>
      <c r="U197" s="52"/>
      <c r="V197" s="53"/>
      <c r="W197" s="60" t="s">
        <v>151</v>
      </c>
      <c r="X197" s="56"/>
      <c r="Y197" s="38"/>
      <c r="Z197" s="38"/>
    </row>
    <row r="198" spans="1:26">
      <c r="A198" s="105">
        <v>74.1099999999999</v>
      </c>
      <c r="B198" s="38" t="s">
        <v>55</v>
      </c>
      <c r="C198" s="38"/>
      <c r="D198" s="38" t="s">
        <v>56</v>
      </c>
      <c r="E198" s="38"/>
      <c r="F198" s="38"/>
      <c r="G198" s="38" t="s">
        <v>360</v>
      </c>
      <c r="H198" s="14" t="s">
        <v>361</v>
      </c>
      <c r="I198" s="38"/>
      <c r="J198" s="38"/>
      <c r="K198" s="46"/>
      <c r="L198" s="47"/>
      <c r="M198" s="307">
        <v>2.9224537037037038E-2</v>
      </c>
      <c r="N198" s="307">
        <v>3.2407407407407406E-2</v>
      </c>
      <c r="O198" s="307">
        <f t="shared" si="5"/>
        <v>3.1828703703703672E-3</v>
      </c>
      <c r="P198" s="92">
        <v>43003</v>
      </c>
      <c r="Q198" s="410" t="str">
        <f t="shared" ca="1" si="6"/>
        <v>https://www.youtube.com/embed/YFmL65VsWdk?start=2525&amp;end=2800&amp;autoplay=1</v>
      </c>
      <c r="R198" s="50" t="s">
        <v>63</v>
      </c>
      <c r="S198" s="50" t="s">
        <v>326</v>
      </c>
      <c r="T198" s="50" t="s">
        <v>63</v>
      </c>
      <c r="U198" s="52"/>
      <c r="V198" s="53"/>
      <c r="W198" s="60" t="s">
        <v>151</v>
      </c>
      <c r="X198" s="56"/>
      <c r="Y198" s="38"/>
      <c r="Z198" s="38"/>
    </row>
    <row r="199" spans="1:26">
      <c r="A199" s="38">
        <v>75</v>
      </c>
      <c r="B199" s="39" t="s">
        <v>382</v>
      </c>
      <c r="C199" s="40"/>
      <c r="D199" s="42" t="s">
        <v>56</v>
      </c>
      <c r="E199" s="38" t="s">
        <v>450</v>
      </c>
      <c r="F199" s="43" t="s">
        <v>451</v>
      </c>
      <c r="G199" s="44"/>
      <c r="H199" s="45"/>
      <c r="I199" s="38"/>
      <c r="J199" s="38">
        <f>7.3*1000</f>
        <v>7300</v>
      </c>
      <c r="K199" s="46">
        <v>4.8854166666666664E-2</v>
      </c>
      <c r="L199" s="47" t="s">
        <v>286</v>
      </c>
      <c r="M199" s="48"/>
      <c r="N199" s="48"/>
      <c r="O199" s="48">
        <f t="shared" si="5"/>
        <v>0</v>
      </c>
      <c r="P199" s="377">
        <v>43039</v>
      </c>
      <c r="Q199" s="410" t="str">
        <f t="shared" ca="1" si="6"/>
        <v>https://www.youtube.com/watch?v=29-xoooHPaw</v>
      </c>
      <c r="R199" s="39" t="s">
        <v>63</v>
      </c>
      <c r="S199" s="39" t="s">
        <v>63</v>
      </c>
      <c r="T199" s="39" t="s">
        <v>63</v>
      </c>
      <c r="U199" s="40"/>
      <c r="V199" s="54"/>
      <c r="W199" s="55"/>
      <c r="X199" s="56"/>
      <c r="Y199" s="38"/>
      <c r="Z199" s="38"/>
    </row>
    <row r="200" spans="1:26">
      <c r="A200" s="42">
        <v>75.010000000000005</v>
      </c>
      <c r="B200" s="39" t="s">
        <v>382</v>
      </c>
      <c r="C200" s="40"/>
      <c r="D200" s="42" t="s">
        <v>56</v>
      </c>
      <c r="E200" s="38"/>
      <c r="F200" s="43"/>
      <c r="G200" s="63" t="s">
        <v>2405</v>
      </c>
      <c r="H200" s="58" t="s">
        <v>2407</v>
      </c>
      <c r="I200" s="38"/>
      <c r="J200" s="38"/>
      <c r="K200" s="46"/>
      <c r="L200" s="47"/>
      <c r="M200" s="76">
        <v>1.0300925925925925E-2</v>
      </c>
      <c r="N200" s="93">
        <v>1.9965277777777776E-2</v>
      </c>
      <c r="O200" s="48">
        <f t="shared" si="5"/>
        <v>9.6643518518518511E-3</v>
      </c>
      <c r="P200" s="377">
        <v>43039</v>
      </c>
      <c r="Q200" s="410" t="str">
        <f t="shared" ca="1" si="6"/>
        <v>https://www.youtube.com/embed/29-xoooHPaw?start=890&amp;end=1725&amp;autoplay=1</v>
      </c>
      <c r="R200" s="39" t="s">
        <v>63</v>
      </c>
      <c r="S200" s="39" t="s">
        <v>63</v>
      </c>
      <c r="T200" s="39" t="s">
        <v>63</v>
      </c>
      <c r="U200" s="40"/>
      <c r="V200" s="54"/>
      <c r="W200" s="55"/>
      <c r="X200" s="56"/>
      <c r="Y200" s="38"/>
      <c r="Z200" s="38"/>
    </row>
    <row r="201" spans="1:26">
      <c r="A201" s="42">
        <v>75.02</v>
      </c>
      <c r="B201" s="39" t="s">
        <v>382</v>
      </c>
      <c r="C201" s="40"/>
      <c r="D201" s="42" t="s">
        <v>56</v>
      </c>
      <c r="E201" s="38"/>
      <c r="F201" s="43"/>
      <c r="G201" s="63" t="s">
        <v>2408</v>
      </c>
      <c r="H201" s="45"/>
      <c r="I201" s="38"/>
      <c r="J201" s="38"/>
      <c r="K201" s="46"/>
      <c r="L201" s="47"/>
      <c r="M201" s="93">
        <v>2.0833333333333332E-2</v>
      </c>
      <c r="N201" s="93">
        <v>2.6562499999999999E-2</v>
      </c>
      <c r="O201" s="48">
        <f t="shared" si="5"/>
        <v>5.7291666666666671E-3</v>
      </c>
      <c r="P201" s="377">
        <v>43039</v>
      </c>
      <c r="Q201" s="410" t="str">
        <f t="shared" ca="1" si="6"/>
        <v>https://www.youtube.com/embed/29-xoooHPaw?start=1800&amp;end=2295&amp;autoplay=1</v>
      </c>
      <c r="R201" s="39" t="s">
        <v>63</v>
      </c>
      <c r="S201" s="39" t="s">
        <v>63</v>
      </c>
      <c r="T201" s="39" t="s">
        <v>63</v>
      </c>
      <c r="U201" s="40"/>
      <c r="V201" s="54"/>
      <c r="W201" s="55"/>
      <c r="X201" s="56"/>
      <c r="Y201" s="38"/>
      <c r="Z201" s="38"/>
    </row>
    <row r="202" spans="1:26">
      <c r="A202" s="42">
        <v>75.03</v>
      </c>
      <c r="B202" s="39" t="s">
        <v>382</v>
      </c>
      <c r="C202" s="40"/>
      <c r="D202" s="42" t="s">
        <v>56</v>
      </c>
      <c r="E202" s="38"/>
      <c r="F202" s="43"/>
      <c r="G202" s="63" t="s">
        <v>2411</v>
      </c>
      <c r="H202" s="58" t="s">
        <v>2412</v>
      </c>
      <c r="I202" s="38"/>
      <c r="J202" s="38"/>
      <c r="K202" s="46"/>
      <c r="L202" s="47"/>
      <c r="M202" s="93">
        <v>2.7858796296296295E-2</v>
      </c>
      <c r="N202" s="93">
        <v>3.321759259259259E-2</v>
      </c>
      <c r="O202" s="48">
        <f t="shared" si="5"/>
        <v>5.3587962962962955E-3</v>
      </c>
      <c r="P202" s="377">
        <v>43039</v>
      </c>
      <c r="Q202" s="410" t="str">
        <f t="shared" ca="1" si="6"/>
        <v>https://www.youtube.com/embed/29-xoooHPaw?start=2407&amp;end=2870&amp;autoplay=1</v>
      </c>
      <c r="R202" s="39" t="s">
        <v>63</v>
      </c>
      <c r="S202" s="39" t="s">
        <v>63</v>
      </c>
      <c r="T202" s="39" t="s">
        <v>63</v>
      </c>
      <c r="U202" s="40"/>
      <c r="V202" s="54"/>
      <c r="W202" s="55"/>
      <c r="X202" s="56"/>
      <c r="Y202" s="38"/>
      <c r="Z202" s="38"/>
    </row>
    <row r="203" spans="1:26">
      <c r="A203" s="42">
        <v>75.040000000000006</v>
      </c>
      <c r="B203" s="39" t="s">
        <v>382</v>
      </c>
      <c r="C203" s="40"/>
      <c r="D203" s="42" t="s">
        <v>56</v>
      </c>
      <c r="E203" s="38"/>
      <c r="F203" s="43"/>
      <c r="G203" s="63" t="s">
        <v>2415</v>
      </c>
      <c r="H203" s="58" t="s">
        <v>2416</v>
      </c>
      <c r="I203" s="38"/>
      <c r="J203" s="38"/>
      <c r="K203" s="46"/>
      <c r="L203" s="47"/>
      <c r="M203" s="93">
        <v>3.3275462962962965E-2</v>
      </c>
      <c r="N203" s="93">
        <v>3.7037037037037035E-2</v>
      </c>
      <c r="O203" s="48">
        <f t="shared" si="5"/>
        <v>3.76157407407407E-3</v>
      </c>
      <c r="P203" s="377">
        <v>43039</v>
      </c>
      <c r="Q203" s="410" t="str">
        <f t="shared" ca="1" si="6"/>
        <v>https://www.youtube.com/embed/29-xoooHPaw?start=2875&amp;end=3200&amp;autoplay=1</v>
      </c>
      <c r="R203" s="39" t="s">
        <v>63</v>
      </c>
      <c r="S203" s="39" t="s">
        <v>2382</v>
      </c>
      <c r="T203" s="39" t="s">
        <v>63</v>
      </c>
      <c r="U203" s="40"/>
      <c r="V203" s="54"/>
      <c r="W203" s="55"/>
      <c r="X203" s="56"/>
      <c r="Y203" s="38"/>
      <c r="Z203" s="38"/>
    </row>
    <row r="204" spans="1:26">
      <c r="A204" s="42">
        <v>75.040000000000006</v>
      </c>
      <c r="B204" s="39" t="s">
        <v>382</v>
      </c>
      <c r="C204" s="40"/>
      <c r="D204" s="42" t="s">
        <v>56</v>
      </c>
      <c r="E204" s="38"/>
      <c r="F204" s="43"/>
      <c r="G204" s="63" t="s">
        <v>2419</v>
      </c>
      <c r="H204" s="58" t="s">
        <v>2420</v>
      </c>
      <c r="I204" s="38"/>
      <c r="J204" s="38"/>
      <c r="K204" s="46"/>
      <c r="L204" s="47"/>
      <c r="M204" s="93">
        <v>3.7037037037037035E-2</v>
      </c>
      <c r="N204" s="93">
        <v>4.4965277777777778E-2</v>
      </c>
      <c r="O204" s="48">
        <f t="shared" si="5"/>
        <v>7.9282407407407426E-3</v>
      </c>
      <c r="P204" s="377">
        <v>43039</v>
      </c>
      <c r="Q204" s="410" t="str">
        <f t="shared" ca="1" si="6"/>
        <v>https://www.youtube.com/embed/29-xoooHPaw?start=3200&amp;end=3885&amp;autoplay=1</v>
      </c>
      <c r="R204" s="39" t="s">
        <v>63</v>
      </c>
      <c r="S204" s="39" t="s">
        <v>63</v>
      </c>
      <c r="T204" s="39" t="s">
        <v>63</v>
      </c>
      <c r="U204" s="40"/>
      <c r="V204" s="54"/>
      <c r="W204" s="55"/>
      <c r="X204" s="56"/>
      <c r="Y204" s="38"/>
      <c r="Z204" s="38"/>
    </row>
    <row r="205" spans="1:26">
      <c r="A205" s="42">
        <v>75.05</v>
      </c>
      <c r="B205" s="39" t="s">
        <v>382</v>
      </c>
      <c r="C205" s="40"/>
      <c r="D205" s="42" t="s">
        <v>56</v>
      </c>
      <c r="E205" s="38"/>
      <c r="F205" s="43"/>
      <c r="G205" s="63" t="s">
        <v>2423</v>
      </c>
      <c r="H205" s="58" t="s">
        <v>2424</v>
      </c>
      <c r="I205" s="38"/>
      <c r="J205" s="38"/>
      <c r="K205" s="46"/>
      <c r="L205" s="47"/>
      <c r="M205" s="93">
        <v>4.4965277777777778E-2</v>
      </c>
      <c r="N205" s="93">
        <v>4.884259259259259E-2</v>
      </c>
      <c r="O205" s="48">
        <f t="shared" si="5"/>
        <v>3.8773148148148126E-3</v>
      </c>
      <c r="P205" s="377">
        <v>43039</v>
      </c>
      <c r="Q205" s="410" t="str">
        <f t="shared" ca="1" si="6"/>
        <v>https://www.youtube.com/embed/29-xoooHPaw?start=3885&amp;end=4220&amp;autoplay=1</v>
      </c>
      <c r="R205" s="39" t="s">
        <v>63</v>
      </c>
      <c r="S205" s="39" t="s">
        <v>63</v>
      </c>
      <c r="T205" s="39" t="s">
        <v>63</v>
      </c>
      <c r="U205" s="40"/>
      <c r="V205" s="54"/>
      <c r="W205" s="55"/>
      <c r="X205" s="56"/>
      <c r="Y205" s="38"/>
      <c r="Z205" s="38"/>
    </row>
    <row r="206" spans="1:26">
      <c r="A206" s="38">
        <v>76</v>
      </c>
      <c r="B206" s="39" t="s">
        <v>54</v>
      </c>
      <c r="C206" s="40"/>
      <c r="D206" s="42" t="s">
        <v>56</v>
      </c>
      <c r="E206" s="38" t="s">
        <v>457</v>
      </c>
      <c r="F206" s="43" t="s">
        <v>458</v>
      </c>
      <c r="G206" s="44"/>
      <c r="H206" s="45"/>
      <c r="I206" s="38"/>
      <c r="J206" s="38">
        <f>7.9*1000</f>
        <v>7900</v>
      </c>
      <c r="K206" s="46">
        <v>2.476851851851852E-2</v>
      </c>
      <c r="L206" s="47" t="s">
        <v>286</v>
      </c>
      <c r="M206" s="48"/>
      <c r="N206" s="48"/>
      <c r="O206" s="48">
        <f t="shared" si="5"/>
        <v>0</v>
      </c>
      <c r="P206" s="377">
        <v>43039</v>
      </c>
      <c r="Q206" s="410" t="str">
        <f t="shared" ca="1" si="6"/>
        <v>https://www.youtube.com/watch?v=y1fdkGgCt64</v>
      </c>
      <c r="R206" s="51"/>
      <c r="S206" s="51"/>
      <c r="T206" s="51"/>
      <c r="U206" s="40"/>
      <c r="V206" s="54"/>
      <c r="W206" s="55"/>
      <c r="X206" s="56"/>
      <c r="Y206" s="38"/>
      <c r="Z206" s="38"/>
    </row>
    <row r="207" spans="1:26">
      <c r="A207" s="42">
        <v>76.010000000000005</v>
      </c>
      <c r="B207" s="39" t="s">
        <v>54</v>
      </c>
      <c r="C207" s="40"/>
      <c r="D207" s="42" t="s">
        <v>56</v>
      </c>
      <c r="E207" s="38"/>
      <c r="F207" s="43"/>
      <c r="G207" s="63" t="s">
        <v>496</v>
      </c>
      <c r="H207" s="45"/>
      <c r="I207" s="38"/>
      <c r="J207" s="38"/>
      <c r="K207" s="46"/>
      <c r="L207" s="47"/>
      <c r="M207" s="64">
        <v>5.208333333333333E-3</v>
      </c>
      <c r="N207" s="64">
        <v>1.005787037037037E-2</v>
      </c>
      <c r="O207" s="46">
        <f t="shared" si="5"/>
        <v>4.8495370370370368E-3</v>
      </c>
      <c r="P207" s="65">
        <v>43032</v>
      </c>
      <c r="Q207" s="410" t="str">
        <f t="shared" ca="1" si="6"/>
        <v>https://www.youtube.com/embed/y1fdkGgCt64?start=450&amp;end=869&amp;autoplay=1</v>
      </c>
      <c r="R207" s="102" t="s">
        <v>63</v>
      </c>
      <c r="S207" s="104" t="s">
        <v>63</v>
      </c>
      <c r="T207" s="106" t="s">
        <v>63</v>
      </c>
      <c r="U207" s="52"/>
      <c r="V207" s="53"/>
      <c r="W207" s="57" t="s">
        <v>64</v>
      </c>
      <c r="X207" s="56"/>
      <c r="Y207" s="38"/>
      <c r="Z207" s="38"/>
    </row>
    <row r="208" spans="1:26">
      <c r="A208" s="42">
        <v>76.02</v>
      </c>
      <c r="B208" s="39" t="s">
        <v>54</v>
      </c>
      <c r="C208" s="40"/>
      <c r="D208" s="42" t="s">
        <v>56</v>
      </c>
      <c r="E208" s="38"/>
      <c r="F208" s="43"/>
      <c r="G208" s="63" t="s">
        <v>505</v>
      </c>
      <c r="H208" s="45"/>
      <c r="I208" s="38"/>
      <c r="J208" s="38"/>
      <c r="K208" s="46"/>
      <c r="L208" s="47"/>
      <c r="M208" s="64">
        <v>1.0162037037037037E-2</v>
      </c>
      <c r="N208" s="64">
        <v>1.0949074074074075E-2</v>
      </c>
      <c r="O208" s="46">
        <f t="shared" si="5"/>
        <v>7.8703703703703748E-4</v>
      </c>
      <c r="P208" s="65">
        <v>43032</v>
      </c>
      <c r="Q208" s="410" t="str">
        <f t="shared" ca="1" si="6"/>
        <v>https://www.youtube.com/embed/y1fdkGgCt64?start=878&amp;end=946&amp;autoplay=1</v>
      </c>
      <c r="R208" s="102" t="s">
        <v>63</v>
      </c>
      <c r="S208" s="104" t="s">
        <v>63</v>
      </c>
      <c r="T208" s="106" t="s">
        <v>63</v>
      </c>
      <c r="U208" s="52"/>
      <c r="V208" s="53"/>
      <c r="W208" s="57" t="s">
        <v>64</v>
      </c>
      <c r="X208" s="56"/>
      <c r="Y208" s="38"/>
      <c r="Z208" s="38"/>
    </row>
    <row r="209" spans="1:26">
      <c r="A209" s="42">
        <v>76.03</v>
      </c>
      <c r="B209" s="39" t="s">
        <v>54</v>
      </c>
      <c r="C209" s="40"/>
      <c r="D209" s="42" t="s">
        <v>56</v>
      </c>
      <c r="E209" s="38"/>
      <c r="F209" s="43"/>
      <c r="G209" s="63" t="s">
        <v>510</v>
      </c>
      <c r="H209" s="45"/>
      <c r="I209" s="38"/>
      <c r="J209" s="38"/>
      <c r="K209" s="46"/>
      <c r="L209" s="47"/>
      <c r="M209" s="64">
        <v>1.0972222222222222E-2</v>
      </c>
      <c r="N209" s="64">
        <v>1.3587962962962963E-2</v>
      </c>
      <c r="O209" s="46">
        <f t="shared" si="5"/>
        <v>2.6157407407407414E-3</v>
      </c>
      <c r="P209" s="65">
        <v>43032</v>
      </c>
      <c r="Q209" s="410" t="str">
        <f t="shared" ca="1" si="6"/>
        <v>https://www.youtube.com/embed/y1fdkGgCt64?start=948&amp;end=1174&amp;autoplay=1</v>
      </c>
      <c r="R209" s="102" t="s">
        <v>63</v>
      </c>
      <c r="S209" s="104" t="s">
        <v>63</v>
      </c>
      <c r="T209" s="106" t="s">
        <v>63</v>
      </c>
      <c r="U209" s="52"/>
      <c r="V209" s="53"/>
      <c r="W209" s="57" t="s">
        <v>64</v>
      </c>
      <c r="X209" s="56"/>
      <c r="Y209" s="38"/>
      <c r="Z209" s="38"/>
    </row>
    <row r="210" spans="1:26">
      <c r="A210" s="42">
        <v>76.040000000000006</v>
      </c>
      <c r="B210" s="39" t="s">
        <v>54</v>
      </c>
      <c r="C210" s="40"/>
      <c r="D210" s="42" t="s">
        <v>56</v>
      </c>
      <c r="E210" s="38"/>
      <c r="F210" s="43"/>
      <c r="G210" s="63" t="s">
        <v>512</v>
      </c>
      <c r="H210" s="45"/>
      <c r="I210" s="38"/>
      <c r="J210" s="38"/>
      <c r="K210" s="46"/>
      <c r="L210" s="47"/>
      <c r="M210" s="64">
        <v>1.3738425925925926E-2</v>
      </c>
      <c r="N210" s="64">
        <v>1.6828703703703703E-2</v>
      </c>
      <c r="O210" s="46">
        <f t="shared" si="5"/>
        <v>3.0902777777777769E-3</v>
      </c>
      <c r="P210" s="65">
        <v>43032</v>
      </c>
      <c r="Q210" s="410" t="str">
        <f t="shared" ca="1" si="6"/>
        <v>https://www.youtube.com/embed/y1fdkGgCt64?start=1187&amp;end=1454&amp;autoplay=1</v>
      </c>
      <c r="R210" s="102" t="s">
        <v>63</v>
      </c>
      <c r="S210" s="104" t="s">
        <v>63</v>
      </c>
      <c r="T210" s="106" t="s">
        <v>63</v>
      </c>
      <c r="U210" s="52"/>
      <c r="V210" s="53"/>
      <c r="W210" s="57" t="s">
        <v>64</v>
      </c>
      <c r="X210" s="56"/>
      <c r="Y210" s="38"/>
      <c r="Z210" s="38"/>
    </row>
    <row r="211" spans="1:26">
      <c r="A211" s="42">
        <v>76.05</v>
      </c>
      <c r="B211" s="39" t="s">
        <v>54</v>
      </c>
      <c r="C211" s="40"/>
      <c r="D211" s="42" t="s">
        <v>56</v>
      </c>
      <c r="E211" s="38"/>
      <c r="F211" s="43"/>
      <c r="G211" s="63" t="s">
        <v>515</v>
      </c>
      <c r="H211" s="45"/>
      <c r="I211" s="38"/>
      <c r="J211" s="38"/>
      <c r="K211" s="46"/>
      <c r="L211" s="47"/>
      <c r="M211" s="64">
        <v>1.6840277777777777E-2</v>
      </c>
      <c r="N211" s="64">
        <v>1.8391203703703705E-2</v>
      </c>
      <c r="O211" s="46">
        <f t="shared" si="5"/>
        <v>1.5509259259259278E-3</v>
      </c>
      <c r="P211" s="65">
        <v>43032</v>
      </c>
      <c r="Q211" s="410" t="str">
        <f t="shared" ca="1" si="6"/>
        <v>https://www.youtube.com/embed/y1fdkGgCt64?start=1455&amp;end=1589&amp;autoplay=1</v>
      </c>
      <c r="R211" s="102" t="s">
        <v>63</v>
      </c>
      <c r="S211" s="104" t="s">
        <v>63</v>
      </c>
      <c r="T211" s="106" t="s">
        <v>63</v>
      </c>
      <c r="U211" s="52"/>
      <c r="V211" s="53"/>
      <c r="W211" s="57" t="s">
        <v>64</v>
      </c>
      <c r="X211" s="56"/>
      <c r="Y211" s="38"/>
      <c r="Z211" s="38"/>
    </row>
    <row r="212" spans="1:26">
      <c r="A212" s="42">
        <v>76.06</v>
      </c>
      <c r="B212" s="39" t="s">
        <v>54</v>
      </c>
      <c r="C212" s="40"/>
      <c r="D212" s="42" t="s">
        <v>56</v>
      </c>
      <c r="E212" s="38"/>
      <c r="F212" s="43"/>
      <c r="G212" s="63" t="s">
        <v>521</v>
      </c>
      <c r="H212" s="45"/>
      <c r="I212" s="38"/>
      <c r="J212" s="38"/>
      <c r="K212" s="46"/>
      <c r="L212" s="47"/>
      <c r="M212" s="64">
        <v>1.8402777777777778E-2</v>
      </c>
      <c r="N212" s="64">
        <v>2.3541666666666666E-2</v>
      </c>
      <c r="O212" s="46">
        <f t="shared" si="5"/>
        <v>5.1388888888888873E-3</v>
      </c>
      <c r="P212" s="65">
        <v>43032</v>
      </c>
      <c r="Q212" s="410" t="str">
        <f t="shared" ca="1" si="6"/>
        <v>https://www.youtube.com/embed/y1fdkGgCt64?start=1590&amp;end=2034&amp;autoplay=1</v>
      </c>
      <c r="R212" s="102" t="s">
        <v>63</v>
      </c>
      <c r="S212" s="104" t="s">
        <v>63</v>
      </c>
      <c r="T212" s="106" t="s">
        <v>63</v>
      </c>
      <c r="U212" s="52"/>
      <c r="V212" s="53"/>
      <c r="W212" s="57" t="s">
        <v>64</v>
      </c>
      <c r="X212" s="56"/>
      <c r="Y212" s="38"/>
      <c r="Z212" s="38"/>
    </row>
    <row r="213" spans="1:26">
      <c r="A213" s="42">
        <v>76.069999999999993</v>
      </c>
      <c r="B213" s="39" t="s">
        <v>54</v>
      </c>
      <c r="C213" s="40"/>
      <c r="D213" s="42" t="s">
        <v>56</v>
      </c>
      <c r="E213" s="38"/>
      <c r="F213" s="43"/>
      <c r="G213" s="63" t="s">
        <v>524</v>
      </c>
      <c r="H213" s="45"/>
      <c r="I213" s="38"/>
      <c r="J213" s="38"/>
      <c r="K213" s="46"/>
      <c r="L213" s="47"/>
      <c r="M213" s="64">
        <v>3.7222222222222219E-2</v>
      </c>
      <c r="N213" s="64">
        <v>4.0694444444444443E-2</v>
      </c>
      <c r="O213" s="46">
        <f t="shared" si="5"/>
        <v>3.4722222222222238E-3</v>
      </c>
      <c r="P213" s="65">
        <v>43032</v>
      </c>
      <c r="Q213" s="410" t="str">
        <f t="shared" ca="1" si="6"/>
        <v>https://www.youtube.com/embed/y1fdkGgCt64?start=3216&amp;end=3516&amp;autoplay=1</v>
      </c>
      <c r="R213" s="108" t="s">
        <v>131</v>
      </c>
      <c r="S213" s="104" t="s">
        <v>63</v>
      </c>
      <c r="T213" s="106" t="s">
        <v>63</v>
      </c>
      <c r="U213" s="52"/>
      <c r="V213" s="53"/>
      <c r="W213" s="57" t="s">
        <v>64</v>
      </c>
      <c r="X213" s="56"/>
      <c r="Y213" s="38"/>
      <c r="Z213" s="38"/>
    </row>
    <row r="214" spans="1:26" ht="15.75" customHeight="1">
      <c r="A214" s="42">
        <v>76.08</v>
      </c>
      <c r="B214" s="39" t="s">
        <v>54</v>
      </c>
      <c r="C214" s="40"/>
      <c r="D214" s="42" t="s">
        <v>56</v>
      </c>
      <c r="E214" s="38"/>
      <c r="F214" s="43"/>
      <c r="G214" s="63" t="s">
        <v>529</v>
      </c>
      <c r="H214" s="45"/>
      <c r="I214" s="38"/>
      <c r="J214" s="38"/>
      <c r="K214" s="46"/>
      <c r="L214" s="47"/>
      <c r="M214" s="64">
        <v>4.085648148148148E-2</v>
      </c>
      <c r="N214" s="76">
        <v>4.2997685185185187E-2</v>
      </c>
      <c r="O214" s="77">
        <f t="shared" si="5"/>
        <v>2.1412037037037077E-3</v>
      </c>
      <c r="P214" s="65">
        <v>43032</v>
      </c>
      <c r="Q214" s="410" t="str">
        <f t="shared" ca="1" si="6"/>
        <v>https://www.youtube.com/embed/y1fdkGgCt64?start=3530&amp;end=3715&amp;autoplay=1</v>
      </c>
      <c r="R214" s="102" t="s">
        <v>63</v>
      </c>
      <c r="S214" s="104" t="s">
        <v>63</v>
      </c>
      <c r="T214" s="106" t="s">
        <v>63</v>
      </c>
      <c r="U214" s="52"/>
      <c r="V214" s="53"/>
      <c r="W214" s="57" t="s">
        <v>64</v>
      </c>
      <c r="X214" s="56"/>
      <c r="Y214" s="38"/>
      <c r="Z214" s="38"/>
    </row>
    <row r="215" spans="1:26">
      <c r="A215" s="42">
        <v>76.09</v>
      </c>
      <c r="B215" s="39" t="s">
        <v>54</v>
      </c>
      <c r="C215" s="40"/>
      <c r="D215" s="42" t="s">
        <v>56</v>
      </c>
      <c r="E215" s="38"/>
      <c r="F215" s="43"/>
      <c r="G215" s="63" t="s">
        <v>532</v>
      </c>
      <c r="H215" s="45"/>
      <c r="I215" s="38"/>
      <c r="J215" s="38"/>
      <c r="K215" s="46"/>
      <c r="L215" s="47"/>
      <c r="M215" s="76">
        <v>4.3009259259259261E-2</v>
      </c>
      <c r="N215" s="64">
        <v>4.880787037037037E-2</v>
      </c>
      <c r="O215" s="46">
        <f t="shared" si="5"/>
        <v>5.7986111111111086E-3</v>
      </c>
      <c r="P215" s="65">
        <v>43032</v>
      </c>
      <c r="Q215" s="410" t="str">
        <f t="shared" ca="1" si="6"/>
        <v>https://www.youtube.com/embed/y1fdkGgCt64?start=3716&amp;end=4217&amp;autoplay=1</v>
      </c>
      <c r="R215" s="102" t="s">
        <v>63</v>
      </c>
      <c r="S215" s="104" t="s">
        <v>63</v>
      </c>
      <c r="T215" s="106" t="s">
        <v>63</v>
      </c>
      <c r="U215" s="52"/>
      <c r="V215" s="53"/>
      <c r="W215" s="57" t="s">
        <v>64</v>
      </c>
      <c r="X215" s="56"/>
      <c r="Y215" s="38"/>
      <c r="Z215" s="38"/>
    </row>
    <row r="216" spans="1:26">
      <c r="A216" s="85">
        <v>76.099999999999994</v>
      </c>
      <c r="B216" s="109" t="s">
        <v>54</v>
      </c>
      <c r="C216" s="110"/>
      <c r="D216" s="85" t="s">
        <v>56</v>
      </c>
      <c r="E216" s="38"/>
      <c r="F216" s="43"/>
      <c r="G216" s="63" t="s">
        <v>539</v>
      </c>
      <c r="H216" s="45"/>
      <c r="I216" s="38"/>
      <c r="J216" s="38"/>
      <c r="K216" s="46"/>
      <c r="L216" s="47"/>
      <c r="M216" s="64">
        <v>4.8819444444444443E-2</v>
      </c>
      <c r="N216" s="64">
        <v>5.3449074074074072E-2</v>
      </c>
      <c r="O216" s="46">
        <f t="shared" si="5"/>
        <v>4.6296296296296294E-3</v>
      </c>
      <c r="P216" s="65">
        <v>43032</v>
      </c>
      <c r="Q216" s="410" t="str">
        <f t="shared" ca="1" si="6"/>
        <v>https://www.youtube.com/embed/y1fdkGgCt64?start=4218&amp;end=4618&amp;autoplay=1</v>
      </c>
      <c r="R216" s="102" t="s">
        <v>63</v>
      </c>
      <c r="S216" s="104" t="s">
        <v>63</v>
      </c>
      <c r="T216" s="106" t="s">
        <v>63</v>
      </c>
      <c r="U216" s="52"/>
      <c r="V216" s="53"/>
      <c r="W216" s="57" t="s">
        <v>64</v>
      </c>
      <c r="X216" s="56"/>
      <c r="Y216" s="38"/>
      <c r="Z216" s="38"/>
    </row>
    <row r="217" spans="1:26">
      <c r="A217" s="85">
        <v>76.11</v>
      </c>
      <c r="B217" s="109" t="s">
        <v>54</v>
      </c>
      <c r="C217" s="110"/>
      <c r="D217" s="85" t="s">
        <v>56</v>
      </c>
      <c r="E217" s="38"/>
      <c r="F217" s="43"/>
      <c r="G217" s="63" t="s">
        <v>542</v>
      </c>
      <c r="H217" s="45"/>
      <c r="I217" s="38"/>
      <c r="J217" s="38"/>
      <c r="K217" s="46"/>
      <c r="L217" s="47"/>
      <c r="M217" s="64">
        <v>5.3912037037037036E-2</v>
      </c>
      <c r="N217" s="64">
        <v>5.9756944444444446E-2</v>
      </c>
      <c r="O217" s="46">
        <f t="shared" si="5"/>
        <v>5.8449074074074098E-3</v>
      </c>
      <c r="P217" s="65">
        <v>43032</v>
      </c>
      <c r="Q217" s="410" t="str">
        <f t="shared" ca="1" si="6"/>
        <v>https://www.youtube.com/embed/y1fdkGgCt64?start=4658&amp;end=5163&amp;autoplay=1</v>
      </c>
      <c r="R217" s="102" t="s">
        <v>63</v>
      </c>
      <c r="S217" s="104" t="s">
        <v>63</v>
      </c>
      <c r="T217" s="106" t="s">
        <v>63</v>
      </c>
      <c r="U217" s="52"/>
      <c r="V217" s="53"/>
      <c r="W217" s="57" t="s">
        <v>64</v>
      </c>
      <c r="X217" s="56"/>
      <c r="Y217" s="38"/>
      <c r="Z217" s="38"/>
    </row>
    <row r="218" spans="1:26">
      <c r="A218" s="85">
        <v>76.12</v>
      </c>
      <c r="B218" s="109" t="s">
        <v>54</v>
      </c>
      <c r="C218" s="110"/>
      <c r="D218" s="85" t="s">
        <v>56</v>
      </c>
      <c r="E218" s="38"/>
      <c r="F218" s="43"/>
      <c r="G218" s="63" t="s">
        <v>544</v>
      </c>
      <c r="H218" s="45"/>
      <c r="I218" s="38"/>
      <c r="J218" s="38"/>
      <c r="K218" s="46"/>
      <c r="L218" s="47"/>
      <c r="M218" s="64">
        <v>5.9872685185185189E-2</v>
      </c>
      <c r="N218" s="64">
        <v>6.4270833333333333E-2</v>
      </c>
      <c r="O218" s="46">
        <f t="shared" si="5"/>
        <v>4.3981481481481441E-3</v>
      </c>
      <c r="P218" s="65">
        <v>43032</v>
      </c>
      <c r="Q218" s="410" t="str">
        <f t="shared" ca="1" si="6"/>
        <v>https://www.youtube.com/embed/y1fdkGgCt64?start=5173&amp;end=5553&amp;autoplay=1</v>
      </c>
      <c r="R218" s="102" t="s">
        <v>63</v>
      </c>
      <c r="S218" s="104" t="s">
        <v>63</v>
      </c>
      <c r="T218" s="106" t="s">
        <v>63</v>
      </c>
      <c r="U218" s="52"/>
      <c r="V218" s="53"/>
      <c r="W218" s="57" t="s">
        <v>64</v>
      </c>
      <c r="X218" s="56"/>
      <c r="Y218" s="38"/>
      <c r="Z218" s="38"/>
    </row>
    <row r="219" spans="1:26">
      <c r="A219" s="85">
        <v>76.13</v>
      </c>
      <c r="B219" s="109" t="s">
        <v>54</v>
      </c>
      <c r="C219" s="110"/>
      <c r="D219" s="85" t="s">
        <v>56</v>
      </c>
      <c r="E219" s="38"/>
      <c r="F219" s="43"/>
      <c r="G219" s="63" t="s">
        <v>549</v>
      </c>
      <c r="H219" s="45"/>
      <c r="I219" s="38"/>
      <c r="J219" s="38"/>
      <c r="K219" s="46"/>
      <c r="L219" s="47"/>
      <c r="M219" s="64">
        <v>6.4502314814814818E-2</v>
      </c>
      <c r="N219" s="64">
        <v>6.8287037037037035E-2</v>
      </c>
      <c r="O219" s="46">
        <f t="shared" si="5"/>
        <v>3.7847222222222171E-3</v>
      </c>
      <c r="P219" s="65">
        <v>43032</v>
      </c>
      <c r="Q219" s="410" t="str">
        <f t="shared" ca="1" si="6"/>
        <v>https://www.youtube.com/embed/y1fdkGgCt64?start=5573&amp;end=5900&amp;autoplay=1</v>
      </c>
      <c r="R219" s="102" t="s">
        <v>63</v>
      </c>
      <c r="S219" s="104" t="s">
        <v>63</v>
      </c>
      <c r="T219" s="106" t="s">
        <v>63</v>
      </c>
      <c r="U219" s="52"/>
      <c r="V219" s="53"/>
      <c r="W219" s="57" t="s">
        <v>64</v>
      </c>
      <c r="X219" s="56"/>
      <c r="Y219" s="38"/>
      <c r="Z219" s="38"/>
    </row>
    <row r="220" spans="1:26" hidden="1">
      <c r="A220" s="38">
        <v>77</v>
      </c>
      <c r="B220" s="38"/>
      <c r="C220" s="38"/>
      <c r="D220" s="38"/>
      <c r="E220" s="38" t="s">
        <v>463</v>
      </c>
      <c r="F220" s="43" t="s">
        <v>464</v>
      </c>
      <c r="G220" s="44"/>
      <c r="H220" s="45"/>
      <c r="I220" s="38"/>
      <c r="J220" s="38">
        <f>11*1000</f>
        <v>11000</v>
      </c>
      <c r="K220" s="46">
        <v>3.75462962962963E-2</v>
      </c>
      <c r="L220" s="47" t="s">
        <v>286</v>
      </c>
      <c r="M220" s="307"/>
      <c r="N220" s="307"/>
      <c r="O220" s="307">
        <f t="shared" si="5"/>
        <v>0</v>
      </c>
      <c r="P220" s="92"/>
      <c r="Q220" s="410" t="str">
        <f t="shared" ca="1" si="6"/>
        <v>https://www.youtube.com/watch?v=FNqQxPkLmPI</v>
      </c>
      <c r="R220" s="50"/>
      <c r="S220" s="50"/>
      <c r="T220" s="50"/>
      <c r="U220" s="52"/>
      <c r="V220" s="53"/>
      <c r="W220" s="60"/>
      <c r="X220" s="56"/>
      <c r="Y220" s="38"/>
      <c r="Z220" s="38"/>
    </row>
    <row r="221" spans="1:26" hidden="1">
      <c r="A221" s="38">
        <v>78</v>
      </c>
      <c r="B221" s="38"/>
      <c r="C221" s="38"/>
      <c r="D221" s="38"/>
      <c r="E221" s="38" t="s">
        <v>469</v>
      </c>
      <c r="F221" s="43" t="s">
        <v>470</v>
      </c>
      <c r="G221" s="44"/>
      <c r="H221" s="45"/>
      <c r="I221" s="38"/>
      <c r="J221" s="38">
        <f>6.6*1000</f>
        <v>6600</v>
      </c>
      <c r="K221" s="46">
        <v>2.4131944444444445E-2</v>
      </c>
      <c r="L221" s="47" t="s">
        <v>286</v>
      </c>
      <c r="M221" s="307"/>
      <c r="N221" s="307"/>
      <c r="O221" s="307">
        <f t="shared" si="5"/>
        <v>0</v>
      </c>
      <c r="P221" s="92"/>
      <c r="Q221" s="410" t="str">
        <f t="shared" ca="1" si="6"/>
        <v>https://www.youtube.com/watch?v=54lSHTtU68A</v>
      </c>
      <c r="R221" s="50"/>
      <c r="S221" s="50"/>
      <c r="T221" s="50"/>
      <c r="U221" s="52"/>
      <c r="V221" s="53"/>
      <c r="W221" s="60"/>
      <c r="X221" s="56"/>
      <c r="Y221" s="38"/>
      <c r="Z221" s="38"/>
    </row>
    <row r="222" spans="1:26">
      <c r="A222" s="38">
        <v>79</v>
      </c>
      <c r="B222" s="42" t="s">
        <v>55</v>
      </c>
      <c r="C222" s="38"/>
      <c r="D222" s="42" t="s">
        <v>56</v>
      </c>
      <c r="E222" s="38" t="s">
        <v>475</v>
      </c>
      <c r="F222" s="43" t="s">
        <v>476</v>
      </c>
      <c r="G222" s="44"/>
      <c r="H222" s="45"/>
      <c r="I222" s="38"/>
      <c r="J222" s="38">
        <f>5.8*1000</f>
        <v>5800</v>
      </c>
      <c r="K222" s="46">
        <v>3.2534722222222222E-2</v>
      </c>
      <c r="L222" s="47" t="s">
        <v>286</v>
      </c>
      <c r="M222" s="307"/>
      <c r="N222" s="307"/>
      <c r="O222" s="307">
        <f t="shared" si="5"/>
        <v>0</v>
      </c>
      <c r="P222" s="66">
        <v>43009</v>
      </c>
      <c r="Q222" s="410" t="str">
        <f t="shared" ca="1" si="6"/>
        <v>https://www.youtube.com/watch?v=uDANJcQm-So</v>
      </c>
      <c r="R222" s="50"/>
      <c r="S222" s="50"/>
      <c r="T222" s="50"/>
      <c r="U222" s="52"/>
      <c r="V222" s="53"/>
      <c r="W222" s="60"/>
      <c r="X222" s="56"/>
      <c r="Y222" s="38"/>
      <c r="Z222" s="38"/>
    </row>
    <row r="223" spans="1:26">
      <c r="A223" s="42">
        <v>79.010000000000005</v>
      </c>
      <c r="B223" s="42" t="s">
        <v>55</v>
      </c>
      <c r="C223" s="38"/>
      <c r="D223" s="42" t="s">
        <v>56</v>
      </c>
      <c r="E223" s="38"/>
      <c r="F223" s="38"/>
      <c r="G223" s="42" t="s">
        <v>502</v>
      </c>
      <c r="H223" s="38"/>
      <c r="I223" s="38"/>
      <c r="J223" s="38"/>
      <c r="K223" s="46"/>
      <c r="L223" s="38"/>
      <c r="M223" s="307">
        <v>1.3819444444444445E-2</v>
      </c>
      <c r="N223" s="307">
        <v>1.4953703703703703E-2</v>
      </c>
      <c r="O223" s="307">
        <f t="shared" si="5"/>
        <v>1.1342592592592585E-3</v>
      </c>
      <c r="P223" s="66">
        <v>43009</v>
      </c>
      <c r="Q223" s="410" t="str">
        <f t="shared" ca="1" si="6"/>
        <v>https://www.youtube.com/embed/uDANJcQm-So?start=1194&amp;end=1292&amp;autoplay=1</v>
      </c>
      <c r="R223" s="50"/>
      <c r="S223" s="50"/>
      <c r="T223" s="50"/>
      <c r="U223" s="52"/>
      <c r="V223" s="53"/>
      <c r="W223" s="60"/>
      <c r="X223" s="56"/>
      <c r="Y223" s="38"/>
      <c r="Z223" s="38"/>
    </row>
    <row r="224" spans="1:26" hidden="1">
      <c r="A224" s="38">
        <v>80</v>
      </c>
      <c r="B224" s="38"/>
      <c r="C224" s="38"/>
      <c r="D224" s="38"/>
      <c r="E224" s="38" t="s">
        <v>479</v>
      </c>
      <c r="F224" s="43" t="s">
        <v>480</v>
      </c>
      <c r="G224" s="44"/>
      <c r="H224" s="45"/>
      <c r="I224" s="38"/>
      <c r="J224" s="38">
        <f>4.5*1000</f>
        <v>4500</v>
      </c>
      <c r="K224" s="46">
        <v>9.8958333333333329E-3</v>
      </c>
      <c r="L224" s="47" t="s">
        <v>286</v>
      </c>
      <c r="M224" s="307"/>
      <c r="N224" s="307"/>
      <c r="O224" s="307">
        <f t="shared" si="5"/>
        <v>0</v>
      </c>
      <c r="P224" s="92"/>
      <c r="Q224" s="410" t="str">
        <f t="shared" ca="1" si="6"/>
        <v>https://www.youtube.com/watch?v=aXm-YqwVmbs</v>
      </c>
      <c r="R224" s="50"/>
      <c r="S224" s="50"/>
      <c r="T224" s="50"/>
      <c r="U224" s="52"/>
      <c r="V224" s="53"/>
      <c r="W224" s="60"/>
      <c r="X224" s="56"/>
      <c r="Y224" s="38"/>
      <c r="Z224" s="38"/>
    </row>
    <row r="225" spans="1:26" hidden="1">
      <c r="A225" s="38">
        <v>81</v>
      </c>
      <c r="B225" s="38"/>
      <c r="C225" s="38"/>
      <c r="D225" s="38"/>
      <c r="E225" s="38" t="s">
        <v>484</v>
      </c>
      <c r="F225" s="43" t="s">
        <v>485</v>
      </c>
      <c r="G225" s="44"/>
      <c r="H225" s="45"/>
      <c r="I225" s="38"/>
      <c r="J225" s="38">
        <f>2*1000</f>
        <v>2000</v>
      </c>
      <c r="K225" s="46">
        <v>2.7893518518518519E-3</v>
      </c>
      <c r="L225" s="47" t="s">
        <v>286</v>
      </c>
      <c r="M225" s="307"/>
      <c r="N225" s="307"/>
      <c r="O225" s="307">
        <f t="shared" si="5"/>
        <v>0</v>
      </c>
      <c r="P225" s="92"/>
      <c r="Q225" s="410" t="str">
        <f t="shared" ca="1" si="6"/>
        <v>https://www.youtube.com/watch?v=4eM5V0OXNNU</v>
      </c>
      <c r="R225" s="50"/>
      <c r="S225" s="50"/>
      <c r="T225" s="50"/>
      <c r="U225" s="52"/>
      <c r="V225" s="53"/>
      <c r="W225" s="60"/>
      <c r="X225" s="56"/>
      <c r="Y225" s="38"/>
      <c r="Z225" s="38"/>
    </row>
    <row r="226" spans="1:26" hidden="1">
      <c r="A226" s="38">
        <v>82</v>
      </c>
      <c r="B226" s="38"/>
      <c r="C226" s="38"/>
      <c r="D226" s="38"/>
      <c r="E226" s="38" t="s">
        <v>490</v>
      </c>
      <c r="F226" s="43" t="s">
        <v>491</v>
      </c>
      <c r="G226" s="44"/>
      <c r="H226" s="45"/>
      <c r="I226" s="38"/>
      <c r="J226" s="38">
        <f>3.7*1000</f>
        <v>3700</v>
      </c>
      <c r="K226" s="46">
        <v>1.1875000000000002E-2</v>
      </c>
      <c r="L226" s="47" t="s">
        <v>286</v>
      </c>
      <c r="M226" s="307"/>
      <c r="N226" s="307"/>
      <c r="O226" s="307">
        <f t="shared" si="5"/>
        <v>0</v>
      </c>
      <c r="P226" s="92"/>
      <c r="Q226" s="410" t="str">
        <f t="shared" ca="1" si="6"/>
        <v>https://www.youtube.com/watch?v=knJJGEYwaZw</v>
      </c>
      <c r="R226" s="50"/>
      <c r="S226" s="50"/>
      <c r="T226" s="50"/>
      <c r="U226" s="52"/>
      <c r="V226" s="53"/>
      <c r="W226" s="60"/>
      <c r="X226" s="56"/>
      <c r="Y226" s="38"/>
      <c r="Z226" s="38"/>
    </row>
    <row r="227" spans="1:26" hidden="1">
      <c r="A227" s="38">
        <v>83</v>
      </c>
      <c r="B227" s="38"/>
      <c r="C227" s="38"/>
      <c r="D227" s="38"/>
      <c r="E227" s="38" t="s">
        <v>493</v>
      </c>
      <c r="F227" s="43" t="s">
        <v>494</v>
      </c>
      <c r="G227" s="44"/>
      <c r="H227" s="45"/>
      <c r="I227" s="38"/>
      <c r="J227" s="38">
        <f>965</f>
        <v>965</v>
      </c>
      <c r="K227" s="46">
        <v>1.6087962962962963E-3</v>
      </c>
      <c r="L227" s="47" t="s">
        <v>286</v>
      </c>
      <c r="M227" s="307"/>
      <c r="N227" s="307"/>
      <c r="O227" s="307">
        <f t="shared" si="5"/>
        <v>0</v>
      </c>
      <c r="P227" s="92"/>
      <c r="Q227" s="410" t="str">
        <f t="shared" ca="1" si="6"/>
        <v>https://www.youtube.com/watch?v=3pxgnl2fHZg</v>
      </c>
      <c r="R227" s="50"/>
      <c r="S227" s="50"/>
      <c r="T227" s="50"/>
      <c r="U227" s="52"/>
      <c r="V227" s="53"/>
      <c r="W227" s="60"/>
      <c r="X227" s="56"/>
      <c r="Y227" s="38"/>
      <c r="Z227" s="38"/>
    </row>
    <row r="228" spans="1:26" hidden="1">
      <c r="A228" s="38">
        <v>84</v>
      </c>
      <c r="B228" s="38"/>
      <c r="C228" s="38"/>
      <c r="D228" s="38"/>
      <c r="E228" s="38" t="s">
        <v>498</v>
      </c>
      <c r="F228" s="43" t="s">
        <v>499</v>
      </c>
      <c r="G228" s="44"/>
      <c r="H228" s="45"/>
      <c r="I228" s="38"/>
      <c r="J228" s="38">
        <f>3.9*1000</f>
        <v>3900</v>
      </c>
      <c r="K228" s="46">
        <v>4.2152777777777782E-2</v>
      </c>
      <c r="L228" s="47" t="s">
        <v>286</v>
      </c>
      <c r="M228" s="307"/>
      <c r="N228" s="307"/>
      <c r="O228" s="307">
        <f t="shared" si="5"/>
        <v>0</v>
      </c>
      <c r="P228" s="92"/>
      <c r="Q228" s="410" t="str">
        <f t="shared" ca="1" si="6"/>
        <v>https://www.youtube.com/watch?v=TEUt7CVuFbI</v>
      </c>
      <c r="R228" s="50"/>
      <c r="S228" s="50"/>
      <c r="T228" s="50"/>
      <c r="U228" s="52"/>
      <c r="V228" s="53"/>
      <c r="W228" s="60"/>
      <c r="X228" s="56"/>
      <c r="Y228" s="38"/>
      <c r="Z228" s="38"/>
    </row>
    <row r="229" spans="1:26" hidden="1">
      <c r="A229" s="38">
        <v>85</v>
      </c>
      <c r="B229" s="38"/>
      <c r="C229" s="38"/>
      <c r="D229" s="38"/>
      <c r="E229" s="38" t="s">
        <v>500</v>
      </c>
      <c r="F229" s="43" t="s">
        <v>501</v>
      </c>
      <c r="G229" s="44"/>
      <c r="H229" s="45"/>
      <c r="I229" s="38"/>
      <c r="J229" s="38">
        <f>3.5*1000</f>
        <v>3500</v>
      </c>
      <c r="K229" s="46">
        <v>7.0949074074074074E-3</v>
      </c>
      <c r="L229" s="47" t="s">
        <v>286</v>
      </c>
      <c r="M229" s="307"/>
      <c r="N229" s="307"/>
      <c r="O229" s="307">
        <f t="shared" si="5"/>
        <v>0</v>
      </c>
      <c r="P229" s="92"/>
      <c r="Q229" s="410" t="str">
        <f t="shared" ca="1" si="6"/>
        <v>https://www.youtube.com/watch?v=z1wT-GurohQ</v>
      </c>
      <c r="R229" s="50"/>
      <c r="S229" s="50"/>
      <c r="T229" s="50"/>
      <c r="U229" s="52"/>
      <c r="V229" s="53"/>
      <c r="W229" s="60"/>
      <c r="X229" s="56"/>
      <c r="Y229" s="38"/>
      <c r="Z229" s="38"/>
    </row>
    <row r="230" spans="1:26" hidden="1">
      <c r="A230" s="38">
        <v>86</v>
      </c>
      <c r="B230" s="38"/>
      <c r="C230" s="38"/>
      <c r="D230" s="38"/>
      <c r="E230" s="38" t="s">
        <v>503</v>
      </c>
      <c r="F230" s="43" t="s">
        <v>504</v>
      </c>
      <c r="G230" s="44"/>
      <c r="H230" s="45"/>
      <c r="I230" s="38"/>
      <c r="J230" s="38">
        <f>7.4*1000</f>
        <v>7400</v>
      </c>
      <c r="K230" s="46">
        <v>2.7337962962962963E-2</v>
      </c>
      <c r="L230" s="47" t="s">
        <v>286</v>
      </c>
      <c r="M230" s="307"/>
      <c r="N230" s="307"/>
      <c r="O230" s="307">
        <f t="shared" si="5"/>
        <v>0</v>
      </c>
      <c r="P230" s="92"/>
      <c r="Q230" s="410" t="str">
        <f t="shared" ca="1" si="6"/>
        <v>https://www.youtube.com/watch?v=f-XdG6v-RWk</v>
      </c>
      <c r="R230" s="50"/>
      <c r="S230" s="50"/>
      <c r="T230" s="50"/>
      <c r="U230" s="52"/>
      <c r="V230" s="53"/>
      <c r="W230" s="60"/>
      <c r="X230" s="56"/>
      <c r="Y230" s="38"/>
      <c r="Z230" s="38"/>
    </row>
    <row r="231" spans="1:26" hidden="1">
      <c r="A231" s="38">
        <v>87</v>
      </c>
      <c r="B231" s="38"/>
      <c r="C231" s="38"/>
      <c r="D231" s="38"/>
      <c r="E231" s="38" t="s">
        <v>508</v>
      </c>
      <c r="F231" s="43" t="s">
        <v>509</v>
      </c>
      <c r="G231" s="44"/>
      <c r="H231" s="45"/>
      <c r="I231" s="38"/>
      <c r="J231" s="38">
        <f>4*1000</f>
        <v>4000</v>
      </c>
      <c r="K231" s="46">
        <v>1.068287037037037E-2</v>
      </c>
      <c r="L231" s="47" t="s">
        <v>286</v>
      </c>
      <c r="M231" s="307"/>
      <c r="N231" s="307"/>
      <c r="O231" s="307">
        <f t="shared" si="5"/>
        <v>0</v>
      </c>
      <c r="P231" s="92"/>
      <c r="Q231" s="410" t="str">
        <f t="shared" ca="1" si="6"/>
        <v>https://www.youtube.com/watch?v=BcDC-Op1hJc</v>
      </c>
      <c r="R231" s="50"/>
      <c r="S231" s="50"/>
      <c r="T231" s="50"/>
      <c r="U231" s="52"/>
      <c r="V231" s="53"/>
      <c r="W231" s="60"/>
      <c r="X231" s="56"/>
      <c r="Y231" s="38"/>
      <c r="Z231" s="38"/>
    </row>
    <row r="232" spans="1:26" hidden="1">
      <c r="A232" s="38">
        <v>88</v>
      </c>
      <c r="B232" s="38"/>
      <c r="C232" s="38"/>
      <c r="D232" s="38"/>
      <c r="E232" s="38" t="s">
        <v>513</v>
      </c>
      <c r="F232" s="43" t="s">
        <v>514</v>
      </c>
      <c r="G232" s="44"/>
      <c r="H232" s="45"/>
      <c r="I232" s="38"/>
      <c r="J232" s="38">
        <f>4.1*1000</f>
        <v>4100</v>
      </c>
      <c r="K232" s="46">
        <v>1.8055555555555557E-2</v>
      </c>
      <c r="L232" s="47" t="s">
        <v>286</v>
      </c>
      <c r="M232" s="307"/>
      <c r="N232" s="307"/>
      <c r="O232" s="307">
        <f t="shared" si="5"/>
        <v>0</v>
      </c>
      <c r="P232" s="92"/>
      <c r="Q232" s="410" t="str">
        <f t="shared" ca="1" si="6"/>
        <v>https://www.youtube.com/watch?v=lXmhJr1LDyI</v>
      </c>
      <c r="R232" s="50"/>
      <c r="S232" s="50"/>
      <c r="T232" s="50"/>
      <c r="U232" s="52"/>
      <c r="V232" s="53"/>
      <c r="W232" s="60"/>
      <c r="X232" s="56"/>
      <c r="Y232" s="38"/>
      <c r="Z232" s="38"/>
    </row>
    <row r="233" spans="1:26">
      <c r="A233" s="38">
        <v>89</v>
      </c>
      <c r="B233" s="42" t="s">
        <v>55</v>
      </c>
      <c r="C233" s="38"/>
      <c r="D233" s="42" t="s">
        <v>56</v>
      </c>
      <c r="E233" s="38" t="s">
        <v>518</v>
      </c>
      <c r="F233" s="43" t="s">
        <v>519</v>
      </c>
      <c r="G233" s="44"/>
      <c r="H233" s="45"/>
      <c r="I233" s="38"/>
      <c r="J233" s="38">
        <f>15*1000</f>
        <v>15000</v>
      </c>
      <c r="K233" s="46">
        <v>4.02662037037037E-2</v>
      </c>
      <c r="L233" s="47" t="s">
        <v>286</v>
      </c>
      <c r="M233" s="307"/>
      <c r="N233" s="307"/>
      <c r="O233" s="307">
        <f t="shared" si="5"/>
        <v>0</v>
      </c>
      <c r="P233" s="66">
        <v>43020</v>
      </c>
      <c r="Q233" s="410" t="str">
        <f t="shared" ca="1" si="6"/>
        <v>https://www.youtube.com/watch?v=Wrs0XEoFHAM</v>
      </c>
      <c r="R233" s="50" t="s">
        <v>561</v>
      </c>
      <c r="S233" s="50" t="s">
        <v>64</v>
      </c>
      <c r="T233" s="50" t="s">
        <v>64</v>
      </c>
      <c r="U233" s="52"/>
      <c r="V233" s="53"/>
      <c r="W233" s="60"/>
      <c r="X233" s="56"/>
      <c r="Y233" s="38"/>
      <c r="Z233" s="38" t="s">
        <v>2971</v>
      </c>
    </row>
    <row r="234" spans="1:26">
      <c r="A234" s="85">
        <v>89.01</v>
      </c>
      <c r="B234" s="39" t="s">
        <v>55</v>
      </c>
      <c r="C234" s="40"/>
      <c r="D234" s="42" t="s">
        <v>56</v>
      </c>
      <c r="E234" s="38"/>
      <c r="F234" s="43"/>
      <c r="G234" s="63" t="s">
        <v>591</v>
      </c>
      <c r="H234" s="58"/>
      <c r="I234" s="38"/>
      <c r="J234" s="38"/>
      <c r="K234" s="46"/>
      <c r="L234" s="47"/>
      <c r="M234" s="346">
        <v>1.5046296296296296E-3</v>
      </c>
      <c r="N234" s="347">
        <v>7.3611111111111108E-3</v>
      </c>
      <c r="O234" s="307">
        <f t="shared" si="5"/>
        <v>5.8564814814814816E-3</v>
      </c>
      <c r="P234" s="66">
        <v>43020</v>
      </c>
      <c r="Q234" s="410" t="str">
        <f t="shared" ca="1" si="6"/>
        <v>https://www.youtube.com/embed/Wrs0XEoFHAM?start=130&amp;end=636&amp;autoplay=1</v>
      </c>
      <c r="R234" s="50"/>
      <c r="S234" s="50"/>
      <c r="T234" s="50"/>
      <c r="U234" s="52"/>
      <c r="V234" s="53"/>
      <c r="W234" s="60"/>
      <c r="X234" s="56"/>
      <c r="Y234" s="38"/>
      <c r="Z234" s="38"/>
    </row>
    <row r="235" spans="1:26">
      <c r="A235" s="42">
        <v>89.02</v>
      </c>
      <c r="B235" s="39" t="s">
        <v>55</v>
      </c>
      <c r="C235" s="40"/>
      <c r="D235" s="42" t="s">
        <v>56</v>
      </c>
      <c r="E235" s="38"/>
      <c r="F235" s="43"/>
      <c r="G235" s="63" t="s">
        <v>597</v>
      </c>
      <c r="H235" s="58"/>
      <c r="I235" s="38"/>
      <c r="J235" s="38"/>
      <c r="K235" s="46"/>
      <c r="L235" s="47"/>
      <c r="M235" s="346">
        <v>7.5231481481481477E-3</v>
      </c>
      <c r="N235" s="347">
        <v>8.7037037037037031E-3</v>
      </c>
      <c r="O235" s="307">
        <f t="shared" si="5"/>
        <v>1.1805555555555554E-3</v>
      </c>
      <c r="P235" s="66">
        <v>43020</v>
      </c>
      <c r="Q235" s="410" t="str">
        <f t="shared" ca="1" si="6"/>
        <v>https://www.youtube.com/embed/Wrs0XEoFHAM?start=650&amp;end=752&amp;autoplay=1</v>
      </c>
      <c r="R235" s="50"/>
      <c r="S235" s="50"/>
      <c r="T235" s="50"/>
      <c r="U235" s="52"/>
      <c r="V235" s="53"/>
      <c r="W235" s="60"/>
      <c r="X235" s="56"/>
      <c r="Y235" s="38"/>
      <c r="Z235" s="38"/>
    </row>
    <row r="236" spans="1:26">
      <c r="A236" s="85">
        <v>89.03</v>
      </c>
      <c r="B236" s="39" t="s">
        <v>55</v>
      </c>
      <c r="C236" s="40"/>
      <c r="D236" s="42" t="s">
        <v>56</v>
      </c>
      <c r="E236" s="38"/>
      <c r="F236" s="43"/>
      <c r="G236" s="63" t="s">
        <v>601</v>
      </c>
      <c r="H236" s="58"/>
      <c r="I236" s="38"/>
      <c r="J236" s="38"/>
      <c r="K236" s="46"/>
      <c r="L236" s="47"/>
      <c r="M236" s="346">
        <v>9.525462962962963E-3</v>
      </c>
      <c r="N236" s="347">
        <v>1.0081018518518519E-2</v>
      </c>
      <c r="O236" s="307">
        <f t="shared" si="5"/>
        <v>5.5555555555555566E-4</v>
      </c>
      <c r="P236" s="66">
        <v>43020</v>
      </c>
      <c r="Q236" s="410" t="str">
        <f t="shared" ca="1" si="6"/>
        <v>https://www.youtube.com/embed/Wrs0XEoFHAM?start=823&amp;end=871&amp;autoplay=1</v>
      </c>
      <c r="R236" s="50"/>
      <c r="S236" s="50"/>
      <c r="T236" s="50"/>
      <c r="U236" s="52"/>
      <c r="V236" s="53"/>
      <c r="W236" s="60"/>
      <c r="X236" s="56"/>
      <c r="Y236" s="38"/>
      <c r="Z236" s="38"/>
    </row>
    <row r="237" spans="1:26">
      <c r="A237" s="42">
        <v>89.04</v>
      </c>
      <c r="B237" s="39" t="s">
        <v>55</v>
      </c>
      <c r="C237" s="40"/>
      <c r="D237" s="42" t="s">
        <v>56</v>
      </c>
      <c r="E237" s="38"/>
      <c r="F237" s="43"/>
      <c r="G237" s="63" t="s">
        <v>603</v>
      </c>
      <c r="H237" s="58"/>
      <c r="I237" s="38"/>
      <c r="J237" s="38"/>
      <c r="K237" s="46"/>
      <c r="L237" s="47"/>
      <c r="M237" s="346">
        <v>1.173611111111111E-2</v>
      </c>
      <c r="N237" s="347">
        <v>1.2638888888888889E-2</v>
      </c>
      <c r="O237" s="307">
        <f t="shared" si="5"/>
        <v>9.0277777777777839E-4</v>
      </c>
      <c r="P237" s="66">
        <v>43020</v>
      </c>
      <c r="Q237" s="410" t="str">
        <f t="shared" ca="1" si="6"/>
        <v>https://www.youtube.com/embed/Wrs0XEoFHAM?start=1014&amp;end=1092&amp;autoplay=1</v>
      </c>
      <c r="R237" s="50"/>
      <c r="S237" s="50"/>
      <c r="T237" s="50"/>
      <c r="U237" s="52"/>
      <c r="V237" s="53"/>
      <c r="W237" s="60"/>
      <c r="X237" s="56"/>
      <c r="Y237" s="38"/>
      <c r="Z237" s="38"/>
    </row>
    <row r="238" spans="1:26">
      <c r="A238" s="85">
        <v>89.05</v>
      </c>
      <c r="B238" s="39" t="s">
        <v>55</v>
      </c>
      <c r="C238" s="40"/>
      <c r="D238" s="42" t="s">
        <v>56</v>
      </c>
      <c r="E238" s="38"/>
      <c r="F238" s="43"/>
      <c r="G238" s="63" t="s">
        <v>604</v>
      </c>
      <c r="H238" s="58"/>
      <c r="I238" s="38"/>
      <c r="J238" s="38"/>
      <c r="K238" s="46"/>
      <c r="L238" s="47"/>
      <c r="M238" s="346">
        <v>1.2847222222222222E-2</v>
      </c>
      <c r="N238" s="347">
        <v>1.3553240740740741E-2</v>
      </c>
      <c r="O238" s="307">
        <f t="shared" si="5"/>
        <v>7.0601851851851902E-4</v>
      </c>
      <c r="P238" s="66">
        <v>43020</v>
      </c>
      <c r="Q238" s="410" t="str">
        <f t="shared" ca="1" si="6"/>
        <v>https://www.youtube.com/embed/Wrs0XEoFHAM?start=1110&amp;end=1171&amp;autoplay=1</v>
      </c>
      <c r="R238" s="50"/>
      <c r="S238" s="50"/>
      <c r="T238" s="50"/>
      <c r="U238" s="52"/>
      <c r="V238" s="53"/>
      <c r="W238" s="60"/>
      <c r="X238" s="56"/>
      <c r="Y238" s="38"/>
      <c r="Z238" s="38"/>
    </row>
    <row r="239" spans="1:26">
      <c r="A239" s="42">
        <v>89.06</v>
      </c>
      <c r="B239" s="39" t="s">
        <v>55</v>
      </c>
      <c r="C239" s="40"/>
      <c r="D239" s="42" t="s">
        <v>56</v>
      </c>
      <c r="E239" s="38"/>
      <c r="F239" s="43"/>
      <c r="G239" s="63" t="s">
        <v>608</v>
      </c>
      <c r="H239" s="58"/>
      <c r="I239" s="38"/>
      <c r="J239" s="38"/>
      <c r="K239" s="46"/>
      <c r="L239" s="47"/>
      <c r="M239" s="346">
        <v>1.3680555555555555E-2</v>
      </c>
      <c r="N239" s="347">
        <v>1.7847222222222223E-2</v>
      </c>
      <c r="O239" s="307">
        <f t="shared" si="5"/>
        <v>4.1666666666666675E-3</v>
      </c>
      <c r="P239" s="66">
        <v>43020</v>
      </c>
      <c r="Q239" s="410" t="str">
        <f t="shared" ca="1" si="6"/>
        <v>https://www.youtube.com/embed/Wrs0XEoFHAM?start=1182&amp;end=1542&amp;autoplay=1</v>
      </c>
      <c r="R239" s="50"/>
      <c r="S239" s="50"/>
      <c r="T239" s="50"/>
      <c r="U239" s="52"/>
      <c r="V239" s="53"/>
      <c r="W239" s="60"/>
      <c r="X239" s="56"/>
      <c r="Y239" s="38"/>
      <c r="Z239" s="38"/>
    </row>
    <row r="240" spans="1:26">
      <c r="A240" s="85">
        <v>89.07</v>
      </c>
      <c r="B240" s="39" t="s">
        <v>55</v>
      </c>
      <c r="C240" s="40"/>
      <c r="D240" s="42" t="s">
        <v>56</v>
      </c>
      <c r="E240" s="38"/>
      <c r="F240" s="43"/>
      <c r="G240" s="63" t="s">
        <v>609</v>
      </c>
      <c r="H240" s="58"/>
      <c r="I240" s="38"/>
      <c r="J240" s="38"/>
      <c r="K240" s="46"/>
      <c r="L240" s="47"/>
      <c r="M240" s="346">
        <v>1.8402777777777778E-2</v>
      </c>
      <c r="N240" s="347">
        <v>1.9606481481481482E-2</v>
      </c>
      <c r="O240" s="307">
        <f t="shared" si="5"/>
        <v>1.2037037037037034E-3</v>
      </c>
      <c r="P240" s="66">
        <v>43020</v>
      </c>
      <c r="Q240" s="410" t="str">
        <f t="shared" ca="1" si="6"/>
        <v>https://www.youtube.com/embed/Wrs0XEoFHAM?start=1590&amp;end=1694&amp;autoplay=1</v>
      </c>
      <c r="R240" s="50"/>
      <c r="S240" s="50"/>
      <c r="T240" s="50"/>
      <c r="U240" s="52"/>
      <c r="V240" s="53"/>
      <c r="W240" s="60"/>
      <c r="X240" s="56"/>
      <c r="Y240" s="38"/>
      <c r="Z240" s="38"/>
    </row>
    <row r="241" spans="1:26">
      <c r="A241" s="42">
        <v>89.079999999999899</v>
      </c>
      <c r="B241" s="39" t="s">
        <v>55</v>
      </c>
      <c r="C241" s="40"/>
      <c r="D241" s="42" t="s">
        <v>56</v>
      </c>
      <c r="E241" s="38"/>
      <c r="F241" s="43"/>
      <c r="G241" s="63" t="s">
        <v>613</v>
      </c>
      <c r="H241" s="58"/>
      <c r="I241" s="38"/>
      <c r="J241" s="38"/>
      <c r="K241" s="46"/>
      <c r="L241" s="47"/>
      <c r="M241" s="346">
        <v>2.0462962962962964E-2</v>
      </c>
      <c r="N241" s="347">
        <v>2.1412037037037038E-2</v>
      </c>
      <c r="O241" s="307">
        <f t="shared" si="5"/>
        <v>9.490740740740744E-4</v>
      </c>
      <c r="P241" s="66">
        <v>43020</v>
      </c>
      <c r="Q241" s="410" t="str">
        <f t="shared" ca="1" si="6"/>
        <v>https://www.youtube.com/embed/Wrs0XEoFHAM?start=1768&amp;end=1850&amp;autoplay=1</v>
      </c>
      <c r="R241" s="50"/>
      <c r="S241" s="50"/>
      <c r="T241" s="50"/>
      <c r="U241" s="52"/>
      <c r="V241" s="53"/>
      <c r="W241" s="60"/>
      <c r="X241" s="56"/>
      <c r="Y241" s="38"/>
      <c r="Z241" s="38"/>
    </row>
    <row r="242" spans="1:26">
      <c r="A242" s="85">
        <v>89.089999999999904</v>
      </c>
      <c r="B242" s="39" t="s">
        <v>55</v>
      </c>
      <c r="C242" s="40"/>
      <c r="D242" s="42" t="s">
        <v>56</v>
      </c>
      <c r="E242" s="38"/>
      <c r="F242" s="43"/>
      <c r="G242" s="63" t="s">
        <v>614</v>
      </c>
      <c r="H242" s="58"/>
      <c r="I242" s="38"/>
      <c r="J242" s="38"/>
      <c r="K242" s="46"/>
      <c r="L242" s="47"/>
      <c r="M242" s="346">
        <v>2.34375E-2</v>
      </c>
      <c r="N242" s="347">
        <v>2.4305555555555556E-2</v>
      </c>
      <c r="O242" s="307">
        <f t="shared" si="5"/>
        <v>8.6805555555555594E-4</v>
      </c>
      <c r="P242" s="66">
        <v>43020</v>
      </c>
      <c r="Q242" s="410" t="str">
        <f t="shared" ca="1" si="6"/>
        <v>https://www.youtube.com/embed/Wrs0XEoFHAM?start=2025&amp;end=2100&amp;autoplay=1</v>
      </c>
      <c r="R242" s="50"/>
      <c r="S242" s="50"/>
      <c r="T242" s="50"/>
      <c r="U242" s="52"/>
      <c r="V242" s="53"/>
      <c r="W242" s="60"/>
      <c r="X242" s="56"/>
      <c r="Y242" s="38"/>
      <c r="Z242" s="38"/>
    </row>
    <row r="243" spans="1:26">
      <c r="A243" s="85">
        <v>89.099999999999895</v>
      </c>
      <c r="B243" s="39" t="s">
        <v>55</v>
      </c>
      <c r="C243" s="40"/>
      <c r="D243" s="42" t="s">
        <v>56</v>
      </c>
      <c r="E243" s="38"/>
      <c r="F243" s="43"/>
      <c r="G243" s="63" t="s">
        <v>616</v>
      </c>
      <c r="H243" s="58"/>
      <c r="I243" s="38"/>
      <c r="J243" s="38"/>
      <c r="K243" s="46"/>
      <c r="L243" s="47"/>
      <c r="M243" s="346">
        <v>2.5115740740740741E-2</v>
      </c>
      <c r="N243" s="347">
        <v>2.6215277777777778E-2</v>
      </c>
      <c r="O243" s="307">
        <f t="shared" si="5"/>
        <v>1.0995370370370378E-3</v>
      </c>
      <c r="P243" s="66">
        <v>43020</v>
      </c>
      <c r="Q243" s="410" t="str">
        <f t="shared" ca="1" si="6"/>
        <v>https://www.youtube.com/embed/Wrs0XEoFHAM?start=2170&amp;end=2265&amp;autoplay=1</v>
      </c>
      <c r="R243" s="50"/>
      <c r="S243" s="50"/>
      <c r="T243" s="50"/>
      <c r="U243" s="52"/>
      <c r="V243" s="53"/>
      <c r="W243" s="60"/>
      <c r="X243" s="56"/>
      <c r="Y243" s="38"/>
      <c r="Z243" s="38"/>
    </row>
    <row r="244" spans="1:26">
      <c r="A244" s="85">
        <v>89.1099999999999</v>
      </c>
      <c r="B244" s="39" t="s">
        <v>55</v>
      </c>
      <c r="C244" s="40"/>
      <c r="D244" s="42" t="s">
        <v>56</v>
      </c>
      <c r="E244" s="38"/>
      <c r="F244" s="43"/>
      <c r="G244" s="63" t="s">
        <v>619</v>
      </c>
      <c r="H244" s="58"/>
      <c r="I244" s="38"/>
      <c r="J244" s="38"/>
      <c r="K244" s="46"/>
      <c r="L244" s="47"/>
      <c r="M244" s="346">
        <v>2.8645833333333332E-2</v>
      </c>
      <c r="N244" s="347">
        <v>3.1064814814814816E-2</v>
      </c>
      <c r="O244" s="307">
        <f t="shared" si="5"/>
        <v>2.4189814814814838E-3</v>
      </c>
      <c r="P244" s="66">
        <v>43020</v>
      </c>
      <c r="Q244" s="410" t="str">
        <f t="shared" ca="1" si="6"/>
        <v>https://www.youtube.com/embed/Wrs0XEoFHAM?start=2475&amp;end=2684&amp;autoplay=1</v>
      </c>
      <c r="R244" s="50"/>
      <c r="S244" s="50"/>
      <c r="T244" s="50"/>
      <c r="U244" s="52"/>
      <c r="V244" s="53"/>
      <c r="W244" s="60"/>
      <c r="X244" s="56"/>
      <c r="Y244" s="38"/>
      <c r="Z244" s="38"/>
    </row>
    <row r="245" spans="1:26">
      <c r="A245" s="85">
        <v>89.119999999999905</v>
      </c>
      <c r="B245" s="39" t="s">
        <v>55</v>
      </c>
      <c r="C245" s="40"/>
      <c r="D245" s="42" t="s">
        <v>56</v>
      </c>
      <c r="E245" s="38"/>
      <c r="F245" s="43"/>
      <c r="G245" s="63" t="s">
        <v>623</v>
      </c>
      <c r="H245" s="58"/>
      <c r="I245" s="38"/>
      <c r="J245" s="38"/>
      <c r="K245" s="46"/>
      <c r="L245" s="47"/>
      <c r="M245" s="346">
        <v>3.5474537037037034E-2</v>
      </c>
      <c r="N245" s="347">
        <v>3.771990740740741E-2</v>
      </c>
      <c r="O245" s="307">
        <f t="shared" si="5"/>
        <v>2.2453703703703767E-3</v>
      </c>
      <c r="P245" s="66">
        <v>43020</v>
      </c>
      <c r="Q245" s="410" t="str">
        <f t="shared" ca="1" si="6"/>
        <v>https://www.youtube.com/embed/Wrs0XEoFHAM?start=3065&amp;end=3259&amp;autoplay=1</v>
      </c>
      <c r="R245" s="50"/>
      <c r="S245" s="50"/>
      <c r="T245" s="50"/>
      <c r="U245" s="52"/>
      <c r="V245" s="53"/>
      <c r="W245" s="60"/>
      <c r="X245" s="56"/>
      <c r="Y245" s="38"/>
      <c r="Z245" s="38"/>
    </row>
    <row r="246" spans="1:26" hidden="1">
      <c r="A246" s="38">
        <v>90</v>
      </c>
      <c r="B246" s="38"/>
      <c r="C246" s="38"/>
      <c r="D246" s="38"/>
      <c r="E246" s="38" t="s">
        <v>522</v>
      </c>
      <c r="F246" s="43" t="s">
        <v>523</v>
      </c>
      <c r="G246" s="44"/>
      <c r="H246" s="45"/>
      <c r="I246" s="38"/>
      <c r="J246" s="38">
        <f>4.4*1000</f>
        <v>4400</v>
      </c>
      <c r="K246" s="46">
        <v>2.1643518518518518E-3</v>
      </c>
      <c r="L246" s="47" t="s">
        <v>286</v>
      </c>
      <c r="M246" s="307"/>
      <c r="N246" s="307"/>
      <c r="O246" s="307">
        <f t="shared" si="5"/>
        <v>0</v>
      </c>
      <c r="P246" s="92"/>
      <c r="Q246" s="410" t="str">
        <f t="shared" ca="1" si="6"/>
        <v>https://www.youtube.com/watch?v=O0wEzvYOTJw</v>
      </c>
      <c r="R246" s="50"/>
      <c r="S246" s="50"/>
      <c r="T246" s="50"/>
      <c r="U246" s="52"/>
      <c r="V246" s="53"/>
      <c r="W246" s="60"/>
      <c r="X246" s="56"/>
      <c r="Y246" s="38"/>
      <c r="Z246" s="38"/>
    </row>
    <row r="247" spans="1:26">
      <c r="A247" s="42">
        <v>91</v>
      </c>
      <c r="B247" s="42" t="s">
        <v>155</v>
      </c>
      <c r="C247" s="38"/>
      <c r="D247" s="38" t="s">
        <v>56</v>
      </c>
      <c r="E247" s="38" t="s">
        <v>527</v>
      </c>
      <c r="F247" s="43" t="s">
        <v>528</v>
      </c>
      <c r="G247" s="44"/>
      <c r="H247" s="45"/>
      <c r="I247" s="38"/>
      <c r="J247" s="38">
        <f>44*1000</f>
        <v>44000</v>
      </c>
      <c r="K247" s="46">
        <v>2.4074074074074071E-2</v>
      </c>
      <c r="L247" s="47" t="s">
        <v>286</v>
      </c>
      <c r="M247" s="307"/>
      <c r="N247" s="307"/>
      <c r="O247" s="307">
        <f t="shared" si="5"/>
        <v>0</v>
      </c>
      <c r="P247" s="91">
        <v>43008</v>
      </c>
      <c r="Q247" s="410" t="str">
        <f t="shared" ca="1" si="6"/>
        <v>https://www.youtube.com/watch?v=G3NpQQMh8jQ</v>
      </c>
      <c r="R247" s="38"/>
      <c r="S247" s="38"/>
      <c r="T247" s="38"/>
      <c r="U247" s="38"/>
      <c r="V247" s="38"/>
      <c r="W247" s="38"/>
      <c r="X247" s="56"/>
      <c r="Y247" s="38"/>
      <c r="Z247" s="38"/>
    </row>
    <row r="248" spans="1:26">
      <c r="A248" s="42">
        <v>91.01</v>
      </c>
      <c r="B248" s="42" t="s">
        <v>155</v>
      </c>
      <c r="C248" s="38"/>
      <c r="D248" s="38" t="s">
        <v>56</v>
      </c>
      <c r="E248" s="38"/>
      <c r="F248" s="44"/>
      <c r="G248" s="42" t="s">
        <v>828</v>
      </c>
      <c r="H248" s="79" t="s">
        <v>829</v>
      </c>
      <c r="I248" s="38"/>
      <c r="J248" s="38"/>
      <c r="K248" s="46"/>
      <c r="L248" s="47"/>
      <c r="M248" s="307">
        <v>1.0532407407407407E-3</v>
      </c>
      <c r="N248" s="307">
        <v>2.7777777777777779E-3</v>
      </c>
      <c r="O248" s="307">
        <f t="shared" si="5"/>
        <v>1.7245370370370372E-3</v>
      </c>
      <c r="P248" s="66">
        <v>43008</v>
      </c>
      <c r="Q248" s="410" t="str">
        <f t="shared" ca="1" si="6"/>
        <v>https://www.youtube.com/embed/G3NpQQMh8jQ?start=91&amp;end=240&amp;autoplay=1</v>
      </c>
      <c r="R248" s="67" t="s">
        <v>63</v>
      </c>
      <c r="S248" s="67" t="s">
        <v>63</v>
      </c>
      <c r="T248" s="67" t="s">
        <v>63</v>
      </c>
      <c r="U248" s="52"/>
      <c r="V248" s="53"/>
      <c r="W248" s="60"/>
      <c r="X248" s="56"/>
      <c r="Y248" s="38"/>
      <c r="Z248" s="38"/>
    </row>
    <row r="249" spans="1:26">
      <c r="A249" s="42">
        <v>91.02</v>
      </c>
      <c r="B249" s="42" t="s">
        <v>155</v>
      </c>
      <c r="C249" s="38"/>
      <c r="D249" s="38" t="s">
        <v>56</v>
      </c>
      <c r="E249" s="38"/>
      <c r="F249" s="44"/>
      <c r="G249" s="42" t="s">
        <v>834</v>
      </c>
      <c r="H249" s="79" t="s">
        <v>835</v>
      </c>
      <c r="I249" s="38"/>
      <c r="J249" s="38"/>
      <c r="K249" s="46"/>
      <c r="L249" s="47"/>
      <c r="M249" s="307">
        <v>2.7893518518518519E-3</v>
      </c>
      <c r="N249" s="307">
        <v>3.9699074074074072E-3</v>
      </c>
      <c r="O249" s="307">
        <f t="shared" si="5"/>
        <v>1.1805555555555554E-3</v>
      </c>
      <c r="P249" s="66">
        <v>43008</v>
      </c>
      <c r="Q249" s="410" t="str">
        <f t="shared" ca="1" si="6"/>
        <v>https://www.youtube.com/embed/G3NpQQMh8jQ?start=241&amp;end=343&amp;autoplay=1</v>
      </c>
      <c r="R249" s="67" t="s">
        <v>63</v>
      </c>
      <c r="S249" s="67" t="s">
        <v>63</v>
      </c>
      <c r="T249" s="67" t="s">
        <v>63</v>
      </c>
      <c r="U249" s="52"/>
      <c r="V249" s="53"/>
      <c r="W249" s="60"/>
      <c r="X249" s="56"/>
      <c r="Y249" s="38"/>
      <c r="Z249" s="38"/>
    </row>
    <row r="250" spans="1:26">
      <c r="A250" s="42">
        <v>91.03</v>
      </c>
      <c r="B250" s="42" t="s">
        <v>155</v>
      </c>
      <c r="C250" s="38"/>
      <c r="D250" s="38" t="s">
        <v>56</v>
      </c>
      <c r="E250" s="38"/>
      <c r="F250" s="44"/>
      <c r="G250" s="42" t="s">
        <v>836</v>
      </c>
      <c r="H250" s="79" t="s">
        <v>837</v>
      </c>
      <c r="I250" s="38"/>
      <c r="J250" s="38"/>
      <c r="K250" s="46"/>
      <c r="L250" s="47"/>
      <c r="M250" s="307">
        <v>3.9699074074074072E-3</v>
      </c>
      <c r="N250" s="307">
        <v>1.0451388888888889E-2</v>
      </c>
      <c r="O250" s="307">
        <f t="shared" si="5"/>
        <v>6.4814814814814813E-3</v>
      </c>
      <c r="P250" s="66">
        <v>43008</v>
      </c>
      <c r="Q250" s="410" t="str">
        <f t="shared" ca="1" si="6"/>
        <v>https://www.youtube.com/embed/G3NpQQMh8jQ?start=343&amp;end=903&amp;autoplay=1</v>
      </c>
      <c r="R250" s="67" t="s">
        <v>63</v>
      </c>
      <c r="S250" s="67" t="s">
        <v>63</v>
      </c>
      <c r="T250" s="67" t="s">
        <v>63</v>
      </c>
      <c r="U250" s="52"/>
      <c r="V250" s="53"/>
      <c r="W250" s="60"/>
      <c r="X250" s="71"/>
      <c r="Y250" s="42"/>
      <c r="Z250" s="42" t="s">
        <v>840</v>
      </c>
    </row>
    <row r="251" spans="1:26">
      <c r="A251" s="42">
        <v>91.04</v>
      </c>
      <c r="B251" s="42" t="s">
        <v>155</v>
      </c>
      <c r="C251" s="38"/>
      <c r="D251" s="38" t="s">
        <v>56</v>
      </c>
      <c r="E251" s="38"/>
      <c r="F251" s="44"/>
      <c r="G251" s="42" t="s">
        <v>841</v>
      </c>
      <c r="H251" s="79" t="s">
        <v>842</v>
      </c>
      <c r="I251" s="38"/>
      <c r="J251" s="38"/>
      <c r="K251" s="46"/>
      <c r="L251" s="47"/>
      <c r="M251" s="307">
        <v>1.0451388888888889E-2</v>
      </c>
      <c r="N251" s="307">
        <v>1.3020833333333334E-2</v>
      </c>
      <c r="O251" s="307">
        <f t="shared" si="5"/>
        <v>2.5694444444444454E-3</v>
      </c>
      <c r="P251" s="66">
        <v>43008</v>
      </c>
      <c r="Q251" s="410" t="str">
        <f t="shared" ca="1" si="6"/>
        <v>https://www.youtube.com/embed/G3NpQQMh8jQ?start=903&amp;end=1125&amp;autoplay=1</v>
      </c>
      <c r="R251" s="67" t="s">
        <v>63</v>
      </c>
      <c r="S251" s="67" t="s">
        <v>63</v>
      </c>
      <c r="T251" s="67" t="s">
        <v>63</v>
      </c>
      <c r="U251" s="52"/>
      <c r="V251" s="53"/>
      <c r="W251" s="60"/>
      <c r="X251" s="56"/>
      <c r="Y251" s="38"/>
      <c r="Z251" s="38"/>
    </row>
    <row r="252" spans="1:26">
      <c r="A252" s="42">
        <v>91.05</v>
      </c>
      <c r="B252" s="42" t="s">
        <v>155</v>
      </c>
      <c r="C252" s="38"/>
      <c r="D252" s="38" t="s">
        <v>56</v>
      </c>
      <c r="E252" s="38"/>
      <c r="F252" s="44"/>
      <c r="G252" s="42" t="s">
        <v>845</v>
      </c>
      <c r="H252" s="79" t="s">
        <v>846</v>
      </c>
      <c r="I252" s="38"/>
      <c r="J252" s="38"/>
      <c r="K252" s="46"/>
      <c r="L252" s="47"/>
      <c r="M252" s="307">
        <v>1.3553240740740741E-2</v>
      </c>
      <c r="N252" s="307">
        <v>1.5891203703703703E-2</v>
      </c>
      <c r="O252" s="307">
        <f t="shared" si="5"/>
        <v>2.3379629629629618E-3</v>
      </c>
      <c r="P252" s="66">
        <v>43008</v>
      </c>
      <c r="Q252" s="410" t="str">
        <f t="shared" ca="1" si="6"/>
        <v>https://www.youtube.com/embed/G3NpQQMh8jQ?start=1171&amp;end=1373&amp;autoplay=1</v>
      </c>
      <c r="R252" s="67" t="s">
        <v>63</v>
      </c>
      <c r="S252" s="67" t="s">
        <v>63</v>
      </c>
      <c r="T252" s="67" t="s">
        <v>63</v>
      </c>
      <c r="U252" s="52"/>
      <c r="V252" s="53"/>
      <c r="W252" s="60"/>
      <c r="X252" s="56"/>
      <c r="Y252" s="38"/>
      <c r="Z252" s="38"/>
    </row>
    <row r="253" spans="1:26">
      <c r="A253" s="42">
        <v>91.06</v>
      </c>
      <c r="B253" s="42" t="s">
        <v>155</v>
      </c>
      <c r="C253" s="38"/>
      <c r="D253" s="38" t="s">
        <v>56</v>
      </c>
      <c r="E253" s="38"/>
      <c r="F253" s="44"/>
      <c r="G253" s="42" t="s">
        <v>849</v>
      </c>
      <c r="H253" s="79" t="s">
        <v>850</v>
      </c>
      <c r="I253" s="38"/>
      <c r="J253" s="38"/>
      <c r="K253" s="46"/>
      <c r="L253" s="47"/>
      <c r="M253" s="307">
        <v>1.5891203703703703E-2</v>
      </c>
      <c r="N253" s="307">
        <v>1.6828703703703703E-2</v>
      </c>
      <c r="O253" s="307">
        <f t="shared" si="5"/>
        <v>9.3750000000000083E-4</v>
      </c>
      <c r="P253" s="66">
        <v>43008</v>
      </c>
      <c r="Q253" s="410" t="str">
        <f t="shared" ca="1" si="6"/>
        <v>https://www.youtube.com/embed/G3NpQQMh8jQ?start=1373&amp;end=1454&amp;autoplay=1</v>
      </c>
      <c r="R253" s="67" t="s">
        <v>63</v>
      </c>
      <c r="S253" s="67" t="s">
        <v>63</v>
      </c>
      <c r="T253" s="67" t="s">
        <v>63</v>
      </c>
      <c r="U253" s="52"/>
      <c r="V253" s="53"/>
      <c r="W253" s="60"/>
      <c r="X253" s="56"/>
      <c r="Y253" s="38"/>
      <c r="Z253" s="38"/>
    </row>
    <row r="254" spans="1:26">
      <c r="A254" s="42">
        <v>91.07</v>
      </c>
      <c r="B254" s="42" t="s">
        <v>155</v>
      </c>
      <c r="C254" s="38"/>
      <c r="D254" s="38" t="s">
        <v>56</v>
      </c>
      <c r="E254" s="38"/>
      <c r="F254" s="44"/>
      <c r="G254" s="42" t="s">
        <v>855</v>
      </c>
      <c r="H254" s="79" t="s">
        <v>856</v>
      </c>
      <c r="I254" s="38"/>
      <c r="J254" s="38"/>
      <c r="K254" s="46"/>
      <c r="L254" s="47"/>
      <c r="M254" s="307">
        <v>1.6909722222222222E-2</v>
      </c>
      <c r="N254" s="307">
        <v>2.2268518518518517E-2</v>
      </c>
      <c r="O254" s="307">
        <f t="shared" si="5"/>
        <v>5.3587962962962955E-3</v>
      </c>
      <c r="P254" s="66">
        <v>43008</v>
      </c>
      <c r="Q254" s="410" t="str">
        <f t="shared" ca="1" si="6"/>
        <v>https://www.youtube.com/embed/G3NpQQMh8jQ?start=1461&amp;end=1924&amp;autoplay=1</v>
      </c>
      <c r="R254" s="67" t="s">
        <v>63</v>
      </c>
      <c r="S254" s="67" t="s">
        <v>63</v>
      </c>
      <c r="T254" s="67" t="s">
        <v>63</v>
      </c>
      <c r="U254" s="52"/>
      <c r="V254" s="53"/>
      <c r="W254" s="60"/>
      <c r="X254" s="56"/>
      <c r="Y254" s="38"/>
      <c r="Z254" s="38"/>
    </row>
    <row r="255" spans="1:26">
      <c r="A255" s="38">
        <v>92</v>
      </c>
      <c r="B255" s="39" t="s">
        <v>155</v>
      </c>
      <c r="C255" s="40"/>
      <c r="D255" s="42" t="s">
        <v>56</v>
      </c>
      <c r="E255" s="38" t="s">
        <v>533</v>
      </c>
      <c r="F255" s="43" t="s">
        <v>534</v>
      </c>
      <c r="G255" s="44"/>
      <c r="H255" s="45"/>
      <c r="I255" s="38"/>
      <c r="J255" s="38">
        <f>6.3*1000</f>
        <v>6300</v>
      </c>
      <c r="K255" s="46">
        <v>2.6006944444444447E-2</v>
      </c>
      <c r="L255" s="47" t="s">
        <v>286</v>
      </c>
      <c r="M255" s="307"/>
      <c r="N255" s="307"/>
      <c r="O255" s="307">
        <f t="shared" si="5"/>
        <v>0</v>
      </c>
      <c r="P255" s="66">
        <v>43019</v>
      </c>
      <c r="Q255" s="410" t="str">
        <f t="shared" ca="1" si="6"/>
        <v>https://www.youtube.com/watch?v=VP5gPVW3XDM</v>
      </c>
      <c r="R255" s="51"/>
      <c r="S255" s="51"/>
      <c r="T255" s="51"/>
      <c r="U255" s="40"/>
      <c r="V255" s="54"/>
      <c r="W255" s="55"/>
      <c r="X255" s="56"/>
      <c r="Y255" s="311"/>
      <c r="Z255" s="311"/>
    </row>
    <row r="256" spans="1:26">
      <c r="A256" s="42">
        <v>92.01</v>
      </c>
      <c r="B256" s="42" t="s">
        <v>155</v>
      </c>
      <c r="C256" s="42"/>
      <c r="D256" s="42" t="s">
        <v>56</v>
      </c>
      <c r="E256" s="38"/>
      <c r="F256" s="43"/>
      <c r="G256" s="63" t="s">
        <v>1021</v>
      </c>
      <c r="H256" s="58" t="s">
        <v>1022</v>
      </c>
      <c r="I256" s="38"/>
      <c r="J256" s="38"/>
      <c r="K256" s="46"/>
      <c r="L256" s="47"/>
      <c r="M256" s="342">
        <v>7.8703703703703705E-4</v>
      </c>
      <c r="N256" s="342">
        <v>2.476851851851852E-3</v>
      </c>
      <c r="O256" s="307">
        <f t="shared" si="5"/>
        <v>1.689814814814815E-3</v>
      </c>
      <c r="P256" s="66">
        <v>43019</v>
      </c>
      <c r="Q256" s="410" t="str">
        <f t="shared" ca="1" si="6"/>
        <v>https://www.youtube.com/embed/VP5gPVW3XDM?start=68&amp;end=214&amp;autoplay=1</v>
      </c>
      <c r="R256" s="67" t="s">
        <v>63</v>
      </c>
      <c r="S256" s="67" t="s">
        <v>63</v>
      </c>
      <c r="T256" s="67" t="s">
        <v>63</v>
      </c>
      <c r="U256" s="52"/>
      <c r="V256" s="53"/>
      <c r="W256" s="57" t="s">
        <v>64</v>
      </c>
      <c r="X256" s="56"/>
      <c r="Y256" s="38"/>
      <c r="Z256" s="38"/>
    </row>
    <row r="257" spans="1:26">
      <c r="A257" s="42">
        <v>92.02</v>
      </c>
      <c r="B257" s="42" t="s">
        <v>155</v>
      </c>
      <c r="C257" s="38"/>
      <c r="D257" s="42" t="s">
        <v>56</v>
      </c>
      <c r="E257" s="38"/>
      <c r="F257" s="43"/>
      <c r="G257" s="63" t="s">
        <v>1027</v>
      </c>
      <c r="H257" s="58" t="s">
        <v>1028</v>
      </c>
      <c r="I257" s="38"/>
      <c r="J257" s="38"/>
      <c r="K257" s="46"/>
      <c r="L257" s="47"/>
      <c r="M257" s="342">
        <v>2.476851851851852E-3</v>
      </c>
      <c r="N257" s="342">
        <v>6.0879629629629626E-3</v>
      </c>
      <c r="O257" s="307">
        <f t="shared" si="5"/>
        <v>3.6111111111111105E-3</v>
      </c>
      <c r="P257" s="66">
        <v>43019</v>
      </c>
      <c r="Q257" s="410" t="str">
        <f t="shared" ca="1" si="6"/>
        <v>https://www.youtube.com/embed/VP5gPVW3XDM?start=214&amp;end=526&amp;autoplay=1</v>
      </c>
      <c r="R257" s="67" t="s">
        <v>63</v>
      </c>
      <c r="S257" s="67" t="s">
        <v>63</v>
      </c>
      <c r="T257" s="67" t="s">
        <v>63</v>
      </c>
      <c r="U257" s="52"/>
      <c r="V257" s="53"/>
      <c r="W257" s="57" t="s">
        <v>64</v>
      </c>
      <c r="X257" s="56"/>
      <c r="Y257" s="38"/>
      <c r="Z257" s="38"/>
    </row>
    <row r="258" spans="1:26">
      <c r="A258" s="42">
        <v>92.03</v>
      </c>
      <c r="B258" s="42" t="s">
        <v>155</v>
      </c>
      <c r="C258" s="38"/>
      <c r="D258" s="42" t="s">
        <v>56</v>
      </c>
      <c r="E258" s="38"/>
      <c r="F258" s="43"/>
      <c r="G258" s="63" t="s">
        <v>1029</v>
      </c>
      <c r="H258" s="58" t="s">
        <v>1031</v>
      </c>
      <c r="I258" s="38"/>
      <c r="J258" s="38"/>
      <c r="K258" s="46"/>
      <c r="L258" s="47"/>
      <c r="M258" s="342">
        <v>6.1805555555555555E-3</v>
      </c>
      <c r="N258" s="342">
        <v>9.3749999999999997E-3</v>
      </c>
      <c r="O258" s="307">
        <f t="shared" si="5"/>
        <v>3.1944444444444442E-3</v>
      </c>
      <c r="P258" s="66">
        <v>43019</v>
      </c>
      <c r="Q258" s="410" t="str">
        <f t="shared" ca="1" si="6"/>
        <v>https://www.youtube.com/embed/VP5gPVW3XDM?start=534&amp;end=810&amp;autoplay=1</v>
      </c>
      <c r="R258" s="67" t="s">
        <v>63</v>
      </c>
      <c r="S258" s="67" t="s">
        <v>63</v>
      </c>
      <c r="T258" s="67" t="s">
        <v>63</v>
      </c>
      <c r="U258" s="52"/>
      <c r="V258" s="53"/>
      <c r="W258" s="57" t="s">
        <v>64</v>
      </c>
      <c r="X258" s="56"/>
      <c r="Y258" s="38"/>
      <c r="Z258" s="38"/>
    </row>
    <row r="259" spans="1:26">
      <c r="A259" s="42">
        <v>92.04</v>
      </c>
      <c r="B259" s="42" t="s">
        <v>155</v>
      </c>
      <c r="C259" s="38"/>
      <c r="D259" s="42" t="s">
        <v>56</v>
      </c>
      <c r="E259" s="38"/>
      <c r="F259" s="43"/>
      <c r="G259" s="63" t="s">
        <v>1033</v>
      </c>
      <c r="H259" s="58" t="s">
        <v>1034</v>
      </c>
      <c r="I259" s="38"/>
      <c r="J259" s="38"/>
      <c r="K259" s="46"/>
      <c r="L259" s="47"/>
      <c r="M259" s="342">
        <v>9.6412037037037039E-3</v>
      </c>
      <c r="N259" s="342">
        <v>1.1574074074074073E-2</v>
      </c>
      <c r="O259" s="307">
        <f t="shared" si="5"/>
        <v>1.9328703703703695E-3</v>
      </c>
      <c r="P259" s="66">
        <v>43020</v>
      </c>
      <c r="Q259" s="410" t="str">
        <f t="shared" ref="Q259:Q322" ca="1" si="7">HYPERLINK(IF(INT(A259)-A259=0,E259,REPLACE(INDIRECT("MasterList!e"&amp;INT(A259)+1),25,8,"embed/")&amp;"?start="&amp;HOUR(M259)*3600+MINUTE(M259)*60+SECOND(M259)&amp;"&amp;end="&amp;HOUR(N259)*3600+MINUTE(N259)*60+SECOND(N259)&amp;"&amp;autoplay=1"))</f>
        <v>https://www.youtube.com/embed/VP5gPVW3XDM?start=833&amp;end=1000&amp;autoplay=1</v>
      </c>
      <c r="R259" s="67" t="s">
        <v>63</v>
      </c>
      <c r="S259" s="67" t="s">
        <v>63</v>
      </c>
      <c r="T259" s="67" t="s">
        <v>63</v>
      </c>
      <c r="U259" s="40"/>
      <c r="V259" s="54"/>
      <c r="W259" s="69" t="s">
        <v>64</v>
      </c>
      <c r="X259" s="56"/>
      <c r="Y259" s="311"/>
      <c r="Z259" s="311"/>
    </row>
    <row r="260" spans="1:26">
      <c r="A260" s="42">
        <v>92.05</v>
      </c>
      <c r="B260" s="42" t="s">
        <v>155</v>
      </c>
      <c r="C260" s="38"/>
      <c r="D260" s="42" t="s">
        <v>56</v>
      </c>
      <c r="E260" s="38"/>
      <c r="F260" s="43"/>
      <c r="G260" s="63" t="s">
        <v>1037</v>
      </c>
      <c r="H260" s="58" t="s">
        <v>1038</v>
      </c>
      <c r="I260" s="38"/>
      <c r="J260" s="38"/>
      <c r="K260" s="46"/>
      <c r="L260" s="47"/>
      <c r="M260" s="342">
        <v>1.1574074074074073E-2</v>
      </c>
      <c r="N260" s="342">
        <v>1.361111111111111E-2</v>
      </c>
      <c r="O260" s="307">
        <f t="shared" si="5"/>
        <v>2.0370370370370369E-3</v>
      </c>
      <c r="P260" s="66">
        <v>43020</v>
      </c>
      <c r="Q260" s="410" t="str">
        <f t="shared" ca="1" si="7"/>
        <v>https://www.youtube.com/embed/VP5gPVW3XDM?start=1000&amp;end=1176&amp;autoplay=1</v>
      </c>
      <c r="R260" s="67" t="s">
        <v>63</v>
      </c>
      <c r="S260" s="67" t="s">
        <v>63</v>
      </c>
      <c r="T260" s="67" t="s">
        <v>63</v>
      </c>
      <c r="U260" s="40"/>
      <c r="V260" s="54"/>
      <c r="W260" s="69" t="s">
        <v>64</v>
      </c>
      <c r="X260" s="56"/>
      <c r="Y260" s="311"/>
      <c r="Z260" s="311"/>
    </row>
    <row r="261" spans="1:26">
      <c r="A261" s="42">
        <v>92.06</v>
      </c>
      <c r="B261" s="42" t="s">
        <v>155</v>
      </c>
      <c r="C261" s="38"/>
      <c r="D261" s="42" t="s">
        <v>56</v>
      </c>
      <c r="E261" s="38"/>
      <c r="F261" s="43"/>
      <c r="G261" s="63" t="s">
        <v>1041</v>
      </c>
      <c r="H261" s="58" t="s">
        <v>1043</v>
      </c>
      <c r="I261" s="38"/>
      <c r="J261" s="38"/>
      <c r="K261" s="46"/>
      <c r="L261" s="47"/>
      <c r="M261" s="342">
        <v>1.5162037037037036E-2</v>
      </c>
      <c r="N261" s="342">
        <v>1.636574074074074E-2</v>
      </c>
      <c r="O261" s="307">
        <f t="shared" si="5"/>
        <v>1.2037037037037034E-3</v>
      </c>
      <c r="P261" s="66">
        <v>43020</v>
      </c>
      <c r="Q261" s="410" t="str">
        <f t="shared" ca="1" si="7"/>
        <v>https://www.youtube.com/embed/VP5gPVW3XDM?start=1310&amp;end=1414&amp;autoplay=1</v>
      </c>
      <c r="R261" s="67" t="s">
        <v>63</v>
      </c>
      <c r="S261" s="67" t="s">
        <v>63</v>
      </c>
      <c r="T261" s="67" t="s">
        <v>63</v>
      </c>
      <c r="U261" s="40"/>
      <c r="V261" s="54"/>
      <c r="W261" s="69" t="s">
        <v>64</v>
      </c>
      <c r="X261" s="56"/>
      <c r="Y261" s="311"/>
      <c r="Z261" s="311"/>
    </row>
    <row r="262" spans="1:26">
      <c r="A262" s="42">
        <v>92.07</v>
      </c>
      <c r="B262" s="42" t="s">
        <v>155</v>
      </c>
      <c r="C262" s="38"/>
      <c r="D262" s="42" t="s">
        <v>56</v>
      </c>
      <c r="E262" s="38"/>
      <c r="F262" s="43"/>
      <c r="G262" s="63" t="s">
        <v>2972</v>
      </c>
      <c r="H262" s="58" t="s">
        <v>1046</v>
      </c>
      <c r="I262" s="38"/>
      <c r="J262" s="38"/>
      <c r="K262" s="46"/>
      <c r="L262" s="47"/>
      <c r="M262" s="342">
        <v>1.6585648148148148E-2</v>
      </c>
      <c r="N262" s="342">
        <v>1.7928240740740741E-2</v>
      </c>
      <c r="O262" s="307">
        <f t="shared" si="5"/>
        <v>1.3425925925925931E-3</v>
      </c>
      <c r="P262" s="66">
        <v>43020</v>
      </c>
      <c r="Q262" s="410" t="str">
        <f t="shared" ca="1" si="7"/>
        <v>https://www.youtube.com/embed/VP5gPVW3XDM?start=1433&amp;end=1549&amp;autoplay=1</v>
      </c>
      <c r="R262" s="67" t="s">
        <v>63</v>
      </c>
      <c r="S262" s="67" t="s">
        <v>63</v>
      </c>
      <c r="T262" s="67" t="s">
        <v>63</v>
      </c>
      <c r="U262" s="40"/>
      <c r="V262" s="54"/>
      <c r="W262" s="69" t="s">
        <v>64</v>
      </c>
      <c r="X262" s="56"/>
      <c r="Y262" s="311"/>
      <c r="Z262" s="311"/>
    </row>
    <row r="263" spans="1:26">
      <c r="A263" s="42">
        <v>92.08</v>
      </c>
      <c r="B263" s="42" t="s">
        <v>155</v>
      </c>
      <c r="C263" s="38"/>
      <c r="D263" s="42" t="s">
        <v>56</v>
      </c>
      <c r="E263" s="38"/>
      <c r="F263" s="43"/>
      <c r="G263" s="63" t="s">
        <v>2973</v>
      </c>
      <c r="H263" s="45"/>
      <c r="I263" s="38"/>
      <c r="J263" s="38"/>
      <c r="K263" s="46"/>
      <c r="L263" s="47"/>
      <c r="M263" s="342">
        <v>1.7928240740740741E-2</v>
      </c>
      <c r="N263" s="342">
        <v>2.060185185185185E-2</v>
      </c>
      <c r="O263" s="307">
        <f t="shared" si="5"/>
        <v>2.6736111111111092E-3</v>
      </c>
      <c r="P263" s="66">
        <v>43020</v>
      </c>
      <c r="Q263" s="410" t="str">
        <f t="shared" ca="1" si="7"/>
        <v>https://www.youtube.com/embed/VP5gPVW3XDM?start=1549&amp;end=1780&amp;autoplay=1</v>
      </c>
      <c r="R263" s="67" t="s">
        <v>63</v>
      </c>
      <c r="S263" s="67" t="s">
        <v>63</v>
      </c>
      <c r="T263" s="67" t="s">
        <v>63</v>
      </c>
      <c r="U263" s="40"/>
      <c r="V263" s="54"/>
      <c r="W263" s="69" t="s">
        <v>64</v>
      </c>
      <c r="X263" s="56"/>
      <c r="Y263" s="311"/>
      <c r="Z263" s="311"/>
    </row>
    <row r="264" spans="1:26">
      <c r="A264" s="42">
        <v>92.09</v>
      </c>
      <c r="B264" s="42" t="s">
        <v>155</v>
      </c>
      <c r="C264" s="38"/>
      <c r="D264" s="42" t="s">
        <v>56</v>
      </c>
      <c r="E264" s="38"/>
      <c r="F264" s="43"/>
      <c r="G264" s="63" t="s">
        <v>1052</v>
      </c>
      <c r="H264" s="58" t="s">
        <v>2974</v>
      </c>
      <c r="I264" s="38"/>
      <c r="J264" s="38"/>
      <c r="K264" s="46"/>
      <c r="L264" s="47"/>
      <c r="M264" s="342">
        <v>2.0752314814814814E-2</v>
      </c>
      <c r="N264" s="342">
        <v>2.5011574074074075E-2</v>
      </c>
      <c r="O264" s="307">
        <f t="shared" si="5"/>
        <v>4.2592592592592612E-3</v>
      </c>
      <c r="P264" s="66">
        <v>43020</v>
      </c>
      <c r="Q264" s="410" t="str">
        <f t="shared" ca="1" si="7"/>
        <v>https://www.youtube.com/embed/VP5gPVW3XDM?start=1793&amp;end=2161&amp;autoplay=1</v>
      </c>
      <c r="R264" s="67" t="s">
        <v>63</v>
      </c>
      <c r="S264" s="67" t="s">
        <v>63</v>
      </c>
      <c r="T264" s="67" t="s">
        <v>63</v>
      </c>
      <c r="U264" s="40"/>
      <c r="V264" s="54"/>
      <c r="W264" s="69" t="s">
        <v>64</v>
      </c>
      <c r="X264" s="56"/>
      <c r="Y264" s="311"/>
      <c r="Z264" s="311"/>
    </row>
    <row r="265" spans="1:26">
      <c r="A265" s="38">
        <v>93</v>
      </c>
      <c r="B265" s="42" t="s">
        <v>155</v>
      </c>
      <c r="C265" s="38"/>
      <c r="D265" s="42" t="s">
        <v>56</v>
      </c>
      <c r="E265" s="38" t="s">
        <v>538</v>
      </c>
      <c r="F265" s="43" t="s">
        <v>540</v>
      </c>
      <c r="G265" s="44"/>
      <c r="H265" s="45"/>
      <c r="I265" s="38"/>
      <c r="J265" s="38">
        <f>986</f>
        <v>986</v>
      </c>
      <c r="K265" s="46">
        <v>3.5682870370370372E-2</v>
      </c>
      <c r="L265" s="47" t="s">
        <v>286</v>
      </c>
      <c r="M265" s="342"/>
      <c r="N265" s="307"/>
      <c r="O265" s="307">
        <f t="shared" si="5"/>
        <v>0</v>
      </c>
      <c r="P265" s="66">
        <v>43027</v>
      </c>
      <c r="Q265" s="410" t="str">
        <f t="shared" ca="1" si="7"/>
        <v>https://www.youtube.com/watch?v=0uPW7Jf9y7o</v>
      </c>
      <c r="R265" s="51"/>
      <c r="S265" s="51"/>
      <c r="T265" s="51"/>
      <c r="U265" s="40"/>
      <c r="V265" s="54"/>
      <c r="W265" s="55"/>
      <c r="X265" s="56"/>
      <c r="Y265" s="311"/>
      <c r="Z265" s="311"/>
    </row>
    <row r="266" spans="1:26">
      <c r="A266" s="42">
        <v>93.01</v>
      </c>
      <c r="B266" s="42" t="s">
        <v>155</v>
      </c>
      <c r="C266" s="38"/>
      <c r="D266" s="42" t="s">
        <v>56</v>
      </c>
      <c r="E266" s="38"/>
      <c r="F266" s="43"/>
      <c r="G266" s="63" t="s">
        <v>1021</v>
      </c>
      <c r="H266" s="58" t="s">
        <v>1058</v>
      </c>
      <c r="I266" s="38"/>
      <c r="J266" s="38"/>
      <c r="K266" s="46"/>
      <c r="L266" s="47"/>
      <c r="M266" s="342">
        <v>6.134259259259259E-4</v>
      </c>
      <c r="N266" s="342">
        <v>3.6689814814814814E-3</v>
      </c>
      <c r="O266" s="307">
        <f t="shared" si="5"/>
        <v>3.0555555555555553E-3</v>
      </c>
      <c r="P266" s="66">
        <v>43027</v>
      </c>
      <c r="Q266" s="410" t="str">
        <f t="shared" ca="1" si="7"/>
        <v>https://www.youtube.com/embed/0uPW7Jf9y7o?start=53&amp;end=317&amp;autoplay=1</v>
      </c>
      <c r="R266" s="67" t="s">
        <v>63</v>
      </c>
      <c r="S266" s="67" t="s">
        <v>63</v>
      </c>
      <c r="T266" s="67" t="s">
        <v>63</v>
      </c>
      <c r="U266" s="52"/>
      <c r="V266" s="53"/>
      <c r="W266" s="57" t="s">
        <v>64</v>
      </c>
      <c r="X266" s="56"/>
      <c r="Y266" s="38"/>
      <c r="Z266" s="42" t="s">
        <v>1061</v>
      </c>
    </row>
    <row r="267" spans="1:26">
      <c r="A267" s="42">
        <v>93.02</v>
      </c>
      <c r="B267" s="42" t="s">
        <v>155</v>
      </c>
      <c r="C267" s="38"/>
      <c r="D267" s="42" t="s">
        <v>56</v>
      </c>
      <c r="E267" s="38"/>
      <c r="F267" s="43"/>
      <c r="G267" s="63" t="s">
        <v>1027</v>
      </c>
      <c r="H267" s="58" t="s">
        <v>2975</v>
      </c>
      <c r="I267" s="38"/>
      <c r="J267" s="38"/>
      <c r="K267" s="46"/>
      <c r="L267" s="47"/>
      <c r="M267" s="342">
        <v>3.6689814814814814E-3</v>
      </c>
      <c r="N267" s="342">
        <v>6.4814814814814813E-3</v>
      </c>
      <c r="O267" s="307">
        <f t="shared" si="5"/>
        <v>2.8124999999999999E-3</v>
      </c>
      <c r="P267" s="66">
        <v>43027</v>
      </c>
      <c r="Q267" s="410" t="str">
        <f t="shared" ca="1" si="7"/>
        <v>https://www.youtube.com/embed/0uPW7Jf9y7o?start=317&amp;end=560&amp;autoplay=1</v>
      </c>
      <c r="R267" s="67" t="s">
        <v>63</v>
      </c>
      <c r="S267" s="67" t="s">
        <v>63</v>
      </c>
      <c r="T267" s="67" t="s">
        <v>63</v>
      </c>
      <c r="U267" s="52"/>
      <c r="V267" s="53"/>
      <c r="W267" s="57" t="s">
        <v>64</v>
      </c>
      <c r="X267" s="56"/>
      <c r="Y267" s="38"/>
      <c r="Z267" s="42" t="s">
        <v>1067</v>
      </c>
    </row>
    <row r="268" spans="1:26">
      <c r="A268" s="42">
        <v>93.03</v>
      </c>
      <c r="B268" s="42" t="s">
        <v>155</v>
      </c>
      <c r="C268" s="38"/>
      <c r="D268" s="42" t="s">
        <v>56</v>
      </c>
      <c r="E268" s="38"/>
      <c r="F268" s="188"/>
      <c r="G268" s="63" t="s">
        <v>1068</v>
      </c>
      <c r="H268" s="58" t="s">
        <v>1069</v>
      </c>
      <c r="I268" s="38"/>
      <c r="J268" s="38"/>
      <c r="K268" s="46"/>
      <c r="L268" s="47"/>
      <c r="M268" s="342">
        <v>6.4930555555555557E-3</v>
      </c>
      <c r="N268" s="342">
        <v>2.3842592592592592E-2</v>
      </c>
      <c r="O268" s="307">
        <f t="shared" si="5"/>
        <v>1.7349537037037038E-2</v>
      </c>
      <c r="P268" s="66">
        <v>43027</v>
      </c>
      <c r="Q268" s="410" t="str">
        <f t="shared" ca="1" si="7"/>
        <v>https://www.youtube.com/embed/0uPW7Jf9y7o?start=561&amp;end=2060&amp;autoplay=1</v>
      </c>
      <c r="R268" s="67" t="s">
        <v>63</v>
      </c>
      <c r="S268" s="67" t="s">
        <v>63</v>
      </c>
      <c r="T268" s="67" t="s">
        <v>63</v>
      </c>
      <c r="U268" s="52"/>
      <c r="V268" s="53"/>
      <c r="W268" s="57" t="s">
        <v>64</v>
      </c>
      <c r="X268" s="56"/>
      <c r="Y268" s="38"/>
      <c r="Z268" s="42" t="s">
        <v>1072</v>
      </c>
    </row>
    <row r="269" spans="1:26">
      <c r="A269" s="42">
        <v>93.04</v>
      </c>
      <c r="B269" s="42" t="s">
        <v>155</v>
      </c>
      <c r="C269" s="38"/>
      <c r="D269" s="42" t="s">
        <v>56</v>
      </c>
      <c r="E269" s="38"/>
      <c r="F269" s="188"/>
      <c r="G269" s="63" t="s">
        <v>1073</v>
      </c>
      <c r="H269" s="58" t="s">
        <v>1074</v>
      </c>
      <c r="I269" s="38"/>
      <c r="J269" s="38"/>
      <c r="K269" s="46"/>
      <c r="L269" s="47"/>
      <c r="M269" s="342">
        <v>2.4189814814814813E-2</v>
      </c>
      <c r="N269" s="342">
        <v>2.9618055555555557E-2</v>
      </c>
      <c r="O269" s="307">
        <f t="shared" si="5"/>
        <v>5.4282407407407439E-3</v>
      </c>
      <c r="P269" s="66">
        <v>43027</v>
      </c>
      <c r="Q269" s="410" t="str">
        <f t="shared" ca="1" si="7"/>
        <v>https://www.youtube.com/embed/0uPW7Jf9y7o?start=2090&amp;end=2559&amp;autoplay=1</v>
      </c>
      <c r="R269" s="67" t="s">
        <v>63</v>
      </c>
      <c r="S269" s="67" t="s">
        <v>131</v>
      </c>
      <c r="T269" s="67" t="s">
        <v>63</v>
      </c>
      <c r="U269" s="52"/>
      <c r="V269" s="53"/>
      <c r="W269" s="60"/>
      <c r="X269" s="56"/>
      <c r="Y269" s="38"/>
      <c r="Z269" s="38"/>
    </row>
    <row r="270" spans="1:26">
      <c r="A270" s="42">
        <v>93.05</v>
      </c>
      <c r="B270" s="42" t="s">
        <v>155</v>
      </c>
      <c r="C270" s="38"/>
      <c r="D270" s="42" t="s">
        <v>56</v>
      </c>
      <c r="E270" s="38"/>
      <c r="F270" s="188"/>
      <c r="G270" s="63" t="s">
        <v>1077</v>
      </c>
      <c r="H270" s="58" t="s">
        <v>1078</v>
      </c>
      <c r="I270" s="38"/>
      <c r="J270" s="38"/>
      <c r="K270" s="46"/>
      <c r="L270" s="47"/>
      <c r="M270" s="342">
        <v>2.9618055555555557E-2</v>
      </c>
      <c r="N270" s="342">
        <v>3.3773148148148149E-2</v>
      </c>
      <c r="O270" s="307">
        <f t="shared" si="5"/>
        <v>4.1550925925925922E-3</v>
      </c>
      <c r="P270" s="66">
        <v>43027</v>
      </c>
      <c r="Q270" s="410" t="str">
        <f t="shared" ca="1" si="7"/>
        <v>https://www.youtube.com/embed/0uPW7Jf9y7o?start=2559&amp;end=2918&amp;autoplay=1</v>
      </c>
      <c r="R270" s="67" t="s">
        <v>63</v>
      </c>
      <c r="S270" s="67" t="s">
        <v>63</v>
      </c>
      <c r="T270" s="67" t="s">
        <v>63</v>
      </c>
      <c r="U270" s="52"/>
      <c r="V270" s="53"/>
      <c r="W270" s="57" t="s">
        <v>64</v>
      </c>
      <c r="X270" s="56"/>
      <c r="Y270" s="38"/>
      <c r="Z270" s="38"/>
    </row>
    <row r="271" spans="1:26">
      <c r="A271" s="38">
        <v>94</v>
      </c>
      <c r="B271" s="42" t="s">
        <v>55</v>
      </c>
      <c r="C271" s="38"/>
      <c r="D271" s="42" t="s">
        <v>56</v>
      </c>
      <c r="E271" s="38" t="s">
        <v>506</v>
      </c>
      <c r="F271" s="43" t="s">
        <v>507</v>
      </c>
      <c r="G271" s="44"/>
      <c r="H271" s="45"/>
      <c r="I271" s="38"/>
      <c r="J271" s="38">
        <f>2.5*1000</f>
        <v>2500</v>
      </c>
      <c r="K271" s="46">
        <v>6.6493055555555555E-2</v>
      </c>
      <c r="L271" s="47" t="s">
        <v>286</v>
      </c>
      <c r="M271" s="307"/>
      <c r="N271" s="307"/>
      <c r="O271" s="307">
        <f t="shared" si="5"/>
        <v>0</v>
      </c>
      <c r="P271" s="66">
        <v>43010</v>
      </c>
      <c r="Q271" s="410" t="str">
        <f t="shared" ca="1" si="7"/>
        <v>https://www.youtube.com/watch?v=fjD9BVlmPoA</v>
      </c>
      <c r="R271" s="50"/>
      <c r="S271" s="50"/>
      <c r="T271" s="50"/>
      <c r="U271" s="52"/>
      <c r="V271" s="53"/>
      <c r="W271" s="60"/>
      <c r="X271" s="56"/>
      <c r="Y271" s="38"/>
      <c r="Z271" s="38"/>
    </row>
    <row r="272" spans="1:26">
      <c r="A272" s="85">
        <v>94.01</v>
      </c>
      <c r="B272" s="42" t="s">
        <v>55</v>
      </c>
      <c r="C272" s="38"/>
      <c r="D272" s="42" t="s">
        <v>56</v>
      </c>
      <c r="E272" s="38"/>
      <c r="F272" s="38"/>
      <c r="G272" s="42" t="s">
        <v>511</v>
      </c>
      <c r="H272" s="38"/>
      <c r="I272" s="38"/>
      <c r="J272" s="38"/>
      <c r="K272" s="46"/>
      <c r="L272" s="38"/>
      <c r="M272" s="307">
        <v>1.0462962962962962E-2</v>
      </c>
      <c r="N272" s="307">
        <v>1.6423611111111111E-2</v>
      </c>
      <c r="O272" s="307">
        <f t="shared" si="5"/>
        <v>5.9606481481481489E-3</v>
      </c>
      <c r="P272" s="66">
        <v>43010</v>
      </c>
      <c r="Q272" s="410" t="str">
        <f t="shared" ca="1" si="7"/>
        <v>https://www.youtube.com/embed/fjD9BVlmPoA?start=904&amp;end=1419&amp;autoplay=1</v>
      </c>
      <c r="R272" s="50"/>
      <c r="S272" s="50"/>
      <c r="T272" s="50"/>
      <c r="U272" s="52"/>
      <c r="V272" s="53"/>
      <c r="W272" s="60"/>
      <c r="X272" s="56"/>
      <c r="Y272" s="38"/>
      <c r="Z272" s="38"/>
    </row>
    <row r="273" spans="1:26">
      <c r="A273" s="85">
        <v>94.02</v>
      </c>
      <c r="B273" s="42" t="s">
        <v>55</v>
      </c>
      <c r="C273" s="38"/>
      <c r="D273" s="42" t="s">
        <v>56</v>
      </c>
      <c r="E273" s="38"/>
      <c r="F273" s="38"/>
      <c r="G273" s="42" t="s">
        <v>516</v>
      </c>
      <c r="H273" s="42" t="s">
        <v>517</v>
      </c>
      <c r="I273" s="38"/>
      <c r="J273" s="38"/>
      <c r="K273" s="46"/>
      <c r="L273" s="38"/>
      <c r="M273" s="307">
        <v>1.9780092592592592E-2</v>
      </c>
      <c r="N273" s="307">
        <v>2.1412037037037038E-2</v>
      </c>
      <c r="O273" s="307">
        <f t="shared" si="5"/>
        <v>1.6319444444444463E-3</v>
      </c>
      <c r="P273" s="66">
        <v>43010</v>
      </c>
      <c r="Q273" s="410" t="str">
        <f t="shared" ca="1" si="7"/>
        <v>https://www.youtube.com/embed/fjD9BVlmPoA?start=1709&amp;end=1850&amp;autoplay=1</v>
      </c>
      <c r="R273" s="50"/>
      <c r="S273" s="50"/>
      <c r="T273" s="50"/>
      <c r="U273" s="52"/>
      <c r="V273" s="53"/>
      <c r="W273" s="60"/>
      <c r="X273" s="56"/>
      <c r="Y273" s="38"/>
      <c r="Z273" s="38"/>
    </row>
    <row r="274" spans="1:26">
      <c r="A274" s="85">
        <v>94.03</v>
      </c>
      <c r="B274" s="42" t="s">
        <v>55</v>
      </c>
      <c r="C274" s="38"/>
      <c r="D274" s="42" t="s">
        <v>56</v>
      </c>
      <c r="E274" s="38"/>
      <c r="F274" s="38"/>
      <c r="G274" s="42" t="s">
        <v>520</v>
      </c>
      <c r="H274" s="38"/>
      <c r="I274" s="38"/>
      <c r="J274" s="38"/>
      <c r="K274" s="46"/>
      <c r="L274" s="38"/>
      <c r="M274" s="307">
        <v>2.7141203703703702E-2</v>
      </c>
      <c r="N274" s="307">
        <v>2.824074074074074E-2</v>
      </c>
      <c r="O274" s="307">
        <f t="shared" si="5"/>
        <v>1.0995370370370378E-3</v>
      </c>
      <c r="P274" s="66">
        <v>43010</v>
      </c>
      <c r="Q274" s="410" t="str">
        <f t="shared" ca="1" si="7"/>
        <v>https://www.youtube.com/embed/fjD9BVlmPoA?start=2345&amp;end=2440&amp;autoplay=1</v>
      </c>
      <c r="R274" s="50"/>
      <c r="S274" s="50"/>
      <c r="T274" s="50"/>
      <c r="U274" s="52"/>
      <c r="V274" s="53"/>
      <c r="W274" s="60"/>
      <c r="X274" s="56"/>
      <c r="Y274" s="38"/>
      <c r="Z274" s="38"/>
    </row>
    <row r="275" spans="1:26">
      <c r="A275" s="85">
        <v>94.04</v>
      </c>
      <c r="B275" s="42" t="s">
        <v>55</v>
      </c>
      <c r="C275" s="38"/>
      <c r="D275" s="42" t="s">
        <v>56</v>
      </c>
      <c r="E275" s="38"/>
      <c r="F275" s="38"/>
      <c r="G275" s="42" t="s">
        <v>525</v>
      </c>
      <c r="H275" s="38"/>
      <c r="I275" s="38"/>
      <c r="J275" s="38"/>
      <c r="K275" s="46"/>
      <c r="L275" s="38"/>
      <c r="M275" s="307">
        <v>2.8356481481481483E-2</v>
      </c>
      <c r="N275" s="307">
        <v>3.321759259259259E-2</v>
      </c>
      <c r="O275" s="307">
        <f t="shared" si="5"/>
        <v>4.8611111111111077E-3</v>
      </c>
      <c r="P275" s="66">
        <v>43010</v>
      </c>
      <c r="Q275" s="410" t="str">
        <f t="shared" ca="1" si="7"/>
        <v>https://www.youtube.com/embed/fjD9BVlmPoA?start=2450&amp;end=2870&amp;autoplay=1</v>
      </c>
      <c r="R275" s="50"/>
      <c r="S275" s="50"/>
      <c r="T275" s="50"/>
      <c r="U275" s="52"/>
      <c r="V275" s="53"/>
      <c r="W275" s="60"/>
      <c r="X275" s="56"/>
      <c r="Y275" s="38"/>
      <c r="Z275" s="38"/>
    </row>
    <row r="276" spans="1:26">
      <c r="A276" s="85">
        <v>94.05</v>
      </c>
      <c r="B276" s="127" t="s">
        <v>55</v>
      </c>
      <c r="C276" s="38"/>
      <c r="D276" s="127" t="s">
        <v>56</v>
      </c>
      <c r="E276" s="38"/>
      <c r="F276" s="38"/>
      <c r="G276" s="42" t="s">
        <v>526</v>
      </c>
      <c r="H276" s="38"/>
      <c r="I276" s="38"/>
      <c r="J276" s="38"/>
      <c r="K276" s="46"/>
      <c r="L276" s="38"/>
      <c r="M276" s="307">
        <v>4.0902777777777781E-2</v>
      </c>
      <c r="N276" s="307">
        <v>4.6053240740740742E-2</v>
      </c>
      <c r="O276" s="307">
        <f t="shared" si="5"/>
        <v>5.1504629629629609E-3</v>
      </c>
      <c r="P276" s="66">
        <v>43010</v>
      </c>
      <c r="Q276" s="410" t="str">
        <f t="shared" ca="1" si="7"/>
        <v>https://www.youtube.com/embed/fjD9BVlmPoA?start=3534&amp;end=3979&amp;autoplay=1</v>
      </c>
      <c r="R276" s="50"/>
      <c r="S276" s="50"/>
      <c r="T276" s="50"/>
      <c r="U276" s="52"/>
      <c r="V276" s="53"/>
      <c r="W276" s="60"/>
      <c r="X276" s="56"/>
      <c r="Y276" s="38"/>
      <c r="Z276" s="38"/>
    </row>
    <row r="277" spans="1:26">
      <c r="A277" s="85">
        <v>94.06</v>
      </c>
      <c r="B277" s="127" t="s">
        <v>55</v>
      </c>
      <c r="C277" s="38"/>
      <c r="D277" s="127" t="s">
        <v>56</v>
      </c>
      <c r="E277" s="38"/>
      <c r="F277" s="38"/>
      <c r="G277" s="42" t="s">
        <v>530</v>
      </c>
      <c r="H277" s="42" t="s">
        <v>531</v>
      </c>
      <c r="I277" s="38"/>
      <c r="J277" s="38"/>
      <c r="K277" s="46"/>
      <c r="L277" s="38"/>
      <c r="M277" s="307">
        <v>4.7222222222222221E-2</v>
      </c>
      <c r="N277" s="307">
        <v>4.9421296296296297E-2</v>
      </c>
      <c r="O277" s="307">
        <f t="shared" si="5"/>
        <v>2.1990740740740755E-3</v>
      </c>
      <c r="P277" s="66">
        <v>43010</v>
      </c>
      <c r="Q277" s="410" t="str">
        <f t="shared" ca="1" si="7"/>
        <v>https://www.youtube.com/embed/fjD9BVlmPoA?start=4080&amp;end=4270&amp;autoplay=1</v>
      </c>
      <c r="R277" s="50"/>
      <c r="S277" s="50"/>
      <c r="T277" s="50"/>
      <c r="U277" s="52"/>
      <c r="V277" s="53"/>
      <c r="W277" s="60"/>
      <c r="X277" s="56"/>
      <c r="Y277" s="38"/>
      <c r="Z277" s="38"/>
    </row>
    <row r="278" spans="1:26">
      <c r="A278" s="85">
        <v>94.07</v>
      </c>
      <c r="B278" s="127" t="s">
        <v>55</v>
      </c>
      <c r="C278" s="38"/>
      <c r="D278" s="127" t="s">
        <v>56</v>
      </c>
      <c r="E278" s="38"/>
      <c r="F278" s="38"/>
      <c r="G278" s="42" t="s">
        <v>535</v>
      </c>
      <c r="H278" s="38"/>
      <c r="I278" s="38"/>
      <c r="J278" s="38"/>
      <c r="K278" s="46"/>
      <c r="L278" s="38"/>
      <c r="M278" s="307">
        <v>5.2199074074074071E-2</v>
      </c>
      <c r="N278" s="307">
        <v>5.3703703703703705E-2</v>
      </c>
      <c r="O278" s="307">
        <f t="shared" si="5"/>
        <v>1.5046296296296335E-3</v>
      </c>
      <c r="P278" s="66">
        <v>43010</v>
      </c>
      <c r="Q278" s="410" t="str">
        <f t="shared" ca="1" si="7"/>
        <v>https://www.youtube.com/embed/fjD9BVlmPoA?start=4510&amp;end=4640&amp;autoplay=1</v>
      </c>
      <c r="R278" s="50"/>
      <c r="S278" s="50"/>
      <c r="T278" s="50"/>
      <c r="U278" s="52"/>
      <c r="V278" s="53"/>
      <c r="W278" s="60"/>
      <c r="X278" s="56"/>
      <c r="Y278" s="38"/>
      <c r="Z278" s="38"/>
    </row>
    <row r="279" spans="1:26">
      <c r="A279" s="85">
        <v>94.08</v>
      </c>
      <c r="B279" s="127" t="s">
        <v>55</v>
      </c>
      <c r="C279" s="38"/>
      <c r="D279" s="127" t="s">
        <v>56</v>
      </c>
      <c r="E279" s="38"/>
      <c r="F279" s="38"/>
      <c r="G279" s="42" t="s">
        <v>536</v>
      </c>
      <c r="H279" s="42" t="s">
        <v>537</v>
      </c>
      <c r="I279" s="38"/>
      <c r="J279" s="38"/>
      <c r="K279" s="46"/>
      <c r="L279" s="38"/>
      <c r="M279" s="307">
        <v>5.3761574074074073E-2</v>
      </c>
      <c r="N279" s="307">
        <v>5.6493055555555553E-2</v>
      </c>
      <c r="O279" s="307">
        <f t="shared" si="5"/>
        <v>2.7314814814814806E-3</v>
      </c>
      <c r="P279" s="66">
        <v>43010</v>
      </c>
      <c r="Q279" s="410" t="str">
        <f t="shared" ca="1" si="7"/>
        <v>https://www.youtube.com/embed/fjD9BVlmPoA?start=4645&amp;end=4881&amp;autoplay=1</v>
      </c>
      <c r="R279" s="50"/>
      <c r="S279" s="50"/>
      <c r="T279" s="50"/>
      <c r="U279" s="52"/>
      <c r="V279" s="53"/>
      <c r="W279" s="60"/>
      <c r="X279" s="56"/>
      <c r="Y279" s="38"/>
      <c r="Z279" s="38"/>
    </row>
    <row r="280" spans="1:26">
      <c r="A280" s="85">
        <v>94.09</v>
      </c>
      <c r="B280" s="127" t="s">
        <v>55</v>
      </c>
      <c r="C280" s="38"/>
      <c r="D280" s="127" t="s">
        <v>56</v>
      </c>
      <c r="E280" s="38"/>
      <c r="F280" s="38"/>
      <c r="G280" s="42" t="s">
        <v>541</v>
      </c>
      <c r="H280" s="38"/>
      <c r="I280" s="38"/>
      <c r="J280" s="38"/>
      <c r="K280" s="46"/>
      <c r="L280" s="38"/>
      <c r="M280" s="307">
        <v>5.6539351851851855E-2</v>
      </c>
      <c r="N280" s="307">
        <v>5.7060185185185186E-2</v>
      </c>
      <c r="O280" s="307">
        <f t="shared" si="5"/>
        <v>5.2083333333333148E-4</v>
      </c>
      <c r="P280" s="66">
        <v>43010</v>
      </c>
      <c r="Q280" s="410" t="str">
        <f t="shared" ca="1" si="7"/>
        <v>https://www.youtube.com/embed/fjD9BVlmPoA?start=4885&amp;end=4930&amp;autoplay=1</v>
      </c>
      <c r="R280" s="50"/>
      <c r="S280" s="50"/>
      <c r="T280" s="50"/>
      <c r="U280" s="52"/>
      <c r="V280" s="53"/>
      <c r="W280" s="60"/>
      <c r="X280" s="56"/>
      <c r="Y280" s="38"/>
      <c r="Z280" s="38"/>
    </row>
    <row r="281" spans="1:26">
      <c r="A281" s="85">
        <v>94.1</v>
      </c>
      <c r="B281" s="127" t="s">
        <v>55</v>
      </c>
      <c r="C281" s="38"/>
      <c r="D281" s="127" t="s">
        <v>56</v>
      </c>
      <c r="E281" s="38"/>
      <c r="F281" s="38"/>
      <c r="G281" s="42" t="s">
        <v>543</v>
      </c>
      <c r="H281" s="38"/>
      <c r="I281" s="38"/>
      <c r="J281" s="38"/>
      <c r="K281" s="46"/>
      <c r="L281" s="38"/>
      <c r="M281" s="307">
        <v>5.7175925925925929E-2</v>
      </c>
      <c r="N281" s="307">
        <v>6.128472222222222E-2</v>
      </c>
      <c r="O281" s="307">
        <f t="shared" si="5"/>
        <v>4.108796296296291E-3</v>
      </c>
      <c r="P281" s="66">
        <v>43010</v>
      </c>
      <c r="Q281" s="410" t="str">
        <f t="shared" ca="1" si="7"/>
        <v>https://www.youtube.com/embed/fjD9BVlmPoA?start=4940&amp;end=5295&amp;autoplay=1</v>
      </c>
      <c r="R281" s="50"/>
      <c r="S281" s="50"/>
      <c r="T281" s="50"/>
      <c r="U281" s="52"/>
      <c r="V281" s="53"/>
      <c r="W281" s="60"/>
      <c r="X281" s="56"/>
      <c r="Y281" s="38"/>
      <c r="Z281" s="38"/>
    </row>
    <row r="282" spans="1:26" hidden="1">
      <c r="A282" s="38">
        <v>95</v>
      </c>
      <c r="B282" s="38"/>
      <c r="C282" s="38"/>
      <c r="D282" s="38"/>
      <c r="E282" s="38" t="s">
        <v>545</v>
      </c>
      <c r="F282" s="43" t="s">
        <v>546</v>
      </c>
      <c r="G282" s="44"/>
      <c r="H282" s="45"/>
      <c r="I282" s="38"/>
      <c r="J282" s="38">
        <f>1.5*1000</f>
        <v>1500</v>
      </c>
      <c r="K282" s="46">
        <v>5.9027777777777776E-3</v>
      </c>
      <c r="L282" s="47" t="s">
        <v>286</v>
      </c>
      <c r="M282" s="307"/>
      <c r="N282" s="307"/>
      <c r="O282" s="307">
        <f t="shared" si="5"/>
        <v>0</v>
      </c>
      <c r="P282" s="92"/>
      <c r="Q282" s="410" t="str">
        <f t="shared" ca="1" si="7"/>
        <v>https://www.youtube.com/watch?v=iGpYgqX-p8c</v>
      </c>
      <c r="R282" s="50"/>
      <c r="S282" s="50"/>
      <c r="T282" s="50"/>
      <c r="U282" s="52"/>
      <c r="V282" s="53"/>
      <c r="W282" s="60"/>
      <c r="X282" s="56"/>
      <c r="Y282" s="38"/>
      <c r="Z282" s="38"/>
    </row>
    <row r="283" spans="1:26" hidden="1">
      <c r="A283" s="38">
        <v>96</v>
      </c>
      <c r="B283" s="38"/>
      <c r="C283" s="38"/>
      <c r="D283" s="38"/>
      <c r="E283" s="38" t="s">
        <v>551</v>
      </c>
      <c r="F283" s="43" t="s">
        <v>552</v>
      </c>
      <c r="G283" s="44"/>
      <c r="H283" s="45"/>
      <c r="I283" s="38"/>
      <c r="J283" s="38">
        <f>1.2*1000</f>
        <v>1200</v>
      </c>
      <c r="K283" s="46">
        <v>1.1655092592592594E-2</v>
      </c>
      <c r="L283" s="47" t="s">
        <v>286</v>
      </c>
      <c r="M283" s="307"/>
      <c r="N283" s="307"/>
      <c r="O283" s="307">
        <f t="shared" si="5"/>
        <v>0</v>
      </c>
      <c r="P283" s="92"/>
      <c r="Q283" s="410" t="str">
        <f t="shared" ca="1" si="7"/>
        <v>https://www.youtube.com/watch?v=schP-IZS5Sw</v>
      </c>
      <c r="R283" s="50"/>
      <c r="S283" s="50"/>
      <c r="T283" s="50"/>
      <c r="U283" s="52"/>
      <c r="V283" s="53"/>
      <c r="W283" s="60"/>
      <c r="X283" s="56"/>
      <c r="Y283" s="38"/>
      <c r="Z283" s="38"/>
    </row>
    <row r="284" spans="1:26" hidden="1">
      <c r="A284" s="38">
        <v>97</v>
      </c>
      <c r="B284" s="38"/>
      <c r="C284" s="38"/>
      <c r="D284" s="38"/>
      <c r="E284" s="38" t="s">
        <v>554</v>
      </c>
      <c r="F284" s="43" t="s">
        <v>556</v>
      </c>
      <c r="G284" s="44"/>
      <c r="H284" s="45"/>
      <c r="I284" s="38"/>
      <c r="J284" s="38">
        <f>1.9*1000</f>
        <v>1900</v>
      </c>
      <c r="K284" s="46">
        <v>2.1087962962962961E-2</v>
      </c>
      <c r="L284" s="47" t="s">
        <v>286</v>
      </c>
      <c r="M284" s="307"/>
      <c r="N284" s="307"/>
      <c r="O284" s="307">
        <f t="shared" si="5"/>
        <v>0</v>
      </c>
      <c r="P284" s="92"/>
      <c r="Q284" s="410" t="str">
        <f t="shared" ca="1" si="7"/>
        <v>https://www.youtube.com/watch?v=gmu_fBglk-A</v>
      </c>
      <c r="R284" s="50"/>
      <c r="S284" s="50"/>
      <c r="T284" s="50"/>
      <c r="U284" s="52"/>
      <c r="V284" s="53"/>
      <c r="W284" s="60"/>
      <c r="X284" s="56"/>
      <c r="Y284" s="38"/>
      <c r="Z284" s="38"/>
    </row>
    <row r="285" spans="1:26" hidden="1">
      <c r="A285" s="38">
        <v>98</v>
      </c>
      <c r="B285" s="38"/>
      <c r="C285" s="38"/>
      <c r="D285" s="38"/>
      <c r="E285" s="38" t="s">
        <v>563</v>
      </c>
      <c r="F285" s="43" t="s">
        <v>564</v>
      </c>
      <c r="G285" s="44"/>
      <c r="H285" s="45"/>
      <c r="I285" s="38"/>
      <c r="J285" s="38">
        <f>2.3*1000</f>
        <v>2300</v>
      </c>
      <c r="K285" s="46">
        <v>3.4467592592592591E-2</v>
      </c>
      <c r="L285" s="47" t="s">
        <v>286</v>
      </c>
      <c r="M285" s="307"/>
      <c r="N285" s="307"/>
      <c r="O285" s="307">
        <f t="shared" si="5"/>
        <v>0</v>
      </c>
      <c r="P285" s="92"/>
      <c r="Q285" s="410" t="str">
        <f t="shared" ca="1" si="7"/>
        <v>https://www.youtube.com/watch?v=-WPYCv8jdJc</v>
      </c>
      <c r="R285" s="50"/>
      <c r="S285" s="50"/>
      <c r="T285" s="50"/>
      <c r="U285" s="52"/>
      <c r="V285" s="53"/>
      <c r="W285" s="60"/>
      <c r="X285" s="56"/>
      <c r="Y285" s="38"/>
      <c r="Z285" s="38"/>
    </row>
    <row r="286" spans="1:26" hidden="1">
      <c r="A286" s="38">
        <v>99</v>
      </c>
      <c r="B286" s="38"/>
      <c r="C286" s="38"/>
      <c r="D286" s="38"/>
      <c r="E286" s="38" t="s">
        <v>567</v>
      </c>
      <c r="F286" s="43" t="s">
        <v>568</v>
      </c>
      <c r="G286" s="44"/>
      <c r="H286" s="45"/>
      <c r="I286" s="38"/>
      <c r="J286" s="38">
        <f>1.4*1000</f>
        <v>1400</v>
      </c>
      <c r="K286" s="46">
        <v>2.8483796296296295E-2</v>
      </c>
      <c r="L286" s="47" t="s">
        <v>286</v>
      </c>
      <c r="M286" s="307"/>
      <c r="N286" s="307"/>
      <c r="O286" s="307">
        <f t="shared" si="5"/>
        <v>0</v>
      </c>
      <c r="P286" s="92"/>
      <c r="Q286" s="410" t="str">
        <f t="shared" ca="1" si="7"/>
        <v>https://www.youtube.com/watch?v=91dtNzk71IA</v>
      </c>
      <c r="R286" s="50"/>
      <c r="S286" s="50"/>
      <c r="T286" s="50"/>
      <c r="U286" s="52"/>
      <c r="V286" s="53"/>
      <c r="W286" s="60"/>
      <c r="X286" s="56"/>
      <c r="Y286" s="38"/>
      <c r="Z286" s="38"/>
    </row>
    <row r="287" spans="1:26" hidden="1">
      <c r="A287" s="38">
        <v>100</v>
      </c>
      <c r="B287" s="38"/>
      <c r="C287" s="38"/>
      <c r="D287" s="38"/>
      <c r="E287" s="38" t="s">
        <v>572</v>
      </c>
      <c r="F287" s="43" t="s">
        <v>573</v>
      </c>
      <c r="G287" s="44"/>
      <c r="H287" s="45"/>
      <c r="I287" s="38"/>
      <c r="J287" s="38">
        <f>3.7*1000</f>
        <v>3700</v>
      </c>
      <c r="K287" s="46">
        <v>2.4837962962962964E-2</v>
      </c>
      <c r="L287" s="47" t="s">
        <v>286</v>
      </c>
      <c r="M287" s="307"/>
      <c r="N287" s="307"/>
      <c r="O287" s="307">
        <f t="shared" si="5"/>
        <v>0</v>
      </c>
      <c r="P287" s="92"/>
      <c r="Q287" s="410" t="str">
        <f t="shared" ca="1" si="7"/>
        <v>https://www.youtube.com/watch?v=SrCfhdoTLfg</v>
      </c>
      <c r="R287" s="50"/>
      <c r="S287" s="50"/>
      <c r="T287" s="50"/>
      <c r="U287" s="52"/>
      <c r="V287" s="53"/>
      <c r="W287" s="60"/>
      <c r="X287" s="56"/>
      <c r="Y287" s="38"/>
      <c r="Z287" s="38"/>
    </row>
    <row r="288" spans="1:26">
      <c r="A288" s="38">
        <v>101</v>
      </c>
      <c r="B288" s="39" t="s">
        <v>382</v>
      </c>
      <c r="C288" s="40"/>
      <c r="D288" s="42" t="s">
        <v>56</v>
      </c>
      <c r="E288" s="38" t="s">
        <v>576</v>
      </c>
      <c r="F288" s="43" t="s">
        <v>577</v>
      </c>
      <c r="G288" s="44"/>
      <c r="H288" s="45"/>
      <c r="I288" s="38"/>
      <c r="J288" s="38">
        <f>22*1000</f>
        <v>22000</v>
      </c>
      <c r="K288" s="46">
        <v>4.5879629629629631E-2</v>
      </c>
      <c r="L288" s="47" t="s">
        <v>286</v>
      </c>
      <c r="M288" s="48"/>
      <c r="N288" s="48"/>
      <c r="O288" s="48">
        <f t="shared" si="5"/>
        <v>0</v>
      </c>
      <c r="P288" s="377">
        <v>43039</v>
      </c>
      <c r="Q288" s="410" t="str">
        <f t="shared" ca="1" si="7"/>
        <v>https://www.youtube.com/watch?v=nmbYnYYpa6g</v>
      </c>
      <c r="R288" s="51"/>
      <c r="S288" s="51"/>
      <c r="T288" s="51"/>
      <c r="U288" s="40"/>
      <c r="V288" s="54"/>
      <c r="W288" s="55"/>
      <c r="X288" s="56"/>
      <c r="Y288" s="88"/>
      <c r="Z288" s="88"/>
    </row>
    <row r="289" spans="1:26" ht="20.25" customHeight="1">
      <c r="A289" s="42">
        <v>101.01</v>
      </c>
      <c r="B289" s="39" t="s">
        <v>382</v>
      </c>
      <c r="C289" s="40"/>
      <c r="D289" s="42" t="s">
        <v>56</v>
      </c>
      <c r="E289" s="38"/>
      <c r="F289" s="43"/>
      <c r="G289" s="63" t="s">
        <v>2429</v>
      </c>
      <c r="H289" s="58" t="s">
        <v>2430</v>
      </c>
      <c r="I289" s="38"/>
      <c r="J289" s="38"/>
      <c r="K289" s="46"/>
      <c r="L289" s="47"/>
      <c r="M289" s="93">
        <v>8.7037037037037031E-3</v>
      </c>
      <c r="N289" s="93">
        <v>1.4351851851851852E-2</v>
      </c>
      <c r="O289" s="48">
        <f t="shared" si="5"/>
        <v>5.6481481481481487E-3</v>
      </c>
      <c r="P289" s="377">
        <v>43039</v>
      </c>
      <c r="Q289" s="410" t="str">
        <f t="shared" ca="1" si="7"/>
        <v>https://www.youtube.com/embed/nmbYnYYpa6g?start=752&amp;end=1240&amp;autoplay=1</v>
      </c>
      <c r="R289" s="39" t="s">
        <v>63</v>
      </c>
      <c r="S289" s="39" t="s">
        <v>63</v>
      </c>
      <c r="T289" s="39" t="s">
        <v>63</v>
      </c>
      <c r="U289" s="40"/>
      <c r="V289" s="54"/>
      <c r="W289" s="55"/>
      <c r="X289" s="56"/>
      <c r="Y289" s="88"/>
      <c r="Z289" s="88"/>
    </row>
    <row r="290" spans="1:26" ht="20.25" customHeight="1">
      <c r="A290" s="42">
        <v>101.02</v>
      </c>
      <c r="B290" s="39" t="s">
        <v>382</v>
      </c>
      <c r="C290" s="40"/>
      <c r="D290" s="42" t="s">
        <v>56</v>
      </c>
      <c r="E290" s="38"/>
      <c r="F290" s="43"/>
      <c r="G290" s="63" t="s">
        <v>2433</v>
      </c>
      <c r="H290" s="58" t="s">
        <v>2434</v>
      </c>
      <c r="I290" s="38"/>
      <c r="J290" s="38"/>
      <c r="K290" s="46"/>
      <c r="L290" s="47"/>
      <c r="M290" s="93">
        <v>1.4467592592592593E-2</v>
      </c>
      <c r="N290" s="93">
        <v>1.8310185185185186E-2</v>
      </c>
      <c r="O290" s="48">
        <f t="shared" si="5"/>
        <v>3.8425925925925936E-3</v>
      </c>
      <c r="P290" s="377">
        <v>43039</v>
      </c>
      <c r="Q290" s="410" t="str">
        <f t="shared" ca="1" si="7"/>
        <v>https://www.youtube.com/embed/nmbYnYYpa6g?start=1250&amp;end=1582&amp;autoplay=1</v>
      </c>
      <c r="R290" s="39" t="s">
        <v>63</v>
      </c>
      <c r="S290" s="39" t="s">
        <v>63</v>
      </c>
      <c r="T290" s="39" t="s">
        <v>63</v>
      </c>
      <c r="U290" s="40"/>
      <c r="V290" s="54"/>
      <c r="W290" s="55"/>
      <c r="X290" s="56"/>
      <c r="Y290" s="88"/>
      <c r="Z290" s="88"/>
    </row>
    <row r="291" spans="1:26" ht="20.25" customHeight="1">
      <c r="A291" s="42">
        <v>101.03</v>
      </c>
      <c r="B291" s="39" t="s">
        <v>382</v>
      </c>
      <c r="C291" s="40"/>
      <c r="D291" s="42" t="s">
        <v>56</v>
      </c>
      <c r="E291" s="38"/>
      <c r="F291" s="43"/>
      <c r="G291" s="63" t="s">
        <v>2435</v>
      </c>
      <c r="H291" s="58" t="s">
        <v>2437</v>
      </c>
      <c r="I291" s="38"/>
      <c r="J291" s="38"/>
      <c r="K291" s="46"/>
      <c r="L291" s="47"/>
      <c r="M291" s="93">
        <v>1.8344907407407407E-2</v>
      </c>
      <c r="N291" s="93">
        <v>2.3090277777777779E-2</v>
      </c>
      <c r="O291" s="48">
        <f t="shared" si="5"/>
        <v>4.745370370370372E-3</v>
      </c>
      <c r="P291" s="377">
        <v>43039</v>
      </c>
      <c r="Q291" s="410" t="str">
        <f t="shared" ca="1" si="7"/>
        <v>https://www.youtube.com/embed/nmbYnYYpa6g?start=1585&amp;end=1995&amp;autoplay=1</v>
      </c>
      <c r="R291" s="39" t="s">
        <v>63</v>
      </c>
      <c r="S291" s="39" t="s">
        <v>63</v>
      </c>
      <c r="T291" s="39" t="s">
        <v>63</v>
      </c>
      <c r="U291" s="40"/>
      <c r="V291" s="54"/>
      <c r="W291" s="55"/>
      <c r="X291" s="56"/>
      <c r="Y291" s="88"/>
      <c r="Z291" s="88"/>
    </row>
    <row r="292" spans="1:26" ht="20.25" customHeight="1">
      <c r="A292" s="42">
        <v>101.04</v>
      </c>
      <c r="B292" s="39" t="s">
        <v>382</v>
      </c>
      <c r="C292" s="40"/>
      <c r="D292" s="42" t="s">
        <v>56</v>
      </c>
      <c r="E292" s="38"/>
      <c r="F292" s="43"/>
      <c r="G292" s="63" t="s">
        <v>2439</v>
      </c>
      <c r="H292" s="58" t="s">
        <v>2440</v>
      </c>
      <c r="I292" s="38"/>
      <c r="J292" s="38"/>
      <c r="K292" s="46"/>
      <c r="L292" s="47"/>
      <c r="M292" s="93">
        <v>2.6041666666666668E-2</v>
      </c>
      <c r="N292" s="93">
        <v>3.3773148148148149E-2</v>
      </c>
      <c r="O292" s="48">
        <f t="shared" si="5"/>
        <v>7.7314814814814815E-3</v>
      </c>
      <c r="P292" s="377">
        <v>43039</v>
      </c>
      <c r="Q292" s="410" t="str">
        <f t="shared" ca="1" si="7"/>
        <v>https://www.youtube.com/embed/nmbYnYYpa6g?start=2250&amp;end=2918&amp;autoplay=1</v>
      </c>
      <c r="R292" s="39" t="s">
        <v>63</v>
      </c>
      <c r="S292" s="39" t="s">
        <v>63</v>
      </c>
      <c r="T292" s="39" t="s">
        <v>63</v>
      </c>
      <c r="U292" s="40"/>
      <c r="V292" s="54"/>
      <c r="W292" s="55"/>
      <c r="X292" s="56"/>
      <c r="Y292" s="88"/>
      <c r="Z292" s="88"/>
    </row>
    <row r="293" spans="1:26" ht="20.25" customHeight="1">
      <c r="A293" s="42">
        <v>101.05</v>
      </c>
      <c r="B293" s="39" t="s">
        <v>382</v>
      </c>
      <c r="C293" s="40"/>
      <c r="D293" s="42" t="s">
        <v>56</v>
      </c>
      <c r="E293" s="38"/>
      <c r="F293" s="43"/>
      <c r="G293" s="63" t="s">
        <v>2441</v>
      </c>
      <c r="H293" s="58" t="s">
        <v>2442</v>
      </c>
      <c r="I293" s="38"/>
      <c r="J293" s="38"/>
      <c r="K293" s="46"/>
      <c r="L293" s="47"/>
      <c r="M293" s="93">
        <v>3.3773148148148149E-2</v>
      </c>
      <c r="N293" s="93">
        <v>3.7060185185185182E-2</v>
      </c>
      <c r="O293" s="48">
        <f t="shared" si="5"/>
        <v>3.2870370370370328E-3</v>
      </c>
      <c r="P293" s="377">
        <v>43039</v>
      </c>
      <c r="Q293" s="410" t="str">
        <f t="shared" ca="1" si="7"/>
        <v>https://www.youtube.com/embed/nmbYnYYpa6g?start=2918&amp;end=3202&amp;autoplay=1</v>
      </c>
      <c r="R293" s="39" t="s">
        <v>63</v>
      </c>
      <c r="S293" s="39" t="s">
        <v>63</v>
      </c>
      <c r="T293" s="39" t="s">
        <v>63</v>
      </c>
      <c r="U293" s="40"/>
      <c r="V293" s="54"/>
      <c r="W293" s="55"/>
      <c r="X293" s="56"/>
      <c r="Y293" s="88"/>
      <c r="Z293" s="88"/>
    </row>
    <row r="294" spans="1:26" ht="20.25" customHeight="1">
      <c r="A294" s="42">
        <v>101.06</v>
      </c>
      <c r="B294" s="39" t="s">
        <v>382</v>
      </c>
      <c r="C294" s="40"/>
      <c r="D294" s="42" t="s">
        <v>56</v>
      </c>
      <c r="E294" s="38"/>
      <c r="F294" s="43"/>
      <c r="G294" s="63" t="s">
        <v>2445</v>
      </c>
      <c r="H294" s="58" t="s">
        <v>2446</v>
      </c>
      <c r="I294" s="38"/>
      <c r="J294" s="38"/>
      <c r="K294" s="46"/>
      <c r="L294" s="47"/>
      <c r="M294" s="93">
        <v>3.7499999999999999E-2</v>
      </c>
      <c r="N294" s="93">
        <v>3.9930555555555552E-2</v>
      </c>
      <c r="O294" s="48">
        <f t="shared" si="5"/>
        <v>2.4305555555555539E-3</v>
      </c>
      <c r="P294" s="377">
        <v>43039</v>
      </c>
      <c r="Q294" s="410" t="str">
        <f t="shared" ca="1" si="7"/>
        <v>https://www.youtube.com/embed/nmbYnYYpa6g?start=3240&amp;end=3450&amp;autoplay=1</v>
      </c>
      <c r="R294" s="39" t="s">
        <v>63</v>
      </c>
      <c r="S294" s="39" t="s">
        <v>63</v>
      </c>
      <c r="T294" s="39" t="s">
        <v>63</v>
      </c>
      <c r="U294" s="40"/>
      <c r="V294" s="54"/>
      <c r="W294" s="55"/>
      <c r="X294" s="56"/>
      <c r="Y294" s="88"/>
      <c r="Z294" s="88"/>
    </row>
    <row r="295" spans="1:26" ht="20.25" customHeight="1">
      <c r="A295" s="42">
        <v>101.07</v>
      </c>
      <c r="B295" s="39" t="s">
        <v>382</v>
      </c>
      <c r="C295" s="40"/>
      <c r="D295" s="42" t="s">
        <v>56</v>
      </c>
      <c r="E295" s="38"/>
      <c r="F295" s="43"/>
      <c r="G295" s="63" t="s">
        <v>2449</v>
      </c>
      <c r="H295" s="58"/>
      <c r="I295" s="38"/>
      <c r="J295" s="38"/>
      <c r="K295" s="46"/>
      <c r="L295" s="47"/>
      <c r="M295" s="93">
        <v>4.0740740740740744E-2</v>
      </c>
      <c r="N295" s="93">
        <v>4.1863425925925929E-2</v>
      </c>
      <c r="O295" s="48">
        <f t="shared" si="5"/>
        <v>1.1226851851851849E-3</v>
      </c>
      <c r="P295" s="377">
        <v>43039</v>
      </c>
      <c r="Q295" s="410" t="str">
        <f t="shared" ca="1" si="7"/>
        <v>https://www.youtube.com/embed/nmbYnYYpa6g?start=3520&amp;end=3617&amp;autoplay=1</v>
      </c>
      <c r="R295" s="39" t="s">
        <v>63</v>
      </c>
      <c r="S295" s="39" t="s">
        <v>63</v>
      </c>
      <c r="T295" s="39" t="s">
        <v>63</v>
      </c>
      <c r="U295" s="40"/>
      <c r="V295" s="54"/>
      <c r="W295" s="55"/>
      <c r="X295" s="56"/>
      <c r="Y295" s="88"/>
      <c r="Z295" s="88"/>
    </row>
    <row r="296" spans="1:26" ht="20.25" customHeight="1">
      <c r="A296" s="42">
        <v>101.08</v>
      </c>
      <c r="B296" s="39" t="s">
        <v>382</v>
      </c>
      <c r="C296" s="40"/>
      <c r="D296" s="42" t="s">
        <v>56</v>
      </c>
      <c r="E296" s="38"/>
      <c r="F296" s="43"/>
      <c r="G296" s="63" t="s">
        <v>2452</v>
      </c>
      <c r="H296" s="58"/>
      <c r="I296" s="38"/>
      <c r="J296" s="38"/>
      <c r="K296" s="46"/>
      <c r="L296" s="47"/>
      <c r="M296" s="93">
        <v>4.1863425925925929E-2</v>
      </c>
      <c r="N296" s="93">
        <v>4.5868055555555558E-2</v>
      </c>
      <c r="O296" s="48">
        <f t="shared" si="5"/>
        <v>4.0046296296296288E-3</v>
      </c>
      <c r="P296" s="377">
        <v>43039</v>
      </c>
      <c r="Q296" s="410" t="str">
        <f t="shared" ca="1" si="7"/>
        <v>https://www.youtube.com/embed/nmbYnYYpa6g?start=3617&amp;end=3963&amp;autoplay=1</v>
      </c>
      <c r="R296" s="39" t="s">
        <v>63</v>
      </c>
      <c r="S296" s="39" t="s">
        <v>63</v>
      </c>
      <c r="T296" s="39" t="s">
        <v>63</v>
      </c>
      <c r="U296" s="40"/>
      <c r="V296" s="54"/>
      <c r="W296" s="55"/>
      <c r="X296" s="56"/>
      <c r="Y296" s="88"/>
      <c r="Z296" s="88"/>
    </row>
    <row r="297" spans="1:26" ht="20.25" customHeight="1">
      <c r="A297" s="38">
        <v>102</v>
      </c>
      <c r="B297" s="42" t="s">
        <v>55</v>
      </c>
      <c r="C297" s="38"/>
      <c r="D297" s="42" t="s">
        <v>56</v>
      </c>
      <c r="E297" s="38" t="s">
        <v>363</v>
      </c>
      <c r="F297" s="43" t="s">
        <v>364</v>
      </c>
      <c r="G297" s="63" t="s">
        <v>365</v>
      </c>
      <c r="H297" s="58" t="s">
        <v>366</v>
      </c>
      <c r="I297" s="38"/>
      <c r="J297" s="38">
        <f>1.3*1000</f>
        <v>1300</v>
      </c>
      <c r="K297" s="46">
        <v>1.1990740740740739E-2</v>
      </c>
      <c r="L297" s="47" t="s">
        <v>286</v>
      </c>
      <c r="M297" s="307"/>
      <c r="N297" s="307"/>
      <c r="O297" s="307">
        <f t="shared" si="5"/>
        <v>0</v>
      </c>
      <c r="P297" s="66">
        <v>43007</v>
      </c>
      <c r="Q297" s="410" t="str">
        <f t="shared" ca="1" si="7"/>
        <v>https://www.youtube.com/watch?v=NPNImjeRrF8</v>
      </c>
      <c r="R297" s="67" t="s">
        <v>63</v>
      </c>
      <c r="S297" s="67" t="s">
        <v>63</v>
      </c>
      <c r="T297" s="67" t="s">
        <v>63</v>
      </c>
      <c r="U297" s="52"/>
      <c r="V297" s="53"/>
      <c r="W297" s="57" t="s">
        <v>64</v>
      </c>
      <c r="X297" s="71"/>
      <c r="Y297" s="42"/>
      <c r="Z297" s="42" t="s">
        <v>368</v>
      </c>
    </row>
    <row r="298" spans="1:26">
      <c r="A298" s="38">
        <v>103</v>
      </c>
      <c r="B298" s="42" t="s">
        <v>55</v>
      </c>
      <c r="C298" s="38"/>
      <c r="D298" s="42" t="s">
        <v>56</v>
      </c>
      <c r="E298" s="38" t="s">
        <v>369</v>
      </c>
      <c r="F298" s="43" t="s">
        <v>370</v>
      </c>
      <c r="G298" s="44"/>
      <c r="H298" s="45"/>
      <c r="I298" s="38"/>
      <c r="J298" s="38">
        <f>7.9*1000</f>
        <v>7900</v>
      </c>
      <c r="K298" s="46">
        <v>9.7002314814814805E-2</v>
      </c>
      <c r="L298" s="47" t="s">
        <v>286</v>
      </c>
      <c r="M298" s="307"/>
      <c r="N298" s="307"/>
      <c r="O298" s="307">
        <f t="shared" si="5"/>
        <v>0</v>
      </c>
      <c r="P298" s="66">
        <v>43007</v>
      </c>
      <c r="Q298" s="410" t="str">
        <f t="shared" ca="1" si="7"/>
        <v>https://www.youtube.com/watch?v=8RSu4ymCgp4</v>
      </c>
      <c r="R298" s="67" t="s">
        <v>63</v>
      </c>
      <c r="S298" s="67" t="s">
        <v>63</v>
      </c>
      <c r="T298" s="67" t="s">
        <v>63</v>
      </c>
      <c r="U298" s="52"/>
      <c r="V298" s="53"/>
      <c r="W298" s="57" t="s">
        <v>64</v>
      </c>
      <c r="X298" s="56"/>
      <c r="Y298" s="38"/>
      <c r="Z298" s="38"/>
    </row>
    <row r="299" spans="1:26">
      <c r="A299" s="42">
        <v>103.01</v>
      </c>
      <c r="B299" s="42" t="s">
        <v>55</v>
      </c>
      <c r="C299" s="38"/>
      <c r="D299" s="42" t="s">
        <v>56</v>
      </c>
      <c r="E299" s="38"/>
      <c r="F299" s="44"/>
      <c r="G299" s="42" t="s">
        <v>374</v>
      </c>
      <c r="H299" s="79" t="s">
        <v>375</v>
      </c>
      <c r="I299" s="38"/>
      <c r="J299" s="38"/>
      <c r="K299" s="46"/>
      <c r="L299" s="47"/>
      <c r="M299" s="307">
        <v>2.8935185185185184E-4</v>
      </c>
      <c r="N299" s="307">
        <v>3.0787037037037037E-3</v>
      </c>
      <c r="O299" s="307">
        <f t="shared" si="5"/>
        <v>2.7893518518518519E-3</v>
      </c>
      <c r="P299" s="66">
        <v>43007</v>
      </c>
      <c r="Q299" s="410" t="str">
        <f t="shared" ca="1" si="7"/>
        <v>https://www.youtube.com/embed/8RSu4ymCgp4?start=25&amp;end=266&amp;autoplay=1</v>
      </c>
      <c r="R299" s="67" t="s">
        <v>63</v>
      </c>
      <c r="S299" s="67" t="s">
        <v>63</v>
      </c>
      <c r="T299" s="67" t="s">
        <v>63</v>
      </c>
      <c r="U299" s="52"/>
      <c r="V299" s="53"/>
      <c r="W299" s="60"/>
      <c r="X299" s="56"/>
      <c r="Y299" s="38"/>
      <c r="Z299" s="38"/>
    </row>
    <row r="300" spans="1:26">
      <c r="A300" s="42">
        <v>103.02</v>
      </c>
      <c r="B300" s="42" t="s">
        <v>55</v>
      </c>
      <c r="C300" s="38"/>
      <c r="D300" s="42" t="s">
        <v>56</v>
      </c>
      <c r="E300" s="38"/>
      <c r="F300" s="44"/>
      <c r="G300" s="42" t="s">
        <v>379</v>
      </c>
      <c r="H300" s="79" t="s">
        <v>2976</v>
      </c>
      <c r="I300" s="38"/>
      <c r="J300" s="38"/>
      <c r="K300" s="46"/>
      <c r="L300" s="47"/>
      <c r="M300" s="307">
        <v>1.5543981481481482E-2</v>
      </c>
      <c r="N300" s="307">
        <v>2.2395833333333334E-2</v>
      </c>
      <c r="O300" s="307">
        <f t="shared" si="5"/>
        <v>6.851851851851852E-3</v>
      </c>
      <c r="P300" s="66">
        <v>43007</v>
      </c>
      <c r="Q300" s="410" t="str">
        <f t="shared" ca="1" si="7"/>
        <v>https://www.youtube.com/embed/8RSu4ymCgp4?start=1343&amp;end=1935&amp;autoplay=1</v>
      </c>
      <c r="R300" s="67" t="s">
        <v>63</v>
      </c>
      <c r="S300" s="67" t="s">
        <v>63</v>
      </c>
      <c r="T300" s="67" t="s">
        <v>63</v>
      </c>
      <c r="U300" s="52"/>
      <c r="V300" s="53"/>
      <c r="W300" s="60"/>
      <c r="X300" s="56"/>
      <c r="Y300" s="38"/>
      <c r="Z300" s="38"/>
    </row>
    <row r="301" spans="1:26">
      <c r="A301" s="42">
        <v>103.03</v>
      </c>
      <c r="B301" s="42" t="s">
        <v>55</v>
      </c>
      <c r="C301" s="38"/>
      <c r="D301" s="42" t="s">
        <v>56</v>
      </c>
      <c r="E301" s="38"/>
      <c r="F301" s="44"/>
      <c r="G301" s="42" t="s">
        <v>383</v>
      </c>
      <c r="H301" s="79" t="s">
        <v>2977</v>
      </c>
      <c r="I301" s="38"/>
      <c r="J301" s="38"/>
      <c r="K301" s="46"/>
      <c r="L301" s="47"/>
      <c r="M301" s="307">
        <v>2.2453703703703705E-2</v>
      </c>
      <c r="N301" s="307">
        <v>2.3206018518518518E-2</v>
      </c>
      <c r="O301" s="307">
        <f t="shared" si="5"/>
        <v>7.523148148148133E-4</v>
      </c>
      <c r="P301" s="66">
        <v>43007</v>
      </c>
      <c r="Q301" s="410" t="str">
        <f t="shared" ca="1" si="7"/>
        <v>https://www.youtube.com/embed/8RSu4ymCgp4?start=1940&amp;end=2005&amp;autoplay=1</v>
      </c>
      <c r="R301" s="67" t="s">
        <v>63</v>
      </c>
      <c r="S301" s="67" t="s">
        <v>63</v>
      </c>
      <c r="T301" s="67" t="s">
        <v>63</v>
      </c>
      <c r="U301" s="52"/>
      <c r="V301" s="53"/>
      <c r="W301" s="60"/>
      <c r="X301" s="56"/>
      <c r="Y301" s="38"/>
      <c r="Z301" s="38"/>
    </row>
    <row r="302" spans="1:26">
      <c r="A302" s="42">
        <v>103.04</v>
      </c>
      <c r="B302" s="42" t="s">
        <v>55</v>
      </c>
      <c r="C302" s="38"/>
      <c r="D302" s="42" t="s">
        <v>56</v>
      </c>
      <c r="E302" s="38"/>
      <c r="F302" s="44"/>
      <c r="G302" s="42" t="s">
        <v>387</v>
      </c>
      <c r="H302" s="79" t="s">
        <v>2978</v>
      </c>
      <c r="I302" s="38"/>
      <c r="J302" s="38"/>
      <c r="K302" s="46"/>
      <c r="L302" s="47"/>
      <c r="M302" s="307">
        <v>2.326388888888889E-2</v>
      </c>
      <c r="N302" s="307">
        <v>2.3958333333333335E-2</v>
      </c>
      <c r="O302" s="307">
        <f t="shared" si="5"/>
        <v>6.9444444444444545E-4</v>
      </c>
      <c r="P302" s="66">
        <v>43007</v>
      </c>
      <c r="Q302" s="410" t="str">
        <f t="shared" ca="1" si="7"/>
        <v>https://www.youtube.com/embed/8RSu4ymCgp4?start=2010&amp;end=2070&amp;autoplay=1</v>
      </c>
      <c r="R302" s="67" t="s">
        <v>63</v>
      </c>
      <c r="S302" s="67" t="s">
        <v>63</v>
      </c>
      <c r="T302" s="67" t="s">
        <v>63</v>
      </c>
      <c r="U302" s="52"/>
      <c r="V302" s="53"/>
      <c r="W302" s="60"/>
      <c r="X302" s="56"/>
      <c r="Y302" s="38"/>
      <c r="Z302" s="38"/>
    </row>
    <row r="303" spans="1:26">
      <c r="A303" s="42">
        <v>103.05</v>
      </c>
      <c r="B303" s="42" t="s">
        <v>55</v>
      </c>
      <c r="C303" s="38"/>
      <c r="D303" s="42" t="s">
        <v>56</v>
      </c>
      <c r="E303" s="38"/>
      <c r="F303" s="44"/>
      <c r="G303" s="42" t="s">
        <v>390</v>
      </c>
      <c r="H303" s="79" t="s">
        <v>2979</v>
      </c>
      <c r="I303" s="38"/>
      <c r="J303" s="38"/>
      <c r="K303" s="46"/>
      <c r="L303" s="47"/>
      <c r="M303" s="307">
        <v>2.4004629629629629E-2</v>
      </c>
      <c r="N303" s="307">
        <v>2.537037037037037E-2</v>
      </c>
      <c r="O303" s="307">
        <f t="shared" si="5"/>
        <v>1.3657407407407403E-3</v>
      </c>
      <c r="P303" s="66">
        <v>43007</v>
      </c>
      <c r="Q303" s="410" t="str">
        <f t="shared" ca="1" si="7"/>
        <v>https://www.youtube.com/embed/8RSu4ymCgp4?start=2074&amp;end=2192&amp;autoplay=1</v>
      </c>
      <c r="R303" s="67" t="s">
        <v>63</v>
      </c>
      <c r="S303" s="67" t="s">
        <v>63</v>
      </c>
      <c r="T303" s="67" t="s">
        <v>63</v>
      </c>
      <c r="U303" s="52"/>
      <c r="V303" s="53"/>
      <c r="W303" s="60"/>
      <c r="X303" s="56"/>
      <c r="Y303" s="38"/>
      <c r="Z303" s="38"/>
    </row>
    <row r="304" spans="1:26">
      <c r="A304" s="42">
        <v>103.06</v>
      </c>
      <c r="B304" s="42" t="s">
        <v>55</v>
      </c>
      <c r="C304" s="38"/>
      <c r="D304" s="42" t="s">
        <v>56</v>
      </c>
      <c r="E304" s="38"/>
      <c r="F304" s="44"/>
      <c r="G304" s="42" t="s">
        <v>395</v>
      </c>
      <c r="H304" s="79" t="s">
        <v>2980</v>
      </c>
      <c r="I304" s="38"/>
      <c r="J304" s="38"/>
      <c r="K304" s="46"/>
      <c r="L304" s="47"/>
      <c r="M304" s="307">
        <v>2.5509259259259259E-2</v>
      </c>
      <c r="N304" s="307">
        <v>2.6967592592592592E-2</v>
      </c>
      <c r="O304" s="307">
        <f t="shared" si="5"/>
        <v>1.4583333333333323E-3</v>
      </c>
      <c r="P304" s="66">
        <v>43007</v>
      </c>
      <c r="Q304" s="410" t="str">
        <f t="shared" ca="1" si="7"/>
        <v>https://www.youtube.com/embed/8RSu4ymCgp4?start=2204&amp;end=2330&amp;autoplay=1</v>
      </c>
      <c r="R304" s="67" t="s">
        <v>63</v>
      </c>
      <c r="S304" s="67" t="s">
        <v>63</v>
      </c>
      <c r="T304" s="67" t="s">
        <v>63</v>
      </c>
      <c r="U304" s="52"/>
      <c r="V304" s="53"/>
      <c r="W304" s="60"/>
      <c r="X304" s="56"/>
      <c r="Y304" s="38"/>
      <c r="Z304" s="38"/>
    </row>
    <row r="305" spans="1:26">
      <c r="A305" s="42">
        <v>103.07</v>
      </c>
      <c r="B305" s="42" t="s">
        <v>55</v>
      </c>
      <c r="C305" s="38"/>
      <c r="D305" s="42" t="s">
        <v>56</v>
      </c>
      <c r="E305" s="38"/>
      <c r="F305" s="44"/>
      <c r="G305" s="42" t="s">
        <v>402</v>
      </c>
      <c r="H305" s="79" t="s">
        <v>403</v>
      </c>
      <c r="I305" s="38"/>
      <c r="J305" s="38"/>
      <c r="K305" s="46"/>
      <c r="L305" s="47"/>
      <c r="M305" s="307">
        <v>2.7025462962962963E-2</v>
      </c>
      <c r="N305" s="307">
        <v>2.9224537037037038E-2</v>
      </c>
      <c r="O305" s="307">
        <f t="shared" si="5"/>
        <v>2.1990740740740755E-3</v>
      </c>
      <c r="P305" s="66">
        <v>43007</v>
      </c>
      <c r="Q305" s="410" t="str">
        <f t="shared" ca="1" si="7"/>
        <v>https://www.youtube.com/embed/8RSu4ymCgp4?start=2335&amp;end=2525&amp;autoplay=1</v>
      </c>
      <c r="R305" s="67" t="s">
        <v>63</v>
      </c>
      <c r="S305" s="67" t="s">
        <v>63</v>
      </c>
      <c r="T305" s="67" t="s">
        <v>63</v>
      </c>
      <c r="U305" s="52"/>
      <c r="V305" s="53"/>
      <c r="W305" s="60"/>
      <c r="X305" s="56"/>
      <c r="Y305" s="38"/>
      <c r="Z305" s="38"/>
    </row>
    <row r="306" spans="1:26">
      <c r="A306" s="42">
        <v>103.08</v>
      </c>
      <c r="B306" s="42" t="s">
        <v>55</v>
      </c>
      <c r="C306" s="38"/>
      <c r="D306" s="42" t="s">
        <v>56</v>
      </c>
      <c r="E306" s="38"/>
      <c r="F306" s="44"/>
      <c r="G306" s="42" t="s">
        <v>405</v>
      </c>
      <c r="H306" s="79" t="s">
        <v>406</v>
      </c>
      <c r="I306" s="38"/>
      <c r="J306" s="38"/>
      <c r="K306" s="46"/>
      <c r="L306" s="47"/>
      <c r="M306" s="307">
        <v>2.9259259259259259E-2</v>
      </c>
      <c r="N306" s="307">
        <v>2.9965277777777778E-2</v>
      </c>
      <c r="O306" s="307">
        <f t="shared" si="5"/>
        <v>7.0601851851851902E-4</v>
      </c>
      <c r="P306" s="66">
        <v>43007</v>
      </c>
      <c r="Q306" s="410" t="str">
        <f t="shared" ca="1" si="7"/>
        <v>https://www.youtube.com/embed/8RSu4ymCgp4?start=2528&amp;end=2589&amp;autoplay=1</v>
      </c>
      <c r="R306" s="67" t="s">
        <v>63</v>
      </c>
      <c r="S306" s="67" t="s">
        <v>63</v>
      </c>
      <c r="T306" s="67" t="s">
        <v>63</v>
      </c>
      <c r="U306" s="52"/>
      <c r="V306" s="53"/>
      <c r="W306" s="60"/>
      <c r="X306" s="56"/>
      <c r="Y306" s="38"/>
      <c r="Z306" s="38"/>
    </row>
    <row r="307" spans="1:26">
      <c r="A307" s="42">
        <v>103.09</v>
      </c>
      <c r="B307" s="42" t="s">
        <v>55</v>
      </c>
      <c r="C307" s="38"/>
      <c r="D307" s="42" t="s">
        <v>56</v>
      </c>
      <c r="E307" s="38"/>
      <c r="F307" s="44"/>
      <c r="G307" s="42" t="s">
        <v>410</v>
      </c>
      <c r="H307" s="79" t="s">
        <v>2981</v>
      </c>
      <c r="I307" s="38"/>
      <c r="J307" s="38"/>
      <c r="K307" s="46"/>
      <c r="L307" s="47"/>
      <c r="M307" s="307">
        <v>3.0671296296296297E-2</v>
      </c>
      <c r="N307" s="307">
        <v>3.2060185185185185E-2</v>
      </c>
      <c r="O307" s="307">
        <f t="shared" si="5"/>
        <v>1.3888888888888874E-3</v>
      </c>
      <c r="P307" s="66">
        <v>43007</v>
      </c>
      <c r="Q307" s="410" t="str">
        <f t="shared" ca="1" si="7"/>
        <v>https://www.youtube.com/embed/8RSu4ymCgp4?start=2650&amp;end=2770&amp;autoplay=1</v>
      </c>
      <c r="R307" s="67" t="s">
        <v>63</v>
      </c>
      <c r="S307" s="67" t="s">
        <v>63</v>
      </c>
      <c r="T307" s="67" t="s">
        <v>63</v>
      </c>
      <c r="U307" s="52"/>
      <c r="V307" s="53"/>
      <c r="W307" s="60"/>
      <c r="X307" s="56"/>
      <c r="Y307" s="38"/>
      <c r="Z307" s="38"/>
    </row>
    <row r="308" spans="1:26">
      <c r="A308" s="38">
        <v>103</v>
      </c>
      <c r="B308" s="39" t="s">
        <v>54</v>
      </c>
      <c r="C308" s="40"/>
      <c r="D308" s="42" t="s">
        <v>56</v>
      </c>
      <c r="E308" s="38" t="s">
        <v>369</v>
      </c>
      <c r="F308" s="43" t="s">
        <v>370</v>
      </c>
      <c r="G308" s="44"/>
      <c r="H308" s="45"/>
      <c r="I308" s="38"/>
      <c r="J308" s="38">
        <f>7.9*1000</f>
        <v>7900</v>
      </c>
      <c r="K308" s="46">
        <v>9.7002314814814805E-2</v>
      </c>
      <c r="L308" s="47" t="s">
        <v>286</v>
      </c>
      <c r="M308" s="48"/>
      <c r="N308" s="48"/>
      <c r="O308" s="48">
        <f t="shared" si="5"/>
        <v>0</v>
      </c>
      <c r="P308" s="65">
        <v>43038</v>
      </c>
      <c r="Q308" s="410" t="str">
        <f t="shared" ca="1" si="7"/>
        <v>https://www.youtube.com/watch?v=8RSu4ymCgp4</v>
      </c>
      <c r="R308" s="51"/>
      <c r="S308" s="51"/>
      <c r="T308" s="51"/>
      <c r="U308" s="40"/>
      <c r="V308" s="54"/>
      <c r="W308" s="55"/>
      <c r="X308" s="56"/>
      <c r="Y308" s="88"/>
      <c r="Z308" s="88"/>
    </row>
    <row r="309" spans="1:26">
      <c r="A309" s="42">
        <v>103.01</v>
      </c>
      <c r="B309" s="39" t="s">
        <v>54</v>
      </c>
      <c r="C309" s="40"/>
      <c r="D309" s="85" t="s">
        <v>56</v>
      </c>
      <c r="E309" s="38"/>
      <c r="F309" s="43"/>
      <c r="G309" s="63" t="s">
        <v>557</v>
      </c>
      <c r="H309" s="45"/>
      <c r="I309" s="38"/>
      <c r="J309" s="38"/>
      <c r="K309" s="46"/>
      <c r="L309" s="47"/>
      <c r="M309" s="64">
        <v>1.8518518518518518E-4</v>
      </c>
      <c r="N309" s="64">
        <v>3.0671296296296297E-3</v>
      </c>
      <c r="O309" s="46">
        <f t="shared" si="5"/>
        <v>2.8819444444444444E-3</v>
      </c>
      <c r="P309" s="65">
        <v>43038</v>
      </c>
      <c r="Q309" s="410" t="str">
        <f t="shared" ca="1" si="7"/>
        <v>https://www.youtube.com/embed/8RSu4ymCgp4?start=16&amp;end=265&amp;autoplay=1</v>
      </c>
      <c r="R309" s="67" t="s">
        <v>63</v>
      </c>
      <c r="S309" s="112" t="s">
        <v>561</v>
      </c>
      <c r="T309" s="112" t="s">
        <v>63</v>
      </c>
      <c r="U309" s="52"/>
      <c r="V309" s="53"/>
      <c r="W309" s="57" t="s">
        <v>64</v>
      </c>
      <c r="X309" s="56"/>
      <c r="Y309" s="38"/>
      <c r="Z309" s="42" t="s">
        <v>562</v>
      </c>
    </row>
    <row r="310" spans="1:26">
      <c r="A310" s="42">
        <v>103.02</v>
      </c>
      <c r="B310" s="39" t="s">
        <v>54</v>
      </c>
      <c r="C310" s="40"/>
      <c r="D310" s="85" t="s">
        <v>56</v>
      </c>
      <c r="E310" s="38"/>
      <c r="F310" s="43"/>
      <c r="G310" s="63" t="s">
        <v>565</v>
      </c>
      <c r="H310" s="45"/>
      <c r="I310" s="38"/>
      <c r="J310" s="38"/>
      <c r="K310" s="46"/>
      <c r="L310" s="47"/>
      <c r="M310" s="64">
        <v>3.1481481481481482E-3</v>
      </c>
      <c r="N310" s="64">
        <v>5.5324074074074078E-3</v>
      </c>
      <c r="O310" s="46">
        <f t="shared" si="5"/>
        <v>2.3842592592592596E-3</v>
      </c>
      <c r="P310" s="65">
        <v>43038</v>
      </c>
      <c r="Q310" s="410" t="str">
        <f t="shared" ca="1" si="7"/>
        <v>https://www.youtube.com/embed/8RSu4ymCgp4?start=272&amp;end=478&amp;autoplay=1</v>
      </c>
      <c r="R310" s="67" t="s">
        <v>63</v>
      </c>
      <c r="S310" s="112" t="s">
        <v>561</v>
      </c>
      <c r="T310" s="112" t="s">
        <v>63</v>
      </c>
      <c r="U310" s="52"/>
      <c r="V310" s="53"/>
      <c r="W310" s="57" t="s">
        <v>64</v>
      </c>
      <c r="X310" s="56"/>
      <c r="Y310" s="38"/>
      <c r="Z310" s="42" t="s">
        <v>562</v>
      </c>
    </row>
    <row r="311" spans="1:26">
      <c r="A311" s="42">
        <v>103.03</v>
      </c>
      <c r="B311" s="39" t="s">
        <v>54</v>
      </c>
      <c r="C311" s="40"/>
      <c r="D311" s="85" t="s">
        <v>56</v>
      </c>
      <c r="E311" s="38"/>
      <c r="F311" s="43"/>
      <c r="G311" s="63" t="s">
        <v>566</v>
      </c>
      <c r="H311" s="45"/>
      <c r="I311" s="38"/>
      <c r="J311" s="38"/>
      <c r="K311" s="46"/>
      <c r="L311" s="47"/>
      <c r="M311" s="64">
        <v>9.9537037037037042E-3</v>
      </c>
      <c r="N311" s="64">
        <v>1.443287037037037E-2</v>
      </c>
      <c r="O311" s="46">
        <f t="shared" si="5"/>
        <v>4.479166666666666E-3</v>
      </c>
      <c r="P311" s="65">
        <v>43038</v>
      </c>
      <c r="Q311" s="410" t="str">
        <f t="shared" ca="1" si="7"/>
        <v>https://www.youtube.com/embed/8RSu4ymCgp4?start=860&amp;end=1247&amp;autoplay=1</v>
      </c>
      <c r="R311" s="67" t="s">
        <v>63</v>
      </c>
      <c r="S311" s="112" t="s">
        <v>561</v>
      </c>
      <c r="T311" s="112" t="s">
        <v>63</v>
      </c>
      <c r="U311" s="52"/>
      <c r="V311" s="53"/>
      <c r="W311" s="57" t="s">
        <v>64</v>
      </c>
      <c r="X311" s="56"/>
      <c r="Y311" s="38"/>
      <c r="Z311" s="42" t="s">
        <v>562</v>
      </c>
    </row>
    <row r="312" spans="1:26">
      <c r="A312" s="42">
        <v>103.04</v>
      </c>
      <c r="B312" s="39" t="s">
        <v>54</v>
      </c>
      <c r="C312" s="40"/>
      <c r="D312" s="85" t="s">
        <v>56</v>
      </c>
      <c r="E312" s="38"/>
      <c r="F312" s="43"/>
      <c r="G312" s="63" t="s">
        <v>571</v>
      </c>
      <c r="H312" s="45"/>
      <c r="I312" s="38"/>
      <c r="J312" s="38"/>
      <c r="K312" s="46"/>
      <c r="L312" s="47"/>
      <c r="M312" s="64">
        <v>1.4444444444444444E-2</v>
      </c>
      <c r="N312" s="64">
        <v>1.6851851851851851E-2</v>
      </c>
      <c r="O312" s="46">
        <f t="shared" si="5"/>
        <v>2.4074074074074067E-3</v>
      </c>
      <c r="P312" s="65">
        <v>43038</v>
      </c>
      <c r="Q312" s="410" t="str">
        <f t="shared" ca="1" si="7"/>
        <v>https://www.youtube.com/embed/8RSu4ymCgp4?start=1248&amp;end=1456&amp;autoplay=1</v>
      </c>
      <c r="R312" s="67" t="s">
        <v>63</v>
      </c>
      <c r="S312" s="112" t="s">
        <v>561</v>
      </c>
      <c r="T312" s="112" t="s">
        <v>63</v>
      </c>
      <c r="U312" s="52"/>
      <c r="V312" s="53"/>
      <c r="W312" s="57" t="s">
        <v>64</v>
      </c>
      <c r="X312" s="56"/>
      <c r="Y312" s="38"/>
      <c r="Z312" s="42" t="s">
        <v>562</v>
      </c>
    </row>
    <row r="313" spans="1:26">
      <c r="A313" s="42">
        <v>103.05</v>
      </c>
      <c r="B313" s="39" t="s">
        <v>54</v>
      </c>
      <c r="C313" s="40"/>
      <c r="D313" s="85" t="s">
        <v>56</v>
      </c>
      <c r="E313" s="38"/>
      <c r="F313" s="43"/>
      <c r="G313" s="63" t="s">
        <v>574</v>
      </c>
      <c r="H313" s="45"/>
      <c r="I313" s="38"/>
      <c r="J313" s="38"/>
      <c r="K313" s="46"/>
      <c r="L313" s="47"/>
      <c r="M313" s="64">
        <v>1.6875000000000001E-2</v>
      </c>
      <c r="N313" s="64">
        <v>1.8599537037037036E-2</v>
      </c>
      <c r="O313" s="46">
        <f t="shared" si="5"/>
        <v>1.7245370370370348E-3</v>
      </c>
      <c r="P313" s="65">
        <v>43038</v>
      </c>
      <c r="Q313" s="410" t="str">
        <f t="shared" ca="1" si="7"/>
        <v>https://www.youtube.com/embed/8RSu4ymCgp4?start=1458&amp;end=1607&amp;autoplay=1</v>
      </c>
      <c r="R313" s="67" t="s">
        <v>63</v>
      </c>
      <c r="S313" s="112" t="s">
        <v>561</v>
      </c>
      <c r="T313" s="112" t="s">
        <v>63</v>
      </c>
      <c r="U313" s="52"/>
      <c r="V313" s="53"/>
      <c r="W313" s="57" t="s">
        <v>64</v>
      </c>
      <c r="X313" s="56"/>
      <c r="Y313" s="38"/>
      <c r="Z313" s="42" t="s">
        <v>562</v>
      </c>
    </row>
    <row r="314" spans="1:26">
      <c r="A314" s="42">
        <v>103.06</v>
      </c>
      <c r="B314" s="39" t="s">
        <v>54</v>
      </c>
      <c r="C314" s="40"/>
      <c r="D314" s="85" t="s">
        <v>56</v>
      </c>
      <c r="E314" s="38"/>
      <c r="F314" s="43"/>
      <c r="G314" s="63" t="s">
        <v>579</v>
      </c>
      <c r="H314" s="45"/>
      <c r="I314" s="38"/>
      <c r="J314" s="38"/>
      <c r="K314" s="46"/>
      <c r="L314" s="47"/>
      <c r="M314" s="64">
        <v>1.861111111111111E-2</v>
      </c>
      <c r="N314" s="64">
        <v>2.2395833333333334E-2</v>
      </c>
      <c r="O314" s="46">
        <f t="shared" si="5"/>
        <v>3.784722222222224E-3</v>
      </c>
      <c r="P314" s="65">
        <v>43038</v>
      </c>
      <c r="Q314" s="410" t="str">
        <f t="shared" ca="1" si="7"/>
        <v>https://www.youtube.com/embed/8RSu4ymCgp4?start=1608&amp;end=1935&amp;autoplay=1</v>
      </c>
      <c r="R314" s="67" t="s">
        <v>63</v>
      </c>
      <c r="S314" s="112" t="s">
        <v>561</v>
      </c>
      <c r="T314" s="112" t="s">
        <v>63</v>
      </c>
      <c r="U314" s="52"/>
      <c r="V314" s="53"/>
      <c r="W314" s="57" t="s">
        <v>64</v>
      </c>
      <c r="X314" s="56"/>
      <c r="Y314" s="38"/>
      <c r="Z314" s="42" t="s">
        <v>562</v>
      </c>
    </row>
    <row r="315" spans="1:26">
      <c r="A315" s="42">
        <v>103.07</v>
      </c>
      <c r="B315" s="39" t="s">
        <v>54</v>
      </c>
      <c r="C315" s="40"/>
      <c r="D315" s="85" t="s">
        <v>56</v>
      </c>
      <c r="E315" s="38"/>
      <c r="F315" s="43"/>
      <c r="G315" s="63" t="s">
        <v>581</v>
      </c>
      <c r="H315" s="45"/>
      <c r="I315" s="38"/>
      <c r="J315" s="38"/>
      <c r="K315" s="46"/>
      <c r="L315" s="47"/>
      <c r="M315" s="64">
        <v>2.2418981481481481E-2</v>
      </c>
      <c r="N315" s="64">
        <v>2.3194444444444445E-2</v>
      </c>
      <c r="O315" s="46">
        <f t="shared" si="5"/>
        <v>7.7546296296296391E-4</v>
      </c>
      <c r="P315" s="65">
        <v>43038</v>
      </c>
      <c r="Q315" s="410" t="str">
        <f t="shared" ca="1" si="7"/>
        <v>https://www.youtube.com/embed/8RSu4ymCgp4?start=1937&amp;end=2004&amp;autoplay=1</v>
      </c>
      <c r="R315" s="67" t="s">
        <v>63</v>
      </c>
      <c r="S315" s="112" t="s">
        <v>561</v>
      </c>
      <c r="T315" s="112" t="s">
        <v>63</v>
      </c>
      <c r="U315" s="52"/>
      <c r="V315" s="53"/>
      <c r="W315" s="57" t="s">
        <v>64</v>
      </c>
      <c r="X315" s="56"/>
      <c r="Y315" s="38"/>
      <c r="Z315" s="42" t="s">
        <v>562</v>
      </c>
    </row>
    <row r="316" spans="1:26">
      <c r="A316" s="42">
        <v>103.08</v>
      </c>
      <c r="B316" s="39" t="s">
        <v>54</v>
      </c>
      <c r="C316" s="40"/>
      <c r="D316" s="85" t="s">
        <v>56</v>
      </c>
      <c r="E316" s="38"/>
      <c r="F316" s="43"/>
      <c r="G316" s="63" t="s">
        <v>584</v>
      </c>
      <c r="H316" s="45"/>
      <c r="I316" s="38"/>
      <c r="J316" s="38"/>
      <c r="K316" s="46"/>
      <c r="L316" s="47"/>
      <c r="M316" s="64">
        <v>2.3206018518518518E-2</v>
      </c>
      <c r="N316" s="64">
        <v>2.3993055555555556E-2</v>
      </c>
      <c r="O316" s="46">
        <f t="shared" si="5"/>
        <v>7.8703703703703748E-4</v>
      </c>
      <c r="P316" s="65">
        <v>43038</v>
      </c>
      <c r="Q316" s="410" t="str">
        <f t="shared" ca="1" si="7"/>
        <v>https://www.youtube.com/embed/8RSu4ymCgp4?start=2005&amp;end=2073&amp;autoplay=1</v>
      </c>
      <c r="R316" s="67" t="s">
        <v>63</v>
      </c>
      <c r="S316" s="112" t="s">
        <v>561</v>
      </c>
      <c r="T316" s="112" t="s">
        <v>63</v>
      </c>
      <c r="U316" s="52"/>
      <c r="V316" s="53"/>
      <c r="W316" s="57" t="s">
        <v>64</v>
      </c>
      <c r="X316" s="56"/>
      <c r="Y316" s="38"/>
      <c r="Z316" s="42" t="s">
        <v>562</v>
      </c>
    </row>
    <row r="317" spans="1:26">
      <c r="A317" s="42">
        <v>103.09</v>
      </c>
      <c r="B317" s="39" t="s">
        <v>54</v>
      </c>
      <c r="C317" s="40"/>
      <c r="D317" s="85" t="s">
        <v>56</v>
      </c>
      <c r="E317" s="38"/>
      <c r="F317" s="43"/>
      <c r="G317" s="63" t="s">
        <v>586</v>
      </c>
      <c r="H317" s="45"/>
      <c r="I317" s="38"/>
      <c r="J317" s="38"/>
      <c r="K317" s="46"/>
      <c r="L317" s="47"/>
      <c r="M317" s="64">
        <v>2.4016203703703703E-2</v>
      </c>
      <c r="N317" s="64">
        <v>2.5416666666666667E-2</v>
      </c>
      <c r="O317" s="46">
        <f t="shared" si="5"/>
        <v>1.4004629629629645E-3</v>
      </c>
      <c r="P317" s="65">
        <v>43038</v>
      </c>
      <c r="Q317" s="410" t="str">
        <f t="shared" ca="1" si="7"/>
        <v>https://www.youtube.com/embed/8RSu4ymCgp4?start=2075&amp;end=2196&amp;autoplay=1</v>
      </c>
      <c r="R317" s="67" t="s">
        <v>63</v>
      </c>
      <c r="S317" s="112" t="s">
        <v>561</v>
      </c>
      <c r="T317" s="112" t="s">
        <v>63</v>
      </c>
      <c r="U317" s="52"/>
      <c r="V317" s="53"/>
      <c r="W317" s="57" t="s">
        <v>64</v>
      </c>
      <c r="X317" s="56"/>
      <c r="Y317" s="38"/>
      <c r="Z317" s="42" t="s">
        <v>562</v>
      </c>
    </row>
    <row r="318" spans="1:26">
      <c r="A318" s="85">
        <v>103.1</v>
      </c>
      <c r="B318" s="39" t="s">
        <v>54</v>
      </c>
      <c r="C318" s="40"/>
      <c r="D318" s="85" t="s">
        <v>56</v>
      </c>
      <c r="E318" s="38"/>
      <c r="F318" s="43"/>
      <c r="G318" s="63" t="s">
        <v>588</v>
      </c>
      <c r="H318" s="45"/>
      <c r="I318" s="38"/>
      <c r="J318" s="38"/>
      <c r="K318" s="46"/>
      <c r="L318" s="47"/>
      <c r="M318" s="64">
        <v>2.5428240740740741E-2</v>
      </c>
      <c r="N318" s="64">
        <v>2.7013888888888889E-2</v>
      </c>
      <c r="O318" s="46">
        <f t="shared" si="5"/>
        <v>1.5856481481481485E-3</v>
      </c>
      <c r="P318" s="65">
        <v>43038</v>
      </c>
      <c r="Q318" s="410" t="str">
        <f t="shared" ca="1" si="7"/>
        <v>https://www.youtube.com/embed/8RSu4ymCgp4?start=2197&amp;end=2334&amp;autoplay=1</v>
      </c>
      <c r="R318" s="67" t="s">
        <v>63</v>
      </c>
      <c r="S318" s="112" t="s">
        <v>561</v>
      </c>
      <c r="T318" s="112" t="s">
        <v>63</v>
      </c>
      <c r="U318" s="52"/>
      <c r="V318" s="53"/>
      <c r="W318" s="57" t="s">
        <v>64</v>
      </c>
      <c r="X318" s="56"/>
      <c r="Y318" s="38"/>
      <c r="Z318" s="42" t="s">
        <v>562</v>
      </c>
    </row>
    <row r="319" spans="1:26">
      <c r="A319" s="85">
        <v>103.11</v>
      </c>
      <c r="B319" s="39" t="s">
        <v>54</v>
      </c>
      <c r="C319" s="40"/>
      <c r="D319" s="85" t="s">
        <v>56</v>
      </c>
      <c r="E319" s="38"/>
      <c r="F319" s="43"/>
      <c r="G319" s="42" t="s">
        <v>592</v>
      </c>
      <c r="H319" s="45"/>
      <c r="I319" s="38"/>
      <c r="J319" s="38"/>
      <c r="K319" s="46"/>
      <c r="L319" s="47"/>
      <c r="M319" s="64">
        <v>2.7025462962962963E-2</v>
      </c>
      <c r="N319" s="64">
        <v>3.0532407407407407E-2</v>
      </c>
      <c r="O319" s="46">
        <f t="shared" si="5"/>
        <v>3.5069444444444445E-3</v>
      </c>
      <c r="P319" s="65">
        <v>43038</v>
      </c>
      <c r="Q319" s="410" t="str">
        <f t="shared" ca="1" si="7"/>
        <v>https://www.youtube.com/embed/8RSu4ymCgp4?start=2335&amp;end=2638&amp;autoplay=1</v>
      </c>
      <c r="R319" s="67" t="s">
        <v>63</v>
      </c>
      <c r="S319" s="112" t="s">
        <v>561</v>
      </c>
      <c r="T319" s="112" t="s">
        <v>63</v>
      </c>
      <c r="U319" s="52"/>
      <c r="V319" s="53"/>
      <c r="W319" s="57" t="s">
        <v>64</v>
      </c>
      <c r="X319" s="56"/>
      <c r="Y319" s="38"/>
      <c r="Z319" s="42" t="s">
        <v>562</v>
      </c>
    </row>
    <row r="320" spans="1:26">
      <c r="A320" s="85">
        <v>103.12</v>
      </c>
      <c r="B320" s="39" t="s">
        <v>54</v>
      </c>
      <c r="C320" s="40"/>
      <c r="D320" s="85" t="s">
        <v>56</v>
      </c>
      <c r="E320" s="38"/>
      <c r="F320" s="38"/>
      <c r="G320" s="42" t="s">
        <v>595</v>
      </c>
      <c r="H320" s="14"/>
      <c r="I320" s="38"/>
      <c r="J320" s="38"/>
      <c r="K320" s="46"/>
      <c r="L320" s="47"/>
      <c r="M320" s="64">
        <v>3.0555555555555555E-2</v>
      </c>
      <c r="N320" s="64">
        <v>3.7187499999999998E-2</v>
      </c>
      <c r="O320" s="46">
        <f t="shared" si="5"/>
        <v>6.6319444444444438E-3</v>
      </c>
      <c r="P320" s="65">
        <v>43038</v>
      </c>
      <c r="Q320" s="410" t="str">
        <f t="shared" ca="1" si="7"/>
        <v>https://www.youtube.com/embed/8RSu4ymCgp4?start=2640&amp;end=3213&amp;autoplay=1</v>
      </c>
      <c r="R320" s="67" t="s">
        <v>63</v>
      </c>
      <c r="S320" s="112" t="s">
        <v>561</v>
      </c>
      <c r="T320" s="112" t="s">
        <v>63</v>
      </c>
      <c r="U320" s="52"/>
      <c r="V320" s="53"/>
      <c r="W320" s="57" t="s">
        <v>64</v>
      </c>
      <c r="X320" s="56"/>
      <c r="Y320" s="38"/>
      <c r="Z320" s="42" t="s">
        <v>562</v>
      </c>
    </row>
    <row r="321" spans="1:26">
      <c r="A321" s="85">
        <v>103.13</v>
      </c>
      <c r="B321" s="39" t="s">
        <v>54</v>
      </c>
      <c r="C321" s="40"/>
      <c r="D321" s="85" t="s">
        <v>56</v>
      </c>
      <c r="E321" s="38"/>
      <c r="F321" s="38"/>
      <c r="G321" s="42" t="s">
        <v>600</v>
      </c>
      <c r="H321" s="14"/>
      <c r="I321" s="38"/>
      <c r="J321" s="38"/>
      <c r="K321" s="46"/>
      <c r="L321" s="47"/>
      <c r="M321" s="64">
        <v>3.7210648148148145E-2</v>
      </c>
      <c r="N321" s="64">
        <v>4.3055555555555555E-2</v>
      </c>
      <c r="O321" s="46">
        <f t="shared" si="5"/>
        <v>5.8449074074074098E-3</v>
      </c>
      <c r="P321" s="65">
        <v>43038</v>
      </c>
      <c r="Q321" s="410" t="str">
        <f t="shared" ca="1" si="7"/>
        <v>https://www.youtube.com/embed/8RSu4ymCgp4?start=3215&amp;end=3720&amp;autoplay=1</v>
      </c>
      <c r="R321" s="67" t="s">
        <v>63</v>
      </c>
      <c r="S321" s="112" t="s">
        <v>561</v>
      </c>
      <c r="T321" s="112" t="s">
        <v>63</v>
      </c>
      <c r="U321" s="52"/>
      <c r="V321" s="53"/>
      <c r="W321" s="57" t="s">
        <v>64</v>
      </c>
      <c r="X321" s="56"/>
      <c r="Y321" s="38"/>
      <c r="Z321" s="42" t="s">
        <v>562</v>
      </c>
    </row>
    <row r="322" spans="1:26">
      <c r="A322" s="85">
        <v>103.14</v>
      </c>
      <c r="B322" s="39" t="s">
        <v>54</v>
      </c>
      <c r="C322" s="40"/>
      <c r="D322" s="85" t="s">
        <v>56</v>
      </c>
      <c r="E322" s="38"/>
      <c r="F322" s="38"/>
      <c r="G322" s="42" t="s">
        <v>602</v>
      </c>
      <c r="H322" s="45"/>
      <c r="I322" s="38"/>
      <c r="J322" s="38"/>
      <c r="K322" s="46"/>
      <c r="L322" s="47"/>
      <c r="M322" s="64">
        <v>4.3379629629629629E-2</v>
      </c>
      <c r="N322" s="64">
        <v>4.7719907407407405E-2</v>
      </c>
      <c r="O322" s="46">
        <f t="shared" si="5"/>
        <v>4.3402777777777762E-3</v>
      </c>
      <c r="P322" s="65">
        <v>43039</v>
      </c>
      <c r="Q322" s="410" t="str">
        <f t="shared" ca="1" si="7"/>
        <v>https://www.youtube.com/embed/8RSu4ymCgp4?start=3748&amp;end=4123&amp;autoplay=1</v>
      </c>
      <c r="R322" s="67" t="s">
        <v>63</v>
      </c>
      <c r="S322" s="112" t="s">
        <v>561</v>
      </c>
      <c r="T322" s="112" t="s">
        <v>63</v>
      </c>
      <c r="U322" s="52"/>
      <c r="V322" s="53"/>
      <c r="W322" s="57" t="s">
        <v>64</v>
      </c>
      <c r="X322" s="56"/>
      <c r="Y322" s="38"/>
      <c r="Z322" s="42" t="s">
        <v>562</v>
      </c>
    </row>
    <row r="323" spans="1:26">
      <c r="A323" s="85">
        <v>103.15</v>
      </c>
      <c r="B323" s="39" t="s">
        <v>54</v>
      </c>
      <c r="C323" s="40"/>
      <c r="D323" s="85" t="s">
        <v>56</v>
      </c>
      <c r="E323" s="38"/>
      <c r="F323" s="38"/>
      <c r="G323" s="42" t="s">
        <v>607</v>
      </c>
      <c r="H323" s="58"/>
      <c r="I323" s="38"/>
      <c r="J323" s="38"/>
      <c r="K323" s="46"/>
      <c r="L323" s="47"/>
      <c r="M323" s="64">
        <v>4.7731481481481479E-2</v>
      </c>
      <c r="N323" s="64">
        <v>5.3182870370370373E-2</v>
      </c>
      <c r="O323" s="46">
        <f t="shared" si="5"/>
        <v>5.4513888888888945E-3</v>
      </c>
      <c r="P323" s="65">
        <v>43039</v>
      </c>
      <c r="Q323" s="410" t="str">
        <f t="shared" ref="Q323:Q386" ca="1" si="8">HYPERLINK(IF(INT(A323)-A323=0,E323,REPLACE(INDIRECT("MasterList!e"&amp;INT(A323)+1),25,8,"embed/")&amp;"?start="&amp;HOUR(M323)*3600+MINUTE(M323)*60+SECOND(M323)&amp;"&amp;end="&amp;HOUR(N323)*3600+MINUTE(N323)*60+SECOND(N323)&amp;"&amp;autoplay=1"))</f>
        <v>https://www.youtube.com/embed/8RSu4ymCgp4?start=4124&amp;end=4595&amp;autoplay=1</v>
      </c>
      <c r="R323" s="67" t="s">
        <v>63</v>
      </c>
      <c r="S323" s="112" t="s">
        <v>561</v>
      </c>
      <c r="T323" s="112" t="s">
        <v>63</v>
      </c>
      <c r="U323" s="52"/>
      <c r="V323" s="53"/>
      <c r="W323" s="57" t="s">
        <v>64</v>
      </c>
      <c r="X323" s="56"/>
      <c r="Y323" s="38"/>
      <c r="Z323" s="42" t="s">
        <v>562</v>
      </c>
    </row>
    <row r="324" spans="1:26">
      <c r="A324" s="85">
        <v>103.16</v>
      </c>
      <c r="B324" s="39" t="s">
        <v>54</v>
      </c>
      <c r="C324" s="40"/>
      <c r="D324" s="85" t="s">
        <v>56</v>
      </c>
      <c r="E324" s="38"/>
      <c r="F324" s="38"/>
      <c r="G324" s="58" t="s">
        <v>610</v>
      </c>
      <c r="H324" s="45"/>
      <c r="I324" s="38"/>
      <c r="J324" s="38"/>
      <c r="K324" s="46"/>
      <c r="L324" s="47"/>
      <c r="M324" s="64">
        <v>5.2812499999999998E-2</v>
      </c>
      <c r="N324" s="64">
        <v>5.4247685185185184E-2</v>
      </c>
      <c r="O324" s="46">
        <f t="shared" si="5"/>
        <v>1.4351851851851852E-3</v>
      </c>
      <c r="P324" s="65">
        <v>43039</v>
      </c>
      <c r="Q324" s="410" t="str">
        <f t="shared" ca="1" si="8"/>
        <v>https://www.youtube.com/embed/8RSu4ymCgp4?start=4563&amp;end=4687&amp;autoplay=1</v>
      </c>
      <c r="R324" s="67" t="s">
        <v>63</v>
      </c>
      <c r="S324" s="112" t="s">
        <v>561</v>
      </c>
      <c r="T324" s="112" t="s">
        <v>63</v>
      </c>
      <c r="U324" s="52"/>
      <c r="V324" s="53"/>
      <c r="W324" s="57" t="s">
        <v>64</v>
      </c>
      <c r="X324" s="56"/>
      <c r="Y324" s="38"/>
      <c r="Z324" s="42" t="s">
        <v>562</v>
      </c>
    </row>
    <row r="325" spans="1:26">
      <c r="A325" s="85">
        <v>103.17</v>
      </c>
      <c r="B325" s="39" t="s">
        <v>54</v>
      </c>
      <c r="C325" s="40"/>
      <c r="D325" s="85" t="s">
        <v>56</v>
      </c>
      <c r="E325" s="38"/>
      <c r="F325" s="38"/>
      <c r="G325" s="42" t="s">
        <v>615</v>
      </c>
      <c r="H325" s="45"/>
      <c r="I325" s="38"/>
      <c r="J325" s="38"/>
      <c r="K325" s="46"/>
      <c r="L325" s="47"/>
      <c r="M325" s="64">
        <v>5.4259259259259257E-2</v>
      </c>
      <c r="N325" s="64">
        <v>5.5439814814814817E-2</v>
      </c>
      <c r="O325" s="46">
        <f t="shared" si="5"/>
        <v>1.1805555555555597E-3</v>
      </c>
      <c r="P325" s="65">
        <v>43039</v>
      </c>
      <c r="Q325" s="410" t="str">
        <f t="shared" ca="1" si="8"/>
        <v>https://www.youtube.com/embed/8RSu4ymCgp4?start=4688&amp;end=4790&amp;autoplay=1</v>
      </c>
      <c r="R325" s="67" t="s">
        <v>63</v>
      </c>
      <c r="S325" s="112" t="s">
        <v>561</v>
      </c>
      <c r="T325" s="112" t="s">
        <v>63</v>
      </c>
      <c r="U325" s="52"/>
      <c r="V325" s="53"/>
      <c r="W325" s="57" t="s">
        <v>64</v>
      </c>
      <c r="X325" s="56"/>
      <c r="Y325" s="38"/>
      <c r="Z325" s="42" t="s">
        <v>562</v>
      </c>
    </row>
    <row r="326" spans="1:26">
      <c r="A326" s="85">
        <v>103.18</v>
      </c>
      <c r="B326" s="39" t="s">
        <v>54</v>
      </c>
      <c r="C326" s="40"/>
      <c r="D326" s="85" t="s">
        <v>56</v>
      </c>
      <c r="E326" s="38"/>
      <c r="F326" s="38"/>
      <c r="G326" s="42" t="s">
        <v>620</v>
      </c>
      <c r="H326" s="45"/>
      <c r="I326" s="38"/>
      <c r="J326" s="38"/>
      <c r="K326" s="46"/>
      <c r="L326" s="47"/>
      <c r="M326" s="64">
        <v>5.5555555555555552E-2</v>
      </c>
      <c r="N326" s="64">
        <v>5.9432870370370372E-2</v>
      </c>
      <c r="O326" s="46">
        <f t="shared" si="5"/>
        <v>3.8773148148148195E-3</v>
      </c>
      <c r="P326" s="65">
        <v>43039</v>
      </c>
      <c r="Q326" s="410" t="str">
        <f t="shared" ca="1" si="8"/>
        <v>https://www.youtube.com/embed/8RSu4ymCgp4?start=4800&amp;end=5135&amp;autoplay=1</v>
      </c>
      <c r="R326" s="67" t="s">
        <v>63</v>
      </c>
      <c r="S326" s="112" t="s">
        <v>561</v>
      </c>
      <c r="T326" s="112" t="s">
        <v>63</v>
      </c>
      <c r="U326" s="52"/>
      <c r="V326" s="53"/>
      <c r="W326" s="57" t="s">
        <v>64</v>
      </c>
      <c r="X326" s="56"/>
      <c r="Y326" s="38"/>
      <c r="Z326" s="42" t="s">
        <v>562</v>
      </c>
    </row>
    <row r="327" spans="1:26">
      <c r="A327" s="85">
        <v>103.19</v>
      </c>
      <c r="B327" s="39" t="s">
        <v>54</v>
      </c>
      <c r="C327" s="40"/>
      <c r="D327" s="85" t="s">
        <v>56</v>
      </c>
      <c r="E327" s="38"/>
      <c r="F327" s="38"/>
      <c r="G327" s="42" t="s">
        <v>624</v>
      </c>
      <c r="H327" s="45"/>
      <c r="I327" s="38"/>
      <c r="J327" s="38"/>
      <c r="K327" s="46"/>
      <c r="L327" s="47"/>
      <c r="M327" s="64">
        <v>5.9444444444444446E-2</v>
      </c>
      <c r="N327" s="64">
        <v>6.4224537037037038E-2</v>
      </c>
      <c r="O327" s="46">
        <f t="shared" si="5"/>
        <v>4.7800925925925927E-3</v>
      </c>
      <c r="P327" s="65">
        <v>43039</v>
      </c>
      <c r="Q327" s="410" t="str">
        <f t="shared" ca="1" si="8"/>
        <v>https://www.youtube.com/embed/8RSu4ymCgp4?start=5136&amp;end=5549&amp;autoplay=1</v>
      </c>
      <c r="R327" s="67" t="s">
        <v>63</v>
      </c>
      <c r="S327" s="112" t="s">
        <v>561</v>
      </c>
      <c r="T327" s="112" t="s">
        <v>63</v>
      </c>
      <c r="U327" s="52"/>
      <c r="V327" s="53"/>
      <c r="W327" s="57" t="s">
        <v>64</v>
      </c>
      <c r="X327" s="56"/>
      <c r="Y327" s="38"/>
      <c r="Z327" s="42" t="s">
        <v>562</v>
      </c>
    </row>
    <row r="328" spans="1:26">
      <c r="A328" s="85">
        <v>103.2</v>
      </c>
      <c r="B328" s="39" t="s">
        <v>54</v>
      </c>
      <c r="C328" s="40"/>
      <c r="D328" s="85" t="s">
        <v>56</v>
      </c>
      <c r="E328" s="38"/>
      <c r="F328" s="38"/>
      <c r="G328" s="42" t="s">
        <v>627</v>
      </c>
      <c r="H328" s="45"/>
      <c r="I328" s="38"/>
      <c r="J328" s="38"/>
      <c r="K328" s="46"/>
      <c r="L328" s="47"/>
      <c r="M328" s="64">
        <v>6.4236111111111105E-2</v>
      </c>
      <c r="N328" s="64">
        <v>6.8113425925925924E-2</v>
      </c>
      <c r="O328" s="46">
        <f t="shared" si="5"/>
        <v>3.8773148148148195E-3</v>
      </c>
      <c r="P328" s="65">
        <v>43039</v>
      </c>
      <c r="Q328" s="410" t="str">
        <f t="shared" ca="1" si="8"/>
        <v>https://www.youtube.com/embed/8RSu4ymCgp4?start=5550&amp;end=5885&amp;autoplay=1</v>
      </c>
      <c r="R328" s="67" t="s">
        <v>63</v>
      </c>
      <c r="S328" s="112" t="s">
        <v>561</v>
      </c>
      <c r="T328" s="112" t="s">
        <v>63</v>
      </c>
      <c r="U328" s="52"/>
      <c r="V328" s="53"/>
      <c r="W328" s="57" t="s">
        <v>64</v>
      </c>
      <c r="X328" s="56"/>
      <c r="Y328" s="38"/>
      <c r="Z328" s="42" t="s">
        <v>562</v>
      </c>
    </row>
    <row r="329" spans="1:26">
      <c r="A329" s="85">
        <v>103.21</v>
      </c>
      <c r="B329" s="39" t="s">
        <v>54</v>
      </c>
      <c r="C329" s="40"/>
      <c r="D329" s="85" t="s">
        <v>56</v>
      </c>
      <c r="E329" s="38"/>
      <c r="F329" s="38"/>
      <c r="G329" s="42" t="s">
        <v>630</v>
      </c>
      <c r="H329" s="45"/>
      <c r="I329" s="38"/>
      <c r="J329" s="38"/>
      <c r="K329" s="46"/>
      <c r="L329" s="47"/>
      <c r="M329" s="64">
        <v>6.8125000000000005E-2</v>
      </c>
      <c r="N329" s="64">
        <v>6.896990740740741E-2</v>
      </c>
      <c r="O329" s="46">
        <f t="shared" si="5"/>
        <v>8.4490740740740533E-4</v>
      </c>
      <c r="P329" s="65">
        <v>43039</v>
      </c>
      <c r="Q329" s="410" t="str">
        <f t="shared" ca="1" si="8"/>
        <v>https://www.youtube.com/embed/8RSu4ymCgp4?start=5886&amp;end=5959&amp;autoplay=1</v>
      </c>
      <c r="R329" s="67" t="s">
        <v>63</v>
      </c>
      <c r="S329" s="112" t="s">
        <v>561</v>
      </c>
      <c r="T329" s="112" t="s">
        <v>63</v>
      </c>
      <c r="U329" s="52"/>
      <c r="V329" s="53"/>
      <c r="W329" s="57" t="s">
        <v>64</v>
      </c>
      <c r="X329" s="56"/>
      <c r="Y329" s="38"/>
      <c r="Z329" s="42" t="s">
        <v>562</v>
      </c>
    </row>
    <row r="330" spans="1:26">
      <c r="A330" s="42">
        <v>103.22</v>
      </c>
      <c r="B330" s="39" t="s">
        <v>54</v>
      </c>
      <c r="C330" s="40"/>
      <c r="D330" s="85" t="s">
        <v>56</v>
      </c>
      <c r="E330" s="38"/>
      <c r="F330" s="38"/>
      <c r="G330" s="42" t="s">
        <v>631</v>
      </c>
      <c r="H330" s="45"/>
      <c r="I330" s="38"/>
      <c r="J330" s="38"/>
      <c r="K330" s="46"/>
      <c r="L330" s="47"/>
      <c r="M330" s="64">
        <v>6.8981481481481477E-2</v>
      </c>
      <c r="N330" s="64">
        <v>7.0324074074074081E-2</v>
      </c>
      <c r="O330" s="46">
        <f t="shared" si="5"/>
        <v>1.3425925925926036E-3</v>
      </c>
      <c r="P330" s="65">
        <v>43039</v>
      </c>
      <c r="Q330" s="410" t="str">
        <f t="shared" ca="1" si="8"/>
        <v>https://www.youtube.com/embed/8RSu4ymCgp4?start=5960&amp;end=6076&amp;autoplay=1</v>
      </c>
      <c r="R330" s="67" t="s">
        <v>63</v>
      </c>
      <c r="S330" s="112" t="s">
        <v>561</v>
      </c>
      <c r="T330" s="112" t="s">
        <v>63</v>
      </c>
      <c r="U330" s="52"/>
      <c r="V330" s="53"/>
      <c r="W330" s="57" t="s">
        <v>64</v>
      </c>
      <c r="X330" s="56"/>
      <c r="Y330" s="38"/>
      <c r="Z330" s="42" t="s">
        <v>562</v>
      </c>
    </row>
    <row r="331" spans="1:26">
      <c r="A331" s="42">
        <v>103.23</v>
      </c>
      <c r="B331" s="39" t="s">
        <v>54</v>
      </c>
      <c r="C331" s="40"/>
      <c r="D331" s="85" t="s">
        <v>56</v>
      </c>
      <c r="E331" s="38"/>
      <c r="F331" s="38"/>
      <c r="G331" s="42" t="s">
        <v>634</v>
      </c>
      <c r="H331" s="45"/>
      <c r="I331" s="38"/>
      <c r="J331" s="38"/>
      <c r="K331" s="46"/>
      <c r="L331" s="47"/>
      <c r="M331" s="64">
        <v>7.0347222222222228E-2</v>
      </c>
      <c r="N331" s="64">
        <v>7.4305555555555555E-2</v>
      </c>
      <c r="O331" s="46">
        <f t="shared" si="5"/>
        <v>3.9583333333333276E-3</v>
      </c>
      <c r="P331" s="65">
        <v>43039</v>
      </c>
      <c r="Q331" s="410" t="str">
        <f t="shared" ca="1" si="8"/>
        <v>https://www.youtube.com/embed/8RSu4ymCgp4?start=6078&amp;end=6420&amp;autoplay=1</v>
      </c>
      <c r="R331" s="67" t="s">
        <v>63</v>
      </c>
      <c r="S331" s="112" t="s">
        <v>561</v>
      </c>
      <c r="T331" s="112" t="s">
        <v>63</v>
      </c>
      <c r="U331" s="52"/>
      <c r="V331" s="53"/>
      <c r="W331" s="57" t="s">
        <v>64</v>
      </c>
      <c r="X331" s="56"/>
      <c r="Y331" s="38"/>
      <c r="Z331" s="42" t="s">
        <v>562</v>
      </c>
    </row>
    <row r="332" spans="1:26">
      <c r="A332" s="42">
        <v>103.24</v>
      </c>
      <c r="B332" s="39" t="s">
        <v>54</v>
      </c>
      <c r="C332" s="40"/>
      <c r="D332" s="85" t="s">
        <v>56</v>
      </c>
      <c r="E332" s="38"/>
      <c r="F332" s="38"/>
      <c r="G332" s="42" t="s">
        <v>637</v>
      </c>
      <c r="H332" s="45"/>
      <c r="I332" s="38"/>
      <c r="J332" s="38"/>
      <c r="K332" s="46"/>
      <c r="L332" s="47"/>
      <c r="M332" s="64">
        <v>7.4710648148148151E-2</v>
      </c>
      <c r="N332" s="64">
        <v>7.9768518518518516E-2</v>
      </c>
      <c r="O332" s="46">
        <f t="shared" si="5"/>
        <v>5.0578703703703654E-3</v>
      </c>
      <c r="P332" s="65">
        <v>43039</v>
      </c>
      <c r="Q332" s="410" t="str">
        <f t="shared" ca="1" si="8"/>
        <v>https://www.youtube.com/embed/8RSu4ymCgp4?start=6455&amp;end=6892&amp;autoplay=1</v>
      </c>
      <c r="R332" s="67" t="s">
        <v>63</v>
      </c>
      <c r="S332" s="112" t="s">
        <v>561</v>
      </c>
      <c r="T332" s="112" t="s">
        <v>63</v>
      </c>
      <c r="U332" s="52"/>
      <c r="V332" s="53"/>
      <c r="W332" s="57" t="s">
        <v>64</v>
      </c>
      <c r="X332" s="56"/>
      <c r="Y332" s="38"/>
      <c r="Z332" s="42" t="s">
        <v>562</v>
      </c>
    </row>
    <row r="333" spans="1:26">
      <c r="A333" s="42">
        <v>103.25</v>
      </c>
      <c r="B333" s="39" t="s">
        <v>54</v>
      </c>
      <c r="C333" s="40"/>
      <c r="D333" s="85" t="s">
        <v>56</v>
      </c>
      <c r="E333" s="38"/>
      <c r="F333" s="43"/>
      <c r="G333" s="63" t="s">
        <v>640</v>
      </c>
      <c r="H333" s="45"/>
      <c r="I333" s="38"/>
      <c r="J333" s="38"/>
      <c r="K333" s="46"/>
      <c r="L333" s="47"/>
      <c r="M333" s="64">
        <v>7.9988425925925921E-2</v>
      </c>
      <c r="N333" s="64">
        <v>8.684027777777778E-2</v>
      </c>
      <c r="O333" s="46">
        <f t="shared" si="5"/>
        <v>6.851851851851859E-3</v>
      </c>
      <c r="P333" s="65">
        <v>43039</v>
      </c>
      <c r="Q333" s="410" t="str">
        <f t="shared" ca="1" si="8"/>
        <v>https://www.youtube.com/embed/8RSu4ymCgp4?start=6911&amp;end=7503&amp;autoplay=1</v>
      </c>
      <c r="R333" s="67" t="s">
        <v>63</v>
      </c>
      <c r="S333" s="112" t="s">
        <v>561</v>
      </c>
      <c r="T333" s="112" t="s">
        <v>63</v>
      </c>
      <c r="U333" s="52"/>
      <c r="V333" s="53"/>
      <c r="W333" s="57" t="s">
        <v>64</v>
      </c>
      <c r="X333" s="56"/>
      <c r="Y333" s="38"/>
      <c r="Z333" s="42" t="s">
        <v>562</v>
      </c>
    </row>
    <row r="334" spans="1:26">
      <c r="A334" s="44">
        <v>104</v>
      </c>
      <c r="B334" s="176" t="s">
        <v>155</v>
      </c>
      <c r="C334" s="170"/>
      <c r="D334" s="63" t="s">
        <v>56</v>
      </c>
      <c r="E334" s="44" t="s">
        <v>589</v>
      </c>
      <c r="F334" s="43" t="s">
        <v>590</v>
      </c>
      <c r="G334" s="44"/>
      <c r="H334" s="45"/>
      <c r="I334" s="44"/>
      <c r="J334" s="44">
        <f>4*1000</f>
        <v>4000</v>
      </c>
      <c r="K334" s="143">
        <v>2.3530092592592592E-2</v>
      </c>
      <c r="L334" s="144" t="s">
        <v>286</v>
      </c>
      <c r="M334" s="189"/>
      <c r="N334" s="189"/>
      <c r="O334" s="143"/>
      <c r="P334" s="177">
        <v>43028</v>
      </c>
      <c r="Q334" s="410" t="str">
        <f t="shared" ca="1" si="8"/>
        <v>https://www.youtube.com/watch?v=MOkWSa69NKA</v>
      </c>
      <c r="R334" s="169"/>
      <c r="S334" s="169"/>
      <c r="T334" s="169"/>
      <c r="U334" s="170"/>
      <c r="V334" s="171"/>
      <c r="W334" s="172"/>
      <c r="X334" s="151"/>
      <c r="Y334" s="44"/>
      <c r="Z334" s="44"/>
    </row>
    <row r="335" spans="1:26">
      <c r="A335" s="63">
        <v>104.01</v>
      </c>
      <c r="B335" s="176" t="s">
        <v>155</v>
      </c>
      <c r="C335" s="170"/>
      <c r="D335" s="63" t="s">
        <v>56</v>
      </c>
      <c r="E335" s="44"/>
      <c r="F335" s="188"/>
      <c r="G335" s="63" t="s">
        <v>1085</v>
      </c>
      <c r="H335" s="58" t="s">
        <v>1086</v>
      </c>
      <c r="I335" s="44"/>
      <c r="J335" s="44"/>
      <c r="K335" s="143"/>
      <c r="L335" s="144"/>
      <c r="M335" s="166">
        <v>1.2152777777777778E-3</v>
      </c>
      <c r="N335" s="166">
        <v>1.0671296296296297E-2</v>
      </c>
      <c r="O335" s="155">
        <f t="shared" ref="O335:O338" si="9">N335-M335</f>
        <v>9.4560185185185198E-3</v>
      </c>
      <c r="P335" s="177">
        <v>43028</v>
      </c>
      <c r="Q335" s="410" t="str">
        <f t="shared" ca="1" si="8"/>
        <v>https://www.youtube.com/embed/MOkWSa69NKA?start=105&amp;end=922&amp;autoplay=1</v>
      </c>
      <c r="R335" s="159" t="s">
        <v>63</v>
      </c>
      <c r="S335" s="159" t="s">
        <v>131</v>
      </c>
      <c r="T335" s="159" t="s">
        <v>63</v>
      </c>
      <c r="U335" s="148"/>
      <c r="V335" s="149"/>
      <c r="W335" s="167" t="s">
        <v>64</v>
      </c>
      <c r="X335" s="151"/>
      <c r="Y335" s="44"/>
      <c r="Z335" s="63" t="s">
        <v>1089</v>
      </c>
    </row>
    <row r="336" spans="1:26">
      <c r="A336" s="63">
        <v>104.02</v>
      </c>
      <c r="B336" s="176" t="s">
        <v>155</v>
      </c>
      <c r="C336" s="170"/>
      <c r="D336" s="63" t="s">
        <v>56</v>
      </c>
      <c r="E336" s="44"/>
      <c r="F336" s="188"/>
      <c r="G336" s="63" t="s">
        <v>1090</v>
      </c>
      <c r="H336" s="58" t="s">
        <v>1091</v>
      </c>
      <c r="I336" s="44"/>
      <c r="J336" s="44"/>
      <c r="K336" s="143"/>
      <c r="L336" s="144"/>
      <c r="M336" s="166">
        <v>1.068287037037037E-2</v>
      </c>
      <c r="N336" s="166">
        <v>1.1597222222222222E-2</v>
      </c>
      <c r="O336" s="155">
        <f t="shared" si="9"/>
        <v>9.1435185185185196E-4</v>
      </c>
      <c r="P336" s="177">
        <v>43028</v>
      </c>
      <c r="Q336" s="410" t="str">
        <f t="shared" ca="1" si="8"/>
        <v>https://www.youtube.com/embed/MOkWSa69NKA?start=923&amp;end=1002&amp;autoplay=1</v>
      </c>
      <c r="R336" s="159" t="s">
        <v>63</v>
      </c>
      <c r="S336" s="159" t="s">
        <v>131</v>
      </c>
      <c r="T336" s="159" t="s">
        <v>63</v>
      </c>
      <c r="U336" s="148"/>
      <c r="V336" s="149"/>
      <c r="W336" s="167" t="s">
        <v>64</v>
      </c>
      <c r="X336" s="151"/>
      <c r="Y336" s="44"/>
      <c r="Z336" s="63" t="s">
        <v>1094</v>
      </c>
    </row>
    <row r="337" spans="1:26">
      <c r="A337" s="63">
        <v>104.03</v>
      </c>
      <c r="B337" s="176" t="s">
        <v>155</v>
      </c>
      <c r="C337" s="170"/>
      <c r="D337" s="63" t="s">
        <v>56</v>
      </c>
      <c r="E337" s="44"/>
      <c r="F337" s="188"/>
      <c r="G337" s="58" t="s">
        <v>1095</v>
      </c>
      <c r="H337" s="58" t="s">
        <v>1096</v>
      </c>
      <c r="I337" s="44"/>
      <c r="J337" s="44"/>
      <c r="K337" s="143"/>
      <c r="L337" s="144"/>
      <c r="M337" s="166">
        <v>1.1608796296296296E-2</v>
      </c>
      <c r="N337" s="166">
        <v>1.4768518518518519E-2</v>
      </c>
      <c r="O337" s="155">
        <f t="shared" si="9"/>
        <v>3.1597222222222235E-3</v>
      </c>
      <c r="P337" s="177">
        <v>43028</v>
      </c>
      <c r="Q337" s="410" t="str">
        <f t="shared" ca="1" si="8"/>
        <v>https://www.youtube.com/embed/MOkWSa69NKA?start=1003&amp;end=1276&amp;autoplay=1</v>
      </c>
      <c r="R337" s="159" t="s">
        <v>63</v>
      </c>
      <c r="S337" s="159" t="s">
        <v>131</v>
      </c>
      <c r="T337" s="159" t="s">
        <v>63</v>
      </c>
      <c r="U337" s="148"/>
      <c r="V337" s="149"/>
      <c r="W337" s="167" t="s">
        <v>64</v>
      </c>
      <c r="X337" s="151"/>
      <c r="Y337" s="44"/>
      <c r="Z337" s="63" t="s">
        <v>1094</v>
      </c>
    </row>
    <row r="338" spans="1:26">
      <c r="A338" s="63">
        <v>104.04</v>
      </c>
      <c r="B338" s="176" t="s">
        <v>155</v>
      </c>
      <c r="C338" s="170"/>
      <c r="D338" s="63" t="s">
        <v>56</v>
      </c>
      <c r="E338" s="44"/>
      <c r="F338" s="43"/>
      <c r="G338" s="63" t="s">
        <v>1099</v>
      </c>
      <c r="H338" s="58" t="s">
        <v>1100</v>
      </c>
      <c r="I338" s="44"/>
      <c r="J338" s="44"/>
      <c r="K338" s="143"/>
      <c r="L338" s="144"/>
      <c r="M338" s="166">
        <v>1.4780092592592593E-2</v>
      </c>
      <c r="N338" s="166">
        <v>1.9710648148148147E-2</v>
      </c>
      <c r="O338" s="143">
        <f t="shared" si="9"/>
        <v>4.9305555555555543E-3</v>
      </c>
      <c r="P338" s="177">
        <v>43028</v>
      </c>
      <c r="Q338" s="410" t="str">
        <f t="shared" ca="1" si="8"/>
        <v>https://www.youtube.com/embed/MOkWSa69NKA?start=1277&amp;end=1703&amp;autoplay=1</v>
      </c>
      <c r="R338" s="159" t="s">
        <v>63</v>
      </c>
      <c r="S338" s="159" t="s">
        <v>131</v>
      </c>
      <c r="T338" s="159" t="s">
        <v>63</v>
      </c>
      <c r="U338" s="148"/>
      <c r="V338" s="149"/>
      <c r="W338" s="167" t="s">
        <v>64</v>
      </c>
      <c r="X338" s="151"/>
      <c r="Y338" s="44"/>
      <c r="Z338" s="63" t="s">
        <v>1103</v>
      </c>
    </row>
    <row r="339" spans="1:26">
      <c r="A339" s="44">
        <v>105</v>
      </c>
      <c r="B339" s="176" t="s">
        <v>155</v>
      </c>
      <c r="C339" s="170"/>
      <c r="D339" s="63" t="s">
        <v>56</v>
      </c>
      <c r="E339" s="44" t="s">
        <v>593</v>
      </c>
      <c r="F339" s="43" t="s">
        <v>594</v>
      </c>
      <c r="G339" s="44"/>
      <c r="H339" s="45"/>
      <c r="I339" s="44"/>
      <c r="J339" s="44">
        <f>3.6*1000</f>
        <v>3600</v>
      </c>
      <c r="K339" s="143">
        <v>8.9583333333333334E-2</v>
      </c>
      <c r="L339" s="144" t="s">
        <v>286</v>
      </c>
      <c r="M339" s="189"/>
      <c r="N339" s="189"/>
      <c r="O339" s="44"/>
      <c r="P339" s="177">
        <v>43035</v>
      </c>
      <c r="Q339" s="410" t="str">
        <f t="shared" ca="1" si="8"/>
        <v>https://www.youtube.com/watch?v=k_PhmmAyLFg</v>
      </c>
      <c r="R339" s="169"/>
      <c r="S339" s="169"/>
      <c r="T339" s="169"/>
      <c r="U339" s="170"/>
      <c r="V339" s="171"/>
      <c r="W339" s="172"/>
      <c r="X339" s="151"/>
      <c r="Y339" s="44"/>
      <c r="Z339" s="44"/>
    </row>
    <row r="340" spans="1:26">
      <c r="A340" s="80">
        <v>105.05</v>
      </c>
      <c r="B340" s="349" t="s">
        <v>155</v>
      </c>
      <c r="C340" s="170"/>
      <c r="D340" s="350" t="s">
        <v>56</v>
      </c>
      <c r="E340" s="348"/>
      <c r="F340" s="348"/>
      <c r="G340" s="348" t="s">
        <v>1123</v>
      </c>
      <c r="H340" s="351" t="s">
        <v>1125</v>
      </c>
      <c r="I340" s="352"/>
      <c r="J340" s="352"/>
      <c r="K340" s="353"/>
      <c r="L340" s="80"/>
      <c r="M340" s="95">
        <v>3.5173611111111114E-2</v>
      </c>
      <c r="N340" s="95">
        <v>4.1354166666666664E-2</v>
      </c>
      <c r="O340" s="95">
        <f t="shared" ref="O340:O483" si="10">N340-M340</f>
        <v>6.1805555555555503E-3</v>
      </c>
      <c r="P340" s="354">
        <v>43036</v>
      </c>
      <c r="Q340" s="410" t="str">
        <f t="shared" ca="1" si="8"/>
        <v>https://www.youtube.com/embed/k_PhmmAyLFg?start=3039&amp;end=3573&amp;autoplay=1</v>
      </c>
      <c r="R340" s="106" t="s">
        <v>63</v>
      </c>
      <c r="S340" s="106" t="s">
        <v>131</v>
      </c>
      <c r="T340" s="106" t="s">
        <v>63</v>
      </c>
      <c r="U340" s="355"/>
      <c r="V340" s="356"/>
      <c r="W340" s="357" t="s">
        <v>64</v>
      </c>
      <c r="X340" s="358"/>
      <c r="Y340" s="348"/>
      <c r="Z340" s="348"/>
    </row>
    <row r="341" spans="1:26">
      <c r="A341" s="80">
        <v>105.06</v>
      </c>
      <c r="B341" s="349" t="s">
        <v>155</v>
      </c>
      <c r="C341" s="170"/>
      <c r="D341" s="350" t="s">
        <v>56</v>
      </c>
      <c r="E341" s="348"/>
      <c r="F341" s="348"/>
      <c r="G341" s="348" t="s">
        <v>1128</v>
      </c>
      <c r="H341" s="351" t="s">
        <v>1129</v>
      </c>
      <c r="I341" s="352"/>
      <c r="J341" s="352"/>
      <c r="K341" s="353"/>
      <c r="L341" s="80"/>
      <c r="M341" s="95">
        <v>4.1354166666666664E-2</v>
      </c>
      <c r="N341" s="95">
        <v>4.2905092592592592E-2</v>
      </c>
      <c r="O341" s="95">
        <f t="shared" si="10"/>
        <v>1.5509259259259278E-3</v>
      </c>
      <c r="P341" s="354">
        <v>43036</v>
      </c>
      <c r="Q341" s="410" t="str">
        <f t="shared" ca="1" si="8"/>
        <v>https://www.youtube.com/embed/k_PhmmAyLFg?start=3573&amp;end=3707&amp;autoplay=1</v>
      </c>
      <c r="R341" s="106" t="s">
        <v>63</v>
      </c>
      <c r="S341" s="106" t="s">
        <v>131</v>
      </c>
      <c r="T341" s="106" t="s">
        <v>63</v>
      </c>
      <c r="U341" s="355"/>
      <c r="V341" s="356"/>
      <c r="W341" s="357" t="s">
        <v>64</v>
      </c>
      <c r="X341" s="358"/>
      <c r="Y341" s="348"/>
      <c r="Z341" s="348"/>
    </row>
    <row r="342" spans="1:26">
      <c r="A342" s="80">
        <v>105.07</v>
      </c>
      <c r="B342" s="349" t="s">
        <v>155</v>
      </c>
      <c r="C342" s="170"/>
      <c r="D342" s="350" t="s">
        <v>56</v>
      </c>
      <c r="E342" s="348"/>
      <c r="F342" s="348"/>
      <c r="G342" s="348" t="s">
        <v>1132</v>
      </c>
      <c r="H342" s="359" t="s">
        <v>1133</v>
      </c>
      <c r="I342" s="352"/>
      <c r="J342" s="352"/>
      <c r="K342" s="353"/>
      <c r="L342" s="80"/>
      <c r="M342" s="95">
        <v>4.3078703703703702E-2</v>
      </c>
      <c r="N342" s="95">
        <v>4.5949074074074073E-2</v>
      </c>
      <c r="O342" s="95">
        <f t="shared" si="10"/>
        <v>2.8703703703703703E-3</v>
      </c>
      <c r="P342" s="354">
        <v>43036</v>
      </c>
      <c r="Q342" s="410" t="str">
        <f t="shared" ca="1" si="8"/>
        <v>https://www.youtube.com/embed/k_PhmmAyLFg?start=3722&amp;end=3970&amp;autoplay=1</v>
      </c>
      <c r="R342" s="106" t="s">
        <v>63</v>
      </c>
      <c r="S342" s="106" t="s">
        <v>131</v>
      </c>
      <c r="T342" s="106" t="s">
        <v>63</v>
      </c>
      <c r="U342" s="355"/>
      <c r="V342" s="356"/>
      <c r="W342" s="357" t="s">
        <v>151</v>
      </c>
      <c r="X342" s="358"/>
      <c r="Y342" s="348"/>
      <c r="Z342" s="348" t="s">
        <v>1134</v>
      </c>
    </row>
    <row r="343" spans="1:26">
      <c r="A343" s="80">
        <v>105.08</v>
      </c>
      <c r="B343" s="349" t="s">
        <v>155</v>
      </c>
      <c r="C343" s="170"/>
      <c r="D343" s="350" t="s">
        <v>56</v>
      </c>
      <c r="E343" s="348"/>
      <c r="F343" s="348"/>
      <c r="G343" s="348" t="s">
        <v>1137</v>
      </c>
      <c r="H343" s="351" t="s">
        <v>1138</v>
      </c>
      <c r="I343" s="352"/>
      <c r="J343" s="352"/>
      <c r="K343" s="353"/>
      <c r="L343" s="80"/>
      <c r="M343" s="95">
        <v>4.5960648148148146E-2</v>
      </c>
      <c r="N343" s="95">
        <v>5.1574074074074071E-2</v>
      </c>
      <c r="O343" s="95">
        <f t="shared" si="10"/>
        <v>5.6134259259259245E-3</v>
      </c>
      <c r="P343" s="354">
        <v>43036</v>
      </c>
      <c r="Q343" s="410" t="str">
        <f t="shared" ca="1" si="8"/>
        <v>https://www.youtube.com/embed/k_PhmmAyLFg?start=3971&amp;end=4456&amp;autoplay=1</v>
      </c>
      <c r="R343" s="106" t="s">
        <v>63</v>
      </c>
      <c r="S343" s="106" t="s">
        <v>131</v>
      </c>
      <c r="T343" s="106" t="s">
        <v>63</v>
      </c>
      <c r="U343" s="355"/>
      <c r="V343" s="356"/>
      <c r="W343" s="357" t="s">
        <v>64</v>
      </c>
      <c r="X343" s="358"/>
      <c r="Y343" s="348"/>
      <c r="Z343" s="348"/>
    </row>
    <row r="344" spans="1:26">
      <c r="A344" s="80">
        <v>105.09</v>
      </c>
      <c r="B344" s="349" t="s">
        <v>155</v>
      </c>
      <c r="C344" s="170"/>
      <c r="D344" s="350" t="s">
        <v>56</v>
      </c>
      <c r="E344" s="348"/>
      <c r="F344" s="348"/>
      <c r="G344" s="348" t="s">
        <v>1142</v>
      </c>
      <c r="H344" s="359" t="s">
        <v>1143</v>
      </c>
      <c r="I344" s="352"/>
      <c r="J344" s="352"/>
      <c r="K344" s="353"/>
      <c r="L344" s="80"/>
      <c r="M344" s="95">
        <v>5.1620370370370372E-2</v>
      </c>
      <c r="N344" s="95">
        <v>5.3356481481481484E-2</v>
      </c>
      <c r="O344" s="95">
        <f t="shared" si="10"/>
        <v>1.7361111111111119E-3</v>
      </c>
      <c r="P344" s="354">
        <v>43037</v>
      </c>
      <c r="Q344" s="410" t="str">
        <f t="shared" ca="1" si="8"/>
        <v>https://www.youtube.com/embed/k_PhmmAyLFg?start=4460&amp;end=4610&amp;autoplay=1</v>
      </c>
      <c r="R344" s="106" t="s">
        <v>63</v>
      </c>
      <c r="S344" s="106" t="s">
        <v>131</v>
      </c>
      <c r="T344" s="106" t="s">
        <v>63</v>
      </c>
      <c r="U344" s="355"/>
      <c r="V344" s="356"/>
      <c r="W344" s="357" t="s">
        <v>64</v>
      </c>
      <c r="X344" s="358"/>
      <c r="Y344" s="348"/>
      <c r="Z344" s="348"/>
    </row>
    <row r="345" spans="1:26">
      <c r="A345" s="360">
        <v>105.1</v>
      </c>
      <c r="B345" s="349" t="s">
        <v>155</v>
      </c>
      <c r="C345" s="170"/>
      <c r="D345" s="350" t="s">
        <v>56</v>
      </c>
      <c r="E345" s="348"/>
      <c r="F345" s="348"/>
      <c r="G345" s="348" t="s">
        <v>1146</v>
      </c>
      <c r="H345" s="359" t="s">
        <v>1147</v>
      </c>
      <c r="I345" s="352"/>
      <c r="J345" s="352"/>
      <c r="K345" s="353"/>
      <c r="L345" s="80"/>
      <c r="M345" s="95">
        <v>5.3391203703703705E-2</v>
      </c>
      <c r="N345" s="95">
        <v>5.7210648148148149E-2</v>
      </c>
      <c r="O345" s="95">
        <f t="shared" si="10"/>
        <v>3.8194444444444448E-3</v>
      </c>
      <c r="P345" s="354">
        <v>43037</v>
      </c>
      <c r="Q345" s="410" t="str">
        <f t="shared" ca="1" si="8"/>
        <v>https://www.youtube.com/embed/k_PhmmAyLFg?start=4613&amp;end=4943&amp;autoplay=1</v>
      </c>
      <c r="R345" s="106" t="s">
        <v>63</v>
      </c>
      <c r="S345" s="106" t="s">
        <v>131</v>
      </c>
      <c r="T345" s="106" t="s">
        <v>63</v>
      </c>
      <c r="U345" s="355"/>
      <c r="V345" s="356"/>
      <c r="W345" s="357" t="s">
        <v>64</v>
      </c>
      <c r="X345" s="358"/>
      <c r="Y345" s="348"/>
      <c r="Z345" s="348"/>
    </row>
    <row r="346" spans="1:26">
      <c r="A346" s="80">
        <v>105.11</v>
      </c>
      <c r="B346" s="349" t="s">
        <v>155</v>
      </c>
      <c r="C346" s="170"/>
      <c r="D346" s="350" t="s">
        <v>56</v>
      </c>
      <c r="E346" s="348"/>
      <c r="F346" s="348"/>
      <c r="G346" s="348" t="s">
        <v>1150</v>
      </c>
      <c r="H346" s="351" t="s">
        <v>1151</v>
      </c>
      <c r="I346" s="352"/>
      <c r="J346" s="352"/>
      <c r="K346" s="353"/>
      <c r="L346" s="80"/>
      <c r="M346" s="95">
        <v>5.7361111111111113E-2</v>
      </c>
      <c r="N346" s="95">
        <v>6.2129629629629632E-2</v>
      </c>
      <c r="O346" s="95">
        <f t="shared" si="10"/>
        <v>4.7685185185185192E-3</v>
      </c>
      <c r="P346" s="354">
        <v>43037</v>
      </c>
      <c r="Q346" s="410" t="str">
        <f t="shared" ca="1" si="8"/>
        <v>https://www.youtube.com/embed/k_PhmmAyLFg?start=4956&amp;end=5368&amp;autoplay=1</v>
      </c>
      <c r="R346" s="106" t="s">
        <v>63</v>
      </c>
      <c r="S346" s="106" t="s">
        <v>131</v>
      </c>
      <c r="T346" s="106" t="s">
        <v>63</v>
      </c>
      <c r="U346" s="355"/>
      <c r="V346" s="356"/>
      <c r="W346" s="357" t="s">
        <v>64</v>
      </c>
      <c r="X346" s="358"/>
      <c r="Y346" s="348"/>
      <c r="Z346" s="348"/>
    </row>
    <row r="347" spans="1:26">
      <c r="A347" s="80">
        <v>105.12</v>
      </c>
      <c r="B347" s="349" t="s">
        <v>155</v>
      </c>
      <c r="C347" s="170"/>
      <c r="D347" s="350" t="s">
        <v>56</v>
      </c>
      <c r="E347" s="348"/>
      <c r="F347" s="348"/>
      <c r="G347" s="348" t="s">
        <v>1154</v>
      </c>
      <c r="H347" s="351" t="s">
        <v>1155</v>
      </c>
      <c r="I347" s="352"/>
      <c r="J347" s="352"/>
      <c r="K347" s="353"/>
      <c r="L347" s="80"/>
      <c r="M347" s="95">
        <v>6.2129629629629632E-2</v>
      </c>
      <c r="N347" s="95">
        <v>6.5034722222222216E-2</v>
      </c>
      <c r="O347" s="95">
        <f t="shared" si="10"/>
        <v>2.9050925925925841E-3</v>
      </c>
      <c r="P347" s="354">
        <v>43037</v>
      </c>
      <c r="Q347" s="410" t="str">
        <f t="shared" ca="1" si="8"/>
        <v>https://www.youtube.com/embed/k_PhmmAyLFg?start=5368&amp;end=5619&amp;autoplay=1</v>
      </c>
      <c r="R347" s="106" t="s">
        <v>63</v>
      </c>
      <c r="S347" s="106" t="s">
        <v>131</v>
      </c>
      <c r="T347" s="106" t="s">
        <v>63</v>
      </c>
      <c r="U347" s="355"/>
      <c r="V347" s="356"/>
      <c r="W347" s="357" t="s">
        <v>64</v>
      </c>
      <c r="X347" s="358"/>
      <c r="Y347" s="348"/>
      <c r="Z347" s="348"/>
    </row>
    <row r="348" spans="1:26">
      <c r="A348" s="80">
        <v>105.13</v>
      </c>
      <c r="B348" s="349" t="s">
        <v>155</v>
      </c>
      <c r="C348" s="170"/>
      <c r="D348" s="350" t="s">
        <v>56</v>
      </c>
      <c r="E348" s="348"/>
      <c r="F348" s="348"/>
      <c r="G348" s="348" t="s">
        <v>1158</v>
      </c>
      <c r="H348" s="351" t="s">
        <v>1159</v>
      </c>
      <c r="I348" s="352"/>
      <c r="J348" s="352"/>
      <c r="K348" s="353"/>
      <c r="L348" s="80"/>
      <c r="M348" s="95">
        <v>6.5092592592592591E-2</v>
      </c>
      <c r="N348" s="95">
        <v>7.1365740740740743E-2</v>
      </c>
      <c r="O348" s="95">
        <f t="shared" si="10"/>
        <v>6.2731481481481527E-3</v>
      </c>
      <c r="P348" s="354">
        <v>43037</v>
      </c>
      <c r="Q348" s="410" t="str">
        <f t="shared" ca="1" si="8"/>
        <v>https://www.youtube.com/embed/k_PhmmAyLFg?start=5624&amp;end=6166&amp;autoplay=1</v>
      </c>
      <c r="R348" s="106" t="s">
        <v>63</v>
      </c>
      <c r="S348" s="106" t="s">
        <v>131</v>
      </c>
      <c r="T348" s="106" t="s">
        <v>63</v>
      </c>
      <c r="U348" s="355"/>
      <c r="V348" s="356"/>
      <c r="W348" s="357" t="s">
        <v>64</v>
      </c>
      <c r="X348" s="358"/>
      <c r="Y348" s="348"/>
      <c r="Z348" s="348"/>
    </row>
    <row r="349" spans="1:26">
      <c r="A349" s="80">
        <v>105.14</v>
      </c>
      <c r="B349" s="349" t="s">
        <v>155</v>
      </c>
      <c r="C349" s="170"/>
      <c r="D349" s="350" t="s">
        <v>56</v>
      </c>
      <c r="E349" s="348"/>
      <c r="F349" s="348"/>
      <c r="G349" s="348" t="s">
        <v>1162</v>
      </c>
      <c r="H349" s="351" t="s">
        <v>1163</v>
      </c>
      <c r="I349" s="352"/>
      <c r="J349" s="352"/>
      <c r="K349" s="353"/>
      <c r="L349" s="80"/>
      <c r="M349" s="95">
        <v>7.1388888888888891E-2</v>
      </c>
      <c r="N349" s="95">
        <v>7.3425925925925922E-2</v>
      </c>
      <c r="O349" s="95">
        <f t="shared" si="10"/>
        <v>2.0370370370370317E-3</v>
      </c>
      <c r="P349" s="354">
        <v>43037</v>
      </c>
      <c r="Q349" s="410" t="str">
        <f t="shared" ca="1" si="8"/>
        <v>https://www.youtube.com/embed/k_PhmmAyLFg?start=6168&amp;end=6344&amp;autoplay=1</v>
      </c>
      <c r="R349" s="106" t="s">
        <v>63</v>
      </c>
      <c r="S349" s="106" t="s">
        <v>131</v>
      </c>
      <c r="T349" s="106" t="s">
        <v>63</v>
      </c>
      <c r="U349" s="355"/>
      <c r="V349" s="356"/>
      <c r="W349" s="357" t="s">
        <v>64</v>
      </c>
      <c r="X349" s="358"/>
      <c r="Y349" s="348"/>
      <c r="Z349" s="348"/>
    </row>
    <row r="350" spans="1:26">
      <c r="A350" s="80">
        <v>105.15</v>
      </c>
      <c r="B350" s="349" t="s">
        <v>155</v>
      </c>
      <c r="C350" s="170"/>
      <c r="D350" s="350" t="s">
        <v>56</v>
      </c>
      <c r="E350" s="348"/>
      <c r="F350" s="348"/>
      <c r="G350" s="348" t="s">
        <v>1166</v>
      </c>
      <c r="H350" s="351" t="s">
        <v>1167</v>
      </c>
      <c r="I350" s="352"/>
      <c r="J350" s="352"/>
      <c r="K350" s="353"/>
      <c r="L350" s="80"/>
      <c r="M350" s="95">
        <v>7.6631944444444447E-2</v>
      </c>
      <c r="N350" s="95">
        <v>8.2581018518518512E-2</v>
      </c>
      <c r="O350" s="95">
        <f t="shared" si="10"/>
        <v>5.949074074074065E-3</v>
      </c>
      <c r="P350" s="354">
        <v>43037</v>
      </c>
      <c r="Q350" s="410" t="str">
        <f t="shared" ca="1" si="8"/>
        <v>https://www.youtube.com/embed/k_PhmmAyLFg?start=6621&amp;end=7135&amp;autoplay=1</v>
      </c>
      <c r="R350" s="106" t="s">
        <v>63</v>
      </c>
      <c r="S350" s="106" t="s">
        <v>131</v>
      </c>
      <c r="T350" s="106" t="s">
        <v>63</v>
      </c>
      <c r="U350" s="355"/>
      <c r="V350" s="356"/>
      <c r="W350" s="357" t="s">
        <v>64</v>
      </c>
      <c r="X350" s="358"/>
      <c r="Y350" s="348"/>
      <c r="Z350" s="348"/>
    </row>
    <row r="351" spans="1:26">
      <c r="A351" s="80">
        <v>105.16</v>
      </c>
      <c r="B351" s="349" t="s">
        <v>155</v>
      </c>
      <c r="C351" s="170"/>
      <c r="D351" s="350" t="s">
        <v>56</v>
      </c>
      <c r="E351" s="348"/>
      <c r="F351" s="348"/>
      <c r="G351" s="348" t="s">
        <v>1170</v>
      </c>
      <c r="H351" s="351" t="s">
        <v>1171</v>
      </c>
      <c r="I351" s="352"/>
      <c r="J351" s="352"/>
      <c r="K351" s="353"/>
      <c r="L351" s="80"/>
      <c r="M351" s="95">
        <v>8.2581018518518512E-2</v>
      </c>
      <c r="N351" s="95">
        <v>8.4259259259259256E-2</v>
      </c>
      <c r="O351" s="95">
        <f t="shared" si="10"/>
        <v>1.678240740740744E-3</v>
      </c>
      <c r="P351" s="354">
        <v>43037</v>
      </c>
      <c r="Q351" s="410" t="str">
        <f t="shared" ca="1" si="8"/>
        <v>https://www.youtube.com/embed/k_PhmmAyLFg?start=7135&amp;end=7280&amp;autoplay=1</v>
      </c>
      <c r="R351" s="106" t="s">
        <v>63</v>
      </c>
      <c r="S351" s="106" t="s">
        <v>131</v>
      </c>
      <c r="T351" s="106" t="s">
        <v>63</v>
      </c>
      <c r="U351" s="355"/>
      <c r="V351" s="356"/>
      <c r="W351" s="357" t="s">
        <v>64</v>
      </c>
      <c r="X351" s="358"/>
      <c r="Y351" s="348"/>
      <c r="Z351" s="348"/>
    </row>
    <row r="352" spans="1:26">
      <c r="A352" s="38">
        <v>106</v>
      </c>
      <c r="B352" s="39" t="s">
        <v>596</v>
      </c>
      <c r="C352" s="170"/>
      <c r="D352" s="42" t="s">
        <v>56</v>
      </c>
      <c r="E352" s="38" t="s">
        <v>598</v>
      </c>
      <c r="F352" s="43" t="s">
        <v>599</v>
      </c>
      <c r="G352" s="44"/>
      <c r="H352" s="45"/>
      <c r="I352" s="38"/>
      <c r="J352" s="38">
        <f>11*1000</f>
        <v>11000</v>
      </c>
      <c r="K352" s="46">
        <v>5.4884259259259265E-2</v>
      </c>
      <c r="L352" s="47" t="s">
        <v>286</v>
      </c>
      <c r="M352" s="307"/>
      <c r="N352" s="307"/>
      <c r="O352" s="307">
        <f t="shared" si="10"/>
        <v>0</v>
      </c>
      <c r="P352" s="66">
        <v>43025</v>
      </c>
      <c r="Q352" s="410" t="str">
        <f t="shared" ca="1" si="8"/>
        <v>https://www.youtube.com/watch?v=tUBrwCmKx8s</v>
      </c>
      <c r="R352" s="51"/>
      <c r="S352" s="51"/>
      <c r="T352" s="51"/>
      <c r="U352" s="40"/>
      <c r="V352" s="54"/>
      <c r="W352" s="55"/>
      <c r="X352" s="56"/>
      <c r="Y352" s="311"/>
      <c r="Z352" s="311"/>
    </row>
    <row r="353" spans="1:26">
      <c r="A353" s="83">
        <v>106.01</v>
      </c>
      <c r="B353" s="39" t="s">
        <v>596</v>
      </c>
      <c r="C353" s="40"/>
      <c r="D353" s="42" t="s">
        <v>56</v>
      </c>
      <c r="E353" s="73"/>
      <c r="F353" s="73"/>
      <c r="G353" s="83" t="s">
        <v>2982</v>
      </c>
      <c r="H353" s="83" t="s">
        <v>1679</v>
      </c>
      <c r="I353" s="73"/>
      <c r="J353" s="73"/>
      <c r="K353" s="73"/>
      <c r="L353" s="73"/>
      <c r="M353" s="345">
        <v>2.3148148148148147E-5</v>
      </c>
      <c r="N353" s="345">
        <v>1.0023148148148147E-2</v>
      </c>
      <c r="O353" s="307">
        <f t="shared" si="10"/>
        <v>9.9999999999999985E-3</v>
      </c>
      <c r="P353" s="361">
        <v>43026</v>
      </c>
      <c r="Q353" s="410" t="str">
        <f t="shared" ca="1" si="8"/>
        <v>https://www.youtube.com/embed/tUBrwCmKx8s?start=2&amp;end=866&amp;autoplay=1</v>
      </c>
      <c r="R353" s="362" t="s">
        <v>63</v>
      </c>
      <c r="S353" s="362" t="s">
        <v>63</v>
      </c>
      <c r="T353" s="362" t="s">
        <v>63</v>
      </c>
      <c r="U353" s="73"/>
      <c r="V353" s="73"/>
      <c r="W353" s="69" t="s">
        <v>64</v>
      </c>
      <c r="X353" s="73"/>
      <c r="Y353" s="73"/>
      <c r="Z353" s="73"/>
    </row>
    <row r="354" spans="1:26">
      <c r="A354" s="83">
        <v>106.02</v>
      </c>
      <c r="B354" s="39" t="s">
        <v>596</v>
      </c>
      <c r="C354" s="40"/>
      <c r="D354" s="42" t="s">
        <v>56</v>
      </c>
      <c r="E354" s="73"/>
      <c r="F354" s="73"/>
      <c r="G354" s="83" t="s">
        <v>2983</v>
      </c>
      <c r="H354" s="83" t="s">
        <v>2984</v>
      </c>
      <c r="I354" s="73"/>
      <c r="J354" s="73"/>
      <c r="K354" s="73"/>
      <c r="L354" s="73"/>
      <c r="M354" s="345">
        <v>1.0034722222222223E-2</v>
      </c>
      <c r="N354" s="345">
        <v>1.1979166666666667E-2</v>
      </c>
      <c r="O354" s="307">
        <f t="shared" si="10"/>
        <v>1.9444444444444448E-3</v>
      </c>
      <c r="P354" s="361">
        <v>43027</v>
      </c>
      <c r="Q354" s="410" t="str">
        <f t="shared" ca="1" si="8"/>
        <v>https://www.youtube.com/embed/tUBrwCmKx8s?start=867&amp;end=1035&amp;autoplay=1</v>
      </c>
      <c r="R354" s="362" t="s">
        <v>63</v>
      </c>
      <c r="S354" s="362" t="s">
        <v>63</v>
      </c>
      <c r="T354" s="362" t="s">
        <v>63</v>
      </c>
      <c r="U354" s="73"/>
      <c r="V354" s="73"/>
      <c r="W354" s="69" t="s">
        <v>64</v>
      </c>
      <c r="X354" s="73"/>
      <c r="Y354" s="73"/>
      <c r="Z354" s="73"/>
    </row>
    <row r="355" spans="1:26">
      <c r="A355" s="42">
        <v>106.03</v>
      </c>
      <c r="B355" s="39" t="s">
        <v>596</v>
      </c>
      <c r="C355" s="40"/>
      <c r="D355" s="42" t="s">
        <v>56</v>
      </c>
      <c r="E355" s="38"/>
      <c r="F355" s="38"/>
      <c r="G355" s="344" t="s">
        <v>1686</v>
      </c>
      <c r="H355" s="363" t="s">
        <v>1689</v>
      </c>
      <c r="I355" s="38"/>
      <c r="J355" s="38"/>
      <c r="K355" s="38"/>
      <c r="L355" s="38"/>
      <c r="M355" s="342">
        <v>1.1979166666666667E-2</v>
      </c>
      <c r="N355" s="342">
        <v>1.2592592592592593E-2</v>
      </c>
      <c r="O355" s="307">
        <f t="shared" si="10"/>
        <v>6.1342592592592525E-4</v>
      </c>
      <c r="P355" s="66">
        <v>43029</v>
      </c>
      <c r="Q355" s="410" t="str">
        <f t="shared" ca="1" si="8"/>
        <v>https://www.youtube.com/embed/tUBrwCmKx8s?start=1035&amp;end=1088&amp;autoplay=1</v>
      </c>
      <c r="R355" s="362" t="s">
        <v>63</v>
      </c>
      <c r="S355" s="362" t="s">
        <v>63</v>
      </c>
      <c r="T355" s="362" t="s">
        <v>63</v>
      </c>
      <c r="U355" s="40"/>
      <c r="V355" s="54"/>
      <c r="W355" s="69" t="s">
        <v>64</v>
      </c>
      <c r="X355" s="56"/>
      <c r="Y355" s="38"/>
      <c r="Z355" s="38"/>
    </row>
    <row r="356" spans="1:26">
      <c r="A356" s="42">
        <v>106.04</v>
      </c>
      <c r="B356" s="39" t="s">
        <v>596</v>
      </c>
      <c r="C356" s="40"/>
      <c r="D356" s="42" t="s">
        <v>56</v>
      </c>
      <c r="E356" s="38"/>
      <c r="F356" s="38"/>
      <c r="G356" s="364" t="s">
        <v>1692</v>
      </c>
      <c r="H356" s="365" t="s">
        <v>1693</v>
      </c>
      <c r="I356" s="38"/>
      <c r="J356" s="38"/>
      <c r="K356" s="38"/>
      <c r="L356" s="38"/>
      <c r="M356" s="342">
        <v>1.2604166666666666E-2</v>
      </c>
      <c r="N356" s="342">
        <v>1.3287037037037036E-2</v>
      </c>
      <c r="O356" s="307">
        <f t="shared" si="10"/>
        <v>6.8287037037037014E-4</v>
      </c>
      <c r="P356" s="66">
        <v>43029</v>
      </c>
      <c r="Q356" s="410" t="str">
        <f t="shared" ca="1" si="8"/>
        <v>https://www.youtube.com/embed/tUBrwCmKx8s?start=1089&amp;end=1148&amp;autoplay=1</v>
      </c>
      <c r="R356" s="362" t="s">
        <v>63</v>
      </c>
      <c r="S356" s="362" t="s">
        <v>63</v>
      </c>
      <c r="T356" s="362" t="s">
        <v>63</v>
      </c>
      <c r="U356" s="40"/>
      <c r="V356" s="54"/>
      <c r="W356" s="69" t="s">
        <v>64</v>
      </c>
      <c r="X356" s="56"/>
      <c r="Y356" s="38"/>
      <c r="Z356" s="38"/>
    </row>
    <row r="357" spans="1:26">
      <c r="A357" s="85">
        <v>106.05</v>
      </c>
      <c r="B357" s="39" t="s">
        <v>596</v>
      </c>
      <c r="C357" s="40"/>
      <c r="D357" s="42" t="s">
        <v>56</v>
      </c>
      <c r="E357" s="38"/>
      <c r="F357" s="38"/>
      <c r="G357" s="364" t="s">
        <v>1698</v>
      </c>
      <c r="H357" s="365" t="s">
        <v>1699</v>
      </c>
      <c r="I357" s="38"/>
      <c r="J357" s="38"/>
      <c r="K357" s="38"/>
      <c r="L357" s="38"/>
      <c r="M357" s="342">
        <v>1.3298611111111112E-2</v>
      </c>
      <c r="N357" s="342">
        <v>1.8518518518518517E-2</v>
      </c>
      <c r="O357" s="307">
        <f t="shared" si="10"/>
        <v>5.2199074074074057E-3</v>
      </c>
      <c r="P357" s="66">
        <v>43029</v>
      </c>
      <c r="Q357" s="410" t="str">
        <f t="shared" ca="1" si="8"/>
        <v>https://www.youtube.com/embed/tUBrwCmKx8s?start=1149&amp;end=1600&amp;autoplay=1</v>
      </c>
      <c r="R357" s="362" t="s">
        <v>63</v>
      </c>
      <c r="S357" s="362" t="s">
        <v>63</v>
      </c>
      <c r="T357" s="362" t="s">
        <v>63</v>
      </c>
      <c r="U357" s="40"/>
      <c r="V357" s="54"/>
      <c r="W357" s="69" t="s">
        <v>64</v>
      </c>
      <c r="X357" s="56"/>
      <c r="Y357" s="38"/>
      <c r="Z357" s="38"/>
    </row>
    <row r="358" spans="1:26">
      <c r="A358" s="42">
        <v>106.06</v>
      </c>
      <c r="B358" s="39" t="s">
        <v>596</v>
      </c>
      <c r="C358" s="40"/>
      <c r="D358" s="42" t="s">
        <v>56</v>
      </c>
      <c r="E358" s="38"/>
      <c r="F358" s="38"/>
      <c r="G358" s="364" t="s">
        <v>1702</v>
      </c>
      <c r="H358" s="365" t="s">
        <v>1703</v>
      </c>
      <c r="I358" s="38"/>
      <c r="J358" s="38"/>
      <c r="K358" s="38"/>
      <c r="L358" s="38"/>
      <c r="M358" s="342">
        <v>1.8541666666666668E-2</v>
      </c>
      <c r="N358" s="342">
        <v>1.9560185185185184E-2</v>
      </c>
      <c r="O358" s="307">
        <f t="shared" si="10"/>
        <v>1.0185185185185158E-3</v>
      </c>
      <c r="P358" s="66">
        <v>43030</v>
      </c>
      <c r="Q358" s="410" t="str">
        <f t="shared" ca="1" si="8"/>
        <v>https://www.youtube.com/embed/tUBrwCmKx8s?start=1602&amp;end=1690&amp;autoplay=1</v>
      </c>
      <c r="R358" s="362" t="s">
        <v>63</v>
      </c>
      <c r="S358" s="362" t="s">
        <v>63</v>
      </c>
      <c r="T358" s="362" t="s">
        <v>63</v>
      </c>
      <c r="U358" s="40"/>
      <c r="V358" s="54"/>
      <c r="W358" s="69" t="s">
        <v>64</v>
      </c>
      <c r="X358" s="56"/>
      <c r="Y358" s="38"/>
      <c r="Z358" s="38"/>
    </row>
    <row r="359" spans="1:26">
      <c r="A359" s="42">
        <v>106.07</v>
      </c>
      <c r="B359" s="39" t="s">
        <v>596</v>
      </c>
      <c r="C359" s="40"/>
      <c r="D359" s="42" t="s">
        <v>56</v>
      </c>
      <c r="E359" s="38"/>
      <c r="F359" s="43"/>
      <c r="G359" s="366" t="s">
        <v>1706</v>
      </c>
      <c r="H359" s="367" t="s">
        <v>1707</v>
      </c>
      <c r="I359" s="38"/>
      <c r="J359" s="38"/>
      <c r="K359" s="46"/>
      <c r="L359" s="47"/>
      <c r="M359" s="342">
        <v>1.9583333333333335E-2</v>
      </c>
      <c r="N359" s="342">
        <v>2.1238425925925924E-2</v>
      </c>
      <c r="O359" s="307">
        <f t="shared" si="10"/>
        <v>1.65509259259259E-3</v>
      </c>
      <c r="P359" s="66">
        <v>43030</v>
      </c>
      <c r="Q359" s="410" t="str">
        <f t="shared" ca="1" si="8"/>
        <v>https://www.youtube.com/embed/tUBrwCmKx8s?start=1692&amp;end=1835&amp;autoplay=1</v>
      </c>
      <c r="R359" s="362" t="s">
        <v>63</v>
      </c>
      <c r="S359" s="362" t="s">
        <v>63</v>
      </c>
      <c r="T359" s="362" t="s">
        <v>63</v>
      </c>
      <c r="U359" s="40"/>
      <c r="V359" s="54"/>
      <c r="W359" s="69" t="s">
        <v>64</v>
      </c>
      <c r="X359" s="56"/>
      <c r="Y359" s="38"/>
      <c r="Z359" s="38"/>
    </row>
    <row r="360" spans="1:26">
      <c r="A360" s="83">
        <v>106.08</v>
      </c>
      <c r="B360" s="39" t="s">
        <v>596</v>
      </c>
      <c r="C360" s="40"/>
      <c r="D360" s="42" t="s">
        <v>56</v>
      </c>
      <c r="E360" s="73"/>
      <c r="F360" s="73"/>
      <c r="G360" s="366" t="s">
        <v>1710</v>
      </c>
      <c r="H360" s="367" t="s">
        <v>1711</v>
      </c>
      <c r="I360" s="73"/>
      <c r="J360" s="73"/>
      <c r="K360" s="73"/>
      <c r="L360" s="73"/>
      <c r="M360" s="345">
        <v>2.1261574074074075E-2</v>
      </c>
      <c r="N360" s="345">
        <v>2.2754629629629628E-2</v>
      </c>
      <c r="O360" s="307">
        <f t="shared" si="10"/>
        <v>1.493055555555553E-3</v>
      </c>
      <c r="P360" s="66">
        <v>43030</v>
      </c>
      <c r="Q360" s="410" t="str">
        <f t="shared" ca="1" si="8"/>
        <v>https://www.youtube.com/embed/tUBrwCmKx8s?start=1837&amp;end=1966&amp;autoplay=1</v>
      </c>
      <c r="R360" s="362" t="s">
        <v>63</v>
      </c>
      <c r="S360" s="362" t="s">
        <v>63</v>
      </c>
      <c r="T360" s="362" t="s">
        <v>63</v>
      </c>
      <c r="U360" s="73"/>
      <c r="V360" s="73"/>
      <c r="W360" s="69" t="s">
        <v>64</v>
      </c>
      <c r="X360" s="73"/>
      <c r="Y360" s="73"/>
      <c r="Z360" s="73"/>
    </row>
    <row r="361" spans="1:26">
      <c r="A361" s="83">
        <v>106.09</v>
      </c>
      <c r="B361" s="39" t="s">
        <v>596</v>
      </c>
      <c r="C361" s="40"/>
      <c r="D361" s="42" t="s">
        <v>56</v>
      </c>
      <c r="E361" s="73"/>
      <c r="F361" s="73"/>
      <c r="G361" s="366" t="s">
        <v>1712</v>
      </c>
      <c r="H361" s="367" t="s">
        <v>1713</v>
      </c>
      <c r="I361" s="73"/>
      <c r="J361" s="73"/>
      <c r="K361" s="73"/>
      <c r="L361" s="73"/>
      <c r="M361" s="345">
        <v>2.2777777777777779E-2</v>
      </c>
      <c r="N361" s="345">
        <v>2.3229166666666665E-2</v>
      </c>
      <c r="O361" s="307">
        <f t="shared" si="10"/>
        <v>4.5138888888888659E-4</v>
      </c>
      <c r="P361" s="66">
        <v>43030</v>
      </c>
      <c r="Q361" s="410" t="str">
        <f t="shared" ca="1" si="8"/>
        <v>https://www.youtube.com/embed/tUBrwCmKx8s?start=1968&amp;end=2007&amp;autoplay=1</v>
      </c>
      <c r="R361" s="362" t="s">
        <v>63</v>
      </c>
      <c r="S361" s="362" t="s">
        <v>63</v>
      </c>
      <c r="T361" s="362" t="s">
        <v>63</v>
      </c>
      <c r="U361" s="73"/>
      <c r="V361" s="73"/>
      <c r="W361" s="69" t="s">
        <v>64</v>
      </c>
      <c r="X361" s="73"/>
      <c r="Y361" s="73"/>
      <c r="Z361" s="73"/>
    </row>
    <row r="362" spans="1:26">
      <c r="A362" s="368">
        <v>106.1</v>
      </c>
      <c r="B362" s="39" t="s">
        <v>596</v>
      </c>
      <c r="C362" s="40"/>
      <c r="D362" s="42" t="s">
        <v>56</v>
      </c>
      <c r="E362" s="73"/>
      <c r="F362" s="73"/>
      <c r="G362" s="366" t="s">
        <v>1716</v>
      </c>
      <c r="H362" s="367" t="s">
        <v>1717</v>
      </c>
      <c r="I362" s="73"/>
      <c r="J362" s="73"/>
      <c r="K362" s="73"/>
      <c r="L362" s="73"/>
      <c r="M362" s="345">
        <v>2.3240740740740742E-2</v>
      </c>
      <c r="N362" s="345">
        <v>2.7719907407407408E-2</v>
      </c>
      <c r="O362" s="307">
        <f t="shared" si="10"/>
        <v>4.479166666666666E-3</v>
      </c>
      <c r="P362" s="66">
        <v>43030</v>
      </c>
      <c r="Q362" s="410" t="str">
        <f t="shared" ca="1" si="8"/>
        <v>https://www.youtube.com/embed/tUBrwCmKx8s?start=2008&amp;end=2395&amp;autoplay=1</v>
      </c>
      <c r="R362" s="362" t="s">
        <v>63</v>
      </c>
      <c r="S362" s="362" t="s">
        <v>63</v>
      </c>
      <c r="T362" s="362" t="s">
        <v>63</v>
      </c>
      <c r="U362" s="73"/>
      <c r="V362" s="73"/>
      <c r="W362" s="69" t="s">
        <v>64</v>
      </c>
      <c r="X362" s="73"/>
      <c r="Y362" s="73"/>
      <c r="Z362" s="73"/>
    </row>
    <row r="363" spans="1:26">
      <c r="A363" s="83">
        <v>106.11</v>
      </c>
      <c r="B363" s="39" t="s">
        <v>596</v>
      </c>
      <c r="C363" s="40"/>
      <c r="D363" s="42" t="s">
        <v>56</v>
      </c>
      <c r="E363" s="73"/>
      <c r="F363" s="73"/>
      <c r="G363" s="366" t="s">
        <v>2985</v>
      </c>
      <c r="H363" s="367" t="s">
        <v>1722</v>
      </c>
      <c r="I363" s="73"/>
      <c r="J363" s="73"/>
      <c r="K363" s="73"/>
      <c r="L363" s="73"/>
      <c r="M363" s="345">
        <v>2.7731481481481482E-2</v>
      </c>
      <c r="N363" s="345">
        <v>3.1099537037037037E-2</v>
      </c>
      <c r="O363" s="307">
        <f t="shared" si="10"/>
        <v>3.3680555555555547E-3</v>
      </c>
      <c r="P363" s="66">
        <v>43030</v>
      </c>
      <c r="Q363" s="410" t="str">
        <f t="shared" ca="1" si="8"/>
        <v>https://www.youtube.com/embed/tUBrwCmKx8s?start=2396&amp;end=2687&amp;autoplay=1</v>
      </c>
      <c r="R363" s="362" t="s">
        <v>63</v>
      </c>
      <c r="S363" s="362" t="s">
        <v>63</v>
      </c>
      <c r="T363" s="362" t="s">
        <v>63</v>
      </c>
      <c r="U363" s="73"/>
      <c r="V363" s="73"/>
      <c r="W363" s="69" t="s">
        <v>64</v>
      </c>
      <c r="X363" s="73"/>
      <c r="Y363" s="73"/>
      <c r="Z363" s="73"/>
    </row>
    <row r="364" spans="1:26">
      <c r="A364" s="83">
        <v>106.12</v>
      </c>
      <c r="B364" s="39" t="s">
        <v>596</v>
      </c>
      <c r="C364" s="40"/>
      <c r="D364" s="42" t="s">
        <v>56</v>
      </c>
      <c r="E364" s="73"/>
      <c r="F364" s="73"/>
      <c r="G364" s="366" t="s">
        <v>1727</v>
      </c>
      <c r="H364" s="367" t="s">
        <v>1728</v>
      </c>
      <c r="I364" s="73"/>
      <c r="J364" s="73"/>
      <c r="K364" s="73"/>
      <c r="L364" s="73"/>
      <c r="M364" s="345">
        <v>3.1134259259259261E-2</v>
      </c>
      <c r="N364" s="345">
        <v>3.2280092592592589E-2</v>
      </c>
      <c r="O364" s="307">
        <f t="shared" si="10"/>
        <v>1.1458333333333286E-3</v>
      </c>
      <c r="P364" s="66">
        <v>43030</v>
      </c>
      <c r="Q364" s="410" t="str">
        <f t="shared" ca="1" si="8"/>
        <v>https://www.youtube.com/embed/tUBrwCmKx8s?start=2690&amp;end=2789&amp;autoplay=1</v>
      </c>
      <c r="R364" s="362" t="s">
        <v>63</v>
      </c>
      <c r="S364" s="362" t="s">
        <v>63</v>
      </c>
      <c r="T364" s="362" t="s">
        <v>63</v>
      </c>
      <c r="U364" s="73"/>
      <c r="V364" s="73"/>
      <c r="W364" s="69" t="s">
        <v>64</v>
      </c>
      <c r="X364" s="73"/>
      <c r="Y364" s="73"/>
      <c r="Z364" s="73"/>
    </row>
    <row r="365" spans="1:26">
      <c r="A365" s="83">
        <v>106.13</v>
      </c>
      <c r="B365" s="39" t="s">
        <v>596</v>
      </c>
      <c r="C365" s="40"/>
      <c r="D365" s="42" t="s">
        <v>56</v>
      </c>
      <c r="E365" s="73"/>
      <c r="F365" s="73"/>
      <c r="G365" s="366" t="s">
        <v>1731</v>
      </c>
      <c r="H365" s="367" t="s">
        <v>1732</v>
      </c>
      <c r="I365" s="73"/>
      <c r="J365" s="73"/>
      <c r="K365" s="73"/>
      <c r="L365" s="73"/>
      <c r="M365" s="345">
        <v>3.2384259259259258E-2</v>
      </c>
      <c r="N365" s="345">
        <v>3.3206018518518517E-2</v>
      </c>
      <c r="O365" s="307">
        <f t="shared" si="10"/>
        <v>8.2175925925925819E-4</v>
      </c>
      <c r="P365" s="66">
        <v>43030</v>
      </c>
      <c r="Q365" s="410" t="str">
        <f t="shared" ca="1" si="8"/>
        <v>https://www.youtube.com/embed/tUBrwCmKx8s?start=2798&amp;end=2869&amp;autoplay=1</v>
      </c>
      <c r="R365" s="362" t="s">
        <v>63</v>
      </c>
      <c r="S365" s="362" t="s">
        <v>63</v>
      </c>
      <c r="T365" s="362" t="s">
        <v>63</v>
      </c>
      <c r="U365" s="73"/>
      <c r="V365" s="73"/>
      <c r="W365" s="69" t="s">
        <v>64</v>
      </c>
      <c r="X365" s="73"/>
      <c r="Y365" s="73"/>
      <c r="Z365" s="73"/>
    </row>
    <row r="366" spans="1:26">
      <c r="A366" s="42">
        <v>106.14</v>
      </c>
      <c r="B366" s="39" t="s">
        <v>596</v>
      </c>
      <c r="C366" s="40"/>
      <c r="D366" s="42" t="s">
        <v>56</v>
      </c>
      <c r="E366" s="38"/>
      <c r="F366" s="38"/>
      <c r="G366" s="366" t="s">
        <v>1733</v>
      </c>
      <c r="H366" s="367" t="s">
        <v>2986</v>
      </c>
      <c r="I366" s="38"/>
      <c r="J366" s="38"/>
      <c r="K366" s="38"/>
      <c r="L366" s="38"/>
      <c r="M366" s="342">
        <v>3.3229166666666664E-2</v>
      </c>
      <c r="N366" s="342">
        <v>3.709490740740741E-2</v>
      </c>
      <c r="O366" s="307">
        <f t="shared" si="10"/>
        <v>3.865740740740746E-3</v>
      </c>
      <c r="P366" s="66">
        <v>43030</v>
      </c>
      <c r="Q366" s="410" t="str">
        <f t="shared" ca="1" si="8"/>
        <v>https://www.youtube.com/embed/tUBrwCmKx8s?start=2871&amp;end=3205&amp;autoplay=1</v>
      </c>
      <c r="R366" s="362" t="s">
        <v>63</v>
      </c>
      <c r="S366" s="362" t="s">
        <v>63</v>
      </c>
      <c r="T366" s="362" t="s">
        <v>63</v>
      </c>
      <c r="U366" s="40"/>
      <c r="V366" s="54"/>
      <c r="W366" s="69" t="s">
        <v>64</v>
      </c>
      <c r="X366" s="56"/>
      <c r="Y366" s="38"/>
      <c r="Z366" s="38"/>
    </row>
    <row r="367" spans="1:26">
      <c r="A367" s="42">
        <v>106.15</v>
      </c>
      <c r="B367" s="39" t="s">
        <v>596</v>
      </c>
      <c r="C367" s="40"/>
      <c r="D367" s="42" t="s">
        <v>56</v>
      </c>
      <c r="E367" s="38"/>
      <c r="F367" s="38"/>
      <c r="G367" s="366" t="s">
        <v>1737</v>
      </c>
      <c r="H367" s="367" t="s">
        <v>1738</v>
      </c>
      <c r="I367" s="38"/>
      <c r="J367" s="38"/>
      <c r="K367" s="38"/>
      <c r="L367" s="38"/>
      <c r="M367" s="342">
        <v>3.7106481481481483E-2</v>
      </c>
      <c r="N367" s="342">
        <v>4.0370370370370369E-2</v>
      </c>
      <c r="O367" s="307">
        <f t="shared" si="10"/>
        <v>3.2638888888888856E-3</v>
      </c>
      <c r="P367" s="66">
        <v>43030</v>
      </c>
      <c r="Q367" s="410" t="str">
        <f t="shared" ca="1" si="8"/>
        <v>https://www.youtube.com/embed/tUBrwCmKx8s?start=3206&amp;end=3488&amp;autoplay=1</v>
      </c>
      <c r="R367" s="362" t="s">
        <v>63</v>
      </c>
      <c r="S367" s="362" t="s">
        <v>63</v>
      </c>
      <c r="T367" s="362" t="s">
        <v>63</v>
      </c>
      <c r="U367" s="40"/>
      <c r="V367" s="54"/>
      <c r="W367" s="69" t="s">
        <v>64</v>
      </c>
      <c r="X367" s="56"/>
      <c r="Y367" s="38"/>
      <c r="Z367" s="38"/>
    </row>
    <row r="368" spans="1:26">
      <c r="A368" s="42">
        <v>106.16</v>
      </c>
      <c r="B368" s="39" t="s">
        <v>596</v>
      </c>
      <c r="C368" s="40"/>
      <c r="D368" s="42" t="s">
        <v>56</v>
      </c>
      <c r="E368" s="38"/>
      <c r="F368" s="38"/>
      <c r="G368" s="366" t="s">
        <v>2987</v>
      </c>
      <c r="H368" s="367" t="s">
        <v>1743</v>
      </c>
      <c r="I368" s="38"/>
      <c r="J368" s="38"/>
      <c r="K368" s="38"/>
      <c r="L368" s="38"/>
      <c r="M368" s="342">
        <v>4.2881944444444445E-2</v>
      </c>
      <c r="N368" s="342">
        <v>4.4884259259259263E-2</v>
      </c>
      <c r="O368" s="307">
        <f t="shared" si="10"/>
        <v>2.0023148148148179E-3</v>
      </c>
      <c r="P368" s="66">
        <v>43030</v>
      </c>
      <c r="Q368" s="410" t="str">
        <f t="shared" ca="1" si="8"/>
        <v>https://www.youtube.com/embed/tUBrwCmKx8s?start=3705&amp;end=3878&amp;autoplay=1</v>
      </c>
      <c r="R368" s="362" t="s">
        <v>63</v>
      </c>
      <c r="S368" s="362" t="s">
        <v>63</v>
      </c>
      <c r="T368" s="362" t="s">
        <v>63</v>
      </c>
      <c r="U368" s="40"/>
      <c r="V368" s="54"/>
      <c r="W368" s="69" t="s">
        <v>64</v>
      </c>
      <c r="X368" s="56"/>
      <c r="Y368" s="38"/>
      <c r="Z368" s="38"/>
    </row>
    <row r="369" spans="1:26">
      <c r="A369" s="42">
        <v>106.17</v>
      </c>
      <c r="B369" s="39" t="s">
        <v>596</v>
      </c>
      <c r="C369" s="40"/>
      <c r="D369" s="42" t="s">
        <v>56</v>
      </c>
      <c r="E369" s="38"/>
      <c r="F369" s="38"/>
      <c r="G369" s="366" t="s">
        <v>1745</v>
      </c>
      <c r="H369" s="367" t="s">
        <v>1746</v>
      </c>
      <c r="I369" s="38"/>
      <c r="J369" s="38"/>
      <c r="K369" s="38"/>
      <c r="L369" s="38"/>
      <c r="M369" s="342">
        <v>5.2384259259259262E-2</v>
      </c>
      <c r="N369" s="342">
        <v>5.440972222222222E-2</v>
      </c>
      <c r="O369" s="307">
        <f t="shared" si="10"/>
        <v>2.0254629629629581E-3</v>
      </c>
      <c r="P369" s="66">
        <v>43030</v>
      </c>
      <c r="Q369" s="410" t="str">
        <f t="shared" ca="1" si="8"/>
        <v>https://www.youtube.com/embed/tUBrwCmKx8s?start=4526&amp;end=4701&amp;autoplay=1</v>
      </c>
      <c r="R369" s="362" t="s">
        <v>63</v>
      </c>
      <c r="S369" s="362" t="s">
        <v>63</v>
      </c>
      <c r="T369" s="362" t="s">
        <v>63</v>
      </c>
      <c r="U369" s="40"/>
      <c r="V369" s="54"/>
      <c r="W369" s="69" t="s">
        <v>64</v>
      </c>
      <c r="X369" s="56"/>
      <c r="Y369" s="38"/>
      <c r="Z369" s="38"/>
    </row>
    <row r="370" spans="1:26">
      <c r="A370" s="38">
        <v>107</v>
      </c>
      <c r="B370" s="42" t="s">
        <v>55</v>
      </c>
      <c r="C370" s="38"/>
      <c r="D370" s="42" t="s">
        <v>56</v>
      </c>
      <c r="E370" s="38" t="s">
        <v>446</v>
      </c>
      <c r="F370" s="43" t="s">
        <v>447</v>
      </c>
      <c r="G370" s="44"/>
      <c r="H370" s="45"/>
      <c r="I370" s="38"/>
      <c r="J370" s="38">
        <f>11*1000</f>
        <v>11000</v>
      </c>
      <c r="K370" s="46">
        <v>8.446759259259258E-2</v>
      </c>
      <c r="L370" s="47" t="s">
        <v>286</v>
      </c>
      <c r="M370" s="307"/>
      <c r="N370" s="307"/>
      <c r="O370" s="307">
        <f t="shared" si="10"/>
        <v>0</v>
      </c>
      <c r="P370" s="66">
        <v>43008</v>
      </c>
      <c r="Q370" s="410" t="str">
        <f t="shared" ca="1" si="8"/>
        <v>https://www.youtube.com/watch?v=Vf5BOYF0S3Y</v>
      </c>
      <c r="R370" s="50"/>
      <c r="S370" s="50"/>
      <c r="T370" s="50"/>
      <c r="U370" s="52"/>
      <c r="V370" s="53"/>
      <c r="W370" s="60"/>
      <c r="X370" s="56"/>
      <c r="Y370" s="38"/>
      <c r="Z370" s="38"/>
    </row>
    <row r="371" spans="1:26">
      <c r="A371" s="42">
        <v>107.01</v>
      </c>
      <c r="B371" s="42" t="s">
        <v>55</v>
      </c>
      <c r="C371" s="38"/>
      <c r="D371" s="42" t="s">
        <v>56</v>
      </c>
      <c r="E371" s="38"/>
      <c r="F371" s="38"/>
      <c r="G371" s="42" t="s">
        <v>449</v>
      </c>
      <c r="H371" s="38"/>
      <c r="I371" s="38"/>
      <c r="J371" s="38"/>
      <c r="K371" s="46"/>
      <c r="L371" s="38"/>
      <c r="M371" s="307">
        <v>2.013888888888889E-2</v>
      </c>
      <c r="N371" s="307">
        <v>2.3148148148148147E-2</v>
      </c>
      <c r="O371" s="307">
        <f t="shared" si="10"/>
        <v>3.0092592592592567E-3</v>
      </c>
      <c r="P371" s="66">
        <v>43008</v>
      </c>
      <c r="Q371" s="410" t="str">
        <f t="shared" ca="1" si="8"/>
        <v>https://www.youtube.com/embed/Vf5BOYF0S3Y?start=1740&amp;end=2000&amp;autoplay=1</v>
      </c>
      <c r="R371" s="50"/>
      <c r="S371" s="50"/>
      <c r="T371" s="50"/>
      <c r="U371" s="52"/>
      <c r="V371" s="53"/>
      <c r="W371" s="60"/>
      <c r="X371" s="56"/>
      <c r="Y371" s="38"/>
      <c r="Z371" s="38"/>
    </row>
    <row r="372" spans="1:26">
      <c r="A372" s="42">
        <v>107.02</v>
      </c>
      <c r="B372" s="42" t="s">
        <v>55</v>
      </c>
      <c r="C372" s="38"/>
      <c r="D372" s="42" t="s">
        <v>56</v>
      </c>
      <c r="E372" s="38"/>
      <c r="F372" s="38"/>
      <c r="G372" s="42" t="s">
        <v>454</v>
      </c>
      <c r="H372" s="38"/>
      <c r="I372" s="38"/>
      <c r="J372" s="38"/>
      <c r="K372" s="46"/>
      <c r="L372" s="38"/>
      <c r="M372" s="307">
        <v>2.0833333333333332E-2</v>
      </c>
      <c r="N372" s="307">
        <v>2.2280092592592591E-2</v>
      </c>
      <c r="O372" s="307">
        <f t="shared" si="10"/>
        <v>1.4467592592592587E-3</v>
      </c>
      <c r="P372" s="66">
        <v>43008</v>
      </c>
      <c r="Q372" s="410" t="str">
        <f t="shared" ca="1" si="8"/>
        <v>https://www.youtube.com/embed/Vf5BOYF0S3Y?start=1800&amp;end=1925&amp;autoplay=1</v>
      </c>
      <c r="R372" s="50"/>
      <c r="S372" s="50"/>
      <c r="T372" s="50"/>
      <c r="U372" s="52"/>
      <c r="V372" s="53"/>
      <c r="W372" s="60"/>
      <c r="X372" s="56"/>
      <c r="Y372" s="38"/>
      <c r="Z372" s="38"/>
    </row>
    <row r="373" spans="1:26">
      <c r="A373" s="42">
        <v>107.03</v>
      </c>
      <c r="B373" s="42" t="s">
        <v>55</v>
      </c>
      <c r="C373" s="38"/>
      <c r="D373" s="42" t="s">
        <v>56</v>
      </c>
      <c r="E373" s="38"/>
      <c r="F373" s="38"/>
      <c r="G373" s="42" t="s">
        <v>2988</v>
      </c>
      <c r="H373" s="38"/>
      <c r="I373" s="38"/>
      <c r="J373" s="38"/>
      <c r="K373" s="46"/>
      <c r="L373" s="38"/>
      <c r="M373" s="307">
        <v>2.1469907407407406E-2</v>
      </c>
      <c r="N373" s="307">
        <v>2.2280092592592591E-2</v>
      </c>
      <c r="O373" s="307">
        <f t="shared" si="10"/>
        <v>8.1018518518518462E-4</v>
      </c>
      <c r="P373" s="66">
        <v>43008</v>
      </c>
      <c r="Q373" s="410" t="str">
        <f t="shared" ca="1" si="8"/>
        <v>https://www.youtube.com/embed/Vf5BOYF0S3Y?start=1855&amp;end=1925&amp;autoplay=1</v>
      </c>
      <c r="R373" s="50"/>
      <c r="S373" s="50"/>
      <c r="T373" s="50"/>
      <c r="U373" s="52"/>
      <c r="V373" s="53"/>
      <c r="W373" s="60"/>
      <c r="X373" s="56"/>
      <c r="Y373" s="38"/>
      <c r="Z373" s="38"/>
    </row>
    <row r="374" spans="1:26">
      <c r="A374" s="42">
        <v>107.04</v>
      </c>
      <c r="B374" s="42" t="s">
        <v>55</v>
      </c>
      <c r="C374" s="38"/>
      <c r="D374" s="42" t="s">
        <v>56</v>
      </c>
      <c r="E374" s="38"/>
      <c r="F374" s="38"/>
      <c r="G374" s="42" t="s">
        <v>461</v>
      </c>
      <c r="H374" s="38"/>
      <c r="I374" s="38"/>
      <c r="J374" s="38"/>
      <c r="K374" s="46"/>
      <c r="L374" s="38"/>
      <c r="M374" s="307">
        <v>2.0949074074074075E-2</v>
      </c>
      <c r="N374" s="307">
        <v>2.8125000000000001E-2</v>
      </c>
      <c r="O374" s="307">
        <f t="shared" si="10"/>
        <v>7.1759259259259259E-3</v>
      </c>
      <c r="P374" s="66">
        <v>43008</v>
      </c>
      <c r="Q374" s="410" t="str">
        <f t="shared" ca="1" si="8"/>
        <v>https://www.youtube.com/embed/Vf5BOYF0S3Y?start=1810&amp;end=2430&amp;autoplay=1</v>
      </c>
      <c r="R374" s="50"/>
      <c r="S374" s="50"/>
      <c r="T374" s="50"/>
      <c r="U374" s="52"/>
      <c r="V374" s="53"/>
      <c r="W374" s="60"/>
      <c r="X374" s="56"/>
      <c r="Y374" s="38"/>
      <c r="Z374" s="38"/>
    </row>
    <row r="375" spans="1:26">
      <c r="A375" s="85">
        <v>107.05</v>
      </c>
      <c r="B375" s="42" t="s">
        <v>55</v>
      </c>
      <c r="C375" s="38"/>
      <c r="D375" s="42" t="s">
        <v>56</v>
      </c>
      <c r="E375" s="38"/>
      <c r="F375" s="38"/>
      <c r="G375" s="42" t="s">
        <v>2989</v>
      </c>
      <c r="H375" s="38"/>
      <c r="I375" s="38"/>
      <c r="J375" s="38"/>
      <c r="K375" s="46"/>
      <c r="L375" s="38"/>
      <c r="M375" s="307">
        <v>2.8182870370370372E-2</v>
      </c>
      <c r="N375" s="307">
        <v>2.9224537037037038E-2</v>
      </c>
      <c r="O375" s="307">
        <f t="shared" si="10"/>
        <v>1.0416666666666664E-3</v>
      </c>
      <c r="P375" s="66">
        <v>43008</v>
      </c>
      <c r="Q375" s="410" t="str">
        <f t="shared" ca="1" si="8"/>
        <v>https://www.youtube.com/embed/Vf5BOYF0S3Y?start=2435&amp;end=2525&amp;autoplay=1</v>
      </c>
      <c r="R375" s="50"/>
      <c r="S375" s="50"/>
      <c r="T375" s="50"/>
      <c r="U375" s="52"/>
      <c r="V375" s="53"/>
      <c r="W375" s="60"/>
      <c r="X375" s="56"/>
      <c r="Y375" s="38"/>
      <c r="Z375" s="38"/>
    </row>
    <row r="376" spans="1:26">
      <c r="A376" s="85">
        <v>107.06</v>
      </c>
      <c r="B376" s="42" t="s">
        <v>55</v>
      </c>
      <c r="C376" s="38"/>
      <c r="D376" s="42" t="s">
        <v>56</v>
      </c>
      <c r="E376" s="38"/>
      <c r="F376" s="38"/>
      <c r="G376" s="42" t="s">
        <v>468</v>
      </c>
      <c r="H376" s="38"/>
      <c r="I376" s="38"/>
      <c r="J376" s="38"/>
      <c r="K376" s="46"/>
      <c r="L376" s="38"/>
      <c r="M376" s="307">
        <v>2.9282407407407406E-2</v>
      </c>
      <c r="N376" s="307">
        <v>3.0902777777777779E-2</v>
      </c>
      <c r="O376" s="307">
        <f t="shared" si="10"/>
        <v>1.6203703703703727E-3</v>
      </c>
      <c r="P376" s="66">
        <v>43008</v>
      </c>
      <c r="Q376" s="410" t="str">
        <f t="shared" ca="1" si="8"/>
        <v>https://www.youtube.com/embed/Vf5BOYF0S3Y?start=2530&amp;end=2670&amp;autoplay=1</v>
      </c>
      <c r="R376" s="50"/>
      <c r="S376" s="50"/>
      <c r="T376" s="50"/>
      <c r="U376" s="52"/>
      <c r="V376" s="53"/>
      <c r="W376" s="60"/>
      <c r="X376" s="56"/>
      <c r="Y376" s="38"/>
      <c r="Z376" s="38"/>
    </row>
    <row r="377" spans="1:26">
      <c r="A377" s="85">
        <v>107.07</v>
      </c>
      <c r="B377" s="42" t="s">
        <v>55</v>
      </c>
      <c r="C377" s="38"/>
      <c r="D377" s="42" t="s">
        <v>56</v>
      </c>
      <c r="E377" s="38"/>
      <c r="F377" s="38"/>
      <c r="G377" s="42" t="s">
        <v>471</v>
      </c>
      <c r="H377" s="38"/>
      <c r="I377" s="38"/>
      <c r="J377" s="38"/>
      <c r="K377" s="46"/>
      <c r="L377" s="38"/>
      <c r="M377" s="307">
        <v>3.0960648148148147E-2</v>
      </c>
      <c r="N377" s="307">
        <v>3.321759259259259E-2</v>
      </c>
      <c r="O377" s="307">
        <f t="shared" si="10"/>
        <v>2.2569444444444434E-3</v>
      </c>
      <c r="P377" s="66">
        <v>43008</v>
      </c>
      <c r="Q377" s="410" t="str">
        <f t="shared" ca="1" si="8"/>
        <v>https://www.youtube.com/embed/Vf5BOYF0S3Y?start=2675&amp;end=2870&amp;autoplay=1</v>
      </c>
      <c r="R377" s="50"/>
      <c r="S377" s="50"/>
      <c r="T377" s="50"/>
      <c r="U377" s="52"/>
      <c r="V377" s="53"/>
      <c r="W377" s="60"/>
      <c r="X377" s="56"/>
      <c r="Y377" s="38"/>
      <c r="Z377" s="38"/>
    </row>
    <row r="378" spans="1:26">
      <c r="A378" s="85">
        <v>107.08</v>
      </c>
      <c r="B378" s="42" t="s">
        <v>55</v>
      </c>
      <c r="C378" s="38"/>
      <c r="D378" s="42" t="s">
        <v>56</v>
      </c>
      <c r="E378" s="38"/>
      <c r="F378" s="38"/>
      <c r="G378" s="42" t="s">
        <v>474</v>
      </c>
      <c r="H378" s="38"/>
      <c r="I378" s="38"/>
      <c r="J378" s="38"/>
      <c r="K378" s="46"/>
      <c r="L378" s="38"/>
      <c r="M378" s="307">
        <v>3.7152777777777778E-2</v>
      </c>
      <c r="N378" s="307">
        <v>3.9930555555555552E-2</v>
      </c>
      <c r="O378" s="307">
        <f t="shared" si="10"/>
        <v>2.7777777777777748E-3</v>
      </c>
      <c r="P378" s="66">
        <v>43008</v>
      </c>
      <c r="Q378" s="410" t="str">
        <f t="shared" ca="1" si="8"/>
        <v>https://www.youtube.com/embed/Vf5BOYF0S3Y?start=3210&amp;end=3450&amp;autoplay=1</v>
      </c>
      <c r="R378" s="50"/>
      <c r="S378" s="50"/>
      <c r="T378" s="50"/>
      <c r="U378" s="52"/>
      <c r="V378" s="53"/>
      <c r="W378" s="60"/>
      <c r="X378" s="56"/>
      <c r="Y378" s="38"/>
      <c r="Z378" s="38"/>
    </row>
    <row r="379" spans="1:26">
      <c r="A379" s="85">
        <v>107.09</v>
      </c>
      <c r="B379" s="42" t="s">
        <v>55</v>
      </c>
      <c r="C379" s="38"/>
      <c r="D379" s="42" t="s">
        <v>56</v>
      </c>
      <c r="E379" s="38"/>
      <c r="F379" s="38"/>
      <c r="G379" s="42" t="s">
        <v>477</v>
      </c>
      <c r="H379" s="38"/>
      <c r="I379" s="38"/>
      <c r="J379" s="38"/>
      <c r="K379" s="46"/>
      <c r="L379" s="38"/>
      <c r="M379" s="307">
        <v>4.1666666666666664E-2</v>
      </c>
      <c r="N379" s="307">
        <v>4.4097222222222225E-2</v>
      </c>
      <c r="O379" s="307">
        <f t="shared" si="10"/>
        <v>2.4305555555555608E-3</v>
      </c>
      <c r="P379" s="66">
        <v>43008</v>
      </c>
      <c r="Q379" s="410" t="str">
        <f t="shared" ca="1" si="8"/>
        <v>https://www.youtube.com/embed/Vf5BOYF0S3Y?start=3600&amp;end=3810&amp;autoplay=1</v>
      </c>
      <c r="R379" s="50"/>
      <c r="S379" s="50"/>
      <c r="T379" s="50"/>
      <c r="U379" s="52"/>
      <c r="V379" s="53"/>
      <c r="W379" s="60"/>
      <c r="X379" s="56"/>
      <c r="Y379" s="38"/>
      <c r="Z379" s="38"/>
    </row>
    <row r="380" spans="1:26">
      <c r="A380" s="85">
        <v>107.1</v>
      </c>
      <c r="B380" s="42" t="s">
        <v>55</v>
      </c>
      <c r="C380" s="38"/>
      <c r="D380" s="42" t="s">
        <v>56</v>
      </c>
      <c r="E380" s="38"/>
      <c r="F380" s="38"/>
      <c r="G380" s="42" t="s">
        <v>481</v>
      </c>
      <c r="H380" s="38"/>
      <c r="I380" s="38"/>
      <c r="J380" s="38"/>
      <c r="K380" s="46"/>
      <c r="L380" s="38"/>
      <c r="M380" s="307">
        <v>4.5497685185185183E-2</v>
      </c>
      <c r="N380" s="307">
        <v>4.7569444444444442E-2</v>
      </c>
      <c r="O380" s="307">
        <f t="shared" si="10"/>
        <v>2.0717592592592593E-3</v>
      </c>
      <c r="P380" s="66">
        <v>43008</v>
      </c>
      <c r="Q380" s="410" t="str">
        <f t="shared" ca="1" si="8"/>
        <v>https://www.youtube.com/embed/Vf5BOYF0S3Y?start=3931&amp;end=4110&amp;autoplay=1</v>
      </c>
      <c r="R380" s="50"/>
      <c r="S380" s="50"/>
      <c r="T380" s="50"/>
      <c r="U380" s="52"/>
      <c r="V380" s="53"/>
      <c r="W380" s="60"/>
      <c r="X380" s="56"/>
      <c r="Y380" s="38"/>
      <c r="Z380" s="38"/>
    </row>
    <row r="381" spans="1:26">
      <c r="A381" s="85">
        <v>107.11</v>
      </c>
      <c r="B381" s="42" t="s">
        <v>55</v>
      </c>
      <c r="C381" s="38"/>
      <c r="D381" s="42" t="s">
        <v>56</v>
      </c>
      <c r="E381" s="38"/>
      <c r="F381" s="38"/>
      <c r="G381" s="42" t="s">
        <v>486</v>
      </c>
      <c r="H381" s="42" t="s">
        <v>487</v>
      </c>
      <c r="I381" s="38"/>
      <c r="J381" s="38"/>
      <c r="K381" s="46"/>
      <c r="L381" s="38"/>
      <c r="M381" s="307">
        <v>5.4247685185185184E-2</v>
      </c>
      <c r="N381" s="307">
        <v>5.5150462962962964E-2</v>
      </c>
      <c r="O381" s="307">
        <f t="shared" si="10"/>
        <v>9.0277777777778012E-4</v>
      </c>
      <c r="P381" s="66">
        <v>43009</v>
      </c>
      <c r="Q381" s="410" t="str">
        <f t="shared" ca="1" si="8"/>
        <v>https://www.youtube.com/embed/Vf5BOYF0S3Y?start=4687&amp;end=4765&amp;autoplay=1</v>
      </c>
      <c r="R381" s="50"/>
      <c r="S381" s="50"/>
      <c r="T381" s="50"/>
      <c r="U381" s="52"/>
      <c r="V381" s="53"/>
      <c r="W381" s="60"/>
      <c r="X381" s="56"/>
      <c r="Y381" s="38"/>
      <c r="Z381" s="38"/>
    </row>
    <row r="382" spans="1:26">
      <c r="A382" s="85">
        <v>107.12</v>
      </c>
      <c r="B382" s="42" t="s">
        <v>55</v>
      </c>
      <c r="C382" s="38"/>
      <c r="D382" s="42" t="s">
        <v>56</v>
      </c>
      <c r="E382" s="38"/>
      <c r="F382" s="38"/>
      <c r="G382" s="42" t="s">
        <v>489</v>
      </c>
      <c r="H382" s="38"/>
      <c r="I382" s="38"/>
      <c r="J382" s="38"/>
      <c r="K382" s="46"/>
      <c r="L382" s="38"/>
      <c r="M382" s="307">
        <v>6.0381944444444446E-2</v>
      </c>
      <c r="N382" s="307">
        <v>6.1863425925925926E-2</v>
      </c>
      <c r="O382" s="307">
        <f t="shared" si="10"/>
        <v>1.4814814814814795E-3</v>
      </c>
      <c r="P382" s="66">
        <v>43009</v>
      </c>
      <c r="Q382" s="410" t="str">
        <f t="shared" ca="1" si="8"/>
        <v>https://www.youtube.com/embed/Vf5BOYF0S3Y?start=5217&amp;end=5345&amp;autoplay=1</v>
      </c>
      <c r="R382" s="50"/>
      <c r="S382" s="50"/>
      <c r="T382" s="50"/>
      <c r="U382" s="52"/>
      <c r="V382" s="53"/>
      <c r="W382" s="60"/>
      <c r="X382" s="56"/>
      <c r="Y382" s="38"/>
      <c r="Z382" s="38"/>
    </row>
    <row r="383" spans="1:26">
      <c r="A383" s="85">
        <v>107.13</v>
      </c>
      <c r="B383" s="42" t="s">
        <v>55</v>
      </c>
      <c r="C383" s="38"/>
      <c r="D383" s="42" t="s">
        <v>56</v>
      </c>
      <c r="E383" s="38"/>
      <c r="F383" s="38"/>
      <c r="G383" s="42" t="s">
        <v>492</v>
      </c>
      <c r="H383" s="38"/>
      <c r="I383" s="38"/>
      <c r="J383" s="38"/>
      <c r="K383" s="46"/>
      <c r="L383" s="38"/>
      <c r="M383" s="307">
        <v>6.2708333333333338E-2</v>
      </c>
      <c r="N383" s="307">
        <v>6.4814814814814811E-2</v>
      </c>
      <c r="O383" s="307">
        <f t="shared" si="10"/>
        <v>2.1064814814814731E-3</v>
      </c>
      <c r="P383" s="66">
        <v>43009</v>
      </c>
      <c r="Q383" s="410" t="str">
        <f t="shared" ca="1" si="8"/>
        <v>https://www.youtube.com/embed/Vf5BOYF0S3Y?start=5418&amp;end=5600&amp;autoplay=1</v>
      </c>
      <c r="R383" s="50"/>
      <c r="S383" s="50"/>
      <c r="T383" s="50"/>
      <c r="U383" s="52"/>
      <c r="V383" s="53"/>
      <c r="W383" s="60"/>
      <c r="X383" s="56"/>
      <c r="Y383" s="38"/>
      <c r="Z383" s="38"/>
    </row>
    <row r="384" spans="1:26">
      <c r="A384" s="85">
        <v>107.14</v>
      </c>
      <c r="B384" s="42" t="s">
        <v>55</v>
      </c>
      <c r="C384" s="38"/>
      <c r="D384" s="42" t="s">
        <v>56</v>
      </c>
      <c r="E384" s="38"/>
      <c r="F384" s="38"/>
      <c r="G384" s="42" t="s">
        <v>2990</v>
      </c>
      <c r="H384" s="38"/>
      <c r="I384" s="38"/>
      <c r="J384" s="38"/>
      <c r="K384" s="46"/>
      <c r="L384" s="38"/>
      <c r="M384" s="307">
        <v>7.2337962962962965E-2</v>
      </c>
      <c r="N384" s="307">
        <v>7.3854166666666665E-2</v>
      </c>
      <c r="O384" s="307">
        <f t="shared" si="10"/>
        <v>1.5162037037037002E-3</v>
      </c>
      <c r="P384" s="66">
        <v>43009</v>
      </c>
      <c r="Q384" s="410" t="str">
        <f t="shared" ca="1" si="8"/>
        <v>https://www.youtube.com/embed/Vf5BOYF0S3Y?start=6250&amp;end=6381&amp;autoplay=1</v>
      </c>
      <c r="R384" s="50"/>
      <c r="S384" s="50"/>
      <c r="T384" s="50"/>
      <c r="U384" s="52"/>
      <c r="V384" s="53"/>
      <c r="W384" s="60"/>
      <c r="X384" s="56"/>
      <c r="Y384" s="38"/>
      <c r="Z384" s="38"/>
    </row>
    <row r="385" spans="1:26" hidden="1">
      <c r="A385" s="38">
        <v>108</v>
      </c>
      <c r="B385" s="38"/>
      <c r="C385" s="38"/>
      <c r="D385" s="38"/>
      <c r="E385" s="38" t="s">
        <v>605</v>
      </c>
      <c r="F385" s="43" t="s">
        <v>606</v>
      </c>
      <c r="G385" s="44"/>
      <c r="H385" s="45"/>
      <c r="I385" s="38"/>
      <c r="J385" s="38">
        <f>2.6*1000</f>
        <v>2600</v>
      </c>
      <c r="K385" s="46">
        <v>5.2893518518518513E-2</v>
      </c>
      <c r="L385" s="47" t="s">
        <v>286</v>
      </c>
      <c r="M385" s="307"/>
      <c r="N385" s="307"/>
      <c r="O385" s="307">
        <f t="shared" si="10"/>
        <v>0</v>
      </c>
      <c r="P385" s="92"/>
      <c r="Q385" s="410" t="str">
        <f t="shared" ca="1" si="8"/>
        <v>https://www.youtube.com/watch?v=WMf0Mau2TzE</v>
      </c>
      <c r="R385" s="50"/>
      <c r="S385" s="50"/>
      <c r="T385" s="50"/>
      <c r="U385" s="52"/>
      <c r="V385" s="53"/>
      <c r="W385" s="60"/>
      <c r="X385" s="56"/>
      <c r="Y385" s="38"/>
      <c r="Z385" s="38"/>
    </row>
    <row r="386" spans="1:26">
      <c r="A386" s="38">
        <v>109</v>
      </c>
      <c r="B386" s="39" t="s">
        <v>155</v>
      </c>
      <c r="C386" s="40"/>
      <c r="D386" s="42" t="s">
        <v>56</v>
      </c>
      <c r="E386" s="38" t="s">
        <v>611</v>
      </c>
      <c r="F386" s="43" t="s">
        <v>612</v>
      </c>
      <c r="G386" s="44"/>
      <c r="H386" s="45"/>
      <c r="I386" s="38"/>
      <c r="J386" s="38">
        <f>1.4*1000</f>
        <v>1400</v>
      </c>
      <c r="K386" s="46">
        <v>3.1817129629629633E-2</v>
      </c>
      <c r="L386" s="47" t="s">
        <v>286</v>
      </c>
      <c r="M386" s="48"/>
      <c r="N386" s="48"/>
      <c r="O386" s="48">
        <f t="shared" si="10"/>
        <v>0</v>
      </c>
      <c r="P386" s="369">
        <v>43044</v>
      </c>
      <c r="Q386" s="410" t="str">
        <f t="shared" ca="1" si="8"/>
        <v>https://www.youtube.com/watch?v=apOba1F4MT4</v>
      </c>
      <c r="R386" s="51"/>
      <c r="S386" s="51"/>
      <c r="T386" s="51"/>
      <c r="U386" s="40"/>
      <c r="V386" s="54"/>
      <c r="W386" s="55"/>
      <c r="X386" s="56"/>
      <c r="Y386" s="88"/>
      <c r="Z386" s="88"/>
    </row>
    <row r="387" spans="1:26">
      <c r="A387" s="85">
        <v>109.01</v>
      </c>
      <c r="B387" s="39" t="s">
        <v>155</v>
      </c>
      <c r="C387" s="40"/>
      <c r="D387" s="42" t="s">
        <v>56</v>
      </c>
      <c r="E387" s="38"/>
      <c r="F387" s="38"/>
      <c r="G387" s="42" t="s">
        <v>1176</v>
      </c>
      <c r="H387" s="58" t="s">
        <v>1177</v>
      </c>
      <c r="I387" s="38"/>
      <c r="J387" s="38"/>
      <c r="K387" s="46"/>
      <c r="L387" s="47"/>
      <c r="M387" s="64">
        <v>4.2361111111111115E-3</v>
      </c>
      <c r="N387" s="64">
        <v>6.6782407407407407E-3</v>
      </c>
      <c r="O387" s="46">
        <f t="shared" si="10"/>
        <v>2.4421296296296292E-3</v>
      </c>
      <c r="P387" s="369">
        <v>43044</v>
      </c>
      <c r="Q387" s="410" t="str">
        <f t="shared" ref="Q387:Q450" ca="1" si="11">HYPERLINK(IF(INT(A387)-A387=0,E387,REPLACE(INDIRECT("MasterList!e"&amp;INT(A387)+1),25,8,"embed/")&amp;"?start="&amp;HOUR(M387)*3600+MINUTE(M387)*60+SECOND(M387)&amp;"&amp;end="&amp;HOUR(N387)*3600+MINUTE(N387)*60+SECOND(N387)&amp;"&amp;autoplay=1"))</f>
        <v>https://www.youtube.com/embed/apOba1F4MT4?start=366&amp;end=577&amp;autoplay=1</v>
      </c>
      <c r="R387" s="67" t="s">
        <v>63</v>
      </c>
      <c r="S387" s="67" t="s">
        <v>131</v>
      </c>
      <c r="T387" s="67" t="s">
        <v>63</v>
      </c>
      <c r="U387" s="52"/>
      <c r="V387" s="53"/>
      <c r="W387" s="57" t="s">
        <v>64</v>
      </c>
      <c r="X387" s="56"/>
      <c r="Y387" s="38"/>
      <c r="Z387" s="38"/>
    </row>
    <row r="388" spans="1:26">
      <c r="A388" s="42">
        <v>109.02</v>
      </c>
      <c r="B388" s="39" t="s">
        <v>155</v>
      </c>
      <c r="C388" s="40"/>
      <c r="D388" s="42" t="s">
        <v>56</v>
      </c>
      <c r="E388" s="38"/>
      <c r="F388" s="43"/>
      <c r="G388" s="63" t="s">
        <v>1180</v>
      </c>
      <c r="H388" s="58" t="s">
        <v>1181</v>
      </c>
      <c r="I388" s="38"/>
      <c r="J388" s="38"/>
      <c r="K388" s="46"/>
      <c r="L388" s="47"/>
      <c r="M388" s="64">
        <v>6.6782407407407407E-3</v>
      </c>
      <c r="N388" s="64">
        <v>8.2523148148148148E-3</v>
      </c>
      <c r="O388" s="46">
        <f t="shared" si="10"/>
        <v>1.5740740740740741E-3</v>
      </c>
      <c r="P388" s="369">
        <v>43044</v>
      </c>
      <c r="Q388" s="410" t="str">
        <f t="shared" ca="1" si="11"/>
        <v>https://www.youtube.com/embed/apOba1F4MT4?start=577&amp;end=713&amp;autoplay=1</v>
      </c>
      <c r="R388" s="67" t="s">
        <v>63</v>
      </c>
      <c r="S388" s="67" t="s">
        <v>131</v>
      </c>
      <c r="T388" s="67" t="s">
        <v>63</v>
      </c>
      <c r="U388" s="52"/>
      <c r="V388" s="53"/>
      <c r="W388" s="57" t="s">
        <v>64</v>
      </c>
      <c r="X388" s="56"/>
      <c r="Y388" s="38"/>
      <c r="Z388" s="38"/>
    </row>
    <row r="389" spans="1:26">
      <c r="A389" s="85">
        <v>109.03</v>
      </c>
      <c r="B389" s="39" t="s">
        <v>155</v>
      </c>
      <c r="C389" s="40"/>
      <c r="D389" s="42" t="s">
        <v>56</v>
      </c>
      <c r="E389" s="38"/>
      <c r="F389" s="43"/>
      <c r="G389" s="63" t="s">
        <v>1184</v>
      </c>
      <c r="H389" s="58" t="s">
        <v>1185</v>
      </c>
      <c r="I389" s="38"/>
      <c r="J389" s="38"/>
      <c r="K389" s="46"/>
      <c r="L389" s="47"/>
      <c r="M389" s="64">
        <v>8.2523148148148148E-3</v>
      </c>
      <c r="N389" s="64">
        <v>1.1608796296296296E-2</v>
      </c>
      <c r="O389" s="46">
        <f t="shared" si="10"/>
        <v>3.3564814814814811E-3</v>
      </c>
      <c r="P389" s="369">
        <v>43044</v>
      </c>
      <c r="Q389" s="410" t="str">
        <f t="shared" ca="1" si="11"/>
        <v>https://www.youtube.com/embed/apOba1F4MT4?start=713&amp;end=1003&amp;autoplay=1</v>
      </c>
      <c r="R389" s="67" t="s">
        <v>63</v>
      </c>
      <c r="S389" s="67" t="s">
        <v>131</v>
      </c>
      <c r="T389" s="67" t="s">
        <v>63</v>
      </c>
      <c r="U389" s="52"/>
      <c r="V389" s="53"/>
      <c r="W389" s="57" t="s">
        <v>64</v>
      </c>
      <c r="X389" s="56"/>
      <c r="Y389" s="38"/>
      <c r="Z389" s="38"/>
    </row>
    <row r="390" spans="1:26">
      <c r="A390" s="42">
        <v>109.04</v>
      </c>
      <c r="B390" s="39" t="s">
        <v>155</v>
      </c>
      <c r="C390" s="40"/>
      <c r="D390" s="42" t="s">
        <v>56</v>
      </c>
      <c r="E390" s="38"/>
      <c r="F390" s="43"/>
      <c r="G390" s="63" t="s">
        <v>1188</v>
      </c>
      <c r="H390" s="58" t="s">
        <v>1189</v>
      </c>
      <c r="I390" s="38"/>
      <c r="J390" s="38"/>
      <c r="K390" s="46"/>
      <c r="L390" s="47"/>
      <c r="M390" s="64">
        <v>1.1608796296296296E-2</v>
      </c>
      <c r="N390" s="76">
        <v>1.4965277777777777E-2</v>
      </c>
      <c r="O390" s="77">
        <f t="shared" si="10"/>
        <v>3.3564814814814811E-3</v>
      </c>
      <c r="P390" s="369">
        <v>43044</v>
      </c>
      <c r="Q390" s="410" t="str">
        <f t="shared" ca="1" si="11"/>
        <v>https://www.youtube.com/embed/apOba1F4MT4?start=1003&amp;end=1293&amp;autoplay=1</v>
      </c>
      <c r="R390" s="67" t="s">
        <v>63</v>
      </c>
      <c r="S390" s="67" t="s">
        <v>131</v>
      </c>
      <c r="T390" s="67" t="s">
        <v>63</v>
      </c>
      <c r="U390" s="52"/>
      <c r="V390" s="53"/>
      <c r="W390" s="57" t="s">
        <v>64</v>
      </c>
      <c r="X390" s="56"/>
      <c r="Y390" s="38"/>
      <c r="Z390" s="38"/>
    </row>
    <row r="391" spans="1:26">
      <c r="A391" s="85">
        <v>109.05</v>
      </c>
      <c r="B391" s="39" t="s">
        <v>155</v>
      </c>
      <c r="C391" s="40"/>
      <c r="D391" s="42" t="s">
        <v>56</v>
      </c>
      <c r="E391" s="38"/>
      <c r="F391" s="43"/>
      <c r="G391" s="63" t="s">
        <v>1194</v>
      </c>
      <c r="H391" s="58" t="s">
        <v>1195</v>
      </c>
      <c r="I391" s="38"/>
      <c r="J391" s="38"/>
      <c r="K391" s="46"/>
      <c r="L391" s="47"/>
      <c r="M391" s="76">
        <v>1.4965277777777777E-2</v>
      </c>
      <c r="N391" s="64">
        <v>2.1215277777777777E-2</v>
      </c>
      <c r="O391" s="46">
        <f t="shared" si="10"/>
        <v>6.2500000000000003E-3</v>
      </c>
      <c r="P391" s="369">
        <v>43044</v>
      </c>
      <c r="Q391" s="410" t="str">
        <f t="shared" ca="1" si="11"/>
        <v>https://www.youtube.com/embed/apOba1F4MT4?start=1293&amp;end=1833&amp;autoplay=1</v>
      </c>
      <c r="R391" s="67" t="s">
        <v>63</v>
      </c>
      <c r="S391" s="67" t="s">
        <v>131</v>
      </c>
      <c r="T391" s="67" t="s">
        <v>63</v>
      </c>
      <c r="U391" s="52"/>
      <c r="V391" s="53"/>
      <c r="W391" s="57" t="s">
        <v>64</v>
      </c>
      <c r="X391" s="56"/>
      <c r="Y391" s="38"/>
      <c r="Z391" s="38"/>
    </row>
    <row r="392" spans="1:26">
      <c r="A392" s="42">
        <v>109.06</v>
      </c>
      <c r="B392" s="39" t="s">
        <v>155</v>
      </c>
      <c r="C392" s="40"/>
      <c r="D392" s="42" t="s">
        <v>56</v>
      </c>
      <c r="E392" s="38"/>
      <c r="F392" s="43"/>
      <c r="G392" s="63" t="s">
        <v>1197</v>
      </c>
      <c r="H392" s="58" t="s">
        <v>1199</v>
      </c>
      <c r="I392" s="38"/>
      <c r="J392" s="38"/>
      <c r="K392" s="46"/>
      <c r="L392" s="47"/>
      <c r="M392" s="93">
        <v>2.1226851851851851E-2</v>
      </c>
      <c r="N392" s="93">
        <v>2.763888888888889E-2</v>
      </c>
      <c r="O392" s="48">
        <f t="shared" si="10"/>
        <v>6.412037037037039E-3</v>
      </c>
      <c r="P392" s="369">
        <v>43044</v>
      </c>
      <c r="Q392" s="410" t="str">
        <f t="shared" ca="1" si="11"/>
        <v>https://www.youtube.com/embed/apOba1F4MT4?start=1834&amp;end=2388&amp;autoplay=1</v>
      </c>
      <c r="R392" s="67" t="s">
        <v>63</v>
      </c>
      <c r="S392" s="67" t="s">
        <v>131</v>
      </c>
      <c r="T392" s="67" t="s">
        <v>63</v>
      </c>
      <c r="U392" s="52"/>
      <c r="V392" s="53"/>
      <c r="W392" s="57" t="s">
        <v>64</v>
      </c>
      <c r="X392" s="56"/>
      <c r="Y392" s="88"/>
      <c r="Z392" s="88"/>
    </row>
    <row r="393" spans="1:26">
      <c r="A393" s="85">
        <v>109.07</v>
      </c>
      <c r="B393" s="39" t="s">
        <v>155</v>
      </c>
      <c r="C393" s="40"/>
      <c r="D393" s="42" t="s">
        <v>56</v>
      </c>
      <c r="E393" s="38"/>
      <c r="F393" s="43"/>
      <c r="G393" s="63" t="s">
        <v>1202</v>
      </c>
      <c r="H393" s="58" t="s">
        <v>1203</v>
      </c>
      <c r="I393" s="38"/>
      <c r="J393" s="38"/>
      <c r="K393" s="46"/>
      <c r="L393" s="47"/>
      <c r="M393" s="93">
        <v>2.763888888888889E-2</v>
      </c>
      <c r="N393" s="93">
        <v>3.0636574074074073E-2</v>
      </c>
      <c r="O393" s="48">
        <f t="shared" si="10"/>
        <v>2.9976851851851831E-3</v>
      </c>
      <c r="P393" s="369">
        <v>43044</v>
      </c>
      <c r="Q393" s="410" t="str">
        <f t="shared" ca="1" si="11"/>
        <v>https://www.youtube.com/embed/apOba1F4MT4?start=2388&amp;end=2647&amp;autoplay=1</v>
      </c>
      <c r="R393" s="67" t="s">
        <v>63</v>
      </c>
      <c r="S393" s="67" t="s">
        <v>131</v>
      </c>
      <c r="T393" s="67" t="s">
        <v>63</v>
      </c>
      <c r="U393" s="52"/>
      <c r="V393" s="53"/>
      <c r="W393" s="57" t="s">
        <v>64</v>
      </c>
      <c r="X393" s="56"/>
      <c r="Y393" s="88"/>
      <c r="Z393" s="88"/>
    </row>
    <row r="394" spans="1:26" hidden="1">
      <c r="A394" s="38">
        <v>110</v>
      </c>
      <c r="B394" s="38"/>
      <c r="C394" s="38"/>
      <c r="D394" s="38"/>
      <c r="E394" s="38" t="s">
        <v>617</v>
      </c>
      <c r="F394" s="43" t="s">
        <v>618</v>
      </c>
      <c r="G394" s="44"/>
      <c r="H394" s="45"/>
      <c r="I394" s="38"/>
      <c r="J394" s="38">
        <f>15*1000</f>
        <v>15000</v>
      </c>
      <c r="K394" s="46">
        <v>0.10678240740740741</v>
      </c>
      <c r="L394" s="47" t="s">
        <v>286</v>
      </c>
      <c r="M394" s="307"/>
      <c r="N394" s="307"/>
      <c r="O394" s="307">
        <f t="shared" si="10"/>
        <v>0</v>
      </c>
      <c r="P394" s="92"/>
      <c r="Q394" s="410" t="str">
        <f t="shared" ca="1" si="11"/>
        <v>https://www.youtube.com/watch?v=CtiARMXwI0Q</v>
      </c>
      <c r="R394" s="50"/>
      <c r="S394" s="50"/>
      <c r="T394" s="50"/>
      <c r="U394" s="52"/>
      <c r="V394" s="53"/>
      <c r="W394" s="60"/>
      <c r="X394" s="56"/>
      <c r="Y394" s="38"/>
      <c r="Z394" s="38"/>
    </row>
    <row r="395" spans="1:26" hidden="1">
      <c r="A395" s="38">
        <v>111</v>
      </c>
      <c r="B395" s="38"/>
      <c r="C395" s="38"/>
      <c r="D395" s="38"/>
      <c r="E395" s="38" t="s">
        <v>621</v>
      </c>
      <c r="F395" s="43" t="s">
        <v>622</v>
      </c>
      <c r="G395" s="44"/>
      <c r="H395" s="45"/>
      <c r="I395" s="38"/>
      <c r="J395" s="38">
        <f>888</f>
        <v>888</v>
      </c>
      <c r="K395" s="46">
        <v>4.3055555555555555E-3</v>
      </c>
      <c r="L395" s="47" t="s">
        <v>286</v>
      </c>
      <c r="M395" s="307"/>
      <c r="N395" s="307"/>
      <c r="O395" s="307">
        <f t="shared" si="10"/>
        <v>0</v>
      </c>
      <c r="P395" s="92"/>
      <c r="Q395" s="410" t="str">
        <f t="shared" ca="1" si="11"/>
        <v>https://www.youtube.com/watch?v=61LvuBJ6Ojs</v>
      </c>
      <c r="R395" s="50"/>
      <c r="S395" s="50"/>
      <c r="T395" s="50"/>
      <c r="U395" s="52"/>
      <c r="V395" s="53"/>
      <c r="W395" s="60"/>
      <c r="X395" s="56"/>
      <c r="Y395" s="38"/>
      <c r="Z395" s="38"/>
    </row>
    <row r="396" spans="1:26" hidden="1">
      <c r="A396" s="38">
        <v>112</v>
      </c>
      <c r="B396" s="38"/>
      <c r="C396" s="38"/>
      <c r="D396" s="38"/>
      <c r="E396" s="38" t="s">
        <v>625</v>
      </c>
      <c r="F396" s="43" t="s">
        <v>626</v>
      </c>
      <c r="G396" s="44"/>
      <c r="H396" s="45"/>
      <c r="I396" s="38"/>
      <c r="J396" s="38">
        <f>466</f>
        <v>466</v>
      </c>
      <c r="K396" s="46">
        <v>2.6064814814814815E-2</v>
      </c>
      <c r="L396" s="47" t="s">
        <v>286</v>
      </c>
      <c r="M396" s="307"/>
      <c r="N396" s="307"/>
      <c r="O396" s="307">
        <f t="shared" si="10"/>
        <v>0</v>
      </c>
      <c r="P396" s="92"/>
      <c r="Q396" s="410" t="str">
        <f t="shared" ca="1" si="11"/>
        <v>https://www.youtube.com/watch?v=nQhpJFt2KG8</v>
      </c>
      <c r="R396" s="50"/>
      <c r="S396" s="50"/>
      <c r="T396" s="50"/>
      <c r="U396" s="52"/>
      <c r="V396" s="53"/>
      <c r="W396" s="60"/>
      <c r="X396" s="56"/>
      <c r="Y396" s="38"/>
      <c r="Z396" s="38"/>
    </row>
    <row r="397" spans="1:26" hidden="1">
      <c r="A397" s="38">
        <v>113</v>
      </c>
      <c r="B397" s="38"/>
      <c r="C397" s="38"/>
      <c r="D397" s="38"/>
      <c r="E397" s="38" t="s">
        <v>628</v>
      </c>
      <c r="F397" s="43" t="s">
        <v>629</v>
      </c>
      <c r="G397" s="44"/>
      <c r="H397" s="45"/>
      <c r="I397" s="38"/>
      <c r="J397" s="38">
        <f>1*1000</f>
        <v>1000</v>
      </c>
      <c r="K397" s="46">
        <v>2.3506944444444445E-2</v>
      </c>
      <c r="L397" s="47" t="s">
        <v>286</v>
      </c>
      <c r="M397" s="307"/>
      <c r="N397" s="307"/>
      <c r="O397" s="307">
        <f t="shared" si="10"/>
        <v>0</v>
      </c>
      <c r="P397" s="92"/>
      <c r="Q397" s="410" t="str">
        <f t="shared" ca="1" si="11"/>
        <v>https://www.youtube.com/watch?v=myZqody8PTw</v>
      </c>
      <c r="R397" s="50"/>
      <c r="S397" s="50"/>
      <c r="T397" s="50"/>
      <c r="U397" s="52"/>
      <c r="V397" s="53"/>
      <c r="W397" s="60"/>
      <c r="X397" s="56"/>
      <c r="Y397" s="38"/>
      <c r="Z397" s="38"/>
    </row>
    <row r="398" spans="1:26" hidden="1">
      <c r="A398" s="38">
        <v>114</v>
      </c>
      <c r="B398" s="38"/>
      <c r="C398" s="38"/>
      <c r="D398" s="38"/>
      <c r="E398" s="38" t="s">
        <v>632</v>
      </c>
      <c r="F398" s="43" t="s">
        <v>633</v>
      </c>
      <c r="G398" s="44"/>
      <c r="H398" s="45"/>
      <c r="I398" s="38"/>
      <c r="J398" s="38">
        <f>1.4*1000</f>
        <v>1400</v>
      </c>
      <c r="K398" s="46">
        <v>1.1608796296296296E-2</v>
      </c>
      <c r="L398" s="47" t="s">
        <v>286</v>
      </c>
      <c r="M398" s="307"/>
      <c r="N398" s="307"/>
      <c r="O398" s="307">
        <f t="shared" si="10"/>
        <v>0</v>
      </c>
      <c r="P398" s="92"/>
      <c r="Q398" s="410" t="str">
        <f t="shared" ca="1" si="11"/>
        <v>https://www.youtube.com/watch?v=iFLc0n8RSAA</v>
      </c>
      <c r="R398" s="50"/>
      <c r="S398" s="50"/>
      <c r="T398" s="50"/>
      <c r="U398" s="52"/>
      <c r="V398" s="53"/>
      <c r="W398" s="60"/>
      <c r="X398" s="56"/>
      <c r="Y398" s="38"/>
      <c r="Z398" s="38"/>
    </row>
    <row r="399" spans="1:26" hidden="1">
      <c r="A399" s="38">
        <v>115</v>
      </c>
      <c r="B399" s="38"/>
      <c r="C399" s="38"/>
      <c r="D399" s="38"/>
      <c r="E399" s="38" t="s">
        <v>635</v>
      </c>
      <c r="F399" s="43" t="s">
        <v>636</v>
      </c>
      <c r="G399" s="44"/>
      <c r="H399" s="45"/>
      <c r="I399" s="38"/>
      <c r="J399" s="38">
        <f>602</f>
        <v>602</v>
      </c>
      <c r="K399" s="46">
        <v>2.1805555555555554E-2</v>
      </c>
      <c r="L399" s="47" t="s">
        <v>286</v>
      </c>
      <c r="M399" s="307"/>
      <c r="N399" s="307"/>
      <c r="O399" s="307">
        <f t="shared" si="10"/>
        <v>0</v>
      </c>
      <c r="P399" s="92"/>
      <c r="Q399" s="410" t="str">
        <f t="shared" ca="1" si="11"/>
        <v>https://www.youtube.com/watch?v=eKtCOiQbVX0</v>
      </c>
      <c r="R399" s="50"/>
      <c r="S399" s="50"/>
      <c r="T399" s="50"/>
      <c r="U399" s="52"/>
      <c r="V399" s="53"/>
      <c r="W399" s="60"/>
      <c r="X399" s="56"/>
      <c r="Y399" s="38"/>
      <c r="Z399" s="38"/>
    </row>
    <row r="400" spans="1:26" hidden="1">
      <c r="A400" s="38">
        <v>116</v>
      </c>
      <c r="B400" s="38"/>
      <c r="C400" s="38"/>
      <c r="D400" s="38"/>
      <c r="E400" s="38" t="s">
        <v>638</v>
      </c>
      <c r="F400" s="43" t="s">
        <v>639</v>
      </c>
      <c r="G400" s="44"/>
      <c r="H400" s="45"/>
      <c r="I400" s="38"/>
      <c r="J400" s="38">
        <f>317</f>
        <v>317</v>
      </c>
      <c r="K400" s="46">
        <v>2.9108796296296296E-2</v>
      </c>
      <c r="L400" s="47" t="s">
        <v>286</v>
      </c>
      <c r="M400" s="307"/>
      <c r="N400" s="307"/>
      <c r="O400" s="307">
        <f t="shared" si="10"/>
        <v>0</v>
      </c>
      <c r="P400" s="92"/>
      <c r="Q400" s="410" t="str">
        <f t="shared" ca="1" si="11"/>
        <v>https://www.youtube.com/watch?v=vnw9dW2QgYk</v>
      </c>
      <c r="R400" s="50"/>
      <c r="S400" s="50"/>
      <c r="T400" s="50"/>
      <c r="U400" s="52"/>
      <c r="V400" s="53"/>
      <c r="W400" s="60"/>
      <c r="X400" s="56"/>
      <c r="Y400" s="38"/>
      <c r="Z400" s="38"/>
    </row>
    <row r="401" spans="1:26" hidden="1">
      <c r="A401" s="38">
        <v>117</v>
      </c>
      <c r="B401" s="38"/>
      <c r="C401" s="38"/>
      <c r="D401" s="38"/>
      <c r="E401" s="38" t="s">
        <v>641</v>
      </c>
      <c r="F401" s="43" t="s">
        <v>642</v>
      </c>
      <c r="G401" s="44"/>
      <c r="H401" s="45"/>
      <c r="I401" s="38"/>
      <c r="J401" s="38">
        <f>756</f>
        <v>756</v>
      </c>
      <c r="K401" s="46">
        <v>1.3333333333333334E-2</v>
      </c>
      <c r="L401" s="47" t="s">
        <v>286</v>
      </c>
      <c r="M401" s="307"/>
      <c r="N401" s="307"/>
      <c r="O401" s="307">
        <f t="shared" si="10"/>
        <v>0</v>
      </c>
      <c r="P401" s="92"/>
      <c r="Q401" s="410" t="str">
        <f t="shared" ca="1" si="11"/>
        <v>https://www.youtube.com/watch?v=TxC_8Xllf-M</v>
      </c>
      <c r="R401" s="50"/>
      <c r="S401" s="50"/>
      <c r="T401" s="50"/>
      <c r="U401" s="52"/>
      <c r="V401" s="53"/>
      <c r="W401" s="60"/>
      <c r="X401" s="56"/>
      <c r="Y401" s="38"/>
      <c r="Z401" s="38"/>
    </row>
    <row r="402" spans="1:26" hidden="1">
      <c r="A402" s="38">
        <v>118</v>
      </c>
      <c r="B402" s="38"/>
      <c r="C402" s="38"/>
      <c r="D402" s="38"/>
      <c r="E402" s="38" t="s">
        <v>646</v>
      </c>
      <c r="F402" s="43" t="s">
        <v>647</v>
      </c>
      <c r="G402" s="44"/>
      <c r="H402" s="45"/>
      <c r="I402" s="38"/>
      <c r="J402" s="38">
        <f>493</f>
        <v>493</v>
      </c>
      <c r="K402" s="46">
        <v>1.2581018518518519E-2</v>
      </c>
      <c r="L402" s="47" t="s">
        <v>286</v>
      </c>
      <c r="M402" s="307"/>
      <c r="N402" s="307"/>
      <c r="O402" s="307">
        <f t="shared" si="10"/>
        <v>0</v>
      </c>
      <c r="P402" s="92"/>
      <c r="Q402" s="410" t="str">
        <f t="shared" ca="1" si="11"/>
        <v>https://www.youtube.com/watch?v=nbZhVwfCRMU</v>
      </c>
      <c r="R402" s="50"/>
      <c r="S402" s="50"/>
      <c r="T402" s="50"/>
      <c r="U402" s="52"/>
      <c r="V402" s="53"/>
      <c r="W402" s="60"/>
      <c r="X402" s="56"/>
      <c r="Y402" s="38"/>
      <c r="Z402" s="38"/>
    </row>
    <row r="403" spans="1:26" hidden="1">
      <c r="A403" s="38">
        <v>119</v>
      </c>
      <c r="B403" s="38"/>
      <c r="C403" s="38"/>
      <c r="D403" s="38"/>
      <c r="E403" s="38" t="s">
        <v>649</v>
      </c>
      <c r="F403" s="43" t="s">
        <v>650</v>
      </c>
      <c r="G403" s="44"/>
      <c r="H403" s="45"/>
      <c r="I403" s="38"/>
      <c r="J403" s="38">
        <f>1*1000</f>
        <v>1000</v>
      </c>
      <c r="K403" s="46">
        <v>3.6481481481481483E-2</v>
      </c>
      <c r="L403" s="47" t="s">
        <v>286</v>
      </c>
      <c r="M403" s="307"/>
      <c r="N403" s="307"/>
      <c r="O403" s="307">
        <f t="shared" si="10"/>
        <v>0</v>
      </c>
      <c r="P403" s="92"/>
      <c r="Q403" s="410" t="str">
        <f t="shared" ca="1" si="11"/>
        <v>https://www.youtube.com/watch?v=rdyZwjy8Wko</v>
      </c>
      <c r="R403" s="50"/>
      <c r="S403" s="50"/>
      <c r="T403" s="50"/>
      <c r="U403" s="52"/>
      <c r="V403" s="53"/>
      <c r="W403" s="60"/>
      <c r="X403" s="56"/>
      <c r="Y403" s="38"/>
      <c r="Z403" s="38"/>
    </row>
    <row r="404" spans="1:26" hidden="1">
      <c r="A404" s="38">
        <v>120</v>
      </c>
      <c r="B404" s="38"/>
      <c r="C404" s="38"/>
      <c r="D404" s="38"/>
      <c r="E404" s="38" t="s">
        <v>653</v>
      </c>
      <c r="F404" s="43" t="s">
        <v>654</v>
      </c>
      <c r="G404" s="44"/>
      <c r="H404" s="45"/>
      <c r="I404" s="38"/>
      <c r="J404" s="38">
        <f>619</f>
        <v>619</v>
      </c>
      <c r="K404" s="46">
        <v>3.5949074074074071E-2</v>
      </c>
      <c r="L404" s="47" t="s">
        <v>286</v>
      </c>
      <c r="M404" s="307"/>
      <c r="N404" s="307"/>
      <c r="O404" s="307">
        <f t="shared" si="10"/>
        <v>0</v>
      </c>
      <c r="P404" s="92"/>
      <c r="Q404" s="410" t="str">
        <f t="shared" ca="1" si="11"/>
        <v>https://www.youtube.com/watch?v=v6It_CJ27bg</v>
      </c>
      <c r="R404" s="50"/>
      <c r="S404" s="50"/>
      <c r="T404" s="50"/>
      <c r="U404" s="52"/>
      <c r="V404" s="53"/>
      <c r="W404" s="60"/>
      <c r="X404" s="56"/>
      <c r="Y404" s="38"/>
      <c r="Z404" s="38"/>
    </row>
    <row r="405" spans="1:26" hidden="1">
      <c r="A405" s="38">
        <v>121</v>
      </c>
      <c r="B405" s="38"/>
      <c r="C405" s="38"/>
      <c r="D405" s="38"/>
      <c r="E405" s="38" t="s">
        <v>656</v>
      </c>
      <c r="F405" s="43" t="s">
        <v>657</v>
      </c>
      <c r="G405" s="44"/>
      <c r="H405" s="45"/>
      <c r="I405" s="38"/>
      <c r="J405" s="38">
        <f>658</f>
        <v>658</v>
      </c>
      <c r="K405" s="46">
        <v>3.7592592592592594E-2</v>
      </c>
      <c r="L405" s="47" t="s">
        <v>286</v>
      </c>
      <c r="M405" s="307"/>
      <c r="N405" s="307"/>
      <c r="O405" s="307">
        <f t="shared" si="10"/>
        <v>0</v>
      </c>
      <c r="P405" s="92"/>
      <c r="Q405" s="410" t="str">
        <f t="shared" ca="1" si="11"/>
        <v>https://www.youtube.com/watch?v=vSLKEwGRgbY</v>
      </c>
      <c r="R405" s="50"/>
      <c r="S405" s="50"/>
      <c r="T405" s="50"/>
      <c r="U405" s="52"/>
      <c r="V405" s="53"/>
      <c r="W405" s="60"/>
      <c r="X405" s="56"/>
      <c r="Y405" s="38"/>
      <c r="Z405" s="38"/>
    </row>
    <row r="406" spans="1:26" hidden="1">
      <c r="A406" s="38">
        <v>122</v>
      </c>
      <c r="B406" s="38"/>
      <c r="C406" s="38"/>
      <c r="D406" s="38"/>
      <c r="E406" s="38" t="s">
        <v>659</v>
      </c>
      <c r="F406" s="43" t="s">
        <v>661</v>
      </c>
      <c r="G406" s="44"/>
      <c r="H406" s="45"/>
      <c r="I406" s="38"/>
      <c r="J406" s="38">
        <f>1.5*1000</f>
        <v>1500</v>
      </c>
      <c r="K406" s="46">
        <v>4.7395833333333331E-2</v>
      </c>
      <c r="L406" s="47" t="s">
        <v>286</v>
      </c>
      <c r="M406" s="307"/>
      <c r="N406" s="307"/>
      <c r="O406" s="307">
        <f t="shared" si="10"/>
        <v>0</v>
      </c>
      <c r="P406" s="92"/>
      <c r="Q406" s="410" t="str">
        <f t="shared" ca="1" si="11"/>
        <v>https://www.youtube.com/watch?v=67Y76FPHZ-g</v>
      </c>
      <c r="R406" s="50"/>
      <c r="S406" s="50"/>
      <c r="T406" s="50"/>
      <c r="U406" s="52"/>
      <c r="V406" s="53"/>
      <c r="W406" s="60"/>
      <c r="X406" s="56"/>
      <c r="Y406" s="38"/>
      <c r="Z406" s="38"/>
    </row>
    <row r="407" spans="1:26" hidden="1">
      <c r="A407" s="38">
        <v>123</v>
      </c>
      <c r="B407" s="38"/>
      <c r="C407" s="38"/>
      <c r="D407" s="38"/>
      <c r="E407" s="38" t="s">
        <v>663</v>
      </c>
      <c r="F407" s="43" t="s">
        <v>664</v>
      </c>
      <c r="G407" s="44"/>
      <c r="H407" s="45"/>
      <c r="I407" s="38"/>
      <c r="J407" s="38">
        <f>2.1*1000</f>
        <v>2100</v>
      </c>
      <c r="K407" s="46">
        <v>4.7511574074074074E-2</v>
      </c>
      <c r="L407" s="47" t="s">
        <v>286</v>
      </c>
      <c r="M407" s="307"/>
      <c r="N407" s="307"/>
      <c r="O407" s="307">
        <f t="shared" si="10"/>
        <v>0</v>
      </c>
      <c r="P407" s="92"/>
      <c r="Q407" s="410" t="str">
        <f t="shared" ca="1" si="11"/>
        <v>https://www.youtube.com/watch?v=qDcBHNXLxdc</v>
      </c>
      <c r="R407" s="50"/>
      <c r="S407" s="50"/>
      <c r="T407" s="50"/>
      <c r="U407" s="52"/>
      <c r="V407" s="53"/>
      <c r="W407" s="60"/>
      <c r="X407" s="56"/>
      <c r="Y407" s="38"/>
      <c r="Z407" s="38"/>
    </row>
    <row r="408" spans="1:26" hidden="1">
      <c r="A408" s="38">
        <v>124</v>
      </c>
      <c r="B408" s="38"/>
      <c r="C408" s="38"/>
      <c r="D408" s="38"/>
      <c r="E408" s="38" t="s">
        <v>666</v>
      </c>
      <c r="F408" s="43" t="s">
        <v>667</v>
      </c>
      <c r="G408" s="44"/>
      <c r="H408" s="45"/>
      <c r="I408" s="38"/>
      <c r="J408" s="38">
        <f>1.1*1000</f>
        <v>1100</v>
      </c>
      <c r="K408" s="46">
        <v>1.5659722222222224E-2</v>
      </c>
      <c r="L408" s="47" t="s">
        <v>286</v>
      </c>
      <c r="M408" s="307"/>
      <c r="N408" s="307"/>
      <c r="O408" s="307">
        <f t="shared" si="10"/>
        <v>0</v>
      </c>
      <c r="P408" s="92"/>
      <c r="Q408" s="410" t="str">
        <f t="shared" ca="1" si="11"/>
        <v>https://www.youtube.com/watch?v=BF7tCmPOjs4</v>
      </c>
      <c r="R408" s="50"/>
      <c r="S408" s="50"/>
      <c r="T408" s="50"/>
      <c r="U408" s="52"/>
      <c r="V408" s="53"/>
      <c r="W408" s="60"/>
      <c r="X408" s="56"/>
      <c r="Y408" s="38"/>
      <c r="Z408" s="38"/>
    </row>
    <row r="409" spans="1:26" hidden="1">
      <c r="A409" s="38">
        <v>125</v>
      </c>
      <c r="B409" s="38"/>
      <c r="C409" s="38"/>
      <c r="D409" s="38"/>
      <c r="E409" s="38" t="s">
        <v>670</v>
      </c>
      <c r="F409" s="43" t="s">
        <v>671</v>
      </c>
      <c r="G409" s="44"/>
      <c r="H409" s="45"/>
      <c r="I409" s="38"/>
      <c r="J409" s="38">
        <f>2.3*1000</f>
        <v>2300</v>
      </c>
      <c r="K409" s="46">
        <v>5.4293981481481485E-2</v>
      </c>
      <c r="L409" s="47" t="s">
        <v>286</v>
      </c>
      <c r="M409" s="307"/>
      <c r="N409" s="307"/>
      <c r="O409" s="307">
        <f t="shared" si="10"/>
        <v>0</v>
      </c>
      <c r="P409" s="92"/>
      <c r="Q409" s="410" t="str">
        <f t="shared" ca="1" si="11"/>
        <v>https://www.youtube.com/watch?v=UrWQfScMALY</v>
      </c>
      <c r="R409" s="50"/>
      <c r="S409" s="50"/>
      <c r="T409" s="50"/>
      <c r="U409" s="52"/>
      <c r="V409" s="53"/>
      <c r="W409" s="60"/>
      <c r="X409" s="56"/>
      <c r="Y409" s="38"/>
      <c r="Z409" s="38"/>
    </row>
    <row r="410" spans="1:26">
      <c r="A410" s="38">
        <v>126</v>
      </c>
      <c r="B410" s="39" t="s">
        <v>155</v>
      </c>
      <c r="C410" s="40"/>
      <c r="D410" s="42" t="s">
        <v>56</v>
      </c>
      <c r="E410" s="38" t="s">
        <v>672</v>
      </c>
      <c r="F410" s="43" t="s">
        <v>674</v>
      </c>
      <c r="G410" s="44"/>
      <c r="H410" s="45"/>
      <c r="I410" s="38"/>
      <c r="J410" s="38">
        <f>2.1*1000</f>
        <v>2100</v>
      </c>
      <c r="K410" s="46">
        <v>2.6249999999999999E-2</v>
      </c>
      <c r="L410" s="47" t="s">
        <v>286</v>
      </c>
      <c r="M410" s="48"/>
      <c r="N410" s="48"/>
      <c r="O410" s="48">
        <f t="shared" si="10"/>
        <v>0</v>
      </c>
      <c r="P410" s="177">
        <v>43061</v>
      </c>
      <c r="Q410" s="410" t="str">
        <f t="shared" ca="1" si="11"/>
        <v>https://www.youtube.com/watch?v=6LOxjxiZ3NQ</v>
      </c>
      <c r="R410" s="51"/>
      <c r="S410" s="51"/>
      <c r="T410" s="51"/>
      <c r="U410" s="40"/>
      <c r="V410" s="54"/>
      <c r="W410" s="55"/>
      <c r="X410" s="56"/>
      <c r="Y410" s="88"/>
      <c r="Z410" s="88"/>
    </row>
    <row r="411" spans="1:26">
      <c r="A411" s="42">
        <v>126.01</v>
      </c>
      <c r="B411" s="39" t="s">
        <v>155</v>
      </c>
      <c r="C411" s="40"/>
      <c r="D411" s="42" t="s">
        <v>56</v>
      </c>
      <c r="E411" s="38"/>
      <c r="F411" s="43"/>
      <c r="G411" s="63" t="s">
        <v>1310</v>
      </c>
      <c r="H411" s="58" t="s">
        <v>1311</v>
      </c>
      <c r="I411" s="38"/>
      <c r="J411" s="38"/>
      <c r="K411" s="46"/>
      <c r="L411" s="47"/>
      <c r="M411" s="93">
        <v>4.6296296296296294E-5</v>
      </c>
      <c r="N411" s="93">
        <v>3.7152777777777778E-3</v>
      </c>
      <c r="O411" s="189">
        <f t="shared" si="10"/>
        <v>3.6689814814814814E-3</v>
      </c>
      <c r="P411" s="177">
        <v>43061</v>
      </c>
      <c r="Q411" s="410" t="str">
        <f t="shared" ca="1" si="11"/>
        <v>https://www.youtube.com/embed/6LOxjxiZ3NQ?start=4&amp;end=321&amp;autoplay=1</v>
      </c>
      <c r="R411" s="159" t="s">
        <v>63</v>
      </c>
      <c r="S411" s="159" t="s">
        <v>63</v>
      </c>
      <c r="T411" s="159" t="s">
        <v>63</v>
      </c>
      <c r="U411" s="148"/>
      <c r="V411" s="171"/>
      <c r="W411" s="175" t="s">
        <v>64</v>
      </c>
      <c r="X411" s="151"/>
      <c r="Y411" s="88"/>
      <c r="Z411" s="88"/>
    </row>
    <row r="412" spans="1:26">
      <c r="A412" s="42">
        <v>126.02</v>
      </c>
      <c r="B412" s="39" t="s">
        <v>155</v>
      </c>
      <c r="C412" s="40"/>
      <c r="D412" s="42" t="s">
        <v>56</v>
      </c>
      <c r="E412" s="38"/>
      <c r="F412" s="43"/>
      <c r="G412" s="63" t="s">
        <v>1312</v>
      </c>
      <c r="H412" s="58" t="s">
        <v>1313</v>
      </c>
      <c r="I412" s="38"/>
      <c r="J412" s="38"/>
      <c r="K412" s="46"/>
      <c r="L412" s="47"/>
      <c r="M412" s="93">
        <v>3.7268518518518519E-3</v>
      </c>
      <c r="N412" s="93">
        <v>1.1354166666666667E-2</v>
      </c>
      <c r="O412" s="189">
        <f t="shared" si="10"/>
        <v>7.6273148148148151E-3</v>
      </c>
      <c r="P412" s="177">
        <v>43061</v>
      </c>
      <c r="Q412" s="410" t="str">
        <f t="shared" ca="1" si="11"/>
        <v>https://www.youtube.com/embed/6LOxjxiZ3NQ?start=322&amp;end=981&amp;autoplay=1</v>
      </c>
      <c r="R412" s="159" t="s">
        <v>63</v>
      </c>
      <c r="S412" s="159" t="s">
        <v>63</v>
      </c>
      <c r="T412" s="159" t="s">
        <v>63</v>
      </c>
      <c r="U412" s="148"/>
      <c r="V412" s="171"/>
      <c r="W412" s="175" t="s">
        <v>64</v>
      </c>
      <c r="X412" s="56"/>
      <c r="Y412" s="88"/>
      <c r="Z412" s="88"/>
    </row>
    <row r="413" spans="1:26">
      <c r="A413" s="42">
        <v>126.03</v>
      </c>
      <c r="B413" s="39" t="s">
        <v>155</v>
      </c>
      <c r="C413" s="40"/>
      <c r="D413" s="42" t="s">
        <v>56</v>
      </c>
      <c r="E413" s="38"/>
      <c r="F413" s="43"/>
      <c r="G413" s="63" t="s">
        <v>1316</v>
      </c>
      <c r="H413" s="58" t="s">
        <v>1317</v>
      </c>
      <c r="I413" s="38"/>
      <c r="J413" s="38"/>
      <c r="K413" s="46"/>
      <c r="L413" s="47"/>
      <c r="M413" s="93">
        <v>1.1354166666666667E-2</v>
      </c>
      <c r="N413" s="93">
        <v>1.361111111111111E-2</v>
      </c>
      <c r="O413" s="189">
        <f t="shared" si="10"/>
        <v>2.2569444444444434E-3</v>
      </c>
      <c r="P413" s="177">
        <v>43061</v>
      </c>
      <c r="Q413" s="410" t="str">
        <f t="shared" ca="1" si="11"/>
        <v>https://www.youtube.com/embed/6LOxjxiZ3NQ?start=981&amp;end=1176&amp;autoplay=1</v>
      </c>
      <c r="R413" s="159" t="s">
        <v>63</v>
      </c>
      <c r="S413" s="159" t="s">
        <v>63</v>
      </c>
      <c r="T413" s="159" t="s">
        <v>63</v>
      </c>
      <c r="U413" s="148"/>
      <c r="V413" s="171"/>
      <c r="W413" s="175" t="s">
        <v>64</v>
      </c>
      <c r="X413" s="56"/>
      <c r="Y413" s="88"/>
      <c r="Z413" s="88"/>
    </row>
    <row r="414" spans="1:26">
      <c r="A414" s="42">
        <v>126.04</v>
      </c>
      <c r="B414" s="39" t="s">
        <v>155</v>
      </c>
      <c r="C414" s="40"/>
      <c r="D414" s="42" t="s">
        <v>56</v>
      </c>
      <c r="E414" s="38"/>
      <c r="F414" s="43"/>
      <c r="G414" s="63" t="s">
        <v>1318</v>
      </c>
      <c r="H414" s="58" t="s">
        <v>1319</v>
      </c>
      <c r="I414" s="38"/>
      <c r="J414" s="38"/>
      <c r="K414" s="46"/>
      <c r="L414" s="47"/>
      <c r="M414" s="93">
        <v>1.361111111111111E-2</v>
      </c>
      <c r="N414" s="93">
        <v>1.6493055555555556E-2</v>
      </c>
      <c r="O414" s="189">
        <f t="shared" si="10"/>
        <v>2.8819444444444457E-3</v>
      </c>
      <c r="P414" s="177">
        <v>43061</v>
      </c>
      <c r="Q414" s="410" t="str">
        <f t="shared" ca="1" si="11"/>
        <v>https://www.youtube.com/embed/6LOxjxiZ3NQ?start=1176&amp;end=1425&amp;autoplay=1</v>
      </c>
      <c r="R414" s="159" t="s">
        <v>63</v>
      </c>
      <c r="S414" s="159" t="s">
        <v>63</v>
      </c>
      <c r="T414" s="159" t="s">
        <v>63</v>
      </c>
      <c r="U414" s="148"/>
      <c r="V414" s="171"/>
      <c r="W414" s="175" t="s">
        <v>64</v>
      </c>
      <c r="X414" s="56"/>
      <c r="Y414" s="88"/>
      <c r="Z414" s="88"/>
    </row>
    <row r="415" spans="1:26">
      <c r="A415" s="42">
        <v>126.05</v>
      </c>
      <c r="B415" s="39" t="s">
        <v>155</v>
      </c>
      <c r="C415" s="40"/>
      <c r="D415" s="42" t="s">
        <v>56</v>
      </c>
      <c r="E415" s="38"/>
      <c r="F415" s="43"/>
      <c r="G415" s="63" t="s">
        <v>1322</v>
      </c>
      <c r="H415" s="58" t="s">
        <v>1323</v>
      </c>
      <c r="I415" s="38"/>
      <c r="J415" s="38"/>
      <c r="K415" s="46"/>
      <c r="L415" s="47"/>
      <c r="M415" s="93">
        <v>1.6493055555555556E-2</v>
      </c>
      <c r="N415" s="93">
        <v>2.3622685185185184E-2</v>
      </c>
      <c r="O415" s="189">
        <f t="shared" si="10"/>
        <v>7.1296296296296281E-3</v>
      </c>
      <c r="P415" s="177">
        <v>43061</v>
      </c>
      <c r="Q415" s="410" t="str">
        <f t="shared" ca="1" si="11"/>
        <v>https://www.youtube.com/embed/6LOxjxiZ3NQ?start=1425&amp;end=2041&amp;autoplay=1</v>
      </c>
      <c r="R415" s="159" t="s">
        <v>63</v>
      </c>
      <c r="S415" s="159" t="s">
        <v>63</v>
      </c>
      <c r="T415" s="159" t="s">
        <v>63</v>
      </c>
      <c r="U415" s="148"/>
      <c r="V415" s="171"/>
      <c r="W415" s="175" t="s">
        <v>64</v>
      </c>
      <c r="X415" s="56"/>
      <c r="Y415" s="88"/>
      <c r="Z415" s="88"/>
    </row>
    <row r="416" spans="1:26">
      <c r="A416" s="42">
        <v>126.06</v>
      </c>
      <c r="B416" s="39" t="s">
        <v>155</v>
      </c>
      <c r="C416" s="40"/>
      <c r="D416" s="42" t="s">
        <v>56</v>
      </c>
      <c r="E416" s="38"/>
      <c r="F416" s="43"/>
      <c r="G416" s="63" t="s">
        <v>1326</v>
      </c>
      <c r="H416" s="58" t="s">
        <v>1327</v>
      </c>
      <c r="I416" s="38"/>
      <c r="J416" s="38"/>
      <c r="K416" s="46"/>
      <c r="L416" s="47"/>
      <c r="M416" s="93">
        <v>2.3634259259259258E-2</v>
      </c>
      <c r="N416" s="93">
        <v>2.6238425925925925E-2</v>
      </c>
      <c r="O416" s="189">
        <f t="shared" si="10"/>
        <v>2.6041666666666678E-3</v>
      </c>
      <c r="P416" s="177">
        <v>43061</v>
      </c>
      <c r="Q416" s="410" t="str">
        <f t="shared" ca="1" si="11"/>
        <v>https://www.youtube.com/embed/6LOxjxiZ3NQ?start=2042&amp;end=2267&amp;autoplay=1</v>
      </c>
      <c r="R416" s="159" t="s">
        <v>63</v>
      </c>
      <c r="S416" s="159" t="s">
        <v>63</v>
      </c>
      <c r="T416" s="159" t="s">
        <v>63</v>
      </c>
      <c r="U416" s="148"/>
      <c r="V416" s="171"/>
      <c r="W416" s="175" t="s">
        <v>64</v>
      </c>
      <c r="X416" s="56"/>
      <c r="Y416" s="88"/>
      <c r="Z416" s="88"/>
    </row>
    <row r="417" spans="1:26">
      <c r="A417" s="44">
        <v>127</v>
      </c>
      <c r="B417" s="176" t="s">
        <v>155</v>
      </c>
      <c r="C417" s="170"/>
      <c r="D417" s="63" t="s">
        <v>56</v>
      </c>
      <c r="E417" s="44" t="s">
        <v>677</v>
      </c>
      <c r="F417" s="43" t="s">
        <v>678</v>
      </c>
      <c r="G417" s="44"/>
      <c r="H417" s="45"/>
      <c r="I417" s="44"/>
      <c r="J417" s="44">
        <f>2.4*1000</f>
        <v>2400</v>
      </c>
      <c r="K417" s="143">
        <v>2.8645833333333332E-2</v>
      </c>
      <c r="L417" s="144" t="s">
        <v>286</v>
      </c>
      <c r="M417" s="189"/>
      <c r="N417" s="189"/>
      <c r="O417" s="189">
        <f t="shared" si="10"/>
        <v>0</v>
      </c>
      <c r="P417" s="191">
        <v>43044</v>
      </c>
      <c r="Q417" s="410" t="str">
        <f t="shared" ca="1" si="11"/>
        <v>https://www.youtube.com/watch?v=08Xwx9vsy6w</v>
      </c>
      <c r="R417" s="169"/>
      <c r="S417" s="169"/>
      <c r="T417" s="169"/>
      <c r="U417" s="170"/>
      <c r="V417" s="171"/>
      <c r="W417" s="172"/>
      <c r="X417" s="151"/>
      <c r="Y417" s="44"/>
      <c r="Z417" s="44"/>
    </row>
    <row r="418" spans="1:26">
      <c r="A418" s="63">
        <v>127.01</v>
      </c>
      <c r="B418" s="176" t="s">
        <v>155</v>
      </c>
      <c r="C418" s="170"/>
      <c r="D418" s="63" t="s">
        <v>56</v>
      </c>
      <c r="E418" s="44"/>
      <c r="F418" s="43"/>
      <c r="G418" s="63" t="s">
        <v>1208</v>
      </c>
      <c r="H418" s="58" t="s">
        <v>1209</v>
      </c>
      <c r="I418" s="44"/>
      <c r="J418" s="44"/>
      <c r="K418" s="143"/>
      <c r="L418" s="144"/>
      <c r="M418" s="166">
        <v>4.5254629629629629E-3</v>
      </c>
      <c r="N418" s="166">
        <v>9.0740740740740747E-3</v>
      </c>
      <c r="O418" s="143">
        <f t="shared" si="10"/>
        <v>4.5486111111111118E-3</v>
      </c>
      <c r="P418" s="191">
        <v>43044</v>
      </c>
      <c r="Q418" s="410" t="str">
        <f t="shared" ca="1" si="11"/>
        <v>https://www.youtube.com/embed/08Xwx9vsy6w?start=391&amp;end=784&amp;autoplay=1</v>
      </c>
      <c r="R418" s="159" t="s">
        <v>63</v>
      </c>
      <c r="S418" s="159" t="s">
        <v>131</v>
      </c>
      <c r="T418" s="159" t="s">
        <v>63</v>
      </c>
      <c r="U418" s="148"/>
      <c r="V418" s="149"/>
      <c r="W418" s="167" t="s">
        <v>64</v>
      </c>
      <c r="X418" s="151"/>
      <c r="Y418" s="44"/>
      <c r="Z418" s="63" t="s">
        <v>1210</v>
      </c>
    </row>
    <row r="419" spans="1:26">
      <c r="A419" s="63">
        <v>127.02</v>
      </c>
      <c r="B419" s="176" t="s">
        <v>155</v>
      </c>
      <c r="C419" s="170"/>
      <c r="D419" s="63" t="s">
        <v>56</v>
      </c>
      <c r="E419" s="44"/>
      <c r="F419" s="43"/>
      <c r="G419" s="63" t="s">
        <v>1213</v>
      </c>
      <c r="H419" s="58" t="s">
        <v>1214</v>
      </c>
      <c r="I419" s="44"/>
      <c r="J419" s="44"/>
      <c r="K419" s="143"/>
      <c r="L419" s="144"/>
      <c r="M419" s="166">
        <v>9.0740740740740747E-3</v>
      </c>
      <c r="N419" s="166">
        <v>1.2164351851851852E-2</v>
      </c>
      <c r="O419" s="143">
        <f t="shared" si="10"/>
        <v>3.0902777777777769E-3</v>
      </c>
      <c r="P419" s="191">
        <v>43044</v>
      </c>
      <c r="Q419" s="410" t="str">
        <f t="shared" ca="1" si="11"/>
        <v>https://www.youtube.com/embed/08Xwx9vsy6w?start=784&amp;end=1051&amp;autoplay=1</v>
      </c>
      <c r="R419" s="159" t="s">
        <v>63</v>
      </c>
      <c r="S419" s="159" t="s">
        <v>131</v>
      </c>
      <c r="T419" s="159" t="s">
        <v>63</v>
      </c>
      <c r="U419" s="148"/>
      <c r="V419" s="149"/>
      <c r="W419" s="167" t="s">
        <v>64</v>
      </c>
      <c r="X419" s="151"/>
      <c r="Y419" s="44"/>
      <c r="Z419" s="44"/>
    </row>
    <row r="420" spans="1:26">
      <c r="A420" s="63">
        <v>127.03</v>
      </c>
      <c r="B420" s="176" t="s">
        <v>155</v>
      </c>
      <c r="C420" s="170"/>
      <c r="D420" s="63" t="s">
        <v>56</v>
      </c>
      <c r="E420" s="44"/>
      <c r="F420" s="43"/>
      <c r="G420" s="63" t="s">
        <v>1215</v>
      </c>
      <c r="H420" s="58" t="s">
        <v>1216</v>
      </c>
      <c r="I420" s="44"/>
      <c r="J420" s="44"/>
      <c r="K420" s="143"/>
      <c r="L420" s="144"/>
      <c r="M420" s="166">
        <v>1.2175925925925925E-2</v>
      </c>
      <c r="N420" s="166">
        <v>1.8680555555555554E-2</v>
      </c>
      <c r="O420" s="143">
        <f t="shared" si="10"/>
        <v>6.5046296296296293E-3</v>
      </c>
      <c r="P420" s="191">
        <v>43044</v>
      </c>
      <c r="Q420" s="410" t="str">
        <f t="shared" ca="1" si="11"/>
        <v>https://www.youtube.com/embed/08Xwx9vsy6w?start=1052&amp;end=1614&amp;autoplay=1</v>
      </c>
      <c r="R420" s="159" t="s">
        <v>63</v>
      </c>
      <c r="S420" s="159" t="s">
        <v>131</v>
      </c>
      <c r="T420" s="159" t="s">
        <v>63</v>
      </c>
      <c r="U420" s="148"/>
      <c r="V420" s="149"/>
      <c r="W420" s="167" t="s">
        <v>64</v>
      </c>
      <c r="X420" s="151"/>
      <c r="Y420" s="44"/>
      <c r="Z420" s="44"/>
    </row>
    <row r="421" spans="1:26">
      <c r="A421" s="63">
        <v>127.04</v>
      </c>
      <c r="B421" s="176" t="s">
        <v>155</v>
      </c>
      <c r="C421" s="170"/>
      <c r="D421" s="63" t="s">
        <v>56</v>
      </c>
      <c r="E421" s="44"/>
      <c r="F421" s="43"/>
      <c r="G421" s="63" t="s">
        <v>1219</v>
      </c>
      <c r="H421" s="58" t="s">
        <v>1220</v>
      </c>
      <c r="I421" s="44"/>
      <c r="J421" s="44"/>
      <c r="K421" s="143"/>
      <c r="L421" s="144"/>
      <c r="M421" s="166">
        <v>1.8692129629629628E-2</v>
      </c>
      <c r="N421" s="166">
        <v>2.1655092592592594E-2</v>
      </c>
      <c r="O421" s="143">
        <f t="shared" si="10"/>
        <v>2.9629629629629659E-3</v>
      </c>
      <c r="P421" s="191">
        <v>43044</v>
      </c>
      <c r="Q421" s="410" t="str">
        <f t="shared" ca="1" si="11"/>
        <v>https://www.youtube.com/embed/08Xwx9vsy6w?start=1615&amp;end=1871&amp;autoplay=1</v>
      </c>
      <c r="R421" s="159" t="s">
        <v>63</v>
      </c>
      <c r="S421" s="159" t="s">
        <v>131</v>
      </c>
      <c r="T421" s="159" t="s">
        <v>63</v>
      </c>
      <c r="U421" s="148"/>
      <c r="V421" s="149"/>
      <c r="W421" s="167" t="s">
        <v>64</v>
      </c>
      <c r="X421" s="151"/>
      <c r="Y421" s="44"/>
      <c r="Z421" s="44"/>
    </row>
    <row r="422" spans="1:26">
      <c r="A422" s="63">
        <v>127.05</v>
      </c>
      <c r="B422" s="176" t="s">
        <v>155</v>
      </c>
      <c r="C422" s="170"/>
      <c r="D422" s="63" t="s">
        <v>56</v>
      </c>
      <c r="E422" s="44"/>
      <c r="F422" s="43"/>
      <c r="G422" s="63" t="s">
        <v>1223</v>
      </c>
      <c r="H422" s="58" t="s">
        <v>1224</v>
      </c>
      <c r="I422" s="44"/>
      <c r="J422" s="44"/>
      <c r="K422" s="143"/>
      <c r="L422" s="144"/>
      <c r="M422" s="166">
        <v>2.1666666666666667E-2</v>
      </c>
      <c r="N422" s="166">
        <v>2.8611111111111111E-2</v>
      </c>
      <c r="O422" s="143">
        <f t="shared" si="10"/>
        <v>6.9444444444444441E-3</v>
      </c>
      <c r="P422" s="191">
        <v>43044</v>
      </c>
      <c r="Q422" s="410" t="str">
        <f t="shared" ca="1" si="11"/>
        <v>https://www.youtube.com/embed/08Xwx9vsy6w?start=1872&amp;end=2472&amp;autoplay=1</v>
      </c>
      <c r="R422" s="159" t="s">
        <v>63</v>
      </c>
      <c r="S422" s="159" t="s">
        <v>131</v>
      </c>
      <c r="T422" s="159" t="s">
        <v>63</v>
      </c>
      <c r="U422" s="148"/>
      <c r="V422" s="149"/>
      <c r="W422" s="167" t="s">
        <v>64</v>
      </c>
      <c r="X422" s="151"/>
      <c r="Y422" s="44"/>
      <c r="Z422" s="44"/>
    </row>
    <row r="423" spans="1:26">
      <c r="A423" s="44">
        <v>128</v>
      </c>
      <c r="B423" s="176" t="s">
        <v>155</v>
      </c>
      <c r="C423" s="170"/>
      <c r="D423" s="63" t="s">
        <v>56</v>
      </c>
      <c r="E423" s="44" t="s">
        <v>679</v>
      </c>
      <c r="F423" s="43" t="s">
        <v>680</v>
      </c>
      <c r="G423" s="44"/>
      <c r="H423" s="45"/>
      <c r="I423" s="44"/>
      <c r="J423" s="44">
        <f>1.4*1000</f>
        <v>1400</v>
      </c>
      <c r="K423" s="143">
        <v>3.318287037037037E-2</v>
      </c>
      <c r="L423" s="144" t="s">
        <v>286</v>
      </c>
      <c r="M423" s="189"/>
      <c r="N423" s="189"/>
      <c r="O423" s="189">
        <f t="shared" si="10"/>
        <v>0</v>
      </c>
      <c r="P423" s="191">
        <v>43054</v>
      </c>
      <c r="Q423" s="410" t="str">
        <f t="shared" ca="1" si="11"/>
        <v>https://www.youtube.com/watch?v=JErwMUETzvU</v>
      </c>
      <c r="R423" s="169"/>
      <c r="S423" s="169"/>
      <c r="T423" s="169"/>
      <c r="U423" s="170"/>
      <c r="V423" s="171"/>
      <c r="W423" s="172"/>
      <c r="X423" s="151"/>
      <c r="Y423" s="44"/>
      <c r="Z423" s="44"/>
    </row>
    <row r="424" spans="1:26">
      <c r="A424" s="63">
        <v>128.01</v>
      </c>
      <c r="B424" s="176" t="s">
        <v>155</v>
      </c>
      <c r="C424" s="170"/>
      <c r="D424" s="63" t="s">
        <v>56</v>
      </c>
      <c r="E424" s="44"/>
      <c r="F424" s="43"/>
      <c r="G424" s="63" t="s">
        <v>1227</v>
      </c>
      <c r="H424" s="58" t="s">
        <v>1228</v>
      </c>
      <c r="I424" s="44"/>
      <c r="J424" s="44"/>
      <c r="K424" s="143"/>
      <c r="L424" s="144"/>
      <c r="M424" s="193">
        <v>3.4722222222222222E-5</v>
      </c>
      <c r="N424" s="193">
        <v>4.7222222222222223E-3</v>
      </c>
      <c r="O424" s="189">
        <f t="shared" si="10"/>
        <v>4.6874999999999998E-3</v>
      </c>
      <c r="P424" s="191">
        <v>43054</v>
      </c>
      <c r="Q424" s="410" t="str">
        <f t="shared" ca="1" si="11"/>
        <v>https://www.youtube.com/embed/JErwMUETzvU?start=3&amp;end=408&amp;autoplay=1</v>
      </c>
      <c r="R424" s="159" t="s">
        <v>63</v>
      </c>
      <c r="S424" s="159" t="s">
        <v>63</v>
      </c>
      <c r="T424" s="159" t="s">
        <v>63</v>
      </c>
      <c r="U424" s="148"/>
      <c r="V424" s="149"/>
      <c r="W424" s="167" t="s">
        <v>64</v>
      </c>
      <c r="X424" s="151"/>
      <c r="Y424" s="44"/>
      <c r="Z424" s="63" t="s">
        <v>1231</v>
      </c>
    </row>
    <row r="425" spans="1:26">
      <c r="A425" s="63">
        <v>128.02000000000001</v>
      </c>
      <c r="B425" s="176" t="s">
        <v>155</v>
      </c>
      <c r="C425" s="170"/>
      <c r="D425" s="63" t="s">
        <v>56</v>
      </c>
      <c r="E425" s="44"/>
      <c r="F425" s="43"/>
      <c r="G425" s="63" t="s">
        <v>1232</v>
      </c>
      <c r="H425" s="63" t="s">
        <v>1233</v>
      </c>
      <c r="I425" s="44"/>
      <c r="J425" s="44"/>
      <c r="K425" s="143"/>
      <c r="L425" s="144"/>
      <c r="M425" s="193">
        <v>4.7453703703703703E-3</v>
      </c>
      <c r="N425" s="193">
        <v>1.2152777777777778E-2</v>
      </c>
      <c r="O425" s="189">
        <f t="shared" si="10"/>
        <v>7.4074074074074077E-3</v>
      </c>
      <c r="P425" s="191">
        <v>43054</v>
      </c>
      <c r="Q425" s="410" t="str">
        <f t="shared" ca="1" si="11"/>
        <v>https://www.youtube.com/embed/JErwMUETzvU?start=410&amp;end=1050&amp;autoplay=1</v>
      </c>
      <c r="R425" s="159" t="s">
        <v>63</v>
      </c>
      <c r="S425" s="159" t="s">
        <v>63</v>
      </c>
      <c r="T425" s="159" t="s">
        <v>63</v>
      </c>
      <c r="U425" s="148"/>
      <c r="V425" s="149"/>
      <c r="W425" s="167" t="s">
        <v>64</v>
      </c>
      <c r="X425" s="151"/>
      <c r="Y425" s="44"/>
      <c r="Z425" s="63" t="s">
        <v>1231</v>
      </c>
    </row>
    <row r="426" spans="1:26">
      <c r="A426" s="63">
        <v>128.03</v>
      </c>
      <c r="B426" s="176" t="s">
        <v>155</v>
      </c>
      <c r="C426" s="170"/>
      <c r="D426" s="63" t="s">
        <v>56</v>
      </c>
      <c r="E426" s="44"/>
      <c r="F426" s="43"/>
      <c r="G426" s="63" t="s">
        <v>1236</v>
      </c>
      <c r="H426" s="58" t="s">
        <v>1237</v>
      </c>
      <c r="I426" s="44"/>
      <c r="J426" s="44"/>
      <c r="K426" s="143"/>
      <c r="L426" s="144"/>
      <c r="M426" s="193">
        <v>1.2175925925925925E-2</v>
      </c>
      <c r="N426" s="193">
        <v>1.9733796296296298E-2</v>
      </c>
      <c r="O426" s="189">
        <f t="shared" si="10"/>
        <v>7.5578703703703728E-3</v>
      </c>
      <c r="P426" s="191">
        <v>43054</v>
      </c>
      <c r="Q426" s="410" t="str">
        <f t="shared" ca="1" si="11"/>
        <v>https://www.youtube.com/embed/JErwMUETzvU?start=1052&amp;end=1705&amp;autoplay=1</v>
      </c>
      <c r="R426" s="159" t="s">
        <v>63</v>
      </c>
      <c r="S426" s="159" t="s">
        <v>63</v>
      </c>
      <c r="T426" s="159" t="s">
        <v>63</v>
      </c>
      <c r="U426" s="148"/>
      <c r="V426" s="149"/>
      <c r="W426" s="167" t="s">
        <v>64</v>
      </c>
      <c r="X426" s="151"/>
      <c r="Y426" s="44"/>
      <c r="Z426" s="63" t="s">
        <v>1231</v>
      </c>
    </row>
    <row r="427" spans="1:26">
      <c r="A427" s="63">
        <v>128.04</v>
      </c>
      <c r="B427" s="176" t="s">
        <v>155</v>
      </c>
      <c r="C427" s="170"/>
      <c r="D427" s="63" t="s">
        <v>56</v>
      </c>
      <c r="E427" s="44"/>
      <c r="F427" s="43"/>
      <c r="G427" s="63" t="s">
        <v>1240</v>
      </c>
      <c r="H427" s="58" t="s">
        <v>1241</v>
      </c>
      <c r="I427" s="44"/>
      <c r="J427" s="44"/>
      <c r="K427" s="143"/>
      <c r="L427" s="144"/>
      <c r="M427" s="193">
        <v>1.9814814814814816E-2</v>
      </c>
      <c r="N427" s="193">
        <v>3.0023148148148149E-2</v>
      </c>
      <c r="O427" s="189">
        <f t="shared" si="10"/>
        <v>1.0208333333333333E-2</v>
      </c>
      <c r="P427" s="191">
        <v>43054</v>
      </c>
      <c r="Q427" s="410" t="str">
        <f t="shared" ca="1" si="11"/>
        <v>https://www.youtube.com/embed/JErwMUETzvU?start=1712&amp;end=2594&amp;autoplay=1</v>
      </c>
      <c r="R427" s="159" t="s">
        <v>63</v>
      </c>
      <c r="S427" s="159" t="s">
        <v>63</v>
      </c>
      <c r="T427" s="159" t="s">
        <v>63</v>
      </c>
      <c r="U427" s="148"/>
      <c r="V427" s="149"/>
      <c r="W427" s="167" t="s">
        <v>64</v>
      </c>
      <c r="X427" s="151"/>
      <c r="Y427" s="44"/>
      <c r="Z427" s="63" t="s">
        <v>1231</v>
      </c>
    </row>
    <row r="428" spans="1:26">
      <c r="A428" s="63">
        <v>128.05000000000001</v>
      </c>
      <c r="B428" s="176" t="s">
        <v>155</v>
      </c>
      <c r="C428" s="170"/>
      <c r="D428" s="63" t="s">
        <v>56</v>
      </c>
      <c r="E428" s="44"/>
      <c r="F428" s="43"/>
      <c r="G428" s="63" t="s">
        <v>1242</v>
      </c>
      <c r="H428" s="58" t="s">
        <v>1243</v>
      </c>
      <c r="I428" s="44"/>
      <c r="J428" s="44"/>
      <c r="K428" s="143"/>
      <c r="L428" s="144"/>
      <c r="M428" s="193">
        <v>3.0034722222222223E-2</v>
      </c>
      <c r="N428" s="193">
        <v>3.3136574074074075E-2</v>
      </c>
      <c r="O428" s="189">
        <f t="shared" si="10"/>
        <v>3.1018518518518522E-3</v>
      </c>
      <c r="P428" s="191">
        <v>43054</v>
      </c>
      <c r="Q428" s="410" t="str">
        <f t="shared" ca="1" si="11"/>
        <v>https://www.youtube.com/embed/JErwMUETzvU?start=2595&amp;end=2863&amp;autoplay=1</v>
      </c>
      <c r="R428" s="159" t="s">
        <v>63</v>
      </c>
      <c r="S428" s="159" t="s">
        <v>63</v>
      </c>
      <c r="T428" s="159" t="s">
        <v>63</v>
      </c>
      <c r="U428" s="148"/>
      <c r="V428" s="149"/>
      <c r="W428" s="167" t="s">
        <v>64</v>
      </c>
      <c r="X428" s="151"/>
      <c r="Y428" s="44"/>
      <c r="Z428" s="63" t="s">
        <v>1231</v>
      </c>
    </row>
    <row r="429" spans="1:26">
      <c r="A429" s="44">
        <v>129</v>
      </c>
      <c r="B429" s="176" t="s">
        <v>155</v>
      </c>
      <c r="C429" s="170"/>
      <c r="D429" s="63" t="s">
        <v>56</v>
      </c>
      <c r="E429" s="44" t="s">
        <v>683</v>
      </c>
      <c r="F429" s="43" t="s">
        <v>684</v>
      </c>
      <c r="G429" s="44"/>
      <c r="H429" s="45"/>
      <c r="I429" s="44"/>
      <c r="J429" s="44">
        <f>19*1000</f>
        <v>19000</v>
      </c>
      <c r="K429" s="143">
        <v>1.1620370370370371E-2</v>
      </c>
      <c r="L429" s="144" t="s">
        <v>286</v>
      </c>
      <c r="M429" s="189"/>
      <c r="N429" s="189"/>
      <c r="O429" s="189">
        <f t="shared" si="10"/>
        <v>0</v>
      </c>
      <c r="P429" s="191">
        <v>43046</v>
      </c>
      <c r="Q429" s="410" t="str">
        <f t="shared" ca="1" si="11"/>
        <v>https://www.youtube.com/watch?v=SS0UQNsxhus</v>
      </c>
      <c r="R429" s="169"/>
      <c r="S429" s="169"/>
      <c r="T429" s="169"/>
      <c r="U429" s="170"/>
      <c r="V429" s="171"/>
      <c r="W429" s="172"/>
      <c r="X429" s="151"/>
      <c r="Y429" s="44"/>
      <c r="Z429" s="44"/>
    </row>
    <row r="430" spans="1:26">
      <c r="A430" s="63">
        <v>129.01</v>
      </c>
      <c r="B430" s="176" t="s">
        <v>155</v>
      </c>
      <c r="C430" s="170"/>
      <c r="D430" s="63" t="s">
        <v>56</v>
      </c>
      <c r="E430" s="44"/>
      <c r="F430" s="43"/>
      <c r="G430" s="63" t="s">
        <v>1248</v>
      </c>
      <c r="H430" s="58" t="s">
        <v>1249</v>
      </c>
      <c r="I430" s="44"/>
      <c r="J430" s="44"/>
      <c r="K430" s="143"/>
      <c r="L430" s="144"/>
      <c r="M430" s="193">
        <v>2.8935185185185184E-4</v>
      </c>
      <c r="N430" s="193">
        <v>8.3796296296296292E-3</v>
      </c>
      <c r="O430" s="189">
        <f t="shared" si="10"/>
        <v>8.0902777777777778E-3</v>
      </c>
      <c r="P430" s="191">
        <v>43046</v>
      </c>
      <c r="Q430" s="410" t="str">
        <f t="shared" ca="1" si="11"/>
        <v>https://www.youtube.com/embed/SS0UQNsxhus?start=25&amp;end=724&amp;autoplay=1</v>
      </c>
      <c r="R430" s="159" t="s">
        <v>63</v>
      </c>
      <c r="S430" s="159" t="s">
        <v>131</v>
      </c>
      <c r="T430" s="159" t="s">
        <v>63</v>
      </c>
      <c r="U430" s="148"/>
      <c r="V430" s="149"/>
      <c r="W430" s="167" t="s">
        <v>64</v>
      </c>
      <c r="X430" s="151"/>
      <c r="Y430" s="44"/>
      <c r="Z430" s="63" t="s">
        <v>1250</v>
      </c>
    </row>
    <row r="431" spans="1:26">
      <c r="A431" s="63">
        <v>129.02000000000001</v>
      </c>
      <c r="B431" s="176" t="s">
        <v>155</v>
      </c>
      <c r="C431" s="170"/>
      <c r="D431" s="63" t="s">
        <v>56</v>
      </c>
      <c r="E431" s="44"/>
      <c r="F431" s="43"/>
      <c r="G431" s="63" t="s">
        <v>1251</v>
      </c>
      <c r="H431" s="58" t="s">
        <v>1252</v>
      </c>
      <c r="I431" s="44"/>
      <c r="J431" s="44"/>
      <c r="K431" s="143"/>
      <c r="L431" s="144"/>
      <c r="M431" s="193">
        <v>8.3796296296296292E-3</v>
      </c>
      <c r="N431" s="193">
        <v>1.1273148148148148E-2</v>
      </c>
      <c r="O431" s="189">
        <f t="shared" si="10"/>
        <v>2.8935185185185192E-3</v>
      </c>
      <c r="P431" s="191">
        <v>43046</v>
      </c>
      <c r="Q431" s="410" t="str">
        <f t="shared" ca="1" si="11"/>
        <v>https://www.youtube.com/embed/SS0UQNsxhus?start=724&amp;end=974&amp;autoplay=1</v>
      </c>
      <c r="R431" s="159" t="s">
        <v>63</v>
      </c>
      <c r="S431" s="159" t="s">
        <v>131</v>
      </c>
      <c r="T431" s="159" t="s">
        <v>63</v>
      </c>
      <c r="U431" s="148"/>
      <c r="V431" s="149"/>
      <c r="W431" s="167" t="s">
        <v>64</v>
      </c>
      <c r="X431" s="151"/>
      <c r="Y431" s="44"/>
      <c r="Z431" s="44"/>
    </row>
    <row r="432" spans="1:26">
      <c r="A432" s="44">
        <v>130</v>
      </c>
      <c r="B432" s="176" t="s">
        <v>155</v>
      </c>
      <c r="C432" s="170"/>
      <c r="D432" s="63" t="s">
        <v>56</v>
      </c>
      <c r="E432" s="44" t="s">
        <v>686</v>
      </c>
      <c r="F432" s="43" t="s">
        <v>687</v>
      </c>
      <c r="G432" s="44"/>
      <c r="H432" s="45"/>
      <c r="I432" s="44"/>
      <c r="J432" s="44">
        <f>651</f>
        <v>651</v>
      </c>
      <c r="K432" s="143">
        <v>3.9814814814814817E-3</v>
      </c>
      <c r="L432" s="144" t="s">
        <v>286</v>
      </c>
      <c r="M432" s="189"/>
      <c r="N432" s="189"/>
      <c r="O432" s="189">
        <f t="shared" si="10"/>
        <v>0</v>
      </c>
      <c r="P432" s="177">
        <v>43050</v>
      </c>
      <c r="Q432" s="410" t="str">
        <f t="shared" ca="1" si="11"/>
        <v>https://www.youtube.com/watch?v=g-xyM5pVESg</v>
      </c>
      <c r="R432" s="169"/>
      <c r="S432" s="169"/>
      <c r="T432" s="169"/>
      <c r="U432" s="170"/>
      <c r="V432" s="171"/>
      <c r="W432" s="172"/>
      <c r="X432" s="151"/>
      <c r="Y432" s="44"/>
      <c r="Z432" s="44"/>
    </row>
    <row r="433" spans="1:26">
      <c r="A433" s="63">
        <v>130.01</v>
      </c>
      <c r="B433" s="176" t="s">
        <v>155</v>
      </c>
      <c r="C433" s="170"/>
      <c r="D433" s="63" t="s">
        <v>56</v>
      </c>
      <c r="E433" s="44"/>
      <c r="F433" s="43"/>
      <c r="G433" s="63" t="s">
        <v>1257</v>
      </c>
      <c r="H433" s="58" t="s">
        <v>1258</v>
      </c>
      <c r="I433" s="44"/>
      <c r="J433" s="44"/>
      <c r="K433" s="143"/>
      <c r="L433" s="144"/>
      <c r="M433" s="193">
        <v>0</v>
      </c>
      <c r="N433" s="143">
        <v>3.9814814814814817E-3</v>
      </c>
      <c r="O433" s="143">
        <f t="shared" si="10"/>
        <v>3.9814814814814817E-3</v>
      </c>
      <c r="P433" s="177">
        <v>43050</v>
      </c>
      <c r="Q433" s="410" t="str">
        <f t="shared" ca="1" si="11"/>
        <v>https://www.youtube.com/embed/g-xyM5pVESg?start=0&amp;end=344&amp;autoplay=1</v>
      </c>
      <c r="R433" s="159" t="s">
        <v>63</v>
      </c>
      <c r="S433" s="159" t="s">
        <v>63</v>
      </c>
      <c r="T433" s="159" t="s">
        <v>63</v>
      </c>
      <c r="U433" s="148"/>
      <c r="V433" s="149"/>
      <c r="W433" s="167" t="s">
        <v>151</v>
      </c>
      <c r="X433" s="151"/>
      <c r="Y433" s="44"/>
      <c r="Z433" s="63" t="s">
        <v>1261</v>
      </c>
    </row>
    <row r="434" spans="1:26">
      <c r="A434" s="44">
        <v>131</v>
      </c>
      <c r="B434" s="176" t="s">
        <v>155</v>
      </c>
      <c r="C434" s="170"/>
      <c r="D434" s="63" t="s">
        <v>56</v>
      </c>
      <c r="E434" s="44" t="s">
        <v>689</v>
      </c>
      <c r="F434" s="43" t="s">
        <v>690</v>
      </c>
      <c r="G434" s="44"/>
      <c r="H434" s="45"/>
      <c r="I434" s="44"/>
      <c r="J434" s="44">
        <f>667</f>
        <v>667</v>
      </c>
      <c r="K434" s="143">
        <v>3.0092592592592588E-3</v>
      </c>
      <c r="L434" s="144" t="s">
        <v>286</v>
      </c>
      <c r="M434" s="189"/>
      <c r="N434" s="189"/>
      <c r="O434" s="189">
        <f t="shared" si="10"/>
        <v>0</v>
      </c>
      <c r="P434" s="177">
        <v>43061</v>
      </c>
      <c r="Q434" s="410" t="str">
        <f t="shared" ca="1" si="11"/>
        <v>https://www.youtube.com/watch?v=vHGejHQUoio</v>
      </c>
      <c r="R434" s="169"/>
      <c r="S434" s="169"/>
      <c r="T434" s="169"/>
      <c r="U434" s="170"/>
      <c r="V434" s="171"/>
      <c r="W434" s="172"/>
      <c r="X434" s="151"/>
      <c r="Y434" s="44"/>
      <c r="Z434" s="44"/>
    </row>
    <row r="435" spans="1:26">
      <c r="A435" s="63">
        <v>131.01</v>
      </c>
      <c r="B435" s="176" t="s">
        <v>155</v>
      </c>
      <c r="C435" s="170"/>
      <c r="D435" s="63" t="s">
        <v>56</v>
      </c>
      <c r="E435" s="44"/>
      <c r="F435" s="43"/>
      <c r="G435" s="63" t="s">
        <v>1294</v>
      </c>
      <c r="H435" s="58" t="s">
        <v>1295</v>
      </c>
      <c r="I435" s="44"/>
      <c r="J435" s="44"/>
      <c r="K435" s="143"/>
      <c r="L435" s="144"/>
      <c r="M435" s="193">
        <v>0</v>
      </c>
      <c r="N435" s="143">
        <v>3.0092592592592588E-3</v>
      </c>
      <c r="O435" s="143">
        <f t="shared" si="10"/>
        <v>3.0092592592592588E-3</v>
      </c>
      <c r="P435" s="177">
        <v>43061</v>
      </c>
      <c r="Q435" s="410" t="str">
        <f t="shared" ca="1" si="11"/>
        <v>https://www.youtube.com/embed/vHGejHQUoio?start=0&amp;end=260&amp;autoplay=1</v>
      </c>
      <c r="R435" s="159" t="s">
        <v>63</v>
      </c>
      <c r="S435" s="159" t="s">
        <v>63</v>
      </c>
      <c r="T435" s="159" t="s">
        <v>63</v>
      </c>
      <c r="U435" s="148"/>
      <c r="V435" s="171"/>
      <c r="W435" s="175" t="s">
        <v>64</v>
      </c>
      <c r="X435" s="151"/>
      <c r="Y435" s="88"/>
      <c r="Z435" s="88"/>
    </row>
    <row r="436" spans="1:26">
      <c r="A436" s="44">
        <v>132</v>
      </c>
      <c r="B436" s="176" t="s">
        <v>155</v>
      </c>
      <c r="C436" s="170"/>
      <c r="D436" s="63" t="s">
        <v>56</v>
      </c>
      <c r="E436" s="44" t="s">
        <v>692</v>
      </c>
      <c r="F436" s="43" t="s">
        <v>694</v>
      </c>
      <c r="G436" s="44"/>
      <c r="H436" s="45"/>
      <c r="I436" s="44"/>
      <c r="J436" s="44">
        <f>446</f>
        <v>446</v>
      </c>
      <c r="K436" s="143">
        <v>1.6087962962962963E-3</v>
      </c>
      <c r="L436" s="144" t="s">
        <v>286</v>
      </c>
      <c r="M436" s="189"/>
      <c r="N436" s="189"/>
      <c r="O436" s="189">
        <f t="shared" si="10"/>
        <v>0</v>
      </c>
      <c r="P436" s="177">
        <v>43061</v>
      </c>
      <c r="Q436" s="410" t="str">
        <f t="shared" ca="1" si="11"/>
        <v>https://www.youtube.com/watch?v=3f7b_ZE5B1Y</v>
      </c>
      <c r="R436" s="169"/>
      <c r="S436" s="169"/>
      <c r="T436" s="169"/>
      <c r="U436" s="170"/>
      <c r="V436" s="171"/>
      <c r="W436" s="172"/>
      <c r="X436" s="151"/>
      <c r="Y436" s="44"/>
      <c r="Z436" s="44"/>
    </row>
    <row r="437" spans="1:26">
      <c r="A437" s="63">
        <v>132.01</v>
      </c>
      <c r="B437" s="176" t="s">
        <v>155</v>
      </c>
      <c r="C437" s="170"/>
      <c r="D437" s="63" t="s">
        <v>56</v>
      </c>
      <c r="E437" s="44"/>
      <c r="F437" s="43"/>
      <c r="G437" s="63" t="s">
        <v>1298</v>
      </c>
      <c r="H437" s="58" t="s">
        <v>1299</v>
      </c>
      <c r="I437" s="44"/>
      <c r="J437" s="44"/>
      <c r="K437" s="143"/>
      <c r="L437" s="144"/>
      <c r="M437" s="193">
        <v>0</v>
      </c>
      <c r="N437" s="166">
        <v>1.5972222222222223E-3</v>
      </c>
      <c r="O437" s="143">
        <f t="shared" si="10"/>
        <v>1.5972222222222223E-3</v>
      </c>
      <c r="P437" s="177">
        <v>43061</v>
      </c>
      <c r="Q437" s="410" t="str">
        <f t="shared" ca="1" si="11"/>
        <v>https://www.youtube.com/embed/3f7b_ZE5B1Y?start=0&amp;end=138&amp;autoplay=1</v>
      </c>
      <c r="R437" s="159" t="s">
        <v>63</v>
      </c>
      <c r="S437" s="159" t="s">
        <v>63</v>
      </c>
      <c r="T437" s="159" t="s">
        <v>63</v>
      </c>
      <c r="U437" s="148"/>
      <c r="V437" s="171"/>
      <c r="W437" s="175" t="s">
        <v>64</v>
      </c>
      <c r="X437" s="151"/>
      <c r="Y437" s="44"/>
      <c r="Z437" s="44"/>
    </row>
    <row r="438" spans="1:26">
      <c r="A438" s="44">
        <v>133</v>
      </c>
      <c r="B438" s="176" t="s">
        <v>155</v>
      </c>
      <c r="C438" s="170"/>
      <c r="D438" s="63" t="s">
        <v>56</v>
      </c>
      <c r="E438" s="44" t="s">
        <v>696</v>
      </c>
      <c r="F438" s="43" t="s">
        <v>697</v>
      </c>
      <c r="G438" s="44"/>
      <c r="H438" s="45"/>
      <c r="I438" s="44"/>
      <c r="J438" s="44">
        <f>1.5*1000</f>
        <v>1500</v>
      </c>
      <c r="K438" s="143">
        <v>2.0995370370370373E-2</v>
      </c>
      <c r="L438" s="144" t="s">
        <v>286</v>
      </c>
      <c r="M438" s="189"/>
      <c r="N438" s="189"/>
      <c r="O438" s="189">
        <f t="shared" si="10"/>
        <v>0</v>
      </c>
      <c r="P438" s="177">
        <v>43050</v>
      </c>
      <c r="Q438" s="410" t="str">
        <f t="shared" ca="1" si="11"/>
        <v>https://www.youtube.com/watch?v=kQP4pUPNjqs</v>
      </c>
      <c r="R438" s="169"/>
      <c r="S438" s="169"/>
      <c r="T438" s="169"/>
      <c r="U438" s="170"/>
      <c r="V438" s="171"/>
      <c r="W438" s="172"/>
      <c r="X438" s="151"/>
      <c r="Y438" s="44"/>
      <c r="Z438" s="44"/>
    </row>
    <row r="439" spans="1:26">
      <c r="A439" s="63">
        <v>133.01</v>
      </c>
      <c r="B439" s="176" t="s">
        <v>155</v>
      </c>
      <c r="C439" s="170"/>
      <c r="D439" s="63" t="s">
        <v>56</v>
      </c>
      <c r="E439" s="44"/>
      <c r="F439" s="188"/>
      <c r="G439" s="162" t="s">
        <v>1264</v>
      </c>
      <c r="H439" s="63" t="s">
        <v>1265</v>
      </c>
      <c r="I439" s="44"/>
      <c r="J439" s="44"/>
      <c r="K439" s="143"/>
      <c r="L439" s="144"/>
      <c r="M439" s="193">
        <v>8.1018518518518516E-5</v>
      </c>
      <c r="N439" s="193">
        <v>2.0983796296296296E-2</v>
      </c>
      <c r="O439" s="189">
        <f t="shared" si="10"/>
        <v>2.0902777777777777E-2</v>
      </c>
      <c r="P439" s="177">
        <v>43050</v>
      </c>
      <c r="Q439" s="410" t="str">
        <f t="shared" ca="1" si="11"/>
        <v>https://www.youtube.com/embed/kQP4pUPNjqs?start=7&amp;end=1813&amp;autoplay=1</v>
      </c>
      <c r="R439" s="159" t="s">
        <v>63</v>
      </c>
      <c r="S439" s="159" t="s">
        <v>131</v>
      </c>
      <c r="T439" s="159" t="s">
        <v>63</v>
      </c>
      <c r="U439" s="148"/>
      <c r="V439" s="149"/>
      <c r="W439" s="167" t="s">
        <v>64</v>
      </c>
      <c r="X439" s="151"/>
      <c r="Y439" s="44"/>
      <c r="Z439" s="63" t="s">
        <v>1268</v>
      </c>
    </row>
    <row r="440" spans="1:26">
      <c r="A440" s="44">
        <v>134</v>
      </c>
      <c r="B440" s="176" t="s">
        <v>155</v>
      </c>
      <c r="C440" s="170"/>
      <c r="D440" s="63" t="s">
        <v>56</v>
      </c>
      <c r="E440" s="44" t="s">
        <v>699</v>
      </c>
      <c r="F440" s="43" t="s">
        <v>700</v>
      </c>
      <c r="G440" s="44"/>
      <c r="H440" s="45"/>
      <c r="I440" s="44"/>
      <c r="J440" s="44">
        <f>919</f>
        <v>919</v>
      </c>
      <c r="K440" s="143">
        <v>3.9479166666666669E-2</v>
      </c>
      <c r="L440" s="144" t="s">
        <v>286</v>
      </c>
      <c r="M440" s="189"/>
      <c r="N440" s="189"/>
      <c r="O440" s="189">
        <f t="shared" si="10"/>
        <v>0</v>
      </c>
      <c r="P440" s="177">
        <v>43052</v>
      </c>
      <c r="Q440" s="410" t="str">
        <f t="shared" ca="1" si="11"/>
        <v>https://www.youtube.com/watch?v=hWBzG7eVqVg</v>
      </c>
      <c r="R440" s="169"/>
      <c r="S440" s="169"/>
      <c r="T440" s="169"/>
      <c r="U440" s="170"/>
      <c r="V440" s="171"/>
      <c r="W440" s="172"/>
      <c r="X440" s="151"/>
      <c r="Y440" s="44"/>
      <c r="Z440" s="44"/>
    </row>
    <row r="441" spans="1:26">
      <c r="A441" s="63">
        <v>134.01</v>
      </c>
      <c r="B441" s="176" t="s">
        <v>155</v>
      </c>
      <c r="C441" s="170"/>
      <c r="D441" s="63" t="s">
        <v>56</v>
      </c>
      <c r="E441" s="44"/>
      <c r="F441" s="43"/>
      <c r="G441" s="63" t="s">
        <v>1269</v>
      </c>
      <c r="H441" s="58" t="s">
        <v>1270</v>
      </c>
      <c r="I441" s="44"/>
      <c r="J441" s="44"/>
      <c r="K441" s="143"/>
      <c r="L441" s="144"/>
      <c r="M441" s="193">
        <v>0</v>
      </c>
      <c r="N441" s="193">
        <v>1.4849537037037038E-2</v>
      </c>
      <c r="O441" s="189">
        <f t="shared" si="10"/>
        <v>1.4849537037037038E-2</v>
      </c>
      <c r="P441" s="177">
        <v>43052</v>
      </c>
      <c r="Q441" s="410" t="str">
        <f t="shared" ca="1" si="11"/>
        <v>https://www.youtube.com/embed/hWBzG7eVqVg?start=0&amp;end=1283&amp;autoplay=1</v>
      </c>
      <c r="R441" s="176" t="s">
        <v>63</v>
      </c>
      <c r="S441" s="176" t="s">
        <v>131</v>
      </c>
      <c r="T441" s="176" t="s">
        <v>63</v>
      </c>
      <c r="U441" s="170"/>
      <c r="V441" s="171"/>
      <c r="W441" s="175" t="s">
        <v>64</v>
      </c>
      <c r="X441" s="151"/>
      <c r="Y441" s="44"/>
      <c r="Z441" s="44"/>
    </row>
    <row r="442" spans="1:26">
      <c r="A442" s="63">
        <v>134.02000000000001</v>
      </c>
      <c r="B442" s="176" t="s">
        <v>155</v>
      </c>
      <c r="C442" s="170"/>
      <c r="D442" s="63" t="s">
        <v>56</v>
      </c>
      <c r="E442" s="44"/>
      <c r="F442" s="43"/>
      <c r="G442" s="63" t="s">
        <v>1273</v>
      </c>
      <c r="H442" s="58" t="s">
        <v>1274</v>
      </c>
      <c r="I442" s="44"/>
      <c r="J442" s="44"/>
      <c r="K442" s="143"/>
      <c r="L442" s="144"/>
      <c r="M442" s="193">
        <v>1.4849537037037038E-2</v>
      </c>
      <c r="N442" s="193">
        <v>2.2222222222222223E-2</v>
      </c>
      <c r="O442" s="189">
        <f t="shared" si="10"/>
        <v>7.3726851851851852E-3</v>
      </c>
      <c r="P442" s="177">
        <v>43052</v>
      </c>
      <c r="Q442" s="410" t="str">
        <f t="shared" ca="1" si="11"/>
        <v>https://www.youtube.com/embed/hWBzG7eVqVg?start=1283&amp;end=1920&amp;autoplay=1</v>
      </c>
      <c r="R442" s="159" t="s">
        <v>63</v>
      </c>
      <c r="S442" s="159" t="s">
        <v>131</v>
      </c>
      <c r="T442" s="159" t="s">
        <v>63</v>
      </c>
      <c r="U442" s="148"/>
      <c r="V442" s="149"/>
      <c r="W442" s="167" t="s">
        <v>64</v>
      </c>
      <c r="X442" s="151"/>
      <c r="Y442" s="44"/>
      <c r="Z442" s="63" t="s">
        <v>1268</v>
      </c>
    </row>
    <row r="443" spans="1:26">
      <c r="A443" s="63">
        <v>134.03</v>
      </c>
      <c r="B443" s="176" t="s">
        <v>155</v>
      </c>
      <c r="C443" s="170"/>
      <c r="D443" s="63" t="s">
        <v>56</v>
      </c>
      <c r="E443" s="44"/>
      <c r="F443" s="43"/>
      <c r="G443" s="63" t="s">
        <v>1277</v>
      </c>
      <c r="H443" s="58" t="s">
        <v>1278</v>
      </c>
      <c r="I443" s="44"/>
      <c r="J443" s="44"/>
      <c r="K443" s="143"/>
      <c r="L443" s="144"/>
      <c r="M443" s="193">
        <v>2.2222222222222223E-2</v>
      </c>
      <c r="N443" s="193">
        <v>3.2870370370370369E-2</v>
      </c>
      <c r="O443" s="189">
        <f t="shared" si="10"/>
        <v>1.0648148148148146E-2</v>
      </c>
      <c r="P443" s="177">
        <v>43052</v>
      </c>
      <c r="Q443" s="410" t="str">
        <f t="shared" ca="1" si="11"/>
        <v>https://www.youtube.com/embed/hWBzG7eVqVg?start=1920&amp;end=2840&amp;autoplay=1</v>
      </c>
      <c r="R443" s="159" t="s">
        <v>63</v>
      </c>
      <c r="S443" s="159" t="s">
        <v>131</v>
      </c>
      <c r="T443" s="159" t="s">
        <v>63</v>
      </c>
      <c r="U443" s="148"/>
      <c r="V443" s="149"/>
      <c r="W443" s="167" t="s">
        <v>64</v>
      </c>
      <c r="X443" s="151"/>
      <c r="Y443" s="44"/>
      <c r="Z443" s="44"/>
    </row>
    <row r="444" spans="1:26">
      <c r="A444" s="63">
        <v>134.04</v>
      </c>
      <c r="B444" s="176" t="s">
        <v>155</v>
      </c>
      <c r="C444" s="170"/>
      <c r="D444" s="63" t="s">
        <v>56</v>
      </c>
      <c r="E444" s="44"/>
      <c r="F444" s="43"/>
      <c r="G444" s="63" t="s">
        <v>1279</v>
      </c>
      <c r="H444" s="58" t="s">
        <v>1280</v>
      </c>
      <c r="I444" s="44"/>
      <c r="J444" s="44"/>
      <c r="K444" s="143"/>
      <c r="L444" s="144"/>
      <c r="M444" s="193">
        <v>3.2870370370370369E-2</v>
      </c>
      <c r="N444" s="193">
        <v>3.5046296296296298E-2</v>
      </c>
      <c r="O444" s="189">
        <f t="shared" si="10"/>
        <v>2.1759259259259284E-3</v>
      </c>
      <c r="P444" s="177">
        <v>43052</v>
      </c>
      <c r="Q444" s="410" t="str">
        <f t="shared" ca="1" si="11"/>
        <v>https://www.youtube.com/embed/hWBzG7eVqVg?start=2840&amp;end=3028&amp;autoplay=1</v>
      </c>
      <c r="R444" s="159" t="s">
        <v>63</v>
      </c>
      <c r="S444" s="159" t="s">
        <v>131</v>
      </c>
      <c r="T444" s="159" t="s">
        <v>63</v>
      </c>
      <c r="U444" s="148"/>
      <c r="V444" s="149"/>
      <c r="W444" s="167" t="s">
        <v>64</v>
      </c>
      <c r="X444" s="151"/>
      <c r="Y444" s="44"/>
      <c r="Z444" s="44"/>
    </row>
    <row r="445" spans="1:26">
      <c r="A445" s="63">
        <v>134.05000000000001</v>
      </c>
      <c r="B445" s="176" t="s">
        <v>155</v>
      </c>
      <c r="C445" s="170"/>
      <c r="D445" s="63" t="s">
        <v>56</v>
      </c>
      <c r="E445" s="44"/>
      <c r="F445" s="43"/>
      <c r="G445" s="63" t="s">
        <v>1284</v>
      </c>
      <c r="H445" s="58" t="s">
        <v>1285</v>
      </c>
      <c r="I445" s="44"/>
      <c r="J445" s="44"/>
      <c r="K445" s="143"/>
      <c r="L445" s="144"/>
      <c r="M445" s="193">
        <v>3.5127314814814813E-2</v>
      </c>
      <c r="N445" s="193">
        <v>3.9212962962962963E-2</v>
      </c>
      <c r="O445" s="189">
        <f t="shared" si="10"/>
        <v>4.0856481481481507E-3</v>
      </c>
      <c r="P445" s="177">
        <v>43052</v>
      </c>
      <c r="Q445" s="410" t="str">
        <f t="shared" ca="1" si="11"/>
        <v>https://www.youtube.com/embed/hWBzG7eVqVg?start=3035&amp;end=3388&amp;autoplay=1</v>
      </c>
      <c r="R445" s="159" t="s">
        <v>63</v>
      </c>
      <c r="S445" s="159" t="s">
        <v>131</v>
      </c>
      <c r="T445" s="159" t="s">
        <v>63</v>
      </c>
      <c r="U445" s="148"/>
      <c r="V445" s="171"/>
      <c r="W445" s="175" t="s">
        <v>64</v>
      </c>
      <c r="X445" s="151"/>
      <c r="Y445" s="44"/>
      <c r="Z445" s="44"/>
    </row>
    <row r="446" spans="1:26">
      <c r="A446" s="44">
        <v>135</v>
      </c>
      <c r="B446" s="176" t="s">
        <v>155</v>
      </c>
      <c r="C446" s="170"/>
      <c r="D446" s="63" t="s">
        <v>56</v>
      </c>
      <c r="E446" s="44" t="s">
        <v>703</v>
      </c>
      <c r="F446" s="43" t="s">
        <v>704</v>
      </c>
      <c r="G446" s="44"/>
      <c r="H446" s="45"/>
      <c r="I446" s="44"/>
      <c r="J446" s="44">
        <f>1*1000</f>
        <v>1000</v>
      </c>
      <c r="K446" s="143">
        <v>1.2499999999999999E-2</v>
      </c>
      <c r="L446" s="144" t="s">
        <v>286</v>
      </c>
      <c r="M446" s="189"/>
      <c r="N446" s="189"/>
      <c r="O446" s="189">
        <f t="shared" si="10"/>
        <v>0</v>
      </c>
      <c r="P446" s="177">
        <v>43052</v>
      </c>
      <c r="Q446" s="410" t="str">
        <f t="shared" ca="1" si="11"/>
        <v>https://www.youtube.com/watch?v=7jIfpSOnmK8</v>
      </c>
      <c r="R446" s="169"/>
      <c r="S446" s="169"/>
      <c r="T446" s="169"/>
      <c r="U446" s="170"/>
      <c r="V446" s="171"/>
      <c r="W446" s="172"/>
      <c r="X446" s="151"/>
      <c r="Y446" s="44"/>
      <c r="Z446" s="44"/>
    </row>
    <row r="447" spans="1:26">
      <c r="A447" s="63">
        <v>135.01</v>
      </c>
      <c r="B447" s="176" t="s">
        <v>155</v>
      </c>
      <c r="C447" s="170"/>
      <c r="D447" s="63" t="s">
        <v>56</v>
      </c>
      <c r="E447" s="44"/>
      <c r="F447" s="43"/>
      <c r="G447" s="63" t="s">
        <v>1288</v>
      </c>
      <c r="H447" s="58" t="s">
        <v>1289</v>
      </c>
      <c r="I447" s="44"/>
      <c r="J447" s="44"/>
      <c r="K447" s="143"/>
      <c r="L447" s="144"/>
      <c r="M447" s="193">
        <v>1.8518518518518518E-4</v>
      </c>
      <c r="N447" s="193">
        <v>1.2488425925925925E-2</v>
      </c>
      <c r="O447" s="189">
        <f t="shared" si="10"/>
        <v>1.230324074074074E-2</v>
      </c>
      <c r="P447" s="177">
        <v>43052</v>
      </c>
      <c r="Q447" s="410" t="str">
        <f t="shared" ca="1" si="11"/>
        <v>https://www.youtube.com/embed/7jIfpSOnmK8?start=16&amp;end=1079&amp;autoplay=1</v>
      </c>
      <c r="R447" s="159" t="s">
        <v>63</v>
      </c>
      <c r="S447" s="159" t="s">
        <v>63</v>
      </c>
      <c r="T447" s="159" t="s">
        <v>63</v>
      </c>
      <c r="U447" s="148"/>
      <c r="V447" s="171"/>
      <c r="W447" s="175" t="s">
        <v>64</v>
      </c>
      <c r="X447" s="151"/>
      <c r="Y447" s="44"/>
      <c r="Z447" s="44"/>
    </row>
    <row r="448" spans="1:26">
      <c r="A448" s="44">
        <v>136</v>
      </c>
      <c r="B448" s="176" t="s">
        <v>155</v>
      </c>
      <c r="C448" s="170"/>
      <c r="D448" s="63" t="s">
        <v>56</v>
      </c>
      <c r="E448" s="44" t="s">
        <v>706</v>
      </c>
      <c r="F448" s="43" t="s">
        <v>707</v>
      </c>
      <c r="G448" s="44"/>
      <c r="H448" s="45"/>
      <c r="I448" s="44"/>
      <c r="J448" s="44">
        <f>246</f>
        <v>246</v>
      </c>
      <c r="K448" s="143">
        <v>1.8055555555555557E-3</v>
      </c>
      <c r="L448" s="144" t="s">
        <v>286</v>
      </c>
      <c r="M448" s="189"/>
      <c r="N448" s="189"/>
      <c r="O448" s="189">
        <f t="shared" si="10"/>
        <v>0</v>
      </c>
      <c r="P448" s="177">
        <v>43061</v>
      </c>
      <c r="Q448" s="410" t="str">
        <f t="shared" ca="1" si="11"/>
        <v>https://www.youtube.com/watch?v=qd7yTtTb_Fc</v>
      </c>
      <c r="R448" s="169"/>
      <c r="S448" s="169"/>
      <c r="T448" s="169"/>
      <c r="U448" s="170"/>
      <c r="V448" s="171"/>
      <c r="W448" s="172"/>
      <c r="X448" s="151"/>
      <c r="Y448" s="44"/>
      <c r="Z448" s="44"/>
    </row>
    <row r="449" spans="1:26">
      <c r="A449" s="42">
        <v>136.01</v>
      </c>
      <c r="B449" s="39" t="s">
        <v>155</v>
      </c>
      <c r="C449" s="40"/>
      <c r="D449" s="42" t="s">
        <v>56</v>
      </c>
      <c r="E449" s="38"/>
      <c r="F449" s="188"/>
      <c r="G449" s="63" t="s">
        <v>1304</v>
      </c>
      <c r="H449" s="58" t="s">
        <v>1305</v>
      </c>
      <c r="I449" s="38"/>
      <c r="J449" s="38"/>
      <c r="K449" s="46"/>
      <c r="L449" s="47"/>
      <c r="M449" s="93">
        <v>0</v>
      </c>
      <c r="N449" s="93">
        <v>1.1226851851851851E-3</v>
      </c>
      <c r="O449" s="189">
        <f t="shared" si="10"/>
        <v>1.1226851851851851E-3</v>
      </c>
      <c r="P449" s="177">
        <v>43061</v>
      </c>
      <c r="Q449" s="410" t="str">
        <f t="shared" ca="1" si="11"/>
        <v>https://www.youtube.com/embed/qd7yTtTb_Fc?start=0&amp;end=97&amp;autoplay=1</v>
      </c>
      <c r="R449" s="159" t="s">
        <v>63</v>
      </c>
      <c r="S449" s="159" t="s">
        <v>63</v>
      </c>
      <c r="T449" s="159" t="s">
        <v>63</v>
      </c>
      <c r="U449" s="148"/>
      <c r="V449" s="171"/>
      <c r="W449" s="175" t="s">
        <v>64</v>
      </c>
      <c r="X449" s="56"/>
      <c r="Y449" s="88"/>
      <c r="Z449" s="88"/>
    </row>
    <row r="450" spans="1:26" hidden="1">
      <c r="A450" s="38">
        <v>137</v>
      </c>
      <c r="B450" s="38"/>
      <c r="C450" s="38"/>
      <c r="D450" s="38"/>
      <c r="E450" s="38" t="s">
        <v>710</v>
      </c>
      <c r="F450" s="43" t="s">
        <v>712</v>
      </c>
      <c r="G450" s="44"/>
      <c r="H450" s="45"/>
      <c r="I450" s="38"/>
      <c r="J450" s="38">
        <f>10*1000</f>
        <v>10000</v>
      </c>
      <c r="K450" s="46">
        <v>3.1759259259259258E-2</v>
      </c>
      <c r="L450" s="47" t="s">
        <v>286</v>
      </c>
      <c r="M450" s="307"/>
      <c r="N450" s="307"/>
      <c r="O450" s="307">
        <f t="shared" si="10"/>
        <v>0</v>
      </c>
      <c r="P450" s="92"/>
      <c r="Q450" s="410" t="str">
        <f t="shared" ca="1" si="11"/>
        <v>https://www.youtube.com/watch?v=2WYZtS_LLog</v>
      </c>
      <c r="R450" s="50"/>
      <c r="S450" s="50"/>
      <c r="T450" s="50"/>
      <c r="U450" s="52"/>
      <c r="V450" s="53"/>
      <c r="W450" s="60"/>
      <c r="X450" s="56"/>
      <c r="Y450" s="38"/>
      <c r="Z450" s="38"/>
    </row>
    <row r="451" spans="1:26" hidden="1">
      <c r="A451" s="38">
        <v>138</v>
      </c>
      <c r="B451" s="38"/>
      <c r="C451" s="38"/>
      <c r="D451" s="38"/>
      <c r="E451" s="38" t="s">
        <v>714</v>
      </c>
      <c r="F451" s="43" t="s">
        <v>715</v>
      </c>
      <c r="G451" s="44"/>
      <c r="H451" s="45"/>
      <c r="I451" s="38"/>
      <c r="J451" s="38">
        <f>955</f>
        <v>955</v>
      </c>
      <c r="K451" s="46">
        <v>5.5208333333333333E-3</v>
      </c>
      <c r="L451" s="47" t="s">
        <v>286</v>
      </c>
      <c r="M451" s="307"/>
      <c r="N451" s="307"/>
      <c r="O451" s="307">
        <f t="shared" si="10"/>
        <v>0</v>
      </c>
      <c r="P451" s="92"/>
      <c r="Q451" s="410" t="str">
        <f t="shared" ref="Q451:Q514" ca="1" si="12">HYPERLINK(IF(INT(A451)-A451=0,E451,REPLACE(INDIRECT("MasterList!e"&amp;INT(A451)+1),25,8,"embed/")&amp;"?start="&amp;HOUR(M451)*3600+MINUTE(M451)*60+SECOND(M451)&amp;"&amp;end="&amp;HOUR(N451)*3600+MINUTE(N451)*60+SECOND(N451)&amp;"&amp;autoplay=1"))</f>
        <v>https://www.youtube.com/watch?v=agP31XI_FxA</v>
      </c>
      <c r="R451" s="50"/>
      <c r="S451" s="50"/>
      <c r="T451" s="50"/>
      <c r="U451" s="52"/>
      <c r="V451" s="53"/>
      <c r="W451" s="60"/>
      <c r="X451" s="56"/>
      <c r="Y451" s="38"/>
      <c r="Z451" s="38"/>
    </row>
    <row r="452" spans="1:26" hidden="1">
      <c r="A452" s="38">
        <v>139</v>
      </c>
      <c r="B452" s="38"/>
      <c r="C452" s="38"/>
      <c r="D452" s="38"/>
      <c r="E452" s="38" t="s">
        <v>717</v>
      </c>
      <c r="F452" s="43" t="s">
        <v>718</v>
      </c>
      <c r="G452" s="44"/>
      <c r="H452" s="45"/>
      <c r="I452" s="38"/>
      <c r="J452" s="38">
        <f>5.6*1000</f>
        <v>5600</v>
      </c>
      <c r="K452" s="46">
        <v>3.7083333333333336E-2</v>
      </c>
      <c r="L452" s="47" t="s">
        <v>286</v>
      </c>
      <c r="M452" s="307"/>
      <c r="N452" s="307"/>
      <c r="O452" s="307">
        <f t="shared" si="10"/>
        <v>0</v>
      </c>
      <c r="P452" s="92"/>
      <c r="Q452" s="410" t="str">
        <f t="shared" ca="1" si="12"/>
        <v>https://www.youtube.com/watch?v=7ZD3D4mAoaE</v>
      </c>
      <c r="R452" s="50"/>
      <c r="S452" s="50"/>
      <c r="T452" s="50"/>
      <c r="U452" s="52"/>
      <c r="V452" s="53"/>
      <c r="W452" s="60"/>
      <c r="X452" s="56"/>
      <c r="Y452" s="38"/>
      <c r="Z452" s="38"/>
    </row>
    <row r="453" spans="1:26" hidden="1">
      <c r="A453" s="38">
        <v>140</v>
      </c>
      <c r="B453" s="38"/>
      <c r="C453" s="38"/>
      <c r="D453" s="38"/>
      <c r="E453" s="38" t="s">
        <v>720</v>
      </c>
      <c r="F453" s="43" t="s">
        <v>721</v>
      </c>
      <c r="G453" s="44"/>
      <c r="H453" s="45"/>
      <c r="I453" s="38"/>
      <c r="J453" s="38">
        <f>1*1000</f>
        <v>1000</v>
      </c>
      <c r="K453" s="46">
        <v>3.3622685185185179E-2</v>
      </c>
      <c r="L453" s="47" t="s">
        <v>286</v>
      </c>
      <c r="M453" s="307"/>
      <c r="N453" s="307"/>
      <c r="O453" s="307">
        <f t="shared" si="10"/>
        <v>0</v>
      </c>
      <c r="P453" s="92"/>
      <c r="Q453" s="410" t="str">
        <f t="shared" ca="1" si="12"/>
        <v>https://www.youtube.com/watch?v=ANSSQQ6ZauM</v>
      </c>
      <c r="R453" s="50"/>
      <c r="S453" s="50"/>
      <c r="T453" s="50"/>
      <c r="U453" s="52"/>
      <c r="V453" s="53"/>
      <c r="W453" s="60"/>
      <c r="X453" s="56"/>
      <c r="Y453" s="38"/>
      <c r="Z453" s="38"/>
    </row>
    <row r="454" spans="1:26" hidden="1">
      <c r="A454" s="38">
        <v>141</v>
      </c>
      <c r="B454" s="38"/>
      <c r="C454" s="38"/>
      <c r="D454" s="38"/>
      <c r="E454" s="38" t="s">
        <v>725</v>
      </c>
      <c r="F454" s="43" t="s">
        <v>726</v>
      </c>
      <c r="G454" s="44"/>
      <c r="H454" s="45"/>
      <c r="I454" s="38"/>
      <c r="J454" s="38">
        <f>758</f>
        <v>758</v>
      </c>
      <c r="K454" s="46">
        <v>2.9050925925925928E-2</v>
      </c>
      <c r="L454" s="47" t="s">
        <v>286</v>
      </c>
      <c r="M454" s="307"/>
      <c r="N454" s="307"/>
      <c r="O454" s="307">
        <f t="shared" si="10"/>
        <v>0</v>
      </c>
      <c r="P454" s="92"/>
      <c r="Q454" s="410" t="str">
        <f t="shared" ca="1" si="12"/>
        <v>https://www.youtube.com/watch?v=OBViSvvLu-s</v>
      </c>
      <c r="R454" s="50"/>
      <c r="S454" s="50"/>
      <c r="T454" s="50"/>
      <c r="U454" s="52"/>
      <c r="V454" s="53"/>
      <c r="W454" s="60"/>
      <c r="X454" s="56"/>
      <c r="Y454" s="38"/>
      <c r="Z454" s="38"/>
    </row>
    <row r="455" spans="1:26" hidden="1">
      <c r="A455" s="38">
        <v>142</v>
      </c>
      <c r="B455" s="38"/>
      <c r="C455" s="38"/>
      <c r="D455" s="38"/>
      <c r="E455" s="38" t="s">
        <v>728</v>
      </c>
      <c r="F455" s="43" t="s">
        <v>730</v>
      </c>
      <c r="G455" s="44"/>
      <c r="H455" s="45"/>
      <c r="I455" s="38"/>
      <c r="J455" s="38">
        <f>483</f>
        <v>483</v>
      </c>
      <c r="K455" s="46">
        <v>2.1400462962962965E-2</v>
      </c>
      <c r="L455" s="47" t="s">
        <v>286</v>
      </c>
      <c r="M455" s="307"/>
      <c r="N455" s="307"/>
      <c r="O455" s="307">
        <f t="shared" si="10"/>
        <v>0</v>
      </c>
      <c r="P455" s="92"/>
      <c r="Q455" s="410" t="str">
        <f t="shared" ca="1" si="12"/>
        <v>https://www.youtube.com/watch?v=k54XQ5I1Nzo</v>
      </c>
      <c r="R455" s="50"/>
      <c r="S455" s="50"/>
      <c r="T455" s="50"/>
      <c r="U455" s="52"/>
      <c r="V455" s="53"/>
      <c r="W455" s="60"/>
      <c r="X455" s="56"/>
      <c r="Y455" s="38"/>
      <c r="Z455" s="38"/>
    </row>
    <row r="456" spans="1:26" hidden="1">
      <c r="A456" s="38">
        <v>143</v>
      </c>
      <c r="B456" s="38"/>
      <c r="C456" s="38"/>
      <c r="D456" s="38"/>
      <c r="E456" s="38" t="s">
        <v>736</v>
      </c>
      <c r="F456" s="43" t="s">
        <v>737</v>
      </c>
      <c r="G456" s="44"/>
      <c r="H456" s="45"/>
      <c r="I456" s="38"/>
      <c r="J456" s="38">
        <f>435</f>
        <v>435</v>
      </c>
      <c r="K456" s="46">
        <v>1.4490740740740742E-2</v>
      </c>
      <c r="L456" s="47" t="s">
        <v>286</v>
      </c>
      <c r="M456" s="307"/>
      <c r="N456" s="307"/>
      <c r="O456" s="307">
        <f t="shared" si="10"/>
        <v>0</v>
      </c>
      <c r="P456" s="92"/>
      <c r="Q456" s="410" t="str">
        <f t="shared" ca="1" si="12"/>
        <v>https://www.youtube.com/watch?v=vdwHHPZwNEo</v>
      </c>
      <c r="R456" s="50"/>
      <c r="S456" s="50"/>
      <c r="T456" s="50"/>
      <c r="U456" s="52"/>
      <c r="V456" s="53"/>
      <c r="W456" s="60"/>
      <c r="X456" s="56"/>
      <c r="Y456" s="38"/>
      <c r="Z456" s="38"/>
    </row>
    <row r="457" spans="1:26" hidden="1">
      <c r="A457" s="38">
        <v>144</v>
      </c>
      <c r="B457" s="38"/>
      <c r="C457" s="38"/>
      <c r="D457" s="38"/>
      <c r="E457" s="38" t="s">
        <v>739</v>
      </c>
      <c r="F457" s="43" t="s">
        <v>740</v>
      </c>
      <c r="G457" s="44"/>
      <c r="H457" s="45"/>
      <c r="I457" s="38"/>
      <c r="J457" s="38">
        <f>409</f>
        <v>409</v>
      </c>
      <c r="K457" s="46">
        <v>1.105324074074074E-2</v>
      </c>
      <c r="L457" s="47" t="s">
        <v>286</v>
      </c>
      <c r="M457" s="307"/>
      <c r="N457" s="307"/>
      <c r="O457" s="307">
        <f t="shared" si="10"/>
        <v>0</v>
      </c>
      <c r="P457" s="92"/>
      <c r="Q457" s="410" t="str">
        <f t="shared" ca="1" si="12"/>
        <v>https://www.youtube.com/watch?v=q1K9wPDzMjU</v>
      </c>
      <c r="R457" s="50"/>
      <c r="S457" s="50"/>
      <c r="T457" s="50"/>
      <c r="U457" s="52"/>
      <c r="V457" s="53"/>
      <c r="W457" s="60"/>
      <c r="X457" s="56"/>
      <c r="Y457" s="38"/>
      <c r="Z457" s="38"/>
    </row>
    <row r="458" spans="1:26" hidden="1">
      <c r="A458" s="38">
        <v>145</v>
      </c>
      <c r="B458" s="38"/>
      <c r="C458" s="38"/>
      <c r="D458" s="38"/>
      <c r="E458" s="38" t="s">
        <v>744</v>
      </c>
      <c r="F458" s="43" t="s">
        <v>746</v>
      </c>
      <c r="G458" s="44"/>
      <c r="H458" s="45"/>
      <c r="I458" s="38"/>
      <c r="J458" s="38">
        <f>925</f>
        <v>925</v>
      </c>
      <c r="K458" s="46">
        <v>2.0173611111111111E-2</v>
      </c>
      <c r="L458" s="47" t="s">
        <v>286</v>
      </c>
      <c r="M458" s="307"/>
      <c r="N458" s="307"/>
      <c r="O458" s="307">
        <f t="shared" si="10"/>
        <v>0</v>
      </c>
      <c r="P458" s="92"/>
      <c r="Q458" s="410" t="str">
        <f t="shared" ca="1" si="12"/>
        <v>https://www.youtube.com/watch?v=75OFJ9IX4tI</v>
      </c>
      <c r="R458" s="50"/>
      <c r="S458" s="50"/>
      <c r="T458" s="50"/>
      <c r="U458" s="52"/>
      <c r="V458" s="53"/>
      <c r="W458" s="60"/>
      <c r="X458" s="56"/>
      <c r="Y458" s="38"/>
      <c r="Z458" s="38"/>
    </row>
    <row r="459" spans="1:26" hidden="1">
      <c r="A459" s="38">
        <v>146</v>
      </c>
      <c r="B459" s="38"/>
      <c r="C459" s="38"/>
      <c r="D459" s="38"/>
      <c r="E459" s="38" t="s">
        <v>749</v>
      </c>
      <c r="F459" s="43" t="s">
        <v>750</v>
      </c>
      <c r="G459" s="44"/>
      <c r="H459" s="45"/>
      <c r="I459" s="38"/>
      <c r="J459" s="38">
        <f>427</f>
        <v>427</v>
      </c>
      <c r="K459" s="46">
        <v>3.1249999999999997E-3</v>
      </c>
      <c r="L459" s="47" t="s">
        <v>286</v>
      </c>
      <c r="M459" s="307"/>
      <c r="N459" s="307"/>
      <c r="O459" s="307">
        <f t="shared" si="10"/>
        <v>0</v>
      </c>
      <c r="P459" s="92"/>
      <c r="Q459" s="410" t="str">
        <f t="shared" ca="1" si="12"/>
        <v>https://www.youtube.com/watch?v=p6HgGSKj2m8</v>
      </c>
      <c r="R459" s="50"/>
      <c r="S459" s="50"/>
      <c r="T459" s="50"/>
      <c r="U459" s="52"/>
      <c r="V459" s="53"/>
      <c r="W459" s="60"/>
      <c r="X459" s="56"/>
      <c r="Y459" s="38"/>
      <c r="Z459" s="38"/>
    </row>
    <row r="460" spans="1:26" hidden="1">
      <c r="A460" s="38">
        <v>147</v>
      </c>
      <c r="B460" s="38"/>
      <c r="C460" s="38"/>
      <c r="D460" s="38"/>
      <c r="E460" s="38" t="s">
        <v>754</v>
      </c>
      <c r="F460" s="43" t="s">
        <v>755</v>
      </c>
      <c r="G460" s="44"/>
      <c r="H460" s="45"/>
      <c r="I460" s="38"/>
      <c r="J460" s="38">
        <f>3.5*1000</f>
        <v>3500</v>
      </c>
      <c r="K460" s="46">
        <v>2.5208333333333333E-2</v>
      </c>
      <c r="L460" s="47" t="s">
        <v>286</v>
      </c>
      <c r="M460" s="307"/>
      <c r="N460" s="307"/>
      <c r="O460" s="307">
        <f t="shared" si="10"/>
        <v>0</v>
      </c>
      <c r="P460" s="92"/>
      <c r="Q460" s="410" t="str">
        <f t="shared" ca="1" si="12"/>
        <v>https://www.youtube.com/watch?v=cKIAV15AZcI</v>
      </c>
      <c r="R460" s="50"/>
      <c r="S460" s="50"/>
      <c r="T460" s="50"/>
      <c r="U460" s="52"/>
      <c r="V460" s="53"/>
      <c r="W460" s="60"/>
      <c r="X460" s="56"/>
      <c r="Y460" s="38"/>
      <c r="Z460" s="38"/>
    </row>
    <row r="461" spans="1:26" hidden="1">
      <c r="A461" s="38">
        <v>148</v>
      </c>
      <c r="B461" s="38"/>
      <c r="C461" s="38"/>
      <c r="D461" s="38"/>
      <c r="E461" s="38" t="s">
        <v>761</v>
      </c>
      <c r="F461" s="43" t="s">
        <v>764</v>
      </c>
      <c r="G461" s="44"/>
      <c r="H461" s="45"/>
      <c r="I461" s="38"/>
      <c r="J461" s="38">
        <f>1.1*1000</f>
        <v>1100</v>
      </c>
      <c r="K461" s="46">
        <v>3.6597222222222225E-2</v>
      </c>
      <c r="L461" s="47" t="s">
        <v>286</v>
      </c>
      <c r="M461" s="307"/>
      <c r="N461" s="307"/>
      <c r="O461" s="307">
        <f t="shared" si="10"/>
        <v>0</v>
      </c>
      <c r="P461" s="92"/>
      <c r="Q461" s="410" t="str">
        <f t="shared" ca="1" si="12"/>
        <v>https://www.youtube.com/watch?v=sdhISUDYvX4</v>
      </c>
      <c r="R461" s="50"/>
      <c r="S461" s="50"/>
      <c r="T461" s="50"/>
      <c r="U461" s="52"/>
      <c r="V461" s="53"/>
      <c r="W461" s="60"/>
      <c r="X461" s="56"/>
      <c r="Y461" s="38"/>
      <c r="Z461" s="38"/>
    </row>
    <row r="462" spans="1:26">
      <c r="A462" s="38">
        <v>149</v>
      </c>
      <c r="B462" s="39" t="s">
        <v>54</v>
      </c>
      <c r="C462" s="40"/>
      <c r="D462" s="42" t="s">
        <v>56</v>
      </c>
      <c r="E462" s="38" t="s">
        <v>345</v>
      </c>
      <c r="F462" s="43" t="s">
        <v>346</v>
      </c>
      <c r="G462" s="44"/>
      <c r="H462" s="45"/>
      <c r="I462" s="38"/>
      <c r="J462" s="38">
        <f>1.2*1000</f>
        <v>1200</v>
      </c>
      <c r="K462" s="46">
        <v>4.2303240740740738E-2</v>
      </c>
      <c r="L462" s="47" t="s">
        <v>286</v>
      </c>
      <c r="M462" s="307"/>
      <c r="N462" s="307"/>
      <c r="O462" s="307">
        <f t="shared" si="10"/>
        <v>0</v>
      </c>
      <c r="P462" s="66">
        <v>43025</v>
      </c>
      <c r="Q462" s="410" t="str">
        <f t="shared" ca="1" si="12"/>
        <v>https://www.youtube.com/watch?v=T0iutxik1Eg</v>
      </c>
      <c r="R462" s="51"/>
      <c r="S462" s="51"/>
      <c r="T462" s="51"/>
      <c r="U462" s="40"/>
      <c r="V462" s="54"/>
      <c r="W462" s="55"/>
      <c r="X462" s="56"/>
      <c r="Y462" s="311"/>
      <c r="Z462" s="311"/>
    </row>
    <row r="463" spans="1:26">
      <c r="A463" s="42">
        <v>149.01</v>
      </c>
      <c r="B463" s="39" t="s">
        <v>54</v>
      </c>
      <c r="C463" s="40"/>
      <c r="D463" s="42" t="s">
        <v>56</v>
      </c>
      <c r="E463" s="38"/>
      <c r="F463" s="43"/>
      <c r="G463" s="63" t="s">
        <v>351</v>
      </c>
      <c r="H463" s="58"/>
      <c r="I463" s="38"/>
      <c r="J463" s="38"/>
      <c r="K463" s="46"/>
      <c r="L463" s="47"/>
      <c r="M463" s="342">
        <v>1.1574074074074073E-5</v>
      </c>
      <c r="N463" s="342">
        <v>4.2824074074074075E-3</v>
      </c>
      <c r="O463" s="307">
        <f t="shared" si="10"/>
        <v>4.2708333333333331E-3</v>
      </c>
      <c r="P463" s="66">
        <v>43025</v>
      </c>
      <c r="Q463" s="410" t="str">
        <f t="shared" ca="1" si="12"/>
        <v>https://www.youtube.com/embed/T0iutxik1Eg?start=1&amp;end=370&amp;autoplay=1</v>
      </c>
      <c r="R463" s="67" t="s">
        <v>63</v>
      </c>
      <c r="S463" s="67" t="s">
        <v>63</v>
      </c>
      <c r="T463" s="67" t="s">
        <v>63</v>
      </c>
      <c r="U463" s="52"/>
      <c r="V463" s="53"/>
      <c r="W463" s="57" t="s">
        <v>64</v>
      </c>
      <c r="X463" s="78"/>
      <c r="Y463" s="61"/>
      <c r="Z463" s="61"/>
    </row>
    <row r="464" spans="1:26">
      <c r="A464" s="42">
        <v>149.02000000000001</v>
      </c>
      <c r="B464" s="39" t="s">
        <v>54</v>
      </c>
      <c r="C464" s="40"/>
      <c r="D464" s="42" t="s">
        <v>56</v>
      </c>
      <c r="E464" s="38"/>
      <c r="F464" s="43"/>
      <c r="G464" s="63" t="s">
        <v>358</v>
      </c>
      <c r="H464" s="58"/>
      <c r="I464" s="38"/>
      <c r="J464" s="38"/>
      <c r="K464" s="46"/>
      <c r="L464" s="47"/>
      <c r="M464" s="342">
        <v>4.2939814814814811E-3</v>
      </c>
      <c r="N464" s="342">
        <v>1.0104166666666666E-2</v>
      </c>
      <c r="O464" s="307">
        <f t="shared" si="10"/>
        <v>5.8101851851851847E-3</v>
      </c>
      <c r="P464" s="66">
        <v>43025</v>
      </c>
      <c r="Q464" s="410" t="str">
        <f t="shared" ca="1" si="12"/>
        <v>https://www.youtube.com/embed/T0iutxik1Eg?start=371&amp;end=873&amp;autoplay=1</v>
      </c>
      <c r="R464" s="67" t="s">
        <v>63</v>
      </c>
      <c r="S464" s="67" t="s">
        <v>63</v>
      </c>
      <c r="T464" s="67" t="s">
        <v>63</v>
      </c>
      <c r="U464" s="52"/>
      <c r="V464" s="53"/>
      <c r="W464" s="57" t="s">
        <v>64</v>
      </c>
      <c r="X464" s="78"/>
      <c r="Y464" s="61"/>
      <c r="Z464" s="61"/>
    </row>
    <row r="465" spans="1:26">
      <c r="A465" s="42">
        <v>149.03</v>
      </c>
      <c r="B465" s="39" t="s">
        <v>54</v>
      </c>
      <c r="C465" s="40"/>
      <c r="D465" s="42" t="s">
        <v>56</v>
      </c>
      <c r="E465" s="38"/>
      <c r="F465" s="43"/>
      <c r="G465" s="63" t="s">
        <v>362</v>
      </c>
      <c r="H465" s="45"/>
      <c r="I465" s="38"/>
      <c r="J465" s="38"/>
      <c r="K465" s="46"/>
      <c r="L465" s="47"/>
      <c r="M465" s="342">
        <v>1.0405092592592593E-2</v>
      </c>
      <c r="N465" s="342">
        <v>1.3171296296296296E-2</v>
      </c>
      <c r="O465" s="307">
        <f t="shared" si="10"/>
        <v>2.766203703703703E-3</v>
      </c>
      <c r="P465" s="66">
        <v>43025</v>
      </c>
      <c r="Q465" s="410" t="str">
        <f t="shared" ca="1" si="12"/>
        <v>https://www.youtube.com/embed/T0iutxik1Eg?start=899&amp;end=1138&amp;autoplay=1</v>
      </c>
      <c r="R465" s="67" t="s">
        <v>63</v>
      </c>
      <c r="S465" s="67" t="s">
        <v>63</v>
      </c>
      <c r="T465" s="67" t="s">
        <v>63</v>
      </c>
      <c r="U465" s="52"/>
      <c r="V465" s="53"/>
      <c r="W465" s="57" t="s">
        <v>64</v>
      </c>
      <c r="X465" s="78"/>
      <c r="Y465" s="61"/>
      <c r="Z465" s="61"/>
    </row>
    <row r="466" spans="1:26">
      <c r="A466" s="42">
        <v>149.04</v>
      </c>
      <c r="B466" s="39" t="s">
        <v>54</v>
      </c>
      <c r="C466" s="40"/>
      <c r="D466" s="42" t="s">
        <v>56</v>
      </c>
      <c r="E466" s="38"/>
      <c r="F466" s="43"/>
      <c r="G466" s="63" t="s">
        <v>367</v>
      </c>
      <c r="H466" s="45"/>
      <c r="I466" s="38"/>
      <c r="J466" s="38"/>
      <c r="K466" s="46"/>
      <c r="L466" s="47"/>
      <c r="M466" s="342">
        <v>1.3344907407407408E-2</v>
      </c>
      <c r="N466" s="342">
        <v>1.6435185185185185E-2</v>
      </c>
      <c r="O466" s="307">
        <f t="shared" si="10"/>
        <v>3.0902777777777769E-3</v>
      </c>
      <c r="P466" s="66">
        <v>43025</v>
      </c>
      <c r="Q466" s="410" t="str">
        <f t="shared" ca="1" si="12"/>
        <v>https://www.youtube.com/embed/T0iutxik1Eg?start=1153&amp;end=1420&amp;autoplay=1</v>
      </c>
      <c r="R466" s="67" t="s">
        <v>63</v>
      </c>
      <c r="S466" s="67" t="s">
        <v>63</v>
      </c>
      <c r="T466" s="67" t="s">
        <v>63</v>
      </c>
      <c r="U466" s="52"/>
      <c r="V466" s="53"/>
      <c r="W466" s="57" t="s">
        <v>64</v>
      </c>
      <c r="X466" s="56"/>
      <c r="Y466" s="38"/>
      <c r="Z466" s="38"/>
    </row>
    <row r="467" spans="1:26">
      <c r="A467" s="42">
        <v>149.05000000000001</v>
      </c>
      <c r="B467" s="39" t="s">
        <v>54</v>
      </c>
      <c r="C467" s="40"/>
      <c r="D467" s="42" t="s">
        <v>56</v>
      </c>
      <c r="E467" s="38"/>
      <c r="F467" s="43"/>
      <c r="G467" s="63" t="s">
        <v>372</v>
      </c>
      <c r="H467" s="58"/>
      <c r="I467" s="38"/>
      <c r="J467" s="38"/>
      <c r="K467" s="46"/>
      <c r="L467" s="47"/>
      <c r="M467" s="342">
        <v>1.6493055555555556E-2</v>
      </c>
      <c r="N467" s="342">
        <v>1.954861111111111E-2</v>
      </c>
      <c r="O467" s="307">
        <f t="shared" si="10"/>
        <v>3.0555555555555544E-3</v>
      </c>
      <c r="P467" s="66">
        <v>43025</v>
      </c>
      <c r="Q467" s="410" t="str">
        <f t="shared" ca="1" si="12"/>
        <v>https://www.youtube.com/embed/T0iutxik1Eg?start=1425&amp;end=1689&amp;autoplay=1</v>
      </c>
      <c r="R467" s="67" t="s">
        <v>63</v>
      </c>
      <c r="S467" s="67" t="s">
        <v>63</v>
      </c>
      <c r="T467" s="67" t="s">
        <v>63</v>
      </c>
      <c r="U467" s="52"/>
      <c r="V467" s="53"/>
      <c r="W467" s="57" t="s">
        <v>64</v>
      </c>
      <c r="X467" s="78"/>
      <c r="Y467" s="61"/>
      <c r="Z467" s="61"/>
    </row>
    <row r="468" spans="1:26">
      <c r="A468" s="42">
        <v>149.06</v>
      </c>
      <c r="B468" s="39" t="s">
        <v>54</v>
      </c>
      <c r="C468" s="40"/>
      <c r="D468" s="42" t="s">
        <v>56</v>
      </c>
      <c r="E468" s="38"/>
      <c r="F468" s="43"/>
      <c r="G468" s="63" t="s">
        <v>376</v>
      </c>
      <c r="H468" s="58"/>
      <c r="I468" s="38"/>
      <c r="J468" s="38"/>
      <c r="K468" s="46"/>
      <c r="L468" s="47"/>
      <c r="M468" s="342">
        <v>1.9699074074074074E-2</v>
      </c>
      <c r="N468" s="342">
        <v>2.1643518518518517E-2</v>
      </c>
      <c r="O468" s="307">
        <f t="shared" si="10"/>
        <v>1.9444444444444431E-3</v>
      </c>
      <c r="P468" s="66">
        <v>43025</v>
      </c>
      <c r="Q468" s="410" t="str">
        <f t="shared" ca="1" si="12"/>
        <v>https://www.youtube.com/embed/T0iutxik1Eg?start=1702&amp;end=1870&amp;autoplay=1</v>
      </c>
      <c r="R468" s="67" t="s">
        <v>63</v>
      </c>
      <c r="S468" s="67" t="s">
        <v>63</v>
      </c>
      <c r="T468" s="67" t="s">
        <v>63</v>
      </c>
      <c r="U468" s="52"/>
      <c r="V468" s="53"/>
      <c r="W468" s="57" t="s">
        <v>64</v>
      </c>
      <c r="X468" s="78"/>
      <c r="Y468" s="61"/>
      <c r="Z468" s="61"/>
    </row>
    <row r="469" spans="1:26">
      <c r="A469" s="42">
        <v>149.07</v>
      </c>
      <c r="B469" s="39" t="s">
        <v>54</v>
      </c>
      <c r="C469" s="40"/>
      <c r="D469" s="42" t="s">
        <v>56</v>
      </c>
      <c r="E469" s="38"/>
      <c r="F469" s="43"/>
      <c r="G469" s="63" t="s">
        <v>380</v>
      </c>
      <c r="H469" s="58"/>
      <c r="I469" s="38"/>
      <c r="J469" s="38"/>
      <c r="K469" s="46"/>
      <c r="L469" s="47"/>
      <c r="M469" s="342">
        <v>2.1666666666666667E-2</v>
      </c>
      <c r="N469" s="342">
        <v>2.3935185185185184E-2</v>
      </c>
      <c r="O469" s="307">
        <f t="shared" si="10"/>
        <v>2.2685185185185169E-3</v>
      </c>
      <c r="P469" s="66">
        <v>43025</v>
      </c>
      <c r="Q469" s="410" t="str">
        <f t="shared" ca="1" si="12"/>
        <v>https://www.youtube.com/embed/T0iutxik1Eg?start=1872&amp;end=2068&amp;autoplay=1</v>
      </c>
      <c r="R469" s="67" t="s">
        <v>63</v>
      </c>
      <c r="S469" s="67" t="s">
        <v>63</v>
      </c>
      <c r="T469" s="67" t="s">
        <v>63</v>
      </c>
      <c r="U469" s="52"/>
      <c r="V469" s="53"/>
      <c r="W469" s="57" t="s">
        <v>64</v>
      </c>
      <c r="X469" s="78"/>
      <c r="Y469" s="61"/>
      <c r="Z469" s="61"/>
    </row>
    <row r="470" spans="1:26">
      <c r="A470" s="42">
        <v>149.08000000000001</v>
      </c>
      <c r="B470" s="39" t="s">
        <v>54</v>
      </c>
      <c r="C470" s="40"/>
      <c r="D470" s="42" t="s">
        <v>56</v>
      </c>
      <c r="E470" s="38"/>
      <c r="F470" s="43"/>
      <c r="G470" s="63" t="s">
        <v>381</v>
      </c>
      <c r="H470" s="58"/>
      <c r="I470" s="38"/>
      <c r="J470" s="38"/>
      <c r="K470" s="46"/>
      <c r="L470" s="47"/>
      <c r="M470" s="342">
        <v>2.3958333333333335E-2</v>
      </c>
      <c r="N470" s="342">
        <v>2.4652777777777777E-2</v>
      </c>
      <c r="O470" s="307">
        <f t="shared" si="10"/>
        <v>6.9444444444444198E-4</v>
      </c>
      <c r="P470" s="66">
        <v>43025</v>
      </c>
      <c r="Q470" s="410" t="str">
        <f t="shared" ca="1" si="12"/>
        <v>https://www.youtube.com/embed/T0iutxik1Eg?start=2070&amp;end=2130&amp;autoplay=1</v>
      </c>
      <c r="R470" s="67" t="s">
        <v>63</v>
      </c>
      <c r="S470" s="67" t="s">
        <v>63</v>
      </c>
      <c r="T470" s="67" t="s">
        <v>63</v>
      </c>
      <c r="U470" s="52"/>
      <c r="V470" s="53"/>
      <c r="W470" s="57" t="s">
        <v>64</v>
      </c>
      <c r="X470" s="78"/>
      <c r="Y470" s="61"/>
      <c r="Z470" s="61"/>
    </row>
    <row r="471" spans="1:26">
      <c r="A471" s="42">
        <v>149.09</v>
      </c>
      <c r="B471" s="39" t="s">
        <v>54</v>
      </c>
      <c r="C471" s="40"/>
      <c r="D471" s="42" t="s">
        <v>56</v>
      </c>
      <c r="E471" s="38"/>
      <c r="F471" s="43"/>
      <c r="G471" s="63" t="s">
        <v>386</v>
      </c>
      <c r="H471" s="45"/>
      <c r="I471" s="38"/>
      <c r="J471" s="38"/>
      <c r="K471" s="46"/>
      <c r="L471" s="47"/>
      <c r="M471" s="342">
        <v>2.4675925925925928E-2</v>
      </c>
      <c r="N471" s="342">
        <v>2.7662037037037037E-2</v>
      </c>
      <c r="O471" s="307">
        <f t="shared" si="10"/>
        <v>2.9861111111111095E-3</v>
      </c>
      <c r="P471" s="66">
        <v>43025</v>
      </c>
      <c r="Q471" s="410" t="str">
        <f t="shared" ca="1" si="12"/>
        <v>https://www.youtube.com/embed/T0iutxik1Eg?start=2132&amp;end=2390&amp;autoplay=1</v>
      </c>
      <c r="R471" s="67" t="s">
        <v>63</v>
      </c>
      <c r="S471" s="67" t="s">
        <v>63</v>
      </c>
      <c r="T471" s="67" t="s">
        <v>63</v>
      </c>
      <c r="U471" s="52"/>
      <c r="V471" s="53"/>
      <c r="W471" s="57" t="s">
        <v>64</v>
      </c>
      <c r="X471" s="56"/>
      <c r="Y471" s="38"/>
      <c r="Z471" s="38"/>
    </row>
    <row r="472" spans="1:26">
      <c r="A472" s="85">
        <v>149.1</v>
      </c>
      <c r="B472" s="39" t="s">
        <v>54</v>
      </c>
      <c r="C472" s="40"/>
      <c r="D472" s="42" t="s">
        <v>56</v>
      </c>
      <c r="E472" s="38"/>
      <c r="F472" s="43"/>
      <c r="G472" s="63" t="s">
        <v>392</v>
      </c>
      <c r="H472" s="58"/>
      <c r="I472" s="38"/>
      <c r="J472" s="38"/>
      <c r="K472" s="46"/>
      <c r="L472" s="47"/>
      <c r="M472" s="342">
        <v>3.1365740740740743E-2</v>
      </c>
      <c r="N472" s="342">
        <v>3.5300925925925923E-2</v>
      </c>
      <c r="O472" s="307">
        <f t="shared" si="10"/>
        <v>3.9351851851851805E-3</v>
      </c>
      <c r="P472" s="66">
        <v>43025</v>
      </c>
      <c r="Q472" s="410" t="str">
        <f t="shared" ca="1" si="12"/>
        <v>https://www.youtube.com/embed/T0iutxik1Eg?start=2710&amp;end=3050&amp;autoplay=1</v>
      </c>
      <c r="R472" s="67" t="s">
        <v>63</v>
      </c>
      <c r="S472" s="67" t="s">
        <v>63</v>
      </c>
      <c r="T472" s="67" t="s">
        <v>63</v>
      </c>
      <c r="U472" s="52"/>
      <c r="V472" s="53"/>
      <c r="W472" s="57" t="s">
        <v>64</v>
      </c>
      <c r="X472" s="56"/>
      <c r="Y472" s="38"/>
      <c r="Z472" s="38"/>
    </row>
    <row r="473" spans="1:26" hidden="1">
      <c r="A473" s="38">
        <v>150</v>
      </c>
      <c r="B473" s="38"/>
      <c r="C473" s="38"/>
      <c r="D473" s="38"/>
      <c r="E473" s="38" t="s">
        <v>772</v>
      </c>
      <c r="F473" s="43" t="s">
        <v>773</v>
      </c>
      <c r="G473" s="44"/>
      <c r="H473" s="45"/>
      <c r="I473" s="38"/>
      <c r="J473" s="38">
        <f>1.3*1000</f>
        <v>1300</v>
      </c>
      <c r="K473" s="46">
        <v>4.2129629629629628E-2</v>
      </c>
      <c r="L473" s="47" t="s">
        <v>286</v>
      </c>
      <c r="M473" s="307"/>
      <c r="N473" s="307"/>
      <c r="O473" s="307">
        <f t="shared" si="10"/>
        <v>0</v>
      </c>
      <c r="P473" s="92"/>
      <c r="Q473" s="410" t="str">
        <f t="shared" ca="1" si="12"/>
        <v>https://www.youtube.com/watch?v=PjvzuUMMZs4</v>
      </c>
      <c r="R473" s="50"/>
      <c r="S473" s="50"/>
      <c r="T473" s="50"/>
      <c r="U473" s="52"/>
      <c r="V473" s="53"/>
      <c r="W473" s="60"/>
      <c r="X473" s="56"/>
      <c r="Y473" s="38"/>
      <c r="Z473" s="38"/>
    </row>
    <row r="474" spans="1:26" hidden="1">
      <c r="A474" s="38">
        <v>151</v>
      </c>
      <c r="B474" s="38"/>
      <c r="C474" s="38"/>
      <c r="D474" s="38"/>
      <c r="E474" s="38" t="s">
        <v>779</v>
      </c>
      <c r="F474" s="43" t="s">
        <v>780</v>
      </c>
      <c r="G474" s="44"/>
      <c r="H474" s="45"/>
      <c r="I474" s="38"/>
      <c r="J474" s="38">
        <f>1*1000</f>
        <v>1000</v>
      </c>
      <c r="K474" s="46">
        <v>3.3020833333333333E-2</v>
      </c>
      <c r="L474" s="47" t="s">
        <v>286</v>
      </c>
      <c r="M474" s="307"/>
      <c r="N474" s="307"/>
      <c r="O474" s="307">
        <f t="shared" si="10"/>
        <v>0</v>
      </c>
      <c r="P474" s="92"/>
      <c r="Q474" s="410" t="str">
        <f t="shared" ca="1" si="12"/>
        <v>https://www.youtube.com/watch?v=HdBCunbR_jE</v>
      </c>
      <c r="R474" s="50"/>
      <c r="S474" s="50"/>
      <c r="T474" s="50"/>
      <c r="U474" s="52"/>
      <c r="V474" s="53"/>
      <c r="W474" s="60"/>
      <c r="X474" s="56"/>
      <c r="Y474" s="38"/>
      <c r="Z474" s="38"/>
    </row>
    <row r="475" spans="1:26" hidden="1">
      <c r="A475" s="38">
        <v>152</v>
      </c>
      <c r="B475" s="38"/>
      <c r="C475" s="38"/>
      <c r="D475" s="38"/>
      <c r="E475" s="38" t="s">
        <v>784</v>
      </c>
      <c r="F475" s="43" t="s">
        <v>785</v>
      </c>
      <c r="G475" s="44"/>
      <c r="H475" s="45"/>
      <c r="I475" s="38"/>
      <c r="J475" s="38">
        <f>503</f>
        <v>503</v>
      </c>
      <c r="K475" s="46">
        <v>7.8287037037037044E-2</v>
      </c>
      <c r="L475" s="47" t="s">
        <v>286</v>
      </c>
      <c r="M475" s="307"/>
      <c r="N475" s="307"/>
      <c r="O475" s="307">
        <f t="shared" si="10"/>
        <v>0</v>
      </c>
      <c r="P475" s="92"/>
      <c r="Q475" s="410" t="str">
        <f t="shared" ca="1" si="12"/>
        <v>https://www.youtube.com/watch?v=vKGL9b0x_K8</v>
      </c>
      <c r="R475" s="50"/>
      <c r="S475" s="50"/>
      <c r="T475" s="50"/>
      <c r="U475" s="52"/>
      <c r="V475" s="53"/>
      <c r="W475" s="60"/>
      <c r="X475" s="56"/>
      <c r="Y475" s="38"/>
      <c r="Z475" s="38"/>
    </row>
    <row r="476" spans="1:26" hidden="1">
      <c r="A476" s="38">
        <v>153</v>
      </c>
      <c r="B476" s="38"/>
      <c r="C476" s="38"/>
      <c r="D476" s="38"/>
      <c r="E476" s="38" t="s">
        <v>788</v>
      </c>
      <c r="F476" s="43" t="s">
        <v>789</v>
      </c>
      <c r="G476" s="44"/>
      <c r="H476" s="45"/>
      <c r="I476" s="38"/>
      <c r="J476" s="38">
        <f>545</f>
        <v>545</v>
      </c>
      <c r="K476" s="46">
        <v>2.2743055555555555E-2</v>
      </c>
      <c r="L476" s="47" t="s">
        <v>286</v>
      </c>
      <c r="M476" s="307"/>
      <c r="N476" s="307"/>
      <c r="O476" s="307">
        <f t="shared" si="10"/>
        <v>0</v>
      </c>
      <c r="P476" s="92"/>
      <c r="Q476" s="410" t="str">
        <f t="shared" ca="1" si="12"/>
        <v>https://www.youtube.com/watch?v=5K-nmVDwXW0</v>
      </c>
      <c r="R476" s="50"/>
      <c r="S476" s="50"/>
      <c r="T476" s="50"/>
      <c r="U476" s="52"/>
      <c r="V476" s="53"/>
      <c r="W476" s="60"/>
      <c r="X476" s="56"/>
      <c r="Y476" s="38"/>
      <c r="Z476" s="38"/>
    </row>
    <row r="477" spans="1:26" hidden="1">
      <c r="A477" s="38">
        <v>154</v>
      </c>
      <c r="B477" s="38"/>
      <c r="C477" s="38"/>
      <c r="D477" s="38"/>
      <c r="E477" s="38" t="s">
        <v>794</v>
      </c>
      <c r="F477" s="43" t="s">
        <v>795</v>
      </c>
      <c r="G477" s="44"/>
      <c r="H477" s="45"/>
      <c r="I477" s="38"/>
      <c r="J477" s="38">
        <f>1*1000</f>
        <v>1000</v>
      </c>
      <c r="K477" s="46">
        <v>4.6261574074074073E-2</v>
      </c>
      <c r="L477" s="47" t="s">
        <v>286</v>
      </c>
      <c r="M477" s="307"/>
      <c r="N477" s="307"/>
      <c r="O477" s="307">
        <f t="shared" si="10"/>
        <v>0</v>
      </c>
      <c r="P477" s="92"/>
      <c r="Q477" s="410" t="str">
        <f t="shared" ca="1" si="12"/>
        <v>https://www.youtube.com/watch?v=R7mzbp-9vbk</v>
      </c>
      <c r="R477" s="50"/>
      <c r="S477" s="50"/>
      <c r="T477" s="50"/>
      <c r="U477" s="52"/>
      <c r="V477" s="53"/>
      <c r="W477" s="60"/>
      <c r="X477" s="56"/>
      <c r="Y477" s="38"/>
      <c r="Z477" s="38"/>
    </row>
    <row r="478" spans="1:26">
      <c r="A478" s="38">
        <v>155</v>
      </c>
      <c r="B478" s="39" t="s">
        <v>54</v>
      </c>
      <c r="C478" s="40"/>
      <c r="D478" s="42" t="s">
        <v>56</v>
      </c>
      <c r="E478" s="38" t="s">
        <v>396</v>
      </c>
      <c r="F478" s="43" t="s">
        <v>398</v>
      </c>
      <c r="G478" s="44"/>
      <c r="H478" s="45"/>
      <c r="I478" s="38"/>
      <c r="J478" s="38">
        <f>453</f>
        <v>453</v>
      </c>
      <c r="K478" s="46">
        <v>4.9189814814814816E-3</v>
      </c>
      <c r="L478" s="47" t="s">
        <v>286</v>
      </c>
      <c r="M478" s="307"/>
      <c r="N478" s="307"/>
      <c r="O478" s="307">
        <f t="shared" si="10"/>
        <v>0</v>
      </c>
      <c r="P478" s="66">
        <v>43030</v>
      </c>
      <c r="Q478" s="410" t="str">
        <f t="shared" ca="1" si="12"/>
        <v>https://www.youtube.com/watch?v=ucgD3lqwZX0</v>
      </c>
      <c r="R478" s="51"/>
      <c r="S478" s="51"/>
      <c r="T478" s="51"/>
      <c r="U478" s="40"/>
      <c r="V478" s="54"/>
      <c r="W478" s="55"/>
      <c r="X478" s="56"/>
      <c r="Y478" s="311"/>
      <c r="Z478" s="311"/>
    </row>
    <row r="479" spans="1:26">
      <c r="A479" s="42">
        <v>155.01</v>
      </c>
      <c r="B479" s="39" t="s">
        <v>54</v>
      </c>
      <c r="C479" s="40"/>
      <c r="D479" s="42" t="s">
        <v>56</v>
      </c>
      <c r="E479" s="38"/>
      <c r="F479" s="43"/>
      <c r="G479" s="63" t="s">
        <v>400</v>
      </c>
      <c r="H479" s="45"/>
      <c r="I479" s="38"/>
      <c r="J479" s="38"/>
      <c r="K479" s="46"/>
      <c r="L479" s="47"/>
      <c r="M479" s="342">
        <v>0</v>
      </c>
      <c r="N479" s="342">
        <v>4.9074074074074072E-3</v>
      </c>
      <c r="O479" s="307">
        <f t="shared" si="10"/>
        <v>4.9074074074074072E-3</v>
      </c>
      <c r="P479" s="66">
        <v>43030</v>
      </c>
      <c r="Q479" s="410" t="str">
        <f t="shared" ca="1" si="12"/>
        <v>https://www.youtube.com/embed/ucgD3lqwZX0?start=0&amp;end=424&amp;autoplay=1</v>
      </c>
      <c r="R479" s="39" t="s">
        <v>63</v>
      </c>
      <c r="S479" s="39" t="s">
        <v>63</v>
      </c>
      <c r="T479" s="39" t="s">
        <v>63</v>
      </c>
      <c r="U479" s="40"/>
      <c r="V479" s="54"/>
      <c r="W479" s="69" t="s">
        <v>64</v>
      </c>
      <c r="X479" s="56"/>
      <c r="Y479" s="311"/>
      <c r="Z479" s="311"/>
    </row>
    <row r="480" spans="1:26">
      <c r="A480" s="38">
        <v>156</v>
      </c>
      <c r="B480" s="39" t="s">
        <v>54</v>
      </c>
      <c r="C480" s="40"/>
      <c r="D480" s="42" t="s">
        <v>56</v>
      </c>
      <c r="E480" s="38" t="s">
        <v>408</v>
      </c>
      <c r="F480" s="43" t="s">
        <v>409</v>
      </c>
      <c r="G480" s="44"/>
      <c r="H480" s="45"/>
      <c r="I480" s="38"/>
      <c r="J480" s="38">
        <f>446</f>
        <v>446</v>
      </c>
      <c r="K480" s="46">
        <v>2.2916666666666667E-3</v>
      </c>
      <c r="L480" s="47" t="s">
        <v>286</v>
      </c>
      <c r="M480" s="307"/>
      <c r="N480" s="307"/>
      <c r="O480" s="307">
        <f t="shared" si="10"/>
        <v>0</v>
      </c>
      <c r="P480" s="66">
        <v>43030</v>
      </c>
      <c r="Q480" s="410" t="str">
        <f t="shared" ca="1" si="12"/>
        <v>https://www.youtube.com/watch?v=5bAuJCTjg8s</v>
      </c>
      <c r="R480" s="51"/>
      <c r="S480" s="51"/>
      <c r="T480" s="51"/>
      <c r="U480" s="40"/>
      <c r="V480" s="54"/>
      <c r="W480" s="55"/>
      <c r="X480" s="56"/>
      <c r="Y480" s="311"/>
      <c r="Z480" s="311"/>
    </row>
    <row r="481" spans="1:26">
      <c r="A481" s="42">
        <v>156.01</v>
      </c>
      <c r="B481" s="39" t="s">
        <v>54</v>
      </c>
      <c r="C481" s="40"/>
      <c r="D481" s="42" t="s">
        <v>56</v>
      </c>
      <c r="E481" s="38"/>
      <c r="F481" s="43"/>
      <c r="G481" s="63" t="s">
        <v>2991</v>
      </c>
      <c r="H481" s="45"/>
      <c r="I481" s="38"/>
      <c r="J481" s="38"/>
      <c r="K481" s="46"/>
      <c r="L481" s="47"/>
      <c r="M481" s="342">
        <v>0</v>
      </c>
      <c r="N481" s="307">
        <v>2.2916666666666667E-3</v>
      </c>
      <c r="O481" s="307">
        <f t="shared" si="10"/>
        <v>2.2916666666666667E-3</v>
      </c>
      <c r="P481" s="66">
        <v>43030</v>
      </c>
      <c r="Q481" s="410" t="str">
        <f t="shared" ca="1" si="12"/>
        <v>https://www.youtube.com/embed/5bAuJCTjg8s?start=0&amp;end=198&amp;autoplay=1</v>
      </c>
      <c r="R481" s="39" t="s">
        <v>63</v>
      </c>
      <c r="S481" s="39" t="s">
        <v>63</v>
      </c>
      <c r="T481" s="39" t="s">
        <v>63</v>
      </c>
      <c r="U481" s="40"/>
      <c r="V481" s="54"/>
      <c r="W481" s="69" t="s">
        <v>64</v>
      </c>
      <c r="X481" s="56"/>
      <c r="Y481" s="311"/>
      <c r="Z481" s="311"/>
    </row>
    <row r="482" spans="1:26">
      <c r="A482" s="38">
        <v>157</v>
      </c>
      <c r="B482" s="39" t="s">
        <v>54</v>
      </c>
      <c r="C482" s="40"/>
      <c r="D482" s="42" t="s">
        <v>56</v>
      </c>
      <c r="E482" s="38" t="s">
        <v>417</v>
      </c>
      <c r="F482" s="43" t="s">
        <v>419</v>
      </c>
      <c r="G482" s="44"/>
      <c r="H482" s="45"/>
      <c r="I482" s="38"/>
      <c r="J482" s="38">
        <f>576</f>
        <v>576</v>
      </c>
      <c r="K482" s="46">
        <v>1.736111111111111E-3</v>
      </c>
      <c r="L482" s="47" t="s">
        <v>286</v>
      </c>
      <c r="M482" s="307"/>
      <c r="N482" s="307"/>
      <c r="O482" s="307">
        <f t="shared" si="10"/>
        <v>0</v>
      </c>
      <c r="P482" s="66">
        <v>43030</v>
      </c>
      <c r="Q482" s="410" t="str">
        <f t="shared" ca="1" si="12"/>
        <v>https://www.youtube.com/watch?v=d9KgrM48iGg</v>
      </c>
      <c r="R482" s="51"/>
      <c r="S482" s="51"/>
      <c r="T482" s="51"/>
      <c r="U482" s="40"/>
      <c r="V482" s="54"/>
      <c r="W482" s="55"/>
      <c r="X482" s="56"/>
      <c r="Y482" s="311"/>
      <c r="Z482" s="311"/>
    </row>
    <row r="483" spans="1:26">
      <c r="A483" s="42">
        <v>157.01</v>
      </c>
      <c r="B483" s="39" t="s">
        <v>54</v>
      </c>
      <c r="C483" s="40"/>
      <c r="D483" s="42" t="s">
        <v>56</v>
      </c>
      <c r="E483" s="38"/>
      <c r="F483" s="43"/>
      <c r="G483" s="63" t="s">
        <v>424</v>
      </c>
      <c r="H483" s="45"/>
      <c r="I483" s="38"/>
      <c r="J483" s="38"/>
      <c r="K483" s="46"/>
      <c r="L483" s="47"/>
      <c r="M483" s="370">
        <v>0</v>
      </c>
      <c r="N483" s="307">
        <v>1.736111111111111E-3</v>
      </c>
      <c r="O483" s="307">
        <f t="shared" si="10"/>
        <v>1.736111111111111E-3</v>
      </c>
      <c r="P483" s="66">
        <v>43030</v>
      </c>
      <c r="Q483" s="410" t="str">
        <f t="shared" ca="1" si="12"/>
        <v>https://www.youtube.com/embed/d9KgrM48iGg?start=0&amp;end=150&amp;autoplay=1</v>
      </c>
      <c r="R483" s="39" t="s">
        <v>63</v>
      </c>
      <c r="S483" s="39" t="s">
        <v>63</v>
      </c>
      <c r="T483" s="39" t="s">
        <v>63</v>
      </c>
      <c r="U483" s="40"/>
      <c r="V483" s="54"/>
      <c r="W483" s="69" t="s">
        <v>64</v>
      </c>
      <c r="X483" s="56"/>
      <c r="Y483" s="311"/>
      <c r="Z483" s="311"/>
    </row>
    <row r="484" spans="1:26">
      <c r="A484" s="38">
        <v>158</v>
      </c>
      <c r="B484" s="39" t="s">
        <v>54</v>
      </c>
      <c r="C484" s="40"/>
      <c r="D484" s="42" t="s">
        <v>56</v>
      </c>
      <c r="E484" s="38" t="s">
        <v>432</v>
      </c>
      <c r="F484" s="43" t="s">
        <v>433</v>
      </c>
      <c r="G484" s="44"/>
      <c r="H484" s="45"/>
      <c r="I484" s="38"/>
      <c r="J484" s="38">
        <f>435</f>
        <v>435</v>
      </c>
      <c r="K484" s="46">
        <v>2.3842592592592591E-3</v>
      </c>
      <c r="L484" s="47" t="s">
        <v>286</v>
      </c>
      <c r="M484" s="48"/>
      <c r="N484" s="48"/>
      <c r="O484" s="38"/>
      <c r="P484" s="65">
        <v>43031</v>
      </c>
      <c r="Q484" s="410" t="str">
        <f t="shared" ca="1" si="12"/>
        <v>https://www.youtube.com/watch?v=4h6drLmYTr8</v>
      </c>
      <c r="R484" s="39"/>
      <c r="S484" s="39"/>
      <c r="T484" s="39"/>
      <c r="U484" s="40"/>
      <c r="V484" s="54"/>
      <c r="W484" s="69"/>
      <c r="X484" s="56"/>
      <c r="Y484" s="88"/>
      <c r="Z484" s="96" t="s">
        <v>436</v>
      </c>
    </row>
    <row r="485" spans="1:26">
      <c r="A485" s="42">
        <v>158.01</v>
      </c>
      <c r="B485" s="39" t="s">
        <v>54</v>
      </c>
      <c r="C485" s="40"/>
      <c r="D485" s="42" t="s">
        <v>56</v>
      </c>
      <c r="E485" s="38"/>
      <c r="F485" s="43"/>
      <c r="G485" s="63" t="s">
        <v>440</v>
      </c>
      <c r="H485" s="45"/>
      <c r="I485" s="38"/>
      <c r="J485" s="38"/>
      <c r="K485" s="46"/>
      <c r="L485" s="47"/>
      <c r="M485" s="94">
        <v>0</v>
      </c>
      <c r="N485" s="46">
        <v>2.3842592592592591E-3</v>
      </c>
      <c r="O485" s="95">
        <v>2.2916666666666667E-3</v>
      </c>
      <c r="P485" s="65">
        <v>43031</v>
      </c>
      <c r="Q485" s="410" t="str">
        <f t="shared" ca="1" si="12"/>
        <v>https://www.youtube.com/embed/4h6drLmYTr8?start=0&amp;end=206&amp;autoplay=1</v>
      </c>
      <c r="R485" s="39" t="s">
        <v>131</v>
      </c>
      <c r="S485" s="39" t="s">
        <v>442</v>
      </c>
      <c r="T485" s="39" t="s">
        <v>63</v>
      </c>
      <c r="U485" s="40"/>
      <c r="V485" s="54"/>
      <c r="W485" s="69" t="s">
        <v>64</v>
      </c>
      <c r="X485" s="56"/>
      <c r="Y485" s="88"/>
      <c r="Z485" s="88"/>
    </row>
    <row r="486" spans="1:26">
      <c r="A486" s="38">
        <v>159</v>
      </c>
      <c r="B486" s="39" t="s">
        <v>54</v>
      </c>
      <c r="C486" s="40"/>
      <c r="D486" s="42" t="s">
        <v>56</v>
      </c>
      <c r="E486" s="38" t="s">
        <v>443</v>
      </c>
      <c r="F486" s="43" t="s">
        <v>445</v>
      </c>
      <c r="G486" s="44"/>
      <c r="H486" s="45"/>
      <c r="I486" s="38"/>
      <c r="J486" s="38">
        <f>1.1*1000</f>
        <v>1100</v>
      </c>
      <c r="K486" s="46">
        <v>1.1689814814814816E-3</v>
      </c>
      <c r="L486" s="47" t="s">
        <v>286</v>
      </c>
      <c r="M486" s="48"/>
      <c r="N486" s="48"/>
      <c r="O486" s="38"/>
      <c r="P486" s="65">
        <v>43031</v>
      </c>
      <c r="Q486" s="410" t="str">
        <f t="shared" ca="1" si="12"/>
        <v>https://www.youtube.com/watch?v=2uOiM67vK6A</v>
      </c>
      <c r="R486" s="51"/>
      <c r="S486" s="51"/>
      <c r="T486" s="51"/>
      <c r="U486" s="40"/>
      <c r="V486" s="54"/>
      <c r="W486" s="55"/>
      <c r="X486" s="56"/>
      <c r="Y486" s="88"/>
      <c r="Z486" s="88"/>
    </row>
    <row r="487" spans="1:26">
      <c r="A487" s="42">
        <v>159.01</v>
      </c>
      <c r="B487" s="39" t="s">
        <v>54</v>
      </c>
      <c r="C487" s="40"/>
      <c r="D487" s="42" t="s">
        <v>56</v>
      </c>
      <c r="E487" s="38"/>
      <c r="F487" s="43"/>
      <c r="G487" s="63" t="s">
        <v>448</v>
      </c>
      <c r="H487" s="45"/>
      <c r="I487" s="38"/>
      <c r="J487" s="38"/>
      <c r="K487" s="46"/>
      <c r="L487" s="47"/>
      <c r="M487" s="94">
        <v>0</v>
      </c>
      <c r="N487" s="46">
        <v>1.1689814814814816E-3</v>
      </c>
      <c r="O487" s="95">
        <v>2.2916666666666667E-3</v>
      </c>
      <c r="P487" s="65">
        <v>43031</v>
      </c>
      <c r="Q487" s="410" t="str">
        <f t="shared" ca="1" si="12"/>
        <v>https://www.youtube.com/embed/2uOiM67vK6A?start=0&amp;end=101&amp;autoplay=1</v>
      </c>
      <c r="R487" s="97" t="s">
        <v>131</v>
      </c>
      <c r="S487" s="97" t="s">
        <v>442</v>
      </c>
      <c r="T487" s="97" t="s">
        <v>63</v>
      </c>
      <c r="U487" s="98"/>
      <c r="V487" s="99"/>
      <c r="W487" s="100" t="s">
        <v>64</v>
      </c>
      <c r="X487" s="56"/>
      <c r="Y487" s="88"/>
      <c r="Z487" s="96" t="s">
        <v>436</v>
      </c>
    </row>
    <row r="488" spans="1:26">
      <c r="A488" s="38">
        <v>160</v>
      </c>
      <c r="B488" s="39" t="s">
        <v>54</v>
      </c>
      <c r="C488" s="40"/>
      <c r="D488" s="42" t="s">
        <v>56</v>
      </c>
      <c r="E488" s="38" t="s">
        <v>452</v>
      </c>
      <c r="F488" s="43" t="s">
        <v>453</v>
      </c>
      <c r="G488" s="44"/>
      <c r="H488" s="45"/>
      <c r="I488" s="38"/>
      <c r="J488" s="38">
        <f>202</f>
        <v>202</v>
      </c>
      <c r="K488" s="46">
        <v>2.1180555555555553E-3</v>
      </c>
      <c r="L488" s="47" t="s">
        <v>286</v>
      </c>
      <c r="M488" s="48"/>
      <c r="N488" s="48"/>
      <c r="O488" s="38"/>
      <c r="P488" s="65">
        <v>43031</v>
      </c>
      <c r="Q488" s="410" t="str">
        <f t="shared" ca="1" si="12"/>
        <v>https://www.youtube.com/watch?v=Y1SUVA0PU1o</v>
      </c>
      <c r="R488" s="51"/>
      <c r="S488" s="51"/>
      <c r="T488" s="51"/>
      <c r="U488" s="40"/>
      <c r="V488" s="54"/>
      <c r="W488" s="55"/>
      <c r="X488" s="56"/>
      <c r="Y488" s="88"/>
      <c r="Z488" s="88"/>
    </row>
    <row r="489" spans="1:26">
      <c r="A489" s="42">
        <v>160.1</v>
      </c>
      <c r="B489" s="39" t="s">
        <v>54</v>
      </c>
      <c r="C489" s="40"/>
      <c r="D489" s="42" t="s">
        <v>56</v>
      </c>
      <c r="E489" s="38"/>
      <c r="F489" s="43"/>
      <c r="G489" s="63" t="s">
        <v>455</v>
      </c>
      <c r="H489" s="45"/>
      <c r="I489" s="38"/>
      <c r="J489" s="38"/>
      <c r="K489" s="46"/>
      <c r="L489" s="47"/>
      <c r="M489" s="94">
        <v>0</v>
      </c>
      <c r="N489" s="46">
        <v>2.1180555555555553E-3</v>
      </c>
      <c r="O489" s="95">
        <v>2.2916666666666667E-3</v>
      </c>
      <c r="P489" s="65">
        <v>43031</v>
      </c>
      <c r="Q489" s="410" t="str">
        <f t="shared" ca="1" si="12"/>
        <v>https://www.youtube.com/embed/Y1SUVA0PU1o?start=0&amp;end=183&amp;autoplay=1</v>
      </c>
      <c r="R489" s="97" t="s">
        <v>131</v>
      </c>
      <c r="S489" s="97" t="s">
        <v>442</v>
      </c>
      <c r="T489" s="97" t="s">
        <v>63</v>
      </c>
      <c r="U489" s="98"/>
      <c r="V489" s="99"/>
      <c r="W489" s="100" t="s">
        <v>64</v>
      </c>
      <c r="X489" s="56"/>
      <c r="Y489" s="88"/>
      <c r="Z489" s="96" t="s">
        <v>436</v>
      </c>
    </row>
    <row r="490" spans="1:26">
      <c r="A490" s="38">
        <v>161</v>
      </c>
      <c r="B490" s="39" t="s">
        <v>54</v>
      </c>
      <c r="C490" s="40"/>
      <c r="D490" s="42" t="s">
        <v>56</v>
      </c>
      <c r="E490" s="38" t="s">
        <v>459</v>
      </c>
      <c r="F490" s="43" t="s">
        <v>460</v>
      </c>
      <c r="G490" s="44"/>
      <c r="H490" s="45"/>
      <c r="I490" s="38"/>
      <c r="J490" s="38">
        <f>234</f>
        <v>234</v>
      </c>
      <c r="K490" s="46">
        <v>1.4583333333333334E-3</v>
      </c>
      <c r="L490" s="47" t="s">
        <v>286</v>
      </c>
      <c r="M490" s="94">
        <v>0</v>
      </c>
      <c r="N490" s="46">
        <v>1.4583333333333334E-3</v>
      </c>
      <c r="O490" s="46">
        <f t="shared" ref="O490:O643" si="13">N490-M490</f>
        <v>1.4583333333333334E-3</v>
      </c>
      <c r="P490" s="65">
        <v>43031</v>
      </c>
      <c r="Q490" s="410" t="str">
        <f t="shared" ca="1" si="12"/>
        <v>https://www.youtube.com/watch?v=yaOVnZ7W-Qc</v>
      </c>
      <c r="R490" s="39" t="s">
        <v>442</v>
      </c>
      <c r="S490" s="51"/>
      <c r="T490" s="51"/>
      <c r="U490" s="40"/>
      <c r="V490" s="54"/>
      <c r="W490" s="69" t="s">
        <v>151</v>
      </c>
      <c r="X490" s="56"/>
      <c r="Y490" s="88"/>
      <c r="Z490" s="96" t="s">
        <v>465</v>
      </c>
    </row>
    <row r="491" spans="1:26">
      <c r="A491" s="38">
        <v>162</v>
      </c>
      <c r="B491" s="39" t="s">
        <v>54</v>
      </c>
      <c r="C491" s="40"/>
      <c r="D491" s="42" t="s">
        <v>56</v>
      </c>
      <c r="E491" s="38" t="s">
        <v>466</v>
      </c>
      <c r="F491" s="43" t="s">
        <v>467</v>
      </c>
      <c r="G491" s="44"/>
      <c r="H491" s="45"/>
      <c r="I491" s="38"/>
      <c r="J491" s="38">
        <f>497</f>
        <v>497</v>
      </c>
      <c r="K491" s="46">
        <v>1.4699074074074074E-3</v>
      </c>
      <c r="L491" s="47" t="s">
        <v>286</v>
      </c>
      <c r="M491" s="94">
        <v>0</v>
      </c>
      <c r="N491" s="46">
        <v>1.4699074074074074E-3</v>
      </c>
      <c r="O491" s="46">
        <f t="shared" si="13"/>
        <v>1.4699074074074074E-3</v>
      </c>
      <c r="P491" s="65">
        <v>43031</v>
      </c>
      <c r="Q491" s="410" t="str">
        <f t="shared" ca="1" si="12"/>
        <v>https://www.youtube.com/watch?v=hgdVPIrlSPU</v>
      </c>
      <c r="R491" s="39" t="s">
        <v>442</v>
      </c>
      <c r="S491" s="51"/>
      <c r="T491" s="51"/>
      <c r="U491" s="40"/>
      <c r="V491" s="54"/>
      <c r="W491" s="69" t="s">
        <v>151</v>
      </c>
      <c r="X491" s="56"/>
      <c r="Y491" s="88"/>
      <c r="Z491" s="96" t="s">
        <v>465</v>
      </c>
    </row>
    <row r="492" spans="1:26">
      <c r="A492" s="38">
        <v>163</v>
      </c>
      <c r="B492" s="39" t="s">
        <v>54</v>
      </c>
      <c r="C492" s="40"/>
      <c r="D492" s="42" t="s">
        <v>56</v>
      </c>
      <c r="E492" s="38" t="s">
        <v>472</v>
      </c>
      <c r="F492" s="43" t="s">
        <v>473</v>
      </c>
      <c r="G492" s="44"/>
      <c r="H492" s="45"/>
      <c r="I492" s="38"/>
      <c r="J492" s="38">
        <f>315</f>
        <v>315</v>
      </c>
      <c r="K492" s="46">
        <v>5.6944444444444438E-3</v>
      </c>
      <c r="L492" s="47" t="s">
        <v>286</v>
      </c>
      <c r="M492" s="48"/>
      <c r="N492" s="48"/>
      <c r="O492" s="48">
        <f t="shared" si="13"/>
        <v>0</v>
      </c>
      <c r="P492" s="65">
        <v>43031</v>
      </c>
      <c r="Q492" s="410" t="str">
        <f t="shared" ca="1" si="12"/>
        <v>https://www.youtube.com/watch?v=8iuVX1AkV_0</v>
      </c>
      <c r="R492" s="51"/>
      <c r="S492" s="51"/>
      <c r="T492" s="51"/>
      <c r="U492" s="40"/>
      <c r="V492" s="54"/>
      <c r="W492" s="55"/>
      <c r="X492" s="56"/>
      <c r="Y492" s="88"/>
      <c r="Z492" s="88"/>
    </row>
    <row r="493" spans="1:26">
      <c r="A493" s="42">
        <v>163.1</v>
      </c>
      <c r="B493" s="39" t="s">
        <v>54</v>
      </c>
      <c r="C493" s="40"/>
      <c r="D493" s="42" t="s">
        <v>56</v>
      </c>
      <c r="E493" s="38"/>
      <c r="F493" s="43"/>
      <c r="G493" s="63" t="s">
        <v>478</v>
      </c>
      <c r="H493" s="45"/>
      <c r="I493" s="38"/>
      <c r="J493" s="38"/>
      <c r="K493" s="46"/>
      <c r="L493" s="47"/>
      <c r="M493" s="94">
        <v>0</v>
      </c>
      <c r="N493" s="46">
        <v>5.6944444444444438E-3</v>
      </c>
      <c r="O493" s="46">
        <f t="shared" si="13"/>
        <v>5.6944444444444438E-3</v>
      </c>
      <c r="P493" s="65">
        <v>43031</v>
      </c>
      <c r="Q493" s="410" t="str">
        <f t="shared" ca="1" si="12"/>
        <v>https://www.youtube.com/embed/8iuVX1AkV_0?start=0&amp;end=492&amp;autoplay=1</v>
      </c>
      <c r="R493" s="97" t="s">
        <v>131</v>
      </c>
      <c r="S493" s="97" t="s">
        <v>442</v>
      </c>
      <c r="T493" s="97" t="s">
        <v>63</v>
      </c>
      <c r="U493" s="98"/>
      <c r="V493" s="99"/>
      <c r="W493" s="100" t="s">
        <v>64</v>
      </c>
      <c r="X493" s="56"/>
      <c r="Y493" s="88"/>
      <c r="Z493" s="96" t="s">
        <v>436</v>
      </c>
    </row>
    <row r="494" spans="1:26">
      <c r="A494" s="38">
        <v>164</v>
      </c>
      <c r="B494" s="39" t="s">
        <v>54</v>
      </c>
      <c r="C494" s="40"/>
      <c r="D494" s="42" t="s">
        <v>56</v>
      </c>
      <c r="E494" s="38" t="s">
        <v>482</v>
      </c>
      <c r="F494" s="43" t="s">
        <v>483</v>
      </c>
      <c r="G494" s="44"/>
      <c r="H494" s="45"/>
      <c r="I494" s="38"/>
      <c r="J494" s="38">
        <f>535</f>
        <v>535</v>
      </c>
      <c r="K494" s="46">
        <v>2.1527777777777778E-3</v>
      </c>
      <c r="L494" s="47" t="s">
        <v>286</v>
      </c>
      <c r="M494" s="48"/>
      <c r="N494" s="48"/>
      <c r="O494" s="48">
        <f t="shared" si="13"/>
        <v>0</v>
      </c>
      <c r="P494" s="65">
        <v>43031</v>
      </c>
      <c r="Q494" s="410" t="str">
        <f t="shared" ca="1" si="12"/>
        <v>https://www.youtube.com/watch?v=wH8I0vSB-Os</v>
      </c>
      <c r="R494" s="51"/>
      <c r="S494" s="51"/>
      <c r="T494" s="51"/>
      <c r="U494" s="40"/>
      <c r="V494" s="54"/>
      <c r="W494" s="55"/>
      <c r="X494" s="56"/>
      <c r="Y494" s="88"/>
      <c r="Z494" s="88"/>
    </row>
    <row r="495" spans="1:26">
      <c r="A495" s="42">
        <v>164.1</v>
      </c>
      <c r="B495" s="39" t="s">
        <v>54</v>
      </c>
      <c r="C495" s="40"/>
      <c r="D495" s="42" t="s">
        <v>56</v>
      </c>
      <c r="E495" s="38"/>
      <c r="F495" s="43"/>
      <c r="G495" s="63" t="s">
        <v>488</v>
      </c>
      <c r="H495" s="45"/>
      <c r="I495" s="38"/>
      <c r="J495" s="38"/>
      <c r="K495" s="46"/>
      <c r="L495" s="47"/>
      <c r="M495" s="94">
        <v>0</v>
      </c>
      <c r="N495" s="46">
        <v>2.1527777777777778E-3</v>
      </c>
      <c r="O495" s="46">
        <f t="shared" si="13"/>
        <v>2.1527777777777778E-3</v>
      </c>
      <c r="P495" s="65">
        <v>43031</v>
      </c>
      <c r="Q495" s="410" t="str">
        <f t="shared" ca="1" si="12"/>
        <v>https://www.youtube.com/embed/wH8I0vSB-Os?start=0&amp;end=186&amp;autoplay=1</v>
      </c>
      <c r="R495" s="97" t="s">
        <v>131</v>
      </c>
      <c r="S495" s="97" t="s">
        <v>442</v>
      </c>
      <c r="T495" s="97" t="s">
        <v>63</v>
      </c>
      <c r="U495" s="98"/>
      <c r="V495" s="99"/>
      <c r="W495" s="100" t="s">
        <v>64</v>
      </c>
      <c r="X495" s="56"/>
      <c r="Y495" s="88"/>
      <c r="Z495" s="96" t="s">
        <v>436</v>
      </c>
    </row>
    <row r="496" spans="1:26" hidden="1">
      <c r="A496" s="38">
        <v>165</v>
      </c>
      <c r="B496" s="38"/>
      <c r="C496" s="38"/>
      <c r="D496" s="38"/>
      <c r="E496" s="38" t="s">
        <v>830</v>
      </c>
      <c r="F496" s="43" t="s">
        <v>831</v>
      </c>
      <c r="G496" s="44"/>
      <c r="H496" s="45"/>
      <c r="I496" s="38"/>
      <c r="J496" s="38">
        <f>2.7*1000</f>
        <v>2700</v>
      </c>
      <c r="K496" s="46">
        <v>1.0115740740740741E-2</v>
      </c>
      <c r="L496" s="47" t="s">
        <v>286</v>
      </c>
      <c r="M496" s="307"/>
      <c r="N496" s="307"/>
      <c r="O496" s="307">
        <f t="shared" si="13"/>
        <v>0</v>
      </c>
      <c r="P496" s="92"/>
      <c r="Q496" s="410" t="str">
        <f t="shared" ca="1" si="12"/>
        <v>https://www.youtube.com/watch?v=Um1LJAfSPoo</v>
      </c>
      <c r="R496" s="50"/>
      <c r="S496" s="50"/>
      <c r="T496" s="50"/>
      <c r="U496" s="52"/>
      <c r="V496" s="53"/>
      <c r="W496" s="60"/>
      <c r="X496" s="56"/>
      <c r="Y496" s="38"/>
      <c r="Z496" s="38"/>
    </row>
    <row r="497" spans="1:26" hidden="1">
      <c r="A497" s="38">
        <v>166</v>
      </c>
      <c r="B497" s="38"/>
      <c r="C497" s="38"/>
      <c r="D497" s="38"/>
      <c r="E497" s="38" t="s">
        <v>832</v>
      </c>
      <c r="F497" s="43" t="s">
        <v>833</v>
      </c>
      <c r="G497" s="44"/>
      <c r="H497" s="45"/>
      <c r="I497" s="38"/>
      <c r="J497" s="38">
        <f>4.7*1000</f>
        <v>4700</v>
      </c>
      <c r="K497" s="46">
        <v>7.5601851851851851E-2</v>
      </c>
      <c r="L497" s="47" t="s">
        <v>286</v>
      </c>
      <c r="M497" s="307"/>
      <c r="N497" s="307"/>
      <c r="O497" s="307">
        <f t="shared" si="13"/>
        <v>0</v>
      </c>
      <c r="P497" s="92"/>
      <c r="Q497" s="410" t="str">
        <f t="shared" ca="1" si="12"/>
        <v>https://www.youtube.com/watch?v=itgdRwuvtN0</v>
      </c>
      <c r="R497" s="50"/>
      <c r="S497" s="50"/>
      <c r="T497" s="50"/>
      <c r="U497" s="52"/>
      <c r="V497" s="53"/>
      <c r="W497" s="60"/>
      <c r="X497" s="56"/>
      <c r="Y497" s="38"/>
      <c r="Z497" s="38"/>
    </row>
    <row r="498" spans="1:26" hidden="1">
      <c r="A498" s="38">
        <v>167</v>
      </c>
      <c r="B498" s="38"/>
      <c r="C498" s="38"/>
      <c r="D498" s="38"/>
      <c r="E498" s="38" t="s">
        <v>838</v>
      </c>
      <c r="F498" s="43" t="s">
        <v>839</v>
      </c>
      <c r="G498" s="44"/>
      <c r="H498" s="45"/>
      <c r="I498" s="38"/>
      <c r="J498" s="38">
        <f>7.5*1000</f>
        <v>7500</v>
      </c>
      <c r="K498" s="46">
        <v>9.3368055555555551E-2</v>
      </c>
      <c r="L498" s="47" t="s">
        <v>286</v>
      </c>
      <c r="M498" s="307"/>
      <c r="N498" s="307"/>
      <c r="O498" s="307">
        <f t="shared" si="13"/>
        <v>0</v>
      </c>
      <c r="P498" s="92"/>
      <c r="Q498" s="410" t="str">
        <f t="shared" ca="1" si="12"/>
        <v>https://www.youtube.com/watch?v=Z7B5IZZhoAI</v>
      </c>
      <c r="R498" s="50"/>
      <c r="S498" s="50"/>
      <c r="T498" s="50"/>
      <c r="U498" s="52"/>
      <c r="V498" s="53"/>
      <c r="W498" s="60"/>
      <c r="X498" s="56"/>
      <c r="Y498" s="38"/>
      <c r="Z498" s="38"/>
    </row>
    <row r="499" spans="1:26" hidden="1">
      <c r="A499" s="38">
        <v>168</v>
      </c>
      <c r="B499" s="38"/>
      <c r="C499" s="38"/>
      <c r="D499" s="38"/>
      <c r="E499" s="38" t="s">
        <v>843</v>
      </c>
      <c r="F499" s="43" t="s">
        <v>844</v>
      </c>
      <c r="G499" s="44"/>
      <c r="H499" s="45"/>
      <c r="I499" s="38"/>
      <c r="J499" s="38">
        <f>1.8*1000</f>
        <v>1800</v>
      </c>
      <c r="K499" s="46">
        <v>5.2962962962962962E-2</v>
      </c>
      <c r="L499" s="47" t="s">
        <v>286</v>
      </c>
      <c r="M499" s="307"/>
      <c r="N499" s="307"/>
      <c r="O499" s="307">
        <f t="shared" si="13"/>
        <v>0</v>
      </c>
      <c r="P499" s="92"/>
      <c r="Q499" s="410" t="str">
        <f t="shared" ca="1" si="12"/>
        <v>https://www.youtube.com/watch?v=UuJzHq-Ont4</v>
      </c>
      <c r="R499" s="50"/>
      <c r="S499" s="50"/>
      <c r="T499" s="50"/>
      <c r="U499" s="52"/>
      <c r="V499" s="53"/>
      <c r="W499" s="60"/>
      <c r="X499" s="56"/>
      <c r="Y499" s="38"/>
      <c r="Z499" s="38"/>
    </row>
    <row r="500" spans="1:26" hidden="1">
      <c r="A500" s="38">
        <v>169</v>
      </c>
      <c r="B500" s="38"/>
      <c r="C500" s="38"/>
      <c r="D500" s="38"/>
      <c r="E500" s="38" t="s">
        <v>847</v>
      </c>
      <c r="F500" s="43" t="s">
        <v>848</v>
      </c>
      <c r="G500" s="44"/>
      <c r="H500" s="45"/>
      <c r="I500" s="38"/>
      <c r="J500" s="38">
        <f>343</f>
        <v>343</v>
      </c>
      <c r="K500" s="46">
        <v>2.8240740740740739E-3</v>
      </c>
      <c r="L500" s="47" t="s">
        <v>286</v>
      </c>
      <c r="M500" s="307"/>
      <c r="N500" s="307"/>
      <c r="O500" s="307">
        <f t="shared" si="13"/>
        <v>0</v>
      </c>
      <c r="P500" s="92"/>
      <c r="Q500" s="410" t="str">
        <f t="shared" ca="1" si="12"/>
        <v>https://www.youtube.com/watch?v=fQxUVyFqzpA</v>
      </c>
      <c r="R500" s="50"/>
      <c r="S500" s="50"/>
      <c r="T500" s="50"/>
      <c r="U500" s="52"/>
      <c r="V500" s="53"/>
      <c r="W500" s="60"/>
      <c r="X500" s="56"/>
      <c r="Y500" s="38"/>
      <c r="Z500" s="38"/>
    </row>
    <row r="501" spans="1:26" hidden="1">
      <c r="A501" s="38">
        <v>170</v>
      </c>
      <c r="B501" s="38"/>
      <c r="C501" s="38"/>
      <c r="D501" s="38"/>
      <c r="E501" s="38" t="s">
        <v>851</v>
      </c>
      <c r="F501" s="43" t="s">
        <v>852</v>
      </c>
      <c r="G501" s="44"/>
      <c r="H501" s="45"/>
      <c r="I501" s="38"/>
      <c r="J501" s="38">
        <f>1.5*1000</f>
        <v>1500</v>
      </c>
      <c r="K501" s="46">
        <v>5.9594907407407409E-2</v>
      </c>
      <c r="L501" s="47" t="s">
        <v>286</v>
      </c>
      <c r="M501" s="307"/>
      <c r="N501" s="307"/>
      <c r="O501" s="307">
        <f t="shared" si="13"/>
        <v>0</v>
      </c>
      <c r="P501" s="92"/>
      <c r="Q501" s="410" t="str">
        <f t="shared" ca="1" si="12"/>
        <v>https://www.youtube.com/watch?v=wgud4Fi47XA</v>
      </c>
      <c r="R501" s="50"/>
      <c r="S501" s="50"/>
      <c r="T501" s="50"/>
      <c r="U501" s="52"/>
      <c r="V501" s="53"/>
      <c r="W501" s="60"/>
      <c r="X501" s="56"/>
      <c r="Y501" s="38"/>
      <c r="Z501" s="38"/>
    </row>
    <row r="502" spans="1:26" hidden="1">
      <c r="A502" s="38">
        <v>171</v>
      </c>
      <c r="B502" s="38"/>
      <c r="C502" s="38"/>
      <c r="D502" s="38"/>
      <c r="E502" s="38" t="s">
        <v>853</v>
      </c>
      <c r="F502" s="43" t="s">
        <v>854</v>
      </c>
      <c r="G502" s="44"/>
      <c r="H502" s="45"/>
      <c r="I502" s="38"/>
      <c r="J502" s="38">
        <f>463</f>
        <v>463</v>
      </c>
      <c r="K502" s="46">
        <v>2.4965277777777781E-2</v>
      </c>
      <c r="L502" s="47" t="s">
        <v>286</v>
      </c>
      <c r="M502" s="307"/>
      <c r="N502" s="307"/>
      <c r="O502" s="307">
        <f t="shared" si="13"/>
        <v>0</v>
      </c>
      <c r="P502" s="92"/>
      <c r="Q502" s="410" t="str">
        <f t="shared" ca="1" si="12"/>
        <v>https://www.youtube.com/watch?v=2Ew9deAuPwU</v>
      </c>
      <c r="R502" s="50"/>
      <c r="S502" s="50"/>
      <c r="T502" s="50"/>
      <c r="U502" s="52"/>
      <c r="V502" s="53"/>
      <c r="W502" s="60"/>
      <c r="X502" s="56"/>
      <c r="Y502" s="38"/>
      <c r="Z502" s="38"/>
    </row>
    <row r="503" spans="1:26" hidden="1">
      <c r="A503" s="38">
        <v>172</v>
      </c>
      <c r="B503" s="38"/>
      <c r="C503" s="38"/>
      <c r="D503" s="38"/>
      <c r="E503" s="38" t="s">
        <v>857</v>
      </c>
      <c r="F503" s="43" t="s">
        <v>858</v>
      </c>
      <c r="G503" s="44"/>
      <c r="H503" s="45"/>
      <c r="I503" s="38"/>
      <c r="J503" s="38">
        <f>5.2*1000</f>
        <v>5200</v>
      </c>
      <c r="K503" s="46">
        <v>5.5775462962962964E-2</v>
      </c>
      <c r="L503" s="47" t="s">
        <v>286</v>
      </c>
      <c r="M503" s="307"/>
      <c r="N503" s="307"/>
      <c r="O503" s="307">
        <f t="shared" si="13"/>
        <v>0</v>
      </c>
      <c r="P503" s="92"/>
      <c r="Q503" s="410" t="str">
        <f t="shared" ca="1" si="12"/>
        <v>https://www.youtube.com/watch?v=Au_HvuB2IQc</v>
      </c>
      <c r="R503" s="50"/>
      <c r="S503" s="50"/>
      <c r="T503" s="50"/>
      <c r="U503" s="52"/>
      <c r="V503" s="53"/>
      <c r="W503" s="60"/>
      <c r="X503" s="56"/>
      <c r="Y503" s="38"/>
      <c r="Z503" s="38"/>
    </row>
    <row r="504" spans="1:26" hidden="1">
      <c r="A504" s="38">
        <v>173</v>
      </c>
      <c r="B504" s="38"/>
      <c r="C504" s="38"/>
      <c r="D504" s="38"/>
      <c r="E504" s="38" t="s">
        <v>860</v>
      </c>
      <c r="F504" s="43" t="s">
        <v>861</v>
      </c>
      <c r="G504" s="44"/>
      <c r="H504" s="45"/>
      <c r="I504" s="38"/>
      <c r="J504" s="38">
        <f>624</f>
        <v>624</v>
      </c>
      <c r="K504" s="46">
        <v>2.5868055555555557E-2</v>
      </c>
      <c r="L504" s="47" t="s">
        <v>286</v>
      </c>
      <c r="M504" s="307"/>
      <c r="N504" s="307"/>
      <c r="O504" s="307">
        <f t="shared" si="13"/>
        <v>0</v>
      </c>
      <c r="P504" s="92"/>
      <c r="Q504" s="410" t="str">
        <f t="shared" ca="1" si="12"/>
        <v>https://www.youtube.com/watch?v=t_J24YUQNK4</v>
      </c>
      <c r="R504" s="50"/>
      <c r="S504" s="50"/>
      <c r="T504" s="50"/>
      <c r="U504" s="52"/>
      <c r="V504" s="53"/>
      <c r="W504" s="60"/>
      <c r="X504" s="56"/>
      <c r="Y504" s="38"/>
      <c r="Z504" s="38"/>
    </row>
    <row r="505" spans="1:26" hidden="1">
      <c r="A505" s="38">
        <v>174</v>
      </c>
      <c r="B505" s="38"/>
      <c r="C505" s="38"/>
      <c r="D505" s="38"/>
      <c r="E505" s="38" t="s">
        <v>865</v>
      </c>
      <c r="F505" s="43" t="s">
        <v>866</v>
      </c>
      <c r="G505" s="44"/>
      <c r="H505" s="45"/>
      <c r="I505" s="38"/>
      <c r="J505" s="38">
        <f>1.4*1000</f>
        <v>1400</v>
      </c>
      <c r="K505" s="46">
        <v>1.7754629629629631E-2</v>
      </c>
      <c r="L505" s="47" t="s">
        <v>286</v>
      </c>
      <c r="M505" s="307"/>
      <c r="N505" s="307"/>
      <c r="O505" s="307">
        <f t="shared" si="13"/>
        <v>0</v>
      </c>
      <c r="P505" s="92"/>
      <c r="Q505" s="410" t="str">
        <f t="shared" ca="1" si="12"/>
        <v>https://www.youtube.com/watch?v=MfzPrOKKZVo</v>
      </c>
      <c r="R505" s="50"/>
      <c r="S505" s="50"/>
      <c r="T505" s="50"/>
      <c r="U505" s="52"/>
      <c r="V505" s="53"/>
      <c r="W505" s="60"/>
      <c r="X505" s="56"/>
      <c r="Y505" s="38"/>
      <c r="Z505" s="38"/>
    </row>
    <row r="506" spans="1:26" hidden="1">
      <c r="A506" s="38">
        <v>175</v>
      </c>
      <c r="B506" s="38"/>
      <c r="C506" s="38"/>
      <c r="D506" s="38"/>
      <c r="E506" s="38" t="s">
        <v>869</v>
      </c>
      <c r="F506" s="43" t="s">
        <v>870</v>
      </c>
      <c r="G506" s="44"/>
      <c r="H506" s="45"/>
      <c r="I506" s="38"/>
      <c r="J506" s="38">
        <f>3.1*1000</f>
        <v>3100</v>
      </c>
      <c r="K506" s="46">
        <v>8.3472222222222225E-2</v>
      </c>
      <c r="L506" s="47" t="s">
        <v>286</v>
      </c>
      <c r="M506" s="307"/>
      <c r="N506" s="307"/>
      <c r="O506" s="307">
        <f t="shared" si="13"/>
        <v>0</v>
      </c>
      <c r="P506" s="92"/>
      <c r="Q506" s="410" t="str">
        <f t="shared" ca="1" si="12"/>
        <v>https://www.youtube.com/watch?v=57-MHC42i7g</v>
      </c>
      <c r="R506" s="50"/>
      <c r="S506" s="50"/>
      <c r="T506" s="50"/>
      <c r="U506" s="52"/>
      <c r="V506" s="53"/>
      <c r="W506" s="60"/>
      <c r="X506" s="56"/>
      <c r="Y506" s="38"/>
      <c r="Z506" s="38"/>
    </row>
    <row r="507" spans="1:26" hidden="1">
      <c r="A507" s="38">
        <v>176</v>
      </c>
      <c r="B507" s="38"/>
      <c r="C507" s="38"/>
      <c r="D507" s="38"/>
      <c r="E507" s="38" t="s">
        <v>873</v>
      </c>
      <c r="F507" s="43" t="s">
        <v>874</v>
      </c>
      <c r="G507" s="44"/>
      <c r="H507" s="45"/>
      <c r="I507" s="38"/>
      <c r="J507" s="38">
        <f>2*1000</f>
        <v>2000</v>
      </c>
      <c r="K507" s="46">
        <v>6.1168981481481477E-2</v>
      </c>
      <c r="L507" s="47" t="s">
        <v>286</v>
      </c>
      <c r="M507" s="307"/>
      <c r="N507" s="307"/>
      <c r="O507" s="307">
        <f t="shared" si="13"/>
        <v>0</v>
      </c>
      <c r="P507" s="92"/>
      <c r="Q507" s="410" t="str">
        <f t="shared" ca="1" si="12"/>
        <v>https://www.youtube.com/watch?v=pO9qCeA640E</v>
      </c>
      <c r="R507" s="50"/>
      <c r="S507" s="50"/>
      <c r="T507" s="50"/>
      <c r="U507" s="52"/>
      <c r="V507" s="53"/>
      <c r="W507" s="60"/>
      <c r="X507" s="56"/>
      <c r="Y507" s="38"/>
      <c r="Z507" s="38"/>
    </row>
    <row r="508" spans="1:26" hidden="1">
      <c r="A508" s="38">
        <v>177</v>
      </c>
      <c r="B508" s="38"/>
      <c r="C508" s="38"/>
      <c r="D508" s="38"/>
      <c r="E508" s="38" t="s">
        <v>877</v>
      </c>
      <c r="F508" s="43" t="s">
        <v>878</v>
      </c>
      <c r="G508" s="44"/>
      <c r="H508" s="45"/>
      <c r="I508" s="38"/>
      <c r="J508" s="38">
        <f>7.3*1000</f>
        <v>7300</v>
      </c>
      <c r="K508" s="46">
        <v>3.1041666666666665E-2</v>
      </c>
      <c r="L508" s="47" t="s">
        <v>550</v>
      </c>
      <c r="M508" s="307"/>
      <c r="N508" s="307"/>
      <c r="O508" s="307">
        <f t="shared" si="13"/>
        <v>0</v>
      </c>
      <c r="P508" s="92"/>
      <c r="Q508" s="410" t="str">
        <f t="shared" ca="1" si="12"/>
        <v>https://www.youtube.com/watch?v=17Jnr2hr0ro</v>
      </c>
      <c r="R508" s="50"/>
      <c r="S508" s="50"/>
      <c r="T508" s="50"/>
      <c r="U508" s="52"/>
      <c r="V508" s="53"/>
      <c r="W508" s="60"/>
      <c r="X508" s="56"/>
      <c r="Y508" s="38"/>
      <c r="Z508" s="38"/>
    </row>
    <row r="509" spans="1:26" hidden="1">
      <c r="A509" s="38">
        <v>179</v>
      </c>
      <c r="B509" s="38"/>
      <c r="C509" s="38"/>
      <c r="D509" s="38"/>
      <c r="E509" s="38" t="s">
        <v>881</v>
      </c>
      <c r="F509" s="43" t="s">
        <v>882</v>
      </c>
      <c r="G509" s="44"/>
      <c r="H509" s="45"/>
      <c r="I509" s="38"/>
      <c r="J509" s="38">
        <f>1.2*1000</f>
        <v>1200</v>
      </c>
      <c r="K509" s="46">
        <v>1.638888888888889E-2</v>
      </c>
      <c r="L509" s="47" t="s">
        <v>550</v>
      </c>
      <c r="M509" s="307"/>
      <c r="N509" s="307"/>
      <c r="O509" s="307">
        <f t="shared" si="13"/>
        <v>0</v>
      </c>
      <c r="P509" s="92"/>
      <c r="Q509" s="410" t="str">
        <f t="shared" ca="1" si="12"/>
        <v>https://www.youtube.com/watch?v=MBzty84VgRo</v>
      </c>
      <c r="R509" s="50"/>
      <c r="S509" s="50"/>
      <c r="T509" s="50"/>
      <c r="U509" s="52"/>
      <c r="V509" s="53"/>
      <c r="W509" s="60"/>
      <c r="X509" s="56"/>
      <c r="Y509" s="38"/>
      <c r="Z509" s="38"/>
    </row>
    <row r="510" spans="1:26">
      <c r="A510" s="38">
        <v>178</v>
      </c>
      <c r="B510" s="39" t="s">
        <v>55</v>
      </c>
      <c r="C510" s="40"/>
      <c r="D510" s="42" t="s">
        <v>56</v>
      </c>
      <c r="E510" s="38" t="s">
        <v>547</v>
      </c>
      <c r="F510" s="43" t="s">
        <v>548</v>
      </c>
      <c r="G510" s="44"/>
      <c r="H510" s="45"/>
      <c r="I510" s="38"/>
      <c r="J510" s="38">
        <f>2.5*1000</f>
        <v>2500</v>
      </c>
      <c r="K510" s="46">
        <v>4.7199074074074067E-2</v>
      </c>
      <c r="L510" s="47" t="s">
        <v>550</v>
      </c>
      <c r="M510" s="307"/>
      <c r="N510" s="307"/>
      <c r="O510" s="307">
        <f t="shared" si="13"/>
        <v>0</v>
      </c>
      <c r="P510" s="66">
        <v>43017</v>
      </c>
      <c r="Q510" s="410" t="str">
        <f t="shared" ca="1" si="12"/>
        <v>https://www.youtube.com/watch?v=cpZPvFvzNlc</v>
      </c>
      <c r="R510" s="50"/>
      <c r="S510" s="50"/>
      <c r="T510" s="50"/>
      <c r="U510" s="52"/>
      <c r="V510" s="53"/>
      <c r="W510" s="60"/>
      <c r="X510" s="56"/>
      <c r="Y510" s="38"/>
      <c r="Z510" s="38"/>
    </row>
    <row r="511" spans="1:26">
      <c r="A511" s="85">
        <v>178.01</v>
      </c>
      <c r="B511" s="39" t="s">
        <v>55</v>
      </c>
      <c r="C511" s="40"/>
      <c r="D511" s="42" t="s">
        <v>56</v>
      </c>
      <c r="E511" s="38"/>
      <c r="F511" s="43"/>
      <c r="G511" s="111" t="s">
        <v>553</v>
      </c>
      <c r="H511" s="58"/>
      <c r="I511" s="38"/>
      <c r="J511" s="38"/>
      <c r="K511" s="46"/>
      <c r="L511" s="47"/>
      <c r="M511" s="342"/>
      <c r="N511" s="342"/>
      <c r="O511" s="307">
        <f t="shared" si="13"/>
        <v>0</v>
      </c>
      <c r="P511" s="66">
        <v>43017</v>
      </c>
      <c r="Q511" s="410" t="str">
        <f t="shared" ca="1" si="12"/>
        <v>https://www.youtube.com/embed/cpZPvFvzNlc?start=0&amp;end=0&amp;autoplay=1</v>
      </c>
      <c r="R511" s="39"/>
      <c r="S511" s="39"/>
      <c r="T511" s="39"/>
      <c r="U511" s="40"/>
      <c r="V511" s="54"/>
      <c r="W511" s="57"/>
      <c r="X511" s="56"/>
      <c r="Y511" s="42" t="s">
        <v>2992</v>
      </c>
      <c r="Z511" s="42" t="s">
        <v>558</v>
      </c>
    </row>
    <row r="512" spans="1:26">
      <c r="A512" s="42">
        <v>178.02</v>
      </c>
      <c r="B512" s="39" t="s">
        <v>55</v>
      </c>
      <c r="C512" s="40"/>
      <c r="D512" s="42" t="s">
        <v>56</v>
      </c>
      <c r="E512" s="38"/>
      <c r="F512" s="43"/>
      <c r="G512" s="63" t="s">
        <v>559</v>
      </c>
      <c r="H512" s="58" t="s">
        <v>2993</v>
      </c>
      <c r="I512" s="38"/>
      <c r="J512" s="38"/>
      <c r="K512" s="46"/>
      <c r="L512" s="47"/>
      <c r="M512" s="342">
        <v>7.1527777777777779E-3</v>
      </c>
      <c r="N512" s="342">
        <v>1.1956018518518519E-2</v>
      </c>
      <c r="O512" s="307">
        <f t="shared" si="13"/>
        <v>4.8032407407407407E-3</v>
      </c>
      <c r="P512" s="66">
        <v>43017</v>
      </c>
      <c r="Q512" s="410" t="str">
        <f t="shared" ca="1" si="12"/>
        <v>https://www.youtube.com/embed/cpZPvFvzNlc?start=618&amp;end=1033&amp;autoplay=1</v>
      </c>
      <c r="R512" s="67" t="s">
        <v>63</v>
      </c>
      <c r="S512" s="67" t="s">
        <v>63</v>
      </c>
      <c r="T512" s="67" t="s">
        <v>63</v>
      </c>
      <c r="U512" s="52"/>
      <c r="V512" s="53"/>
      <c r="W512" s="57" t="s">
        <v>64</v>
      </c>
      <c r="X512" s="56"/>
      <c r="Y512" s="38"/>
      <c r="Z512" s="38"/>
    </row>
    <row r="513" spans="1:26">
      <c r="A513" s="85">
        <v>178.03</v>
      </c>
      <c r="B513" s="39" t="s">
        <v>55</v>
      </c>
      <c r="C513" s="40"/>
      <c r="D513" s="42" t="s">
        <v>56</v>
      </c>
      <c r="E513" s="38"/>
      <c r="F513" s="43"/>
      <c r="G513" s="63" t="s">
        <v>569</v>
      </c>
      <c r="H513" s="58" t="s">
        <v>570</v>
      </c>
      <c r="I513" s="38"/>
      <c r="J513" s="38"/>
      <c r="K513" s="46"/>
      <c r="L513" s="47"/>
      <c r="M513" s="342">
        <v>1.2060185185185186E-2</v>
      </c>
      <c r="N513" s="342">
        <v>1.2615740740740742E-2</v>
      </c>
      <c r="O513" s="307">
        <f t="shared" si="13"/>
        <v>5.5555555555555566E-4</v>
      </c>
      <c r="P513" s="66">
        <v>43017</v>
      </c>
      <c r="Q513" s="410" t="str">
        <f t="shared" ca="1" si="12"/>
        <v>https://www.youtube.com/embed/cpZPvFvzNlc?start=1042&amp;end=1090&amp;autoplay=1</v>
      </c>
      <c r="R513" s="67" t="s">
        <v>63</v>
      </c>
      <c r="S513" s="67" t="s">
        <v>63</v>
      </c>
      <c r="T513" s="67" t="s">
        <v>63</v>
      </c>
      <c r="U513" s="52"/>
      <c r="V513" s="53"/>
      <c r="W513" s="57" t="s">
        <v>64</v>
      </c>
      <c r="X513" s="56"/>
      <c r="Y513" s="38"/>
      <c r="Z513" s="38"/>
    </row>
    <row r="514" spans="1:26">
      <c r="A514" s="42">
        <v>178.04</v>
      </c>
      <c r="B514" s="39" t="s">
        <v>55</v>
      </c>
      <c r="C514" s="40"/>
      <c r="D514" s="42" t="s">
        <v>56</v>
      </c>
      <c r="E514" s="38"/>
      <c r="F514" s="43"/>
      <c r="G514" s="63" t="s">
        <v>575</v>
      </c>
      <c r="H514" s="58"/>
      <c r="I514" s="38"/>
      <c r="J514" s="38"/>
      <c r="K514" s="46"/>
      <c r="L514" s="47"/>
      <c r="M514" s="342">
        <v>1.6805555555555556E-2</v>
      </c>
      <c r="N514" s="342">
        <v>1.7893518518518517E-2</v>
      </c>
      <c r="O514" s="307">
        <f t="shared" si="13"/>
        <v>1.0879629629629607E-3</v>
      </c>
      <c r="P514" s="66">
        <v>43017</v>
      </c>
      <c r="Q514" s="410" t="str">
        <f t="shared" ca="1" si="12"/>
        <v>https://www.youtube.com/embed/cpZPvFvzNlc?start=1452&amp;end=1546&amp;autoplay=1</v>
      </c>
      <c r="R514" s="67" t="s">
        <v>63</v>
      </c>
      <c r="S514" s="67" t="s">
        <v>63</v>
      </c>
      <c r="T514" s="67" t="s">
        <v>63</v>
      </c>
      <c r="U514" s="52"/>
      <c r="V514" s="53"/>
      <c r="W514" s="57" t="s">
        <v>64</v>
      </c>
      <c r="X514" s="56"/>
      <c r="Y514" s="38"/>
      <c r="Z514" s="38"/>
    </row>
    <row r="515" spans="1:26">
      <c r="A515" s="85">
        <v>178.05</v>
      </c>
      <c r="B515" s="39" t="s">
        <v>55</v>
      </c>
      <c r="C515" s="40"/>
      <c r="D515" s="42" t="s">
        <v>56</v>
      </c>
      <c r="E515" s="38"/>
      <c r="F515" s="43"/>
      <c r="G515" s="63" t="s">
        <v>578</v>
      </c>
      <c r="H515" s="45"/>
      <c r="I515" s="38"/>
      <c r="J515" s="38"/>
      <c r="K515" s="46"/>
      <c r="L515" s="47"/>
      <c r="M515" s="342">
        <v>1.9247685185185184E-2</v>
      </c>
      <c r="N515" s="342">
        <v>2.2638888888888889E-2</v>
      </c>
      <c r="O515" s="307">
        <f t="shared" si="13"/>
        <v>3.3912037037037053E-3</v>
      </c>
      <c r="P515" s="66">
        <v>43017</v>
      </c>
      <c r="Q515" s="410" t="str">
        <f t="shared" ref="Q515:Q578" ca="1" si="14">HYPERLINK(IF(INT(A515)-A515=0,E515,REPLACE(INDIRECT("MasterList!e"&amp;INT(A515)+1),25,8,"embed/")&amp;"?start="&amp;HOUR(M515)*3600+MINUTE(M515)*60+SECOND(M515)&amp;"&amp;end="&amp;HOUR(N515)*3600+MINUTE(N515)*60+SECOND(N515)&amp;"&amp;autoplay=1"))</f>
        <v>https://www.youtube.com/embed/cpZPvFvzNlc?start=1663&amp;end=1956&amp;autoplay=1</v>
      </c>
      <c r="R515" s="67" t="s">
        <v>63</v>
      </c>
      <c r="S515" s="67" t="s">
        <v>63</v>
      </c>
      <c r="T515" s="67" t="s">
        <v>63</v>
      </c>
      <c r="U515" s="52"/>
      <c r="V515" s="53"/>
      <c r="W515" s="57" t="s">
        <v>64</v>
      </c>
      <c r="X515" s="56"/>
      <c r="Y515" s="38"/>
      <c r="Z515" s="38"/>
    </row>
    <row r="516" spans="1:26">
      <c r="A516" s="42">
        <v>178.06</v>
      </c>
      <c r="B516" s="39" t="s">
        <v>55</v>
      </c>
      <c r="C516" s="40"/>
      <c r="D516" s="42" t="s">
        <v>56</v>
      </c>
      <c r="E516" s="38"/>
      <c r="F516" s="43"/>
      <c r="G516" s="63" t="s">
        <v>580</v>
      </c>
      <c r="H516" s="45"/>
      <c r="I516" s="38"/>
      <c r="J516" s="38"/>
      <c r="K516" s="46"/>
      <c r="L516" s="47"/>
      <c r="M516" s="342">
        <v>2.2870370370370371E-2</v>
      </c>
      <c r="N516" s="342">
        <v>2.3854166666666666E-2</v>
      </c>
      <c r="O516" s="307">
        <f t="shared" si="13"/>
        <v>9.8379629629629511E-4</v>
      </c>
      <c r="P516" s="66">
        <v>43017</v>
      </c>
      <c r="Q516" s="410" t="str">
        <f t="shared" ca="1" si="14"/>
        <v>https://www.youtube.com/embed/cpZPvFvzNlc?start=1976&amp;end=2061&amp;autoplay=1</v>
      </c>
      <c r="R516" s="67" t="s">
        <v>63</v>
      </c>
      <c r="S516" s="67" t="s">
        <v>63</v>
      </c>
      <c r="T516" s="67" t="s">
        <v>63</v>
      </c>
      <c r="U516" s="52"/>
      <c r="V516" s="53"/>
      <c r="W516" s="57" t="s">
        <v>64</v>
      </c>
      <c r="X516" s="56"/>
      <c r="Y516" s="38"/>
      <c r="Z516" s="38"/>
    </row>
    <row r="517" spans="1:26">
      <c r="A517" s="85">
        <v>178.07</v>
      </c>
      <c r="B517" s="39" t="s">
        <v>55</v>
      </c>
      <c r="C517" s="40"/>
      <c r="D517" s="42" t="s">
        <v>56</v>
      </c>
      <c r="E517" s="38"/>
      <c r="F517" s="43"/>
      <c r="G517" s="63" t="s">
        <v>582</v>
      </c>
      <c r="H517" s="45"/>
      <c r="I517" s="38"/>
      <c r="J517" s="38"/>
      <c r="K517" s="46"/>
      <c r="L517" s="47"/>
      <c r="M517" s="342">
        <v>2.4074074074074074E-2</v>
      </c>
      <c r="N517" s="342">
        <v>2.5717592592592594E-2</v>
      </c>
      <c r="O517" s="307">
        <f t="shared" si="13"/>
        <v>1.6435185185185198E-3</v>
      </c>
      <c r="P517" s="66">
        <v>43017</v>
      </c>
      <c r="Q517" s="410" t="str">
        <f t="shared" ca="1" si="14"/>
        <v>https://www.youtube.com/embed/cpZPvFvzNlc?start=2080&amp;end=2222&amp;autoplay=1</v>
      </c>
      <c r="R517" s="67" t="s">
        <v>63</v>
      </c>
      <c r="S517" s="67" t="s">
        <v>63</v>
      </c>
      <c r="T517" s="67" t="s">
        <v>63</v>
      </c>
      <c r="U517" s="52"/>
      <c r="V517" s="53"/>
      <c r="W517" s="57" t="s">
        <v>64</v>
      </c>
      <c r="X517" s="56"/>
      <c r="Y517" s="38"/>
      <c r="Z517" s="38"/>
    </row>
    <row r="518" spans="1:26">
      <c r="A518" s="42">
        <v>178.08</v>
      </c>
      <c r="B518" s="39" t="s">
        <v>55</v>
      </c>
      <c r="C518" s="40"/>
      <c r="D518" s="42" t="s">
        <v>56</v>
      </c>
      <c r="E518" s="38"/>
      <c r="F518" s="38"/>
      <c r="G518" s="42" t="s">
        <v>583</v>
      </c>
      <c r="H518" s="45"/>
      <c r="I518" s="38"/>
      <c r="J518" s="38"/>
      <c r="K518" s="46"/>
      <c r="L518" s="47"/>
      <c r="M518" s="342">
        <v>4.1689814814814811E-2</v>
      </c>
      <c r="N518" s="342">
        <v>4.2824074074074077E-2</v>
      </c>
      <c r="O518" s="307">
        <f t="shared" si="13"/>
        <v>1.1342592592592654E-3</v>
      </c>
      <c r="P518" s="66">
        <v>43017</v>
      </c>
      <c r="Q518" s="410" t="str">
        <f t="shared" ca="1" si="14"/>
        <v>https://www.youtube.com/embed/cpZPvFvzNlc?start=3602&amp;end=3700&amp;autoplay=1</v>
      </c>
      <c r="R518" s="67" t="s">
        <v>63</v>
      </c>
      <c r="S518" s="67" t="s">
        <v>63</v>
      </c>
      <c r="T518" s="67" t="s">
        <v>63</v>
      </c>
      <c r="U518" s="52"/>
      <c r="V518" s="53"/>
      <c r="W518" s="57" t="s">
        <v>64</v>
      </c>
      <c r="X518" s="56"/>
      <c r="Y518" s="38"/>
      <c r="Z518" s="38"/>
    </row>
    <row r="519" spans="1:26">
      <c r="A519" s="85">
        <v>178.09</v>
      </c>
      <c r="B519" s="39" t="s">
        <v>55</v>
      </c>
      <c r="C519" s="40"/>
      <c r="D519" s="42" t="s">
        <v>56</v>
      </c>
      <c r="E519" s="38"/>
      <c r="F519" s="43"/>
      <c r="G519" s="63" t="s">
        <v>585</v>
      </c>
      <c r="H519" s="45"/>
      <c r="I519" s="38"/>
      <c r="J519" s="38"/>
      <c r="K519" s="46"/>
      <c r="L519" s="47"/>
      <c r="M519" s="342">
        <v>4.2847222222222224E-2</v>
      </c>
      <c r="N519" s="342">
        <v>4.4861111111111109E-2</v>
      </c>
      <c r="O519" s="307">
        <f t="shared" si="13"/>
        <v>2.0138888888888845E-3</v>
      </c>
      <c r="P519" s="66">
        <v>43017</v>
      </c>
      <c r="Q519" s="410" t="str">
        <f t="shared" ca="1" si="14"/>
        <v>https://www.youtube.com/embed/cpZPvFvzNlc?start=3702&amp;end=3876&amp;autoplay=1</v>
      </c>
      <c r="R519" s="67" t="s">
        <v>63</v>
      </c>
      <c r="S519" s="67" t="s">
        <v>63</v>
      </c>
      <c r="T519" s="67" t="s">
        <v>63</v>
      </c>
      <c r="U519" s="52"/>
      <c r="V519" s="53"/>
      <c r="W519" s="57" t="s">
        <v>64</v>
      </c>
      <c r="X519" s="56"/>
      <c r="Y519" s="38"/>
      <c r="Z519" s="38"/>
    </row>
    <row r="520" spans="1:26" hidden="1">
      <c r="A520" s="38">
        <v>180</v>
      </c>
      <c r="B520" s="38"/>
      <c r="C520" s="38"/>
      <c r="D520" s="38"/>
      <c r="E520" s="38" t="s">
        <v>883</v>
      </c>
      <c r="F520" s="43" t="s">
        <v>884</v>
      </c>
      <c r="G520" s="44"/>
      <c r="H520" s="45"/>
      <c r="I520" s="38"/>
      <c r="J520" s="38">
        <f>8.4*1000</f>
        <v>8400</v>
      </c>
      <c r="K520" s="46">
        <v>3.2407407407407406E-3</v>
      </c>
      <c r="L520" s="47" t="s">
        <v>550</v>
      </c>
      <c r="M520" s="307"/>
      <c r="N520" s="307"/>
      <c r="O520" s="307">
        <f t="shared" si="13"/>
        <v>0</v>
      </c>
      <c r="P520" s="92"/>
      <c r="Q520" s="410" t="str">
        <f t="shared" ca="1" si="14"/>
        <v>https://www.youtube.com/watch?v=nCmJgIvSqfU</v>
      </c>
      <c r="R520" s="50"/>
      <c r="S520" s="50"/>
      <c r="T520" s="50"/>
      <c r="U520" s="52"/>
      <c r="V520" s="53"/>
      <c r="W520" s="60"/>
      <c r="X520" s="56"/>
      <c r="Y520" s="38"/>
      <c r="Z520" s="38"/>
    </row>
    <row r="521" spans="1:26" hidden="1">
      <c r="A521" s="38">
        <v>181</v>
      </c>
      <c r="B521" s="38"/>
      <c r="C521" s="38"/>
      <c r="D521" s="38"/>
      <c r="E521" s="38" t="s">
        <v>887</v>
      </c>
      <c r="F521" s="43" t="s">
        <v>888</v>
      </c>
      <c r="G521" s="44"/>
      <c r="H521" s="45"/>
      <c r="I521" s="38"/>
      <c r="J521" s="38">
        <f>12*1000</f>
        <v>12000</v>
      </c>
      <c r="K521" s="46">
        <v>4.0833333333333333E-2</v>
      </c>
      <c r="L521" s="47" t="s">
        <v>550</v>
      </c>
      <c r="M521" s="307"/>
      <c r="N521" s="307"/>
      <c r="O521" s="307">
        <f t="shared" si="13"/>
        <v>0</v>
      </c>
      <c r="P521" s="92"/>
      <c r="Q521" s="410" t="str">
        <f t="shared" ca="1" si="14"/>
        <v>https://www.youtube.com/watch?v=qsCWK-TQVsk</v>
      </c>
      <c r="R521" s="50"/>
      <c r="S521" s="50"/>
      <c r="T521" s="50"/>
      <c r="U521" s="52"/>
      <c r="V521" s="53"/>
      <c r="W521" s="60"/>
      <c r="X521" s="56"/>
      <c r="Y521" s="38"/>
      <c r="Z521" s="38"/>
    </row>
    <row r="522" spans="1:26" hidden="1">
      <c r="A522" s="38">
        <v>182</v>
      </c>
      <c r="B522" s="38"/>
      <c r="C522" s="38"/>
      <c r="D522" s="38"/>
      <c r="E522" s="38" t="s">
        <v>889</v>
      </c>
      <c r="F522" s="43" t="s">
        <v>890</v>
      </c>
      <c r="G522" s="44"/>
      <c r="H522" s="45"/>
      <c r="I522" s="38"/>
      <c r="J522" s="38">
        <f>7.6*1000</f>
        <v>7600</v>
      </c>
      <c r="K522" s="46">
        <v>6.6435185185185182E-3</v>
      </c>
      <c r="L522" s="47" t="s">
        <v>550</v>
      </c>
      <c r="M522" s="307"/>
      <c r="N522" s="307"/>
      <c r="O522" s="307">
        <f t="shared" si="13"/>
        <v>0</v>
      </c>
      <c r="P522" s="92"/>
      <c r="Q522" s="410" t="str">
        <f t="shared" ca="1" si="14"/>
        <v>https://www.youtube.com/watch?v=r5r1yU9O2ag</v>
      </c>
      <c r="R522" s="50"/>
      <c r="S522" s="50"/>
      <c r="T522" s="50"/>
      <c r="U522" s="52"/>
      <c r="V522" s="53"/>
      <c r="W522" s="60"/>
      <c r="X522" s="56"/>
      <c r="Y522" s="38"/>
      <c r="Z522" s="38"/>
    </row>
    <row r="523" spans="1:26" hidden="1">
      <c r="A523" s="38">
        <v>183</v>
      </c>
      <c r="B523" s="38"/>
      <c r="C523" s="38"/>
      <c r="D523" s="38"/>
      <c r="E523" s="38" t="s">
        <v>892</v>
      </c>
      <c r="F523" s="43" t="s">
        <v>893</v>
      </c>
      <c r="G523" s="44"/>
      <c r="H523" s="45"/>
      <c r="I523" s="38"/>
      <c r="J523" s="38">
        <f>55*1000</f>
        <v>55000</v>
      </c>
      <c r="K523" s="46">
        <v>1.5949074074074074E-2</v>
      </c>
      <c r="L523" s="47" t="s">
        <v>550</v>
      </c>
      <c r="M523" s="307"/>
      <c r="N523" s="307"/>
      <c r="O523" s="307">
        <f t="shared" si="13"/>
        <v>0</v>
      </c>
      <c r="P523" s="92"/>
      <c r="Q523" s="410" t="str">
        <f t="shared" ca="1" si="14"/>
        <v>https://www.youtube.com/watch?v=MFVzVjuj90E</v>
      </c>
      <c r="R523" s="50"/>
      <c r="S523" s="50"/>
      <c r="T523" s="50"/>
      <c r="U523" s="52"/>
      <c r="V523" s="53"/>
      <c r="W523" s="60"/>
      <c r="X523" s="56"/>
      <c r="Y523" s="38"/>
      <c r="Z523" s="38"/>
    </row>
    <row r="524" spans="1:26" hidden="1">
      <c r="A524" s="38">
        <v>184</v>
      </c>
      <c r="B524" s="38"/>
      <c r="C524" s="38"/>
      <c r="D524" s="38"/>
      <c r="E524" s="38" t="s">
        <v>896</v>
      </c>
      <c r="F524" s="43" t="s">
        <v>897</v>
      </c>
      <c r="G524" s="44"/>
      <c r="H524" s="45"/>
      <c r="I524" s="38"/>
      <c r="J524" s="38">
        <f>6.8*1000</f>
        <v>6800</v>
      </c>
      <c r="K524" s="46">
        <v>1.2118055555555556E-2</v>
      </c>
      <c r="L524" s="47" t="s">
        <v>550</v>
      </c>
      <c r="M524" s="307"/>
      <c r="N524" s="307"/>
      <c r="O524" s="307">
        <f t="shared" si="13"/>
        <v>0</v>
      </c>
      <c r="P524" s="92"/>
      <c r="Q524" s="410" t="str">
        <f t="shared" ca="1" si="14"/>
        <v>https://www.youtube.com/watch?v=Wu9WbgwxgjI</v>
      </c>
      <c r="R524" s="50"/>
      <c r="S524" s="50"/>
      <c r="T524" s="50"/>
      <c r="U524" s="52"/>
      <c r="V524" s="53"/>
      <c r="W524" s="60"/>
      <c r="X524" s="56"/>
      <c r="Y524" s="38"/>
      <c r="Z524" s="38"/>
    </row>
    <row r="525" spans="1:26" hidden="1">
      <c r="A525" s="38">
        <v>185</v>
      </c>
      <c r="B525" s="38"/>
      <c r="C525" s="38"/>
      <c r="D525" s="38"/>
      <c r="E525" s="38" t="s">
        <v>898</v>
      </c>
      <c r="F525" s="43" t="s">
        <v>899</v>
      </c>
      <c r="G525" s="44"/>
      <c r="H525" s="45"/>
      <c r="I525" s="38"/>
      <c r="J525" s="38">
        <f>4*1000</f>
        <v>4000</v>
      </c>
      <c r="K525" s="46">
        <v>8.4027777777777781E-3</v>
      </c>
      <c r="L525" s="47" t="s">
        <v>550</v>
      </c>
      <c r="M525" s="307"/>
      <c r="N525" s="307"/>
      <c r="O525" s="307">
        <f t="shared" si="13"/>
        <v>0</v>
      </c>
      <c r="P525" s="92"/>
      <c r="Q525" s="410" t="str">
        <f t="shared" ca="1" si="14"/>
        <v>https://www.youtube.com/watch?v=zqnotAbf-Cc</v>
      </c>
      <c r="R525" s="50"/>
      <c r="S525" s="50"/>
      <c r="T525" s="50"/>
      <c r="U525" s="52"/>
      <c r="V525" s="53"/>
      <c r="W525" s="60"/>
      <c r="X525" s="56"/>
      <c r="Y525" s="38"/>
      <c r="Z525" s="38"/>
    </row>
    <row r="526" spans="1:26" hidden="1">
      <c r="A526" s="38">
        <v>186</v>
      </c>
      <c r="B526" s="38"/>
      <c r="C526" s="38"/>
      <c r="D526" s="38"/>
      <c r="E526" s="38" t="s">
        <v>900</v>
      </c>
      <c r="F526" s="43" t="s">
        <v>901</v>
      </c>
      <c r="G526" s="44"/>
      <c r="H526" s="45"/>
      <c r="I526" s="38"/>
      <c r="J526" s="38">
        <f>3.9*1000</f>
        <v>3900</v>
      </c>
      <c r="K526" s="46">
        <v>5.1736111111111115E-3</v>
      </c>
      <c r="L526" s="47" t="s">
        <v>550</v>
      </c>
      <c r="M526" s="307"/>
      <c r="N526" s="307"/>
      <c r="O526" s="307">
        <f t="shared" si="13"/>
        <v>0</v>
      </c>
      <c r="P526" s="92"/>
      <c r="Q526" s="410" t="str">
        <f t="shared" ca="1" si="14"/>
        <v>https://www.youtube.com/watch?v=oeFU8Lk35BI</v>
      </c>
      <c r="R526" s="50"/>
      <c r="S526" s="50"/>
      <c r="T526" s="50"/>
      <c r="U526" s="52"/>
      <c r="V526" s="53"/>
      <c r="W526" s="60"/>
      <c r="X526" s="56"/>
      <c r="Y526" s="38"/>
      <c r="Z526" s="38"/>
    </row>
    <row r="527" spans="1:26" hidden="1">
      <c r="A527" s="38">
        <v>187</v>
      </c>
      <c r="B527" s="38"/>
      <c r="C527" s="38"/>
      <c r="D527" s="38"/>
      <c r="E527" s="38" t="s">
        <v>904</v>
      </c>
      <c r="F527" s="43" t="s">
        <v>905</v>
      </c>
      <c r="G527" s="44"/>
      <c r="H527" s="45"/>
      <c r="I527" s="38"/>
      <c r="J527" s="38">
        <f>3.8*1000</f>
        <v>3800</v>
      </c>
      <c r="K527" s="46">
        <v>5.7523148148148143E-3</v>
      </c>
      <c r="L527" s="47" t="s">
        <v>550</v>
      </c>
      <c r="M527" s="307"/>
      <c r="N527" s="307"/>
      <c r="O527" s="307">
        <f t="shared" si="13"/>
        <v>0</v>
      </c>
      <c r="P527" s="92"/>
      <c r="Q527" s="410" t="str">
        <f t="shared" ca="1" si="14"/>
        <v>https://www.youtube.com/watch?v=NfO_yqDrGWs</v>
      </c>
      <c r="R527" s="50"/>
      <c r="S527" s="50"/>
      <c r="T527" s="50"/>
      <c r="U527" s="52"/>
      <c r="V527" s="53"/>
      <c r="W527" s="60"/>
      <c r="X527" s="56"/>
      <c r="Y527" s="38"/>
      <c r="Z527" s="38"/>
    </row>
    <row r="528" spans="1:26" hidden="1">
      <c r="A528" s="38">
        <v>188</v>
      </c>
      <c r="B528" s="38"/>
      <c r="C528" s="38"/>
      <c r="D528" s="38"/>
      <c r="E528" s="38" t="s">
        <v>908</v>
      </c>
      <c r="F528" s="43" t="s">
        <v>909</v>
      </c>
      <c r="G528" s="44"/>
      <c r="H528" s="45"/>
      <c r="I528" s="38"/>
      <c r="J528" s="38">
        <f>3.2*1000</f>
        <v>3200</v>
      </c>
      <c r="K528" s="46">
        <v>1.5277777777777779E-3</v>
      </c>
      <c r="L528" s="47" t="s">
        <v>550</v>
      </c>
      <c r="M528" s="307"/>
      <c r="N528" s="307"/>
      <c r="O528" s="307">
        <f t="shared" si="13"/>
        <v>0</v>
      </c>
      <c r="P528" s="92"/>
      <c r="Q528" s="410" t="str">
        <f t="shared" ca="1" si="14"/>
        <v>https://www.youtube.com/watch?v=uNPifASaoFM</v>
      </c>
      <c r="R528" s="50"/>
      <c r="S528" s="50"/>
      <c r="T528" s="50"/>
      <c r="U528" s="52"/>
      <c r="V528" s="53"/>
      <c r="W528" s="60"/>
      <c r="X528" s="56"/>
      <c r="Y528" s="38"/>
      <c r="Z528" s="38"/>
    </row>
    <row r="529" spans="1:26" hidden="1">
      <c r="A529" s="38">
        <v>189</v>
      </c>
      <c r="B529" s="38"/>
      <c r="C529" s="38"/>
      <c r="D529" s="38"/>
      <c r="E529" s="38" t="s">
        <v>912</v>
      </c>
      <c r="F529" s="43" t="s">
        <v>913</v>
      </c>
      <c r="G529" s="44"/>
      <c r="H529" s="45"/>
      <c r="I529" s="38"/>
      <c r="J529" s="38">
        <f>4.6*1000</f>
        <v>4600</v>
      </c>
      <c r="K529" s="46">
        <v>1.5011574074074075E-2</v>
      </c>
      <c r="L529" s="47" t="s">
        <v>550</v>
      </c>
      <c r="M529" s="307"/>
      <c r="N529" s="307"/>
      <c r="O529" s="307">
        <f t="shared" si="13"/>
        <v>0</v>
      </c>
      <c r="P529" s="92"/>
      <c r="Q529" s="410" t="str">
        <f t="shared" ca="1" si="14"/>
        <v>https://www.youtube.com/watch?v=0-LZkVdXTnc</v>
      </c>
      <c r="R529" s="50"/>
      <c r="S529" s="50"/>
      <c r="T529" s="50"/>
      <c r="U529" s="52"/>
      <c r="V529" s="53"/>
      <c r="W529" s="60"/>
      <c r="X529" s="56"/>
      <c r="Y529" s="38"/>
      <c r="Z529" s="38"/>
    </row>
    <row r="530" spans="1:26" hidden="1">
      <c r="A530" s="38">
        <v>190</v>
      </c>
      <c r="B530" s="38"/>
      <c r="C530" s="38"/>
      <c r="D530" s="38"/>
      <c r="E530" s="38" t="s">
        <v>914</v>
      </c>
      <c r="F530" s="43" t="s">
        <v>915</v>
      </c>
      <c r="G530" s="44"/>
      <c r="H530" s="45"/>
      <c r="I530" s="38"/>
      <c r="J530" s="38">
        <f>3.7*1000</f>
        <v>3700</v>
      </c>
      <c r="K530" s="46">
        <v>3.1631944444444442E-2</v>
      </c>
      <c r="L530" s="47" t="s">
        <v>550</v>
      </c>
      <c r="M530" s="307"/>
      <c r="N530" s="307"/>
      <c r="O530" s="307">
        <f t="shared" si="13"/>
        <v>0</v>
      </c>
      <c r="P530" s="92"/>
      <c r="Q530" s="410" t="str">
        <f t="shared" ca="1" si="14"/>
        <v>https://www.youtube.com/watch?v=yIUwgFjMrg8</v>
      </c>
      <c r="R530" s="50"/>
      <c r="S530" s="50"/>
      <c r="T530" s="50"/>
      <c r="U530" s="52"/>
      <c r="V530" s="53"/>
      <c r="W530" s="60"/>
      <c r="X530" s="56"/>
      <c r="Y530" s="38"/>
      <c r="Z530" s="38"/>
    </row>
    <row r="531" spans="1:26" hidden="1">
      <c r="A531" s="38">
        <v>191</v>
      </c>
      <c r="B531" s="38"/>
      <c r="C531" s="38"/>
      <c r="D531" s="38"/>
      <c r="E531" s="38" t="s">
        <v>918</v>
      </c>
      <c r="F531" s="43" t="s">
        <v>919</v>
      </c>
      <c r="G531" s="44"/>
      <c r="H531" s="45"/>
      <c r="I531" s="38"/>
      <c r="J531" s="38">
        <f>9.4*1000</f>
        <v>9400</v>
      </c>
      <c r="K531" s="46">
        <v>4.0844907407407406E-2</v>
      </c>
      <c r="L531" s="47" t="s">
        <v>550</v>
      </c>
      <c r="M531" s="307"/>
      <c r="N531" s="307"/>
      <c r="O531" s="307">
        <f t="shared" si="13"/>
        <v>0</v>
      </c>
      <c r="P531" s="92"/>
      <c r="Q531" s="410" t="str">
        <f t="shared" ca="1" si="14"/>
        <v>https://www.youtube.com/watch?v=pAHRrR6eeDU</v>
      </c>
      <c r="R531" s="50"/>
      <c r="S531" s="50"/>
      <c r="T531" s="50"/>
      <c r="U531" s="52"/>
      <c r="V531" s="53"/>
      <c r="W531" s="60"/>
      <c r="X531" s="56"/>
      <c r="Y531" s="38"/>
      <c r="Z531" s="38"/>
    </row>
    <row r="532" spans="1:26" hidden="1">
      <c r="A532" s="38">
        <v>192</v>
      </c>
      <c r="B532" s="38"/>
      <c r="C532" s="38"/>
      <c r="D532" s="38"/>
      <c r="E532" s="38" t="s">
        <v>922</v>
      </c>
      <c r="F532" s="43" t="s">
        <v>923</v>
      </c>
      <c r="G532" s="44"/>
      <c r="H532" s="45"/>
      <c r="I532" s="38"/>
      <c r="J532" s="38">
        <f>938</f>
        <v>938</v>
      </c>
      <c r="K532" s="46">
        <v>1.3541666666666667E-3</v>
      </c>
      <c r="L532" s="47" t="s">
        <v>550</v>
      </c>
      <c r="M532" s="307"/>
      <c r="N532" s="307"/>
      <c r="O532" s="307">
        <f t="shared" si="13"/>
        <v>0</v>
      </c>
      <c r="P532" s="92"/>
      <c r="Q532" s="410" t="str">
        <f t="shared" ca="1" si="14"/>
        <v>https://www.youtube.com/watch?v=EWnc9FdyP7s</v>
      </c>
      <c r="R532" s="50"/>
      <c r="S532" s="50"/>
      <c r="T532" s="50"/>
      <c r="U532" s="52"/>
      <c r="V532" s="53"/>
      <c r="W532" s="60"/>
      <c r="X532" s="56"/>
      <c r="Y532" s="38"/>
      <c r="Z532" s="38"/>
    </row>
    <row r="533" spans="1:26" hidden="1">
      <c r="A533" s="38">
        <v>193</v>
      </c>
      <c r="B533" s="38"/>
      <c r="C533" s="38"/>
      <c r="D533" s="38"/>
      <c r="E533" s="38" t="s">
        <v>924</v>
      </c>
      <c r="F533" s="43" t="s">
        <v>925</v>
      </c>
      <c r="G533" s="44"/>
      <c r="H533" s="45"/>
      <c r="I533" s="38"/>
      <c r="J533" s="38">
        <f>1.8*1000</f>
        <v>1800</v>
      </c>
      <c r="K533" s="46">
        <v>9.9189814814814817E-3</v>
      </c>
      <c r="L533" s="47" t="s">
        <v>550</v>
      </c>
      <c r="M533" s="307"/>
      <c r="N533" s="307"/>
      <c r="O533" s="307">
        <f t="shared" si="13"/>
        <v>0</v>
      </c>
      <c r="P533" s="92"/>
      <c r="Q533" s="410" t="str">
        <f t="shared" ca="1" si="14"/>
        <v>https://www.youtube.com/watch?v=LI3VwCn-0WI</v>
      </c>
      <c r="R533" s="50"/>
      <c r="S533" s="50"/>
      <c r="T533" s="50"/>
      <c r="U533" s="52"/>
      <c r="V533" s="53"/>
      <c r="W533" s="60"/>
      <c r="X533" s="56"/>
      <c r="Y533" s="38"/>
      <c r="Z533" s="38"/>
    </row>
    <row r="534" spans="1:26" hidden="1">
      <c r="A534" s="38">
        <v>194</v>
      </c>
      <c r="B534" s="38"/>
      <c r="C534" s="38"/>
      <c r="D534" s="38"/>
      <c r="E534" s="38" t="s">
        <v>928</v>
      </c>
      <c r="F534" s="43" t="s">
        <v>929</v>
      </c>
      <c r="G534" s="44"/>
      <c r="H534" s="45"/>
      <c r="I534" s="38"/>
      <c r="J534" s="38">
        <f>4.4*1000</f>
        <v>4400</v>
      </c>
      <c r="K534" s="46">
        <v>2.5416666666666667E-2</v>
      </c>
      <c r="L534" s="47" t="s">
        <v>550</v>
      </c>
      <c r="M534" s="307"/>
      <c r="N534" s="307"/>
      <c r="O534" s="307">
        <f t="shared" si="13"/>
        <v>0</v>
      </c>
      <c r="P534" s="92"/>
      <c r="Q534" s="410" t="str">
        <f t="shared" ca="1" si="14"/>
        <v>https://www.youtube.com/watch?v=yVdcSMOWtxM</v>
      </c>
      <c r="R534" s="50"/>
      <c r="S534" s="50"/>
      <c r="T534" s="50"/>
      <c r="U534" s="52"/>
      <c r="V534" s="53"/>
      <c r="W534" s="60"/>
      <c r="X534" s="56"/>
      <c r="Y534" s="38"/>
      <c r="Z534" s="38"/>
    </row>
    <row r="535" spans="1:26" hidden="1">
      <c r="A535" s="38">
        <v>195</v>
      </c>
      <c r="B535" s="38"/>
      <c r="C535" s="38"/>
      <c r="D535" s="38"/>
      <c r="E535" s="38" t="s">
        <v>931</v>
      </c>
      <c r="F535" s="43" t="s">
        <v>932</v>
      </c>
      <c r="G535" s="44"/>
      <c r="H535" s="45"/>
      <c r="I535" s="38"/>
      <c r="J535" s="38">
        <f t="shared" ref="J535:J536" si="15">1*1000</f>
        <v>1000</v>
      </c>
      <c r="K535" s="46">
        <v>4.7453703703703703E-3</v>
      </c>
      <c r="L535" s="47" t="s">
        <v>550</v>
      </c>
      <c r="M535" s="307"/>
      <c r="N535" s="307"/>
      <c r="O535" s="307">
        <f t="shared" si="13"/>
        <v>0</v>
      </c>
      <c r="P535" s="92"/>
      <c r="Q535" s="410" t="str">
        <f t="shared" ca="1" si="14"/>
        <v>https://www.youtube.com/watch?v=Yf6-fJ-LcU8</v>
      </c>
      <c r="R535" s="50"/>
      <c r="S535" s="50"/>
      <c r="T535" s="50"/>
      <c r="U535" s="52"/>
      <c r="V535" s="53"/>
      <c r="W535" s="60"/>
      <c r="X535" s="56"/>
      <c r="Y535" s="38"/>
      <c r="Z535" s="38"/>
    </row>
    <row r="536" spans="1:26" hidden="1">
      <c r="A536" s="38">
        <v>196</v>
      </c>
      <c r="B536" s="38"/>
      <c r="C536" s="38"/>
      <c r="D536" s="38"/>
      <c r="E536" s="38" t="s">
        <v>935</v>
      </c>
      <c r="F536" s="43" t="s">
        <v>936</v>
      </c>
      <c r="G536" s="44"/>
      <c r="H536" s="45"/>
      <c r="I536" s="38"/>
      <c r="J536" s="38">
        <f t="shared" si="15"/>
        <v>1000</v>
      </c>
      <c r="K536" s="46">
        <v>3.0671296296296297E-3</v>
      </c>
      <c r="L536" s="47" t="s">
        <v>550</v>
      </c>
      <c r="M536" s="307"/>
      <c r="N536" s="307"/>
      <c r="O536" s="307">
        <f t="shared" si="13"/>
        <v>0</v>
      </c>
      <c r="P536" s="92"/>
      <c r="Q536" s="410" t="str">
        <f t="shared" ca="1" si="14"/>
        <v>https://www.youtube.com/watch?v=L2rJctVLi3M</v>
      </c>
      <c r="R536" s="50"/>
      <c r="S536" s="50"/>
      <c r="T536" s="50"/>
      <c r="U536" s="52"/>
      <c r="V536" s="53"/>
      <c r="W536" s="60"/>
      <c r="X536" s="56"/>
      <c r="Y536" s="38"/>
      <c r="Z536" s="38"/>
    </row>
    <row r="537" spans="1:26" hidden="1">
      <c r="A537" s="38">
        <v>197</v>
      </c>
      <c r="B537" s="38"/>
      <c r="C537" s="38"/>
      <c r="D537" s="38"/>
      <c r="E537" s="38" t="s">
        <v>939</v>
      </c>
      <c r="F537" s="43" t="s">
        <v>941</v>
      </c>
      <c r="G537" s="44"/>
      <c r="H537" s="45"/>
      <c r="I537" s="38"/>
      <c r="J537" s="38">
        <f>1.8*1000</f>
        <v>1800</v>
      </c>
      <c r="K537" s="46">
        <v>1.8750000000000001E-3</v>
      </c>
      <c r="L537" s="47" t="s">
        <v>550</v>
      </c>
      <c r="M537" s="307"/>
      <c r="N537" s="307"/>
      <c r="O537" s="307">
        <f t="shared" si="13"/>
        <v>0</v>
      </c>
      <c r="P537" s="92"/>
      <c r="Q537" s="410" t="str">
        <f t="shared" ca="1" si="14"/>
        <v>https://www.youtube.com/watch?v=wm8QHjKcDf8</v>
      </c>
      <c r="R537" s="50"/>
      <c r="S537" s="50"/>
      <c r="T537" s="50"/>
      <c r="U537" s="52"/>
      <c r="V537" s="53"/>
      <c r="W537" s="60"/>
      <c r="X537" s="56"/>
      <c r="Y537" s="38"/>
      <c r="Z537" s="38"/>
    </row>
    <row r="538" spans="1:26" hidden="1">
      <c r="A538" s="38">
        <v>198</v>
      </c>
      <c r="B538" s="38"/>
      <c r="C538" s="38"/>
      <c r="D538" s="38"/>
      <c r="E538" s="38" t="s">
        <v>944</v>
      </c>
      <c r="F538" s="43" t="s">
        <v>945</v>
      </c>
      <c r="G538" s="44"/>
      <c r="H538" s="45"/>
      <c r="I538" s="38"/>
      <c r="J538" s="38">
        <f>2*1000</f>
        <v>2000</v>
      </c>
      <c r="K538" s="46">
        <v>8.819444444444444E-3</v>
      </c>
      <c r="L538" s="47" t="s">
        <v>550</v>
      </c>
      <c r="M538" s="307"/>
      <c r="N538" s="307"/>
      <c r="O538" s="307">
        <f t="shared" si="13"/>
        <v>0</v>
      </c>
      <c r="P538" s="92"/>
      <c r="Q538" s="410" t="str">
        <f t="shared" ca="1" si="14"/>
        <v>https://www.youtube.com/watch?v=U37L8EPVc5s</v>
      </c>
      <c r="R538" s="50"/>
      <c r="S538" s="50"/>
      <c r="T538" s="50"/>
      <c r="U538" s="52"/>
      <c r="V538" s="53"/>
      <c r="W538" s="60"/>
      <c r="X538" s="56"/>
      <c r="Y538" s="38"/>
      <c r="Z538" s="38"/>
    </row>
    <row r="539" spans="1:26" hidden="1">
      <c r="A539" s="38">
        <v>199</v>
      </c>
      <c r="B539" s="38"/>
      <c r="C539" s="38"/>
      <c r="D539" s="38"/>
      <c r="E539" s="38" t="s">
        <v>946</v>
      </c>
      <c r="F539" s="43" t="s">
        <v>947</v>
      </c>
      <c r="G539" s="44"/>
      <c r="H539" s="45"/>
      <c r="I539" s="38"/>
      <c r="J539" s="38">
        <f>3.1*1000</f>
        <v>3100</v>
      </c>
      <c r="K539" s="46">
        <v>8.9930555555555545E-3</v>
      </c>
      <c r="L539" s="47" t="s">
        <v>550</v>
      </c>
      <c r="M539" s="307"/>
      <c r="N539" s="307"/>
      <c r="O539" s="307">
        <f t="shared" si="13"/>
        <v>0</v>
      </c>
      <c r="P539" s="92"/>
      <c r="Q539" s="410" t="str">
        <f t="shared" ca="1" si="14"/>
        <v>https://www.youtube.com/watch?v=ja-cxuo3ugc</v>
      </c>
      <c r="R539" s="50"/>
      <c r="S539" s="50"/>
      <c r="T539" s="50"/>
      <c r="U539" s="52"/>
      <c r="V539" s="53"/>
      <c r="W539" s="60"/>
      <c r="X539" s="56"/>
      <c r="Y539" s="38"/>
      <c r="Z539" s="38"/>
    </row>
    <row r="540" spans="1:26" hidden="1">
      <c r="A540" s="38">
        <v>200</v>
      </c>
      <c r="B540" s="38"/>
      <c r="C540" s="38"/>
      <c r="D540" s="38"/>
      <c r="E540" s="38" t="s">
        <v>950</v>
      </c>
      <c r="F540" s="43" t="s">
        <v>951</v>
      </c>
      <c r="G540" s="44"/>
      <c r="H540" s="45"/>
      <c r="I540" s="38"/>
      <c r="J540" s="38">
        <f>2.4*1000</f>
        <v>2400</v>
      </c>
      <c r="K540" s="46">
        <v>9.2592592592592605E-3</v>
      </c>
      <c r="L540" s="47" t="s">
        <v>550</v>
      </c>
      <c r="M540" s="307"/>
      <c r="N540" s="307"/>
      <c r="O540" s="307">
        <f t="shared" si="13"/>
        <v>0</v>
      </c>
      <c r="P540" s="92"/>
      <c r="Q540" s="410" t="str">
        <f t="shared" ca="1" si="14"/>
        <v>https://www.youtube.com/watch?v=F95dqGlnggo</v>
      </c>
      <c r="R540" s="50"/>
      <c r="S540" s="50"/>
      <c r="T540" s="50"/>
      <c r="U540" s="52"/>
      <c r="V540" s="53"/>
      <c r="W540" s="60"/>
      <c r="X540" s="56"/>
      <c r="Y540" s="38"/>
      <c r="Z540" s="38"/>
    </row>
    <row r="541" spans="1:26" hidden="1">
      <c r="A541" s="38">
        <v>201</v>
      </c>
      <c r="B541" s="38"/>
      <c r="C541" s="38"/>
      <c r="D541" s="38"/>
      <c r="E541" s="38" t="s">
        <v>952</v>
      </c>
      <c r="F541" s="43" t="s">
        <v>953</v>
      </c>
      <c r="G541" s="44"/>
      <c r="H541" s="45"/>
      <c r="I541" s="38"/>
      <c r="J541" s="38">
        <f>8.1*1000</f>
        <v>8100</v>
      </c>
      <c r="K541" s="46">
        <v>2.6388888888888885E-3</v>
      </c>
      <c r="L541" s="47" t="s">
        <v>956</v>
      </c>
      <c r="M541" s="307"/>
      <c r="N541" s="307"/>
      <c r="O541" s="307">
        <f t="shared" si="13"/>
        <v>0</v>
      </c>
      <c r="P541" s="92"/>
      <c r="Q541" s="410" t="str">
        <f t="shared" ca="1" si="14"/>
        <v>https://www.youtube.com/watch?v=9IzjjqFO5c8</v>
      </c>
      <c r="R541" s="50"/>
      <c r="S541" s="50"/>
      <c r="T541" s="50"/>
      <c r="U541" s="52"/>
      <c r="V541" s="53"/>
      <c r="W541" s="60"/>
      <c r="X541" s="56"/>
      <c r="Y541" s="38"/>
      <c r="Z541" s="38"/>
    </row>
    <row r="542" spans="1:26" hidden="1">
      <c r="A542" s="38">
        <v>202</v>
      </c>
      <c r="B542" s="38"/>
      <c r="C542" s="38"/>
      <c r="D542" s="38"/>
      <c r="E542" s="38" t="s">
        <v>958</v>
      </c>
      <c r="F542" s="43" t="s">
        <v>959</v>
      </c>
      <c r="G542" s="44"/>
      <c r="H542" s="45"/>
      <c r="I542" s="38"/>
      <c r="J542" s="38">
        <f>2.7*1000</f>
        <v>2700</v>
      </c>
      <c r="K542" s="46">
        <v>2.7199074074074074E-3</v>
      </c>
      <c r="L542" s="47" t="s">
        <v>956</v>
      </c>
      <c r="M542" s="307"/>
      <c r="N542" s="307"/>
      <c r="O542" s="307">
        <f t="shared" si="13"/>
        <v>0</v>
      </c>
      <c r="P542" s="92"/>
      <c r="Q542" s="410" t="str">
        <f t="shared" ca="1" si="14"/>
        <v>https://www.youtube.com/watch?v=5YuNKvTZtdM</v>
      </c>
      <c r="R542" s="50"/>
      <c r="S542" s="50"/>
      <c r="T542" s="50"/>
      <c r="U542" s="52"/>
      <c r="V542" s="53"/>
      <c r="W542" s="60"/>
      <c r="X542" s="56"/>
      <c r="Y542" s="38"/>
      <c r="Z542" s="38"/>
    </row>
    <row r="543" spans="1:26" hidden="1">
      <c r="A543" s="38">
        <v>203</v>
      </c>
      <c r="B543" s="38"/>
      <c r="C543" s="38"/>
      <c r="D543" s="38"/>
      <c r="E543" s="38" t="s">
        <v>963</v>
      </c>
      <c r="F543" s="43" t="s">
        <v>964</v>
      </c>
      <c r="G543" s="44"/>
      <c r="H543" s="45"/>
      <c r="I543" s="38"/>
      <c r="J543" s="38">
        <f>2.9*1000</f>
        <v>2900</v>
      </c>
      <c r="K543" s="46">
        <v>2.2800925925925927E-3</v>
      </c>
      <c r="L543" s="47" t="s">
        <v>956</v>
      </c>
      <c r="M543" s="307"/>
      <c r="N543" s="307"/>
      <c r="O543" s="307">
        <f t="shared" si="13"/>
        <v>0</v>
      </c>
      <c r="P543" s="92"/>
      <c r="Q543" s="410" t="str">
        <f t="shared" ca="1" si="14"/>
        <v>https://www.youtube.com/watch?v=XeCuvEX-tow</v>
      </c>
      <c r="R543" s="50"/>
      <c r="S543" s="50"/>
      <c r="T543" s="50"/>
      <c r="U543" s="52"/>
      <c r="V543" s="53"/>
      <c r="W543" s="60"/>
      <c r="X543" s="56"/>
      <c r="Y543" s="38"/>
      <c r="Z543" s="38"/>
    </row>
    <row r="544" spans="1:26" hidden="1">
      <c r="A544" s="38">
        <v>204</v>
      </c>
      <c r="B544" s="38"/>
      <c r="C544" s="38"/>
      <c r="D544" s="38"/>
      <c r="E544" s="38" t="s">
        <v>966</v>
      </c>
      <c r="F544" s="43" t="s">
        <v>967</v>
      </c>
      <c r="G544" s="44"/>
      <c r="H544" s="45"/>
      <c r="I544" s="38"/>
      <c r="J544" s="38">
        <f t="shared" ref="J544:J545" si="16">3.9*1000</f>
        <v>3900</v>
      </c>
      <c r="K544" s="46">
        <v>4.3518518518518515E-3</v>
      </c>
      <c r="L544" s="47" t="s">
        <v>956</v>
      </c>
      <c r="M544" s="307"/>
      <c r="N544" s="307"/>
      <c r="O544" s="307">
        <f t="shared" si="13"/>
        <v>0</v>
      </c>
      <c r="P544" s="92"/>
      <c r="Q544" s="410" t="str">
        <f t="shared" ca="1" si="14"/>
        <v>https://www.youtube.com/watch?v=182HueOxCaU</v>
      </c>
      <c r="R544" s="50"/>
      <c r="S544" s="50"/>
      <c r="T544" s="50"/>
      <c r="U544" s="52"/>
      <c r="V544" s="53"/>
      <c r="W544" s="60"/>
      <c r="X544" s="56"/>
      <c r="Y544" s="38"/>
      <c r="Z544" s="38"/>
    </row>
    <row r="545" spans="1:26" hidden="1">
      <c r="A545" s="38">
        <v>205</v>
      </c>
      <c r="B545" s="38"/>
      <c r="C545" s="38"/>
      <c r="D545" s="38"/>
      <c r="E545" s="38" t="s">
        <v>969</v>
      </c>
      <c r="F545" s="43" t="s">
        <v>971</v>
      </c>
      <c r="G545" s="44"/>
      <c r="H545" s="45"/>
      <c r="I545" s="38"/>
      <c r="J545" s="38">
        <f t="shared" si="16"/>
        <v>3900</v>
      </c>
      <c r="K545" s="46">
        <v>6.4930555555555549E-3</v>
      </c>
      <c r="L545" s="47" t="s">
        <v>956</v>
      </c>
      <c r="M545" s="307"/>
      <c r="N545" s="307"/>
      <c r="O545" s="307">
        <f t="shared" si="13"/>
        <v>0</v>
      </c>
      <c r="P545" s="92"/>
      <c r="Q545" s="410" t="str">
        <f t="shared" ca="1" si="14"/>
        <v>https://www.youtube.com/watch?v=t63m6GCrKbw</v>
      </c>
      <c r="R545" s="50"/>
      <c r="S545" s="50"/>
      <c r="T545" s="50"/>
      <c r="U545" s="52"/>
      <c r="V545" s="53"/>
      <c r="W545" s="60"/>
      <c r="X545" s="56"/>
      <c r="Y545" s="38"/>
      <c r="Z545" s="38"/>
    </row>
    <row r="546" spans="1:26" hidden="1">
      <c r="A546" s="38">
        <v>206</v>
      </c>
      <c r="B546" s="38"/>
      <c r="C546" s="38"/>
      <c r="D546" s="38"/>
      <c r="E546" s="38" t="s">
        <v>972</v>
      </c>
      <c r="F546" s="43" t="s">
        <v>973</v>
      </c>
      <c r="G546" s="44"/>
      <c r="H546" s="45"/>
      <c r="I546" s="38"/>
      <c r="J546" s="38">
        <f>4.4*1000</f>
        <v>4400</v>
      </c>
      <c r="K546" s="46">
        <v>9.2129629629629627E-3</v>
      </c>
      <c r="L546" s="47" t="s">
        <v>956</v>
      </c>
      <c r="M546" s="307"/>
      <c r="N546" s="307"/>
      <c r="O546" s="307">
        <f t="shared" si="13"/>
        <v>0</v>
      </c>
      <c r="P546" s="92"/>
      <c r="Q546" s="410" t="str">
        <f t="shared" ca="1" si="14"/>
        <v>https://www.youtube.com/watch?v=Dymxd9hAemA</v>
      </c>
      <c r="R546" s="50"/>
      <c r="S546" s="50"/>
      <c r="T546" s="50"/>
      <c r="U546" s="52"/>
      <c r="V546" s="53"/>
      <c r="W546" s="60"/>
      <c r="X546" s="56"/>
      <c r="Y546" s="38"/>
      <c r="Z546" s="38"/>
    </row>
    <row r="547" spans="1:26" hidden="1">
      <c r="A547" s="38">
        <v>207</v>
      </c>
      <c r="B547" s="38"/>
      <c r="C547" s="38"/>
      <c r="D547" s="38"/>
      <c r="E547" s="38" t="s">
        <v>979</v>
      </c>
      <c r="F547" s="43" t="s">
        <v>980</v>
      </c>
      <c r="G547" s="44"/>
      <c r="H547" s="45"/>
      <c r="I547" s="38"/>
      <c r="J547" s="38">
        <f>4.2*1000</f>
        <v>4200</v>
      </c>
      <c r="K547" s="46">
        <v>7.2337962962962963E-3</v>
      </c>
      <c r="L547" s="47" t="s">
        <v>956</v>
      </c>
      <c r="M547" s="307"/>
      <c r="N547" s="307"/>
      <c r="O547" s="307">
        <f t="shared" si="13"/>
        <v>0</v>
      </c>
      <c r="P547" s="92"/>
      <c r="Q547" s="410" t="str">
        <f t="shared" ca="1" si="14"/>
        <v>https://www.youtube.com/watch?v=RKYffxIB9EM</v>
      </c>
      <c r="R547" s="50"/>
      <c r="S547" s="50"/>
      <c r="T547" s="50"/>
      <c r="U547" s="52"/>
      <c r="V547" s="53"/>
      <c r="W547" s="60"/>
      <c r="X547" s="56"/>
      <c r="Y547" s="38"/>
      <c r="Z547" s="38"/>
    </row>
    <row r="548" spans="1:26" hidden="1">
      <c r="A548" s="38">
        <v>208</v>
      </c>
      <c r="B548" s="38"/>
      <c r="C548" s="38"/>
      <c r="D548" s="38"/>
      <c r="E548" s="38" t="s">
        <v>983</v>
      </c>
      <c r="F548" s="43" t="s">
        <v>984</v>
      </c>
      <c r="G548" s="44"/>
      <c r="H548" s="45"/>
      <c r="I548" s="38"/>
      <c r="J548" s="38">
        <f>1.9*1000</f>
        <v>1900</v>
      </c>
      <c r="K548" s="46">
        <v>4.3981481481481484E-3</v>
      </c>
      <c r="L548" s="47" t="s">
        <v>956</v>
      </c>
      <c r="M548" s="307"/>
      <c r="N548" s="307"/>
      <c r="O548" s="307">
        <f t="shared" si="13"/>
        <v>0</v>
      </c>
      <c r="P548" s="92"/>
      <c r="Q548" s="410" t="str">
        <f t="shared" ca="1" si="14"/>
        <v>https://www.youtube.com/watch?v=gU4jkSa9phY</v>
      </c>
      <c r="R548" s="50"/>
      <c r="S548" s="50"/>
      <c r="T548" s="50"/>
      <c r="U548" s="52"/>
      <c r="V548" s="53"/>
      <c r="W548" s="60"/>
      <c r="X548" s="56"/>
      <c r="Y548" s="38"/>
      <c r="Z548" s="38"/>
    </row>
    <row r="549" spans="1:26" hidden="1">
      <c r="A549" s="38">
        <v>209</v>
      </c>
      <c r="B549" s="38"/>
      <c r="C549" s="38"/>
      <c r="D549" s="38"/>
      <c r="E549" s="38" t="s">
        <v>985</v>
      </c>
      <c r="F549" s="43" t="s">
        <v>986</v>
      </c>
      <c r="G549" s="44"/>
      <c r="H549" s="45"/>
      <c r="I549" s="38"/>
      <c r="J549" s="38">
        <f>2.8*1000</f>
        <v>2800</v>
      </c>
      <c r="K549" s="46">
        <v>6.5393518518518517E-3</v>
      </c>
      <c r="L549" s="47" t="s">
        <v>956</v>
      </c>
      <c r="M549" s="307"/>
      <c r="N549" s="307"/>
      <c r="O549" s="307">
        <f t="shared" si="13"/>
        <v>0</v>
      </c>
      <c r="P549" s="92"/>
      <c r="Q549" s="410" t="str">
        <f t="shared" ca="1" si="14"/>
        <v>https://www.youtube.com/watch?v=y-v-Ijc7W3Y</v>
      </c>
      <c r="R549" s="50"/>
      <c r="S549" s="50"/>
      <c r="T549" s="50"/>
      <c r="U549" s="52"/>
      <c r="V549" s="53"/>
      <c r="W549" s="60"/>
      <c r="X549" s="56"/>
      <c r="Y549" s="38"/>
      <c r="Z549" s="38"/>
    </row>
    <row r="550" spans="1:26" hidden="1">
      <c r="A550" s="38">
        <v>210</v>
      </c>
      <c r="B550" s="38"/>
      <c r="C550" s="38"/>
      <c r="D550" s="38"/>
      <c r="E550" s="38" t="s">
        <v>989</v>
      </c>
      <c r="F550" s="43" t="s">
        <v>990</v>
      </c>
      <c r="G550" s="44"/>
      <c r="H550" s="45"/>
      <c r="I550" s="38"/>
      <c r="J550" s="38">
        <f>1.3*1000</f>
        <v>1300</v>
      </c>
      <c r="K550" s="46">
        <v>3.2175925925925926E-3</v>
      </c>
      <c r="L550" s="47" t="s">
        <v>956</v>
      </c>
      <c r="M550" s="307"/>
      <c r="N550" s="307"/>
      <c r="O550" s="307">
        <f t="shared" si="13"/>
        <v>0</v>
      </c>
      <c r="P550" s="92"/>
      <c r="Q550" s="410" t="str">
        <f t="shared" ca="1" si="14"/>
        <v>https://www.youtube.com/watch?v=zVH1ZOi2_yk</v>
      </c>
      <c r="R550" s="50"/>
      <c r="S550" s="50"/>
      <c r="T550" s="50"/>
      <c r="U550" s="52"/>
      <c r="V550" s="53"/>
      <c r="W550" s="60"/>
      <c r="X550" s="56"/>
      <c r="Y550" s="38"/>
      <c r="Z550" s="38"/>
    </row>
    <row r="551" spans="1:26" hidden="1">
      <c r="A551" s="38">
        <v>211</v>
      </c>
      <c r="B551" s="38"/>
      <c r="C551" s="38"/>
      <c r="D551" s="38"/>
      <c r="E551" s="38" t="s">
        <v>992</v>
      </c>
      <c r="F551" s="43" t="s">
        <v>993</v>
      </c>
      <c r="G551" s="44"/>
      <c r="H551" s="45"/>
      <c r="I551" s="38"/>
      <c r="J551" s="38">
        <f>8.7*1000</f>
        <v>8700</v>
      </c>
      <c r="K551" s="46">
        <v>1.3078703703703703E-2</v>
      </c>
      <c r="L551" s="47" t="s">
        <v>956</v>
      </c>
      <c r="M551" s="307"/>
      <c r="N551" s="307"/>
      <c r="O551" s="307">
        <f t="shared" si="13"/>
        <v>0</v>
      </c>
      <c r="P551" s="92"/>
      <c r="Q551" s="410" t="str">
        <f t="shared" ca="1" si="14"/>
        <v>https://www.youtube.com/watch?v=F-ZzB9uBQNs</v>
      </c>
      <c r="R551" s="50"/>
      <c r="S551" s="50"/>
      <c r="T551" s="50"/>
      <c r="U551" s="52"/>
      <c r="V551" s="53"/>
      <c r="W551" s="60"/>
      <c r="X551" s="56"/>
      <c r="Y551" s="38"/>
      <c r="Z551" s="38"/>
    </row>
    <row r="552" spans="1:26" hidden="1">
      <c r="A552" s="38">
        <v>212</v>
      </c>
      <c r="B552" s="38"/>
      <c r="C552" s="38"/>
      <c r="D552" s="38"/>
      <c r="E552" s="38" t="s">
        <v>994</v>
      </c>
      <c r="F552" s="43" t="s">
        <v>995</v>
      </c>
      <c r="G552" s="44"/>
      <c r="H552" s="45"/>
      <c r="I552" s="38"/>
      <c r="J552" s="38">
        <f>2.4*1000</f>
        <v>2400</v>
      </c>
      <c r="K552" s="46">
        <v>8.0092592592592594E-3</v>
      </c>
      <c r="L552" s="47" t="s">
        <v>956</v>
      </c>
      <c r="M552" s="307"/>
      <c r="N552" s="307"/>
      <c r="O552" s="307">
        <f t="shared" si="13"/>
        <v>0</v>
      </c>
      <c r="P552" s="92"/>
      <c r="Q552" s="410" t="str">
        <f t="shared" ca="1" si="14"/>
        <v>https://www.youtube.com/watch?v=AOQPqjRx-0c</v>
      </c>
      <c r="R552" s="50"/>
      <c r="S552" s="50"/>
      <c r="T552" s="50"/>
      <c r="U552" s="52"/>
      <c r="V552" s="53"/>
      <c r="W552" s="60"/>
      <c r="X552" s="56"/>
      <c r="Y552" s="38"/>
      <c r="Z552" s="38"/>
    </row>
    <row r="553" spans="1:26" hidden="1">
      <c r="A553" s="38">
        <v>213</v>
      </c>
      <c r="B553" s="38"/>
      <c r="C553" s="38"/>
      <c r="D553" s="38"/>
      <c r="E553" s="38" t="s">
        <v>996</v>
      </c>
      <c r="F553" s="43" t="s">
        <v>997</v>
      </c>
      <c r="G553" s="44"/>
      <c r="H553" s="45"/>
      <c r="I553" s="38"/>
      <c r="J553" s="38">
        <f>2.8*1000</f>
        <v>2800</v>
      </c>
      <c r="K553" s="46">
        <v>2.5462962962962961E-3</v>
      </c>
      <c r="L553" s="47" t="s">
        <v>956</v>
      </c>
      <c r="M553" s="307"/>
      <c r="N553" s="307"/>
      <c r="O553" s="307">
        <f t="shared" si="13"/>
        <v>0</v>
      </c>
      <c r="P553" s="92"/>
      <c r="Q553" s="410" t="str">
        <f t="shared" ca="1" si="14"/>
        <v>https://www.youtube.com/watch?v=8ZJ9Ubv74Fc</v>
      </c>
      <c r="R553" s="50"/>
      <c r="S553" s="50"/>
      <c r="T553" s="50"/>
      <c r="U553" s="52"/>
      <c r="V553" s="53"/>
      <c r="W553" s="60"/>
      <c r="X553" s="56"/>
      <c r="Y553" s="38"/>
      <c r="Z553" s="38"/>
    </row>
    <row r="554" spans="1:26" hidden="1">
      <c r="A554" s="38">
        <v>214</v>
      </c>
      <c r="B554" s="38"/>
      <c r="C554" s="38"/>
      <c r="D554" s="38"/>
      <c r="E554" s="38" t="s">
        <v>1000</v>
      </c>
      <c r="F554" s="43" t="s">
        <v>1001</v>
      </c>
      <c r="G554" s="44"/>
      <c r="H554" s="45"/>
      <c r="I554" s="38"/>
      <c r="J554" s="38">
        <f>8.1*1000</f>
        <v>8100</v>
      </c>
      <c r="K554" s="46">
        <v>2.9814814814814811E-2</v>
      </c>
      <c r="L554" s="47" t="s">
        <v>956</v>
      </c>
      <c r="M554" s="307"/>
      <c r="N554" s="307"/>
      <c r="O554" s="307">
        <f t="shared" si="13"/>
        <v>0</v>
      </c>
      <c r="P554" s="92"/>
      <c r="Q554" s="410" t="str">
        <f t="shared" ca="1" si="14"/>
        <v>https://www.youtube.com/watch?v=9ScY3DQ8lnM</v>
      </c>
      <c r="R554" s="50"/>
      <c r="S554" s="50"/>
      <c r="T554" s="50"/>
      <c r="U554" s="52"/>
      <c r="V554" s="53"/>
      <c r="W554" s="60"/>
      <c r="X554" s="56"/>
      <c r="Y554" s="38"/>
      <c r="Z554" s="38"/>
    </row>
    <row r="555" spans="1:26" hidden="1">
      <c r="A555" s="38">
        <v>215</v>
      </c>
      <c r="B555" s="38"/>
      <c r="C555" s="38"/>
      <c r="D555" s="38"/>
      <c r="E555" s="38" t="s">
        <v>1004</v>
      </c>
      <c r="F555" s="43" t="s">
        <v>1005</v>
      </c>
      <c r="G555" s="44"/>
      <c r="H555" s="45"/>
      <c r="I555" s="38"/>
      <c r="J555" s="38">
        <f>1.7*1000</f>
        <v>1700</v>
      </c>
      <c r="K555" s="46">
        <v>6.7939814814814816E-3</v>
      </c>
      <c r="L555" s="47" t="s">
        <v>956</v>
      </c>
      <c r="M555" s="307"/>
      <c r="N555" s="307"/>
      <c r="O555" s="307">
        <f t="shared" si="13"/>
        <v>0</v>
      </c>
      <c r="P555" s="92"/>
      <c r="Q555" s="410" t="str">
        <f t="shared" ca="1" si="14"/>
        <v>https://www.youtube.com/watch?v=gKt4SG-pAmw</v>
      </c>
      <c r="R555" s="50"/>
      <c r="S555" s="50"/>
      <c r="T555" s="50"/>
      <c r="U555" s="52"/>
      <c r="V555" s="53"/>
      <c r="W555" s="60"/>
      <c r="X555" s="56"/>
      <c r="Y555" s="38"/>
      <c r="Z555" s="38"/>
    </row>
    <row r="556" spans="1:26" hidden="1">
      <c r="A556" s="38">
        <v>216</v>
      </c>
      <c r="B556" s="38"/>
      <c r="C556" s="38"/>
      <c r="D556" s="38"/>
      <c r="E556" s="38" t="s">
        <v>1007</v>
      </c>
      <c r="F556" s="43" t="s">
        <v>1008</v>
      </c>
      <c r="G556" s="44"/>
      <c r="H556" s="45"/>
      <c r="I556" s="38"/>
      <c r="J556" s="38">
        <f>3.9*1000</f>
        <v>3900</v>
      </c>
      <c r="K556" s="46">
        <v>3.0902777777777782E-3</v>
      </c>
      <c r="L556" s="47" t="s">
        <v>956</v>
      </c>
      <c r="M556" s="307"/>
      <c r="N556" s="307"/>
      <c r="O556" s="307">
        <f t="shared" si="13"/>
        <v>0</v>
      </c>
      <c r="P556" s="92"/>
      <c r="Q556" s="410" t="str">
        <f t="shared" ca="1" si="14"/>
        <v>https://www.youtube.com/watch?v=2p91-Fy5A6Q</v>
      </c>
      <c r="R556" s="50"/>
      <c r="S556" s="50"/>
      <c r="T556" s="50"/>
      <c r="U556" s="52"/>
      <c r="V556" s="53"/>
      <c r="W556" s="60"/>
      <c r="X556" s="56"/>
      <c r="Y556" s="38"/>
      <c r="Z556" s="38"/>
    </row>
    <row r="557" spans="1:26" hidden="1">
      <c r="A557" s="38">
        <v>217</v>
      </c>
      <c r="B557" s="38"/>
      <c r="C557" s="38"/>
      <c r="D557" s="38"/>
      <c r="E557" s="38" t="s">
        <v>1011</v>
      </c>
      <c r="F557" s="43" t="s">
        <v>1012</v>
      </c>
      <c r="G557" s="44"/>
      <c r="H557" s="45"/>
      <c r="I557" s="38"/>
      <c r="J557" s="38">
        <f>254</f>
        <v>254</v>
      </c>
      <c r="K557" s="46">
        <v>2.7314814814814819E-3</v>
      </c>
      <c r="L557" s="47" t="s">
        <v>956</v>
      </c>
      <c r="M557" s="307"/>
      <c r="N557" s="307"/>
      <c r="O557" s="307">
        <f t="shared" si="13"/>
        <v>0</v>
      </c>
      <c r="P557" s="92"/>
      <c r="Q557" s="410" t="str">
        <f t="shared" ca="1" si="14"/>
        <v>https://www.youtube.com/watch?v=30958J1ez4k</v>
      </c>
      <c r="R557" s="50"/>
      <c r="S557" s="50"/>
      <c r="T557" s="50"/>
      <c r="U557" s="52"/>
      <c r="V557" s="53"/>
      <c r="W557" s="60"/>
      <c r="X557" s="56"/>
      <c r="Y557" s="38"/>
      <c r="Z557" s="38"/>
    </row>
    <row r="558" spans="1:26" hidden="1">
      <c r="A558" s="38">
        <v>218</v>
      </c>
      <c r="B558" s="38"/>
      <c r="C558" s="38"/>
      <c r="D558" s="38"/>
      <c r="E558" s="38" t="s">
        <v>1016</v>
      </c>
      <c r="F558" s="43" t="s">
        <v>1017</v>
      </c>
      <c r="G558" s="44"/>
      <c r="H558" s="45"/>
      <c r="I558" s="38"/>
      <c r="J558" s="38">
        <f>10*1000</f>
        <v>10000</v>
      </c>
      <c r="K558" s="46">
        <v>1.8865740740740742E-2</v>
      </c>
      <c r="L558" s="47" t="s">
        <v>956</v>
      </c>
      <c r="M558" s="307"/>
      <c r="N558" s="307"/>
      <c r="O558" s="307">
        <f t="shared" si="13"/>
        <v>0</v>
      </c>
      <c r="P558" s="92"/>
      <c r="Q558" s="410" t="str">
        <f t="shared" ca="1" si="14"/>
        <v>https://www.youtube.com/watch?v=nEEhdprZ-EE</v>
      </c>
      <c r="R558" s="50"/>
      <c r="S558" s="50"/>
      <c r="T558" s="50"/>
      <c r="U558" s="52"/>
      <c r="V558" s="53"/>
      <c r="W558" s="60"/>
      <c r="X558" s="56"/>
      <c r="Y558" s="38"/>
      <c r="Z558" s="38"/>
    </row>
    <row r="559" spans="1:26" hidden="1">
      <c r="A559" s="38">
        <v>219</v>
      </c>
      <c r="B559" s="38"/>
      <c r="C559" s="38"/>
      <c r="D559" s="38"/>
      <c r="E559" s="38" t="s">
        <v>1019</v>
      </c>
      <c r="F559" s="43" t="s">
        <v>1020</v>
      </c>
      <c r="G559" s="44"/>
      <c r="H559" s="45"/>
      <c r="I559" s="38"/>
      <c r="J559" s="38">
        <f>7.8*1000</f>
        <v>7800</v>
      </c>
      <c r="K559" s="46">
        <v>2.5567129629629634E-2</v>
      </c>
      <c r="L559" s="47" t="s">
        <v>956</v>
      </c>
      <c r="M559" s="307"/>
      <c r="N559" s="307"/>
      <c r="O559" s="307">
        <f t="shared" si="13"/>
        <v>0</v>
      </c>
      <c r="P559" s="92"/>
      <c r="Q559" s="410" t="str">
        <f t="shared" ca="1" si="14"/>
        <v>https://www.youtube.com/watch?v=dXkhbNnOMy0</v>
      </c>
      <c r="R559" s="50"/>
      <c r="S559" s="50"/>
      <c r="T559" s="50"/>
      <c r="U559" s="52"/>
      <c r="V559" s="53"/>
      <c r="W559" s="60"/>
      <c r="X559" s="56"/>
      <c r="Y559" s="38"/>
      <c r="Z559" s="38"/>
    </row>
    <row r="560" spans="1:26" hidden="1">
      <c r="A560" s="38">
        <v>220</v>
      </c>
      <c r="B560" s="38"/>
      <c r="C560" s="38"/>
      <c r="D560" s="38"/>
      <c r="E560" s="38" t="s">
        <v>1023</v>
      </c>
      <c r="F560" s="43" t="s">
        <v>1024</v>
      </c>
      <c r="G560" s="44"/>
      <c r="H560" s="45"/>
      <c r="I560" s="38"/>
      <c r="J560" s="38">
        <f>499</f>
        <v>499</v>
      </c>
      <c r="K560" s="46">
        <v>1.2291666666666666E-2</v>
      </c>
      <c r="L560" s="47" t="s">
        <v>956</v>
      </c>
      <c r="M560" s="307"/>
      <c r="N560" s="307"/>
      <c r="O560" s="307">
        <f t="shared" si="13"/>
        <v>0</v>
      </c>
      <c r="P560" s="92"/>
      <c r="Q560" s="410" t="str">
        <f t="shared" ca="1" si="14"/>
        <v>https://www.youtube.com/watch?v=YD-IKZbbHeU</v>
      </c>
      <c r="R560" s="50"/>
      <c r="S560" s="50"/>
      <c r="T560" s="50"/>
      <c r="U560" s="52"/>
      <c r="V560" s="53"/>
      <c r="W560" s="60"/>
      <c r="X560" s="56"/>
      <c r="Y560" s="38"/>
      <c r="Z560" s="38"/>
    </row>
    <row r="561" spans="1:26" hidden="1">
      <c r="A561" s="38">
        <v>221</v>
      </c>
      <c r="B561" s="38"/>
      <c r="C561" s="38"/>
      <c r="D561" s="38"/>
      <c r="E561" s="38" t="s">
        <v>1025</v>
      </c>
      <c r="F561" s="43" t="s">
        <v>1026</v>
      </c>
      <c r="G561" s="44"/>
      <c r="H561" s="45"/>
      <c r="I561" s="38"/>
      <c r="J561" s="38">
        <f>2.6*1000</f>
        <v>2600</v>
      </c>
      <c r="K561" s="46">
        <v>2.2916666666666667E-3</v>
      </c>
      <c r="L561" s="47" t="s">
        <v>956</v>
      </c>
      <c r="M561" s="307"/>
      <c r="N561" s="307"/>
      <c r="O561" s="307">
        <f t="shared" si="13"/>
        <v>0</v>
      </c>
      <c r="P561" s="92"/>
      <c r="Q561" s="410" t="str">
        <f t="shared" ca="1" si="14"/>
        <v>https://www.youtube.com/watch?v=mLEhBqCBBYE</v>
      </c>
      <c r="R561" s="50"/>
      <c r="S561" s="50"/>
      <c r="T561" s="50"/>
      <c r="U561" s="52"/>
      <c r="V561" s="53"/>
      <c r="W561" s="60"/>
      <c r="X561" s="56"/>
      <c r="Y561" s="38"/>
      <c r="Z561" s="38"/>
    </row>
    <row r="562" spans="1:26" hidden="1">
      <c r="A562" s="38">
        <v>222</v>
      </c>
      <c r="B562" s="38"/>
      <c r="C562" s="38"/>
      <c r="D562" s="38"/>
      <c r="E562" s="38" t="s">
        <v>1030</v>
      </c>
      <c r="F562" s="43" t="s">
        <v>1032</v>
      </c>
      <c r="G562" s="44"/>
      <c r="H562" s="45"/>
      <c r="I562" s="38"/>
      <c r="J562" s="38">
        <f>1.1*1000</f>
        <v>1100</v>
      </c>
      <c r="K562" s="46">
        <v>4.155092592592593E-3</v>
      </c>
      <c r="L562" s="47" t="s">
        <v>956</v>
      </c>
      <c r="M562" s="307"/>
      <c r="N562" s="307"/>
      <c r="O562" s="307">
        <f t="shared" si="13"/>
        <v>0</v>
      </c>
      <c r="P562" s="92"/>
      <c r="Q562" s="410" t="str">
        <f t="shared" ca="1" si="14"/>
        <v>https://www.youtube.com/watch?v=cshbkDak_p0</v>
      </c>
      <c r="R562" s="50"/>
      <c r="S562" s="50"/>
      <c r="T562" s="50"/>
      <c r="U562" s="52"/>
      <c r="V562" s="53"/>
      <c r="W562" s="60"/>
      <c r="X562" s="56"/>
      <c r="Y562" s="38"/>
      <c r="Z562" s="38"/>
    </row>
    <row r="563" spans="1:26" hidden="1">
      <c r="A563" s="38">
        <v>223</v>
      </c>
      <c r="B563" s="38"/>
      <c r="C563" s="38"/>
      <c r="D563" s="38"/>
      <c r="E563" s="38" t="s">
        <v>1035</v>
      </c>
      <c r="F563" s="43" t="s">
        <v>1036</v>
      </c>
      <c r="G563" s="44"/>
      <c r="H563" s="45"/>
      <c r="I563" s="38"/>
      <c r="J563" s="38">
        <f t="shared" ref="J563:J564" si="17">1.4*1000</f>
        <v>1400</v>
      </c>
      <c r="K563" s="46">
        <v>1.4814814814814814E-3</v>
      </c>
      <c r="L563" s="47" t="s">
        <v>956</v>
      </c>
      <c r="M563" s="307"/>
      <c r="N563" s="307"/>
      <c r="O563" s="307">
        <f t="shared" si="13"/>
        <v>0</v>
      </c>
      <c r="P563" s="92"/>
      <c r="Q563" s="410" t="str">
        <f t="shared" ca="1" si="14"/>
        <v>https://www.youtube.com/watch?v=kmJLZRzZhUA</v>
      </c>
      <c r="R563" s="50"/>
      <c r="S563" s="50"/>
      <c r="T563" s="50"/>
      <c r="U563" s="52"/>
      <c r="V563" s="53"/>
      <c r="W563" s="60"/>
      <c r="X563" s="56"/>
      <c r="Y563" s="38"/>
      <c r="Z563" s="38"/>
    </row>
    <row r="564" spans="1:26" hidden="1">
      <c r="A564" s="38">
        <v>224</v>
      </c>
      <c r="B564" s="38"/>
      <c r="C564" s="38"/>
      <c r="D564" s="38"/>
      <c r="E564" s="38" t="s">
        <v>1039</v>
      </c>
      <c r="F564" s="43" t="s">
        <v>1040</v>
      </c>
      <c r="G564" s="44"/>
      <c r="H564" s="45"/>
      <c r="I564" s="38"/>
      <c r="J564" s="38">
        <f t="shared" si="17"/>
        <v>1400</v>
      </c>
      <c r="K564" s="46">
        <v>1.5740740740740741E-3</v>
      </c>
      <c r="L564" s="47" t="s">
        <v>956</v>
      </c>
      <c r="M564" s="307"/>
      <c r="N564" s="307"/>
      <c r="O564" s="307">
        <f t="shared" si="13"/>
        <v>0</v>
      </c>
      <c r="P564" s="92"/>
      <c r="Q564" s="410" t="str">
        <f t="shared" ca="1" si="14"/>
        <v>https://www.youtube.com/watch?v=myyrtrylWQs</v>
      </c>
      <c r="R564" s="50"/>
      <c r="S564" s="50"/>
      <c r="T564" s="50"/>
      <c r="U564" s="52"/>
      <c r="V564" s="53"/>
      <c r="W564" s="60"/>
      <c r="X564" s="56"/>
      <c r="Y564" s="38"/>
      <c r="Z564" s="38"/>
    </row>
    <row r="565" spans="1:26" hidden="1">
      <c r="A565" s="38">
        <v>225</v>
      </c>
      <c r="B565" s="38"/>
      <c r="C565" s="38"/>
      <c r="D565" s="38"/>
      <c r="E565" s="38" t="s">
        <v>1042</v>
      </c>
      <c r="F565" s="43" t="s">
        <v>1044</v>
      </c>
      <c r="G565" s="44"/>
      <c r="H565" s="45"/>
      <c r="I565" s="38"/>
      <c r="J565" s="38">
        <f>3.6*1000</f>
        <v>3600</v>
      </c>
      <c r="K565" s="46">
        <v>7.3495370370370372E-3</v>
      </c>
      <c r="L565" s="47" t="s">
        <v>956</v>
      </c>
      <c r="M565" s="307"/>
      <c r="N565" s="307"/>
      <c r="O565" s="307">
        <f t="shared" si="13"/>
        <v>0</v>
      </c>
      <c r="P565" s="92"/>
      <c r="Q565" s="410" t="str">
        <f t="shared" ca="1" si="14"/>
        <v>https://www.youtube.com/watch?v=v6x52noLJOo</v>
      </c>
      <c r="R565" s="50"/>
      <c r="S565" s="50"/>
      <c r="T565" s="50"/>
      <c r="U565" s="52"/>
      <c r="V565" s="53"/>
      <c r="W565" s="60"/>
      <c r="X565" s="56"/>
      <c r="Y565" s="38"/>
      <c r="Z565" s="38"/>
    </row>
    <row r="566" spans="1:26" hidden="1">
      <c r="A566" s="38">
        <v>226</v>
      </c>
      <c r="B566" s="38"/>
      <c r="C566" s="38"/>
      <c r="D566" s="38"/>
      <c r="E566" s="38" t="s">
        <v>1047</v>
      </c>
      <c r="F566" s="43" t="s">
        <v>1048</v>
      </c>
      <c r="G566" s="44"/>
      <c r="H566" s="45"/>
      <c r="I566" s="38"/>
      <c r="J566" s="38">
        <f>7.8*1000</f>
        <v>7800</v>
      </c>
      <c r="K566" s="46">
        <v>2.5925925925925925E-3</v>
      </c>
      <c r="L566" s="47" t="s">
        <v>956</v>
      </c>
      <c r="M566" s="307"/>
      <c r="N566" s="307"/>
      <c r="O566" s="307">
        <f t="shared" si="13"/>
        <v>0</v>
      </c>
      <c r="P566" s="92"/>
      <c r="Q566" s="410" t="str">
        <f t="shared" ca="1" si="14"/>
        <v>https://www.youtube.com/watch?v=7zvf9bnLgs8</v>
      </c>
      <c r="R566" s="50"/>
      <c r="S566" s="50"/>
      <c r="T566" s="50"/>
      <c r="U566" s="52"/>
      <c r="V566" s="53"/>
      <c r="W566" s="60"/>
      <c r="X566" s="56"/>
      <c r="Y566" s="38"/>
      <c r="Z566" s="38"/>
    </row>
    <row r="567" spans="1:26" hidden="1">
      <c r="A567" s="38">
        <v>227</v>
      </c>
      <c r="B567" s="38"/>
      <c r="C567" s="38"/>
      <c r="D567" s="38"/>
      <c r="E567" s="38" t="s">
        <v>1050</v>
      </c>
      <c r="F567" s="43" t="s">
        <v>1051</v>
      </c>
      <c r="G567" s="44"/>
      <c r="H567" s="45"/>
      <c r="I567" s="38"/>
      <c r="J567" s="38">
        <f>489</f>
        <v>489</v>
      </c>
      <c r="K567" s="46">
        <v>4.4328703703703709E-3</v>
      </c>
      <c r="L567" s="47" t="s">
        <v>956</v>
      </c>
      <c r="M567" s="307"/>
      <c r="N567" s="307"/>
      <c r="O567" s="307">
        <f t="shared" si="13"/>
        <v>0</v>
      </c>
      <c r="P567" s="92"/>
      <c r="Q567" s="410" t="str">
        <f t="shared" ca="1" si="14"/>
        <v>https://www.youtube.com/watch?v=7RTlRYpr7o8</v>
      </c>
      <c r="R567" s="50"/>
      <c r="S567" s="50"/>
      <c r="T567" s="50"/>
      <c r="U567" s="52"/>
      <c r="V567" s="53"/>
      <c r="W567" s="60"/>
      <c r="X567" s="56"/>
      <c r="Y567" s="38"/>
      <c r="Z567" s="38"/>
    </row>
    <row r="568" spans="1:26" hidden="1">
      <c r="A568" s="38">
        <v>228</v>
      </c>
      <c r="B568" s="38"/>
      <c r="C568" s="38"/>
      <c r="D568" s="38"/>
      <c r="E568" s="38" t="s">
        <v>1054</v>
      </c>
      <c r="F568" s="43" t="s">
        <v>1055</v>
      </c>
      <c r="G568" s="44"/>
      <c r="H568" s="45"/>
      <c r="I568" s="38"/>
      <c r="J568" s="38">
        <f>413</f>
        <v>413</v>
      </c>
      <c r="K568" s="46">
        <v>2.6388888888888885E-3</v>
      </c>
      <c r="L568" s="47" t="s">
        <v>956</v>
      </c>
      <c r="M568" s="307"/>
      <c r="N568" s="307"/>
      <c r="O568" s="307">
        <f t="shared" si="13"/>
        <v>0</v>
      </c>
      <c r="P568" s="92"/>
      <c r="Q568" s="410" t="str">
        <f t="shared" ca="1" si="14"/>
        <v>https://www.youtube.com/watch?v=Th1s8XrKhnk</v>
      </c>
      <c r="R568" s="50"/>
      <c r="S568" s="50"/>
      <c r="T568" s="50"/>
      <c r="U568" s="52"/>
      <c r="V568" s="53"/>
      <c r="W568" s="60"/>
      <c r="X568" s="56"/>
      <c r="Y568" s="38"/>
      <c r="Z568" s="38"/>
    </row>
    <row r="569" spans="1:26" hidden="1">
      <c r="A569" s="38">
        <v>229</v>
      </c>
      <c r="B569" s="38"/>
      <c r="C569" s="38"/>
      <c r="D569" s="38"/>
      <c r="E569" s="38" t="s">
        <v>1056</v>
      </c>
      <c r="F569" s="43" t="s">
        <v>1057</v>
      </c>
      <c r="G569" s="44"/>
      <c r="H569" s="45"/>
      <c r="I569" s="38"/>
      <c r="J569" s="38">
        <f>11*1000</f>
        <v>11000</v>
      </c>
      <c r="K569" s="46">
        <v>3.4409722222222223E-2</v>
      </c>
      <c r="L569" s="47" t="s">
        <v>956</v>
      </c>
      <c r="M569" s="307"/>
      <c r="N569" s="307"/>
      <c r="O569" s="307">
        <f t="shared" si="13"/>
        <v>0</v>
      </c>
      <c r="P569" s="92"/>
      <c r="Q569" s="410" t="str">
        <f t="shared" ca="1" si="14"/>
        <v>https://www.youtube.com/watch?v=oYXPvuD_ejM</v>
      </c>
      <c r="R569" s="50"/>
      <c r="S569" s="50"/>
      <c r="T569" s="50"/>
      <c r="U569" s="52"/>
      <c r="V569" s="53"/>
      <c r="W569" s="60"/>
      <c r="X569" s="56"/>
      <c r="Y569" s="38"/>
      <c r="Z569" s="38"/>
    </row>
    <row r="570" spans="1:26" hidden="1">
      <c r="A570" s="38">
        <v>230</v>
      </c>
      <c r="B570" s="38"/>
      <c r="C570" s="38"/>
      <c r="D570" s="38"/>
      <c r="E570" s="38" t="s">
        <v>1059</v>
      </c>
      <c r="F570" s="43" t="s">
        <v>1060</v>
      </c>
      <c r="G570" s="44"/>
      <c r="H570" s="45"/>
      <c r="I570" s="38"/>
      <c r="J570" s="38">
        <f>3.9*1000</f>
        <v>3900</v>
      </c>
      <c r="K570" s="46">
        <v>1.0289351851851852E-2</v>
      </c>
      <c r="L570" s="47" t="s">
        <v>956</v>
      </c>
      <c r="M570" s="307"/>
      <c r="N570" s="307"/>
      <c r="O570" s="307">
        <f t="shared" si="13"/>
        <v>0</v>
      </c>
      <c r="P570" s="92"/>
      <c r="Q570" s="410" t="str">
        <f t="shared" ca="1" si="14"/>
        <v>https://www.youtube.com/watch?v=Cs9JbmZ0poM</v>
      </c>
      <c r="R570" s="50"/>
      <c r="S570" s="50"/>
      <c r="T570" s="50"/>
      <c r="U570" s="52"/>
      <c r="V570" s="53"/>
      <c r="W570" s="60"/>
      <c r="X570" s="56"/>
      <c r="Y570" s="38"/>
      <c r="Z570" s="38"/>
    </row>
    <row r="571" spans="1:26" hidden="1">
      <c r="A571" s="38">
        <v>231</v>
      </c>
      <c r="B571" s="38"/>
      <c r="C571" s="38"/>
      <c r="D571" s="38"/>
      <c r="E571" s="38" t="s">
        <v>1062</v>
      </c>
      <c r="F571" s="43" t="s">
        <v>1063</v>
      </c>
      <c r="G571" s="44"/>
      <c r="H571" s="45"/>
      <c r="I571" s="38"/>
      <c r="J571" s="38">
        <f>2*1000</f>
        <v>2000</v>
      </c>
      <c r="K571" s="46">
        <v>1.136574074074074E-2</v>
      </c>
      <c r="L571" s="47" t="s">
        <v>956</v>
      </c>
      <c r="M571" s="307"/>
      <c r="N571" s="307"/>
      <c r="O571" s="307">
        <f t="shared" si="13"/>
        <v>0</v>
      </c>
      <c r="P571" s="92"/>
      <c r="Q571" s="410" t="str">
        <f t="shared" ca="1" si="14"/>
        <v>https://www.youtube.com/watch?v=xGvABG6vfLg</v>
      </c>
      <c r="R571" s="50"/>
      <c r="S571" s="50"/>
      <c r="T571" s="50"/>
      <c r="U571" s="52"/>
      <c r="V571" s="53"/>
      <c r="W571" s="60"/>
      <c r="X571" s="56"/>
      <c r="Y571" s="38"/>
      <c r="Z571" s="38"/>
    </row>
    <row r="572" spans="1:26" hidden="1">
      <c r="A572" s="38">
        <v>232</v>
      </c>
      <c r="B572" s="38"/>
      <c r="C572" s="38"/>
      <c r="D572" s="38"/>
      <c r="E572" s="38" t="s">
        <v>1065</v>
      </c>
      <c r="F572" s="43" t="s">
        <v>1066</v>
      </c>
      <c r="G572" s="44"/>
      <c r="H572" s="45"/>
      <c r="I572" s="38"/>
      <c r="J572" s="38">
        <f>769</f>
        <v>769</v>
      </c>
      <c r="K572" s="46">
        <v>8.3912037037037045E-3</v>
      </c>
      <c r="L572" s="47" t="s">
        <v>956</v>
      </c>
      <c r="M572" s="307"/>
      <c r="N572" s="307"/>
      <c r="O572" s="307">
        <f t="shared" si="13"/>
        <v>0</v>
      </c>
      <c r="P572" s="92"/>
      <c r="Q572" s="410" t="str">
        <f t="shared" ca="1" si="14"/>
        <v>https://www.youtube.com/watch?v=QfYz6BBYpWg</v>
      </c>
      <c r="R572" s="50"/>
      <c r="S572" s="50"/>
      <c r="T572" s="50"/>
      <c r="U572" s="52"/>
      <c r="V572" s="53"/>
      <c r="W572" s="60"/>
      <c r="X572" s="56"/>
      <c r="Y572" s="38"/>
      <c r="Z572" s="38"/>
    </row>
    <row r="573" spans="1:26" hidden="1">
      <c r="A573" s="38">
        <v>233</v>
      </c>
      <c r="B573" s="38"/>
      <c r="C573" s="38"/>
      <c r="D573" s="38"/>
      <c r="E573" s="38" t="s">
        <v>1070</v>
      </c>
      <c r="F573" s="43" t="s">
        <v>1071</v>
      </c>
      <c r="G573" s="44"/>
      <c r="H573" s="45"/>
      <c r="I573" s="38"/>
      <c r="J573" s="38">
        <f>651</f>
        <v>651</v>
      </c>
      <c r="K573" s="46">
        <v>4.2361111111111106E-3</v>
      </c>
      <c r="L573" s="47" t="s">
        <v>956</v>
      </c>
      <c r="M573" s="307"/>
      <c r="N573" s="307"/>
      <c r="O573" s="307">
        <f t="shared" si="13"/>
        <v>0</v>
      </c>
      <c r="P573" s="92"/>
      <c r="Q573" s="410" t="str">
        <f t="shared" ca="1" si="14"/>
        <v>https://www.youtube.com/watch?v=-rJtFWVJpjA</v>
      </c>
      <c r="R573" s="50"/>
      <c r="S573" s="50"/>
      <c r="T573" s="50"/>
      <c r="U573" s="52"/>
      <c r="V573" s="53"/>
      <c r="W573" s="60"/>
      <c r="X573" s="56"/>
      <c r="Y573" s="38"/>
      <c r="Z573" s="38"/>
    </row>
    <row r="574" spans="1:26" hidden="1">
      <c r="A574" s="38">
        <v>234</v>
      </c>
      <c r="B574" s="38"/>
      <c r="C574" s="38"/>
      <c r="D574" s="38"/>
      <c r="E574" s="38" t="s">
        <v>1075</v>
      </c>
      <c r="F574" s="43" t="s">
        <v>1076</v>
      </c>
      <c r="G574" s="44"/>
      <c r="H574" s="45"/>
      <c r="I574" s="38"/>
      <c r="J574" s="38">
        <f>957</f>
        <v>957</v>
      </c>
      <c r="K574" s="46">
        <v>2.6504629629629625E-3</v>
      </c>
      <c r="L574" s="47" t="s">
        <v>956</v>
      </c>
      <c r="M574" s="307"/>
      <c r="N574" s="307"/>
      <c r="O574" s="307">
        <f t="shared" si="13"/>
        <v>0</v>
      </c>
      <c r="P574" s="92"/>
      <c r="Q574" s="410" t="str">
        <f t="shared" ca="1" si="14"/>
        <v>https://www.youtube.com/watch?v=iY88UCitwGY</v>
      </c>
      <c r="R574" s="50"/>
      <c r="S574" s="50"/>
      <c r="T574" s="50"/>
      <c r="U574" s="52"/>
      <c r="V574" s="53"/>
      <c r="W574" s="60"/>
      <c r="X574" s="56"/>
      <c r="Y574" s="38"/>
      <c r="Z574" s="38"/>
    </row>
    <row r="575" spans="1:26" hidden="1">
      <c r="A575" s="38">
        <v>235</v>
      </c>
      <c r="B575" s="38"/>
      <c r="C575" s="38"/>
      <c r="D575" s="38"/>
      <c r="E575" s="38" t="s">
        <v>1079</v>
      </c>
      <c r="F575" s="43" t="s">
        <v>1080</v>
      </c>
      <c r="G575" s="44"/>
      <c r="H575" s="45"/>
      <c r="I575" s="38"/>
      <c r="J575" s="38">
        <f>1.2*1000</f>
        <v>1200</v>
      </c>
      <c r="K575" s="46">
        <v>2.2685185185185182E-3</v>
      </c>
      <c r="L575" s="47" t="s">
        <v>956</v>
      </c>
      <c r="M575" s="307"/>
      <c r="N575" s="307"/>
      <c r="O575" s="307">
        <f t="shared" si="13"/>
        <v>0</v>
      </c>
      <c r="P575" s="92"/>
      <c r="Q575" s="410" t="str">
        <f t="shared" ca="1" si="14"/>
        <v>https://www.youtube.com/watch?v=KBA7GLExw3o</v>
      </c>
      <c r="R575" s="50"/>
      <c r="S575" s="50"/>
      <c r="T575" s="50"/>
      <c r="U575" s="52"/>
      <c r="V575" s="53"/>
      <c r="W575" s="60"/>
      <c r="X575" s="56"/>
      <c r="Y575" s="38"/>
      <c r="Z575" s="38"/>
    </row>
    <row r="576" spans="1:26" hidden="1">
      <c r="A576" s="38">
        <v>236</v>
      </c>
      <c r="B576" s="38"/>
      <c r="C576" s="38"/>
      <c r="D576" s="38"/>
      <c r="E576" s="38" t="s">
        <v>1081</v>
      </c>
      <c r="F576" s="43" t="s">
        <v>1082</v>
      </c>
      <c r="G576" s="44"/>
      <c r="H576" s="45"/>
      <c r="I576" s="38"/>
      <c r="J576" s="38">
        <f>895</f>
        <v>895</v>
      </c>
      <c r="K576" s="46">
        <v>3.5532407407407405E-3</v>
      </c>
      <c r="L576" s="47" t="s">
        <v>956</v>
      </c>
      <c r="M576" s="307"/>
      <c r="N576" s="307"/>
      <c r="O576" s="307">
        <f t="shared" si="13"/>
        <v>0</v>
      </c>
      <c r="P576" s="92"/>
      <c r="Q576" s="410" t="str">
        <f t="shared" ca="1" si="14"/>
        <v>https://www.youtube.com/watch?v=DoYL7K2djDY</v>
      </c>
      <c r="R576" s="50"/>
      <c r="S576" s="50"/>
      <c r="T576" s="50"/>
      <c r="U576" s="52"/>
      <c r="V576" s="53"/>
      <c r="W576" s="60"/>
      <c r="X576" s="56"/>
      <c r="Y576" s="38"/>
      <c r="Z576" s="38"/>
    </row>
    <row r="577" spans="1:26" hidden="1">
      <c r="A577" s="38">
        <v>237</v>
      </c>
      <c r="B577" s="38"/>
      <c r="C577" s="38"/>
      <c r="D577" s="38"/>
      <c r="E577" s="38" t="s">
        <v>1083</v>
      </c>
      <c r="F577" s="43" t="s">
        <v>1084</v>
      </c>
      <c r="G577" s="44"/>
      <c r="H577" s="45"/>
      <c r="I577" s="38"/>
      <c r="J577" s="38">
        <f>4.5*1000</f>
        <v>4500</v>
      </c>
      <c r="K577" s="46">
        <v>3.1932870370370368E-2</v>
      </c>
      <c r="L577" s="47" t="s">
        <v>956</v>
      </c>
      <c r="M577" s="307"/>
      <c r="N577" s="307"/>
      <c r="O577" s="307">
        <f t="shared" si="13"/>
        <v>0</v>
      </c>
      <c r="P577" s="92"/>
      <c r="Q577" s="410" t="str">
        <f t="shared" ca="1" si="14"/>
        <v>https://www.youtube.com/watch?v=GajqTVRZzfE</v>
      </c>
      <c r="R577" s="50"/>
      <c r="S577" s="50"/>
      <c r="T577" s="50"/>
      <c r="U577" s="52"/>
      <c r="V577" s="53"/>
      <c r="W577" s="60"/>
      <c r="X577" s="56"/>
      <c r="Y577" s="38"/>
      <c r="Z577" s="38"/>
    </row>
    <row r="578" spans="1:26" hidden="1">
      <c r="A578" s="38">
        <v>238</v>
      </c>
      <c r="B578" s="38"/>
      <c r="C578" s="38"/>
      <c r="D578" s="38"/>
      <c r="E578" s="38" t="s">
        <v>1087</v>
      </c>
      <c r="F578" s="43" t="s">
        <v>1088</v>
      </c>
      <c r="G578" s="44"/>
      <c r="H578" s="45"/>
      <c r="I578" s="38"/>
      <c r="J578" s="38">
        <f>1.6*1000</f>
        <v>1600</v>
      </c>
      <c r="K578" s="46">
        <v>2.627314814814815E-3</v>
      </c>
      <c r="L578" s="47" t="s">
        <v>956</v>
      </c>
      <c r="M578" s="307"/>
      <c r="N578" s="307"/>
      <c r="O578" s="307">
        <f t="shared" si="13"/>
        <v>0</v>
      </c>
      <c r="P578" s="92"/>
      <c r="Q578" s="410" t="str">
        <f t="shared" ca="1" si="14"/>
        <v>https://www.youtube.com/watch?v=QPVDHJcsv5U</v>
      </c>
      <c r="R578" s="50"/>
      <c r="S578" s="50"/>
      <c r="T578" s="50"/>
      <c r="U578" s="52"/>
      <c r="V578" s="53"/>
      <c r="W578" s="60"/>
      <c r="X578" s="56"/>
      <c r="Y578" s="38"/>
      <c r="Z578" s="38"/>
    </row>
    <row r="579" spans="1:26" hidden="1">
      <c r="A579" s="38">
        <v>239</v>
      </c>
      <c r="B579" s="38"/>
      <c r="C579" s="38"/>
      <c r="D579" s="38"/>
      <c r="E579" s="38" t="s">
        <v>1092</v>
      </c>
      <c r="F579" s="43" t="s">
        <v>1093</v>
      </c>
      <c r="G579" s="44"/>
      <c r="H579" s="45"/>
      <c r="I579" s="38"/>
      <c r="J579" s="38">
        <f>825</f>
        <v>825</v>
      </c>
      <c r="K579" s="46">
        <v>2.2222222222222222E-3</v>
      </c>
      <c r="L579" s="47" t="s">
        <v>956</v>
      </c>
      <c r="M579" s="307"/>
      <c r="N579" s="307"/>
      <c r="O579" s="307">
        <f t="shared" si="13"/>
        <v>0</v>
      </c>
      <c r="P579" s="92"/>
      <c r="Q579" s="410" t="str">
        <f t="shared" ref="Q579:Q642" ca="1" si="18">HYPERLINK(IF(INT(A579)-A579=0,E579,REPLACE(INDIRECT("MasterList!e"&amp;INT(A579)+1),25,8,"embed/")&amp;"?start="&amp;HOUR(M579)*3600+MINUTE(M579)*60+SECOND(M579)&amp;"&amp;end="&amp;HOUR(N579)*3600+MINUTE(N579)*60+SECOND(N579)&amp;"&amp;autoplay=1"))</f>
        <v>https://www.youtube.com/watch?v=pfw-rEK12IA</v>
      </c>
      <c r="R579" s="50"/>
      <c r="S579" s="50"/>
      <c r="T579" s="50"/>
      <c r="U579" s="52"/>
      <c r="V579" s="53"/>
      <c r="W579" s="60"/>
      <c r="X579" s="56"/>
      <c r="Y579" s="38"/>
      <c r="Z579" s="38"/>
    </row>
    <row r="580" spans="1:26" hidden="1">
      <c r="A580" s="38">
        <v>240</v>
      </c>
      <c r="B580" s="38"/>
      <c r="C580" s="38"/>
      <c r="D580" s="38"/>
      <c r="E580" s="38" t="s">
        <v>1097</v>
      </c>
      <c r="F580" s="43" t="s">
        <v>1098</v>
      </c>
      <c r="G580" s="44"/>
      <c r="H580" s="45"/>
      <c r="I580" s="38"/>
      <c r="J580" s="38">
        <f>9.9*1000</f>
        <v>9900</v>
      </c>
      <c r="K580" s="46">
        <v>2.1689814814814815E-2</v>
      </c>
      <c r="L580" s="47" t="s">
        <v>956</v>
      </c>
      <c r="M580" s="307"/>
      <c r="N580" s="307"/>
      <c r="O580" s="307">
        <f t="shared" si="13"/>
        <v>0</v>
      </c>
      <c r="P580" s="92"/>
      <c r="Q580" s="410" t="str">
        <f t="shared" ca="1" si="18"/>
        <v>https://www.youtube.com/watch?v=4H5piNrmsCU</v>
      </c>
      <c r="R580" s="50"/>
      <c r="S580" s="50"/>
      <c r="T580" s="50"/>
      <c r="U580" s="52"/>
      <c r="V580" s="53"/>
      <c r="W580" s="60"/>
      <c r="X580" s="56"/>
      <c r="Y580" s="38"/>
      <c r="Z580" s="38"/>
    </row>
    <row r="581" spans="1:26" hidden="1">
      <c r="A581" s="38">
        <v>241</v>
      </c>
      <c r="B581" s="38"/>
      <c r="C581" s="38"/>
      <c r="D581" s="38"/>
      <c r="E581" s="38" t="s">
        <v>1101</v>
      </c>
      <c r="F581" s="43" t="s">
        <v>1102</v>
      </c>
      <c r="G581" s="44"/>
      <c r="H581" s="45"/>
      <c r="I581" s="38"/>
      <c r="J581" s="38">
        <f>906</f>
        <v>906</v>
      </c>
      <c r="K581" s="46">
        <v>1.3310185185185185E-3</v>
      </c>
      <c r="L581" s="47" t="s">
        <v>956</v>
      </c>
      <c r="M581" s="307"/>
      <c r="N581" s="307"/>
      <c r="O581" s="307">
        <f t="shared" si="13"/>
        <v>0</v>
      </c>
      <c r="P581" s="92"/>
      <c r="Q581" s="410" t="str">
        <f t="shared" ca="1" si="18"/>
        <v>https://www.youtube.com/watch?v=bEc29vVNLOc</v>
      </c>
      <c r="R581" s="50"/>
      <c r="S581" s="50"/>
      <c r="T581" s="50"/>
      <c r="U581" s="52"/>
      <c r="V581" s="53"/>
      <c r="W581" s="60"/>
      <c r="X581" s="56"/>
      <c r="Y581" s="38"/>
      <c r="Z581" s="38"/>
    </row>
    <row r="582" spans="1:26" hidden="1">
      <c r="A582" s="38">
        <v>242</v>
      </c>
      <c r="B582" s="38"/>
      <c r="C582" s="38"/>
      <c r="D582" s="38"/>
      <c r="E582" s="38" t="s">
        <v>1104</v>
      </c>
      <c r="F582" s="43" t="s">
        <v>1105</v>
      </c>
      <c r="G582" s="44"/>
      <c r="H582" s="45"/>
      <c r="I582" s="38"/>
      <c r="J582" s="38">
        <f>861</f>
        <v>861</v>
      </c>
      <c r="K582" s="46">
        <v>1.4699074074074074E-3</v>
      </c>
      <c r="L582" s="47" t="s">
        <v>956</v>
      </c>
      <c r="M582" s="307"/>
      <c r="N582" s="307"/>
      <c r="O582" s="307">
        <f t="shared" si="13"/>
        <v>0</v>
      </c>
      <c r="P582" s="92"/>
      <c r="Q582" s="410" t="str">
        <f t="shared" ca="1" si="18"/>
        <v>https://www.youtube.com/watch?v=7WA-8QBd5Tk</v>
      </c>
      <c r="R582" s="50"/>
      <c r="S582" s="50"/>
      <c r="T582" s="50"/>
      <c r="U582" s="52"/>
      <c r="V582" s="53"/>
      <c r="W582" s="60"/>
      <c r="X582" s="56"/>
      <c r="Y582" s="38"/>
      <c r="Z582" s="38"/>
    </row>
    <row r="583" spans="1:26" hidden="1">
      <c r="A583" s="38">
        <v>243</v>
      </c>
      <c r="B583" s="38"/>
      <c r="C583" s="38"/>
      <c r="D583" s="38"/>
      <c r="E583" s="38" t="s">
        <v>1108</v>
      </c>
      <c r="F583" s="43" t="s">
        <v>1109</v>
      </c>
      <c r="G583" s="44"/>
      <c r="H583" s="45"/>
      <c r="I583" s="38"/>
      <c r="J583" s="38">
        <f>1.2*1000</f>
        <v>1200</v>
      </c>
      <c r="K583" s="46">
        <v>2.8009259259259259E-3</v>
      </c>
      <c r="L583" s="47" t="s">
        <v>956</v>
      </c>
      <c r="M583" s="307"/>
      <c r="N583" s="307"/>
      <c r="O583" s="307">
        <f t="shared" si="13"/>
        <v>0</v>
      </c>
      <c r="P583" s="92"/>
      <c r="Q583" s="410" t="str">
        <f t="shared" ca="1" si="18"/>
        <v>https://www.youtube.com/watch?v=3asYCknfoMo</v>
      </c>
      <c r="R583" s="50"/>
      <c r="S583" s="50"/>
      <c r="T583" s="50"/>
      <c r="U583" s="52"/>
      <c r="V583" s="53"/>
      <c r="W583" s="60"/>
      <c r="X583" s="56"/>
      <c r="Y583" s="38"/>
      <c r="Z583" s="38"/>
    </row>
    <row r="584" spans="1:26" hidden="1">
      <c r="A584" s="38">
        <v>244</v>
      </c>
      <c r="B584" s="38"/>
      <c r="C584" s="38"/>
      <c r="D584" s="38"/>
      <c r="E584" s="38" t="s">
        <v>1111</v>
      </c>
      <c r="F584" s="43" t="s">
        <v>1113</v>
      </c>
      <c r="G584" s="44"/>
      <c r="H584" s="45"/>
      <c r="I584" s="38"/>
      <c r="J584" s="38">
        <f>4*1000</f>
        <v>4000</v>
      </c>
      <c r="K584" s="46">
        <v>7.1874999999999994E-3</v>
      </c>
      <c r="L584" s="47" t="s">
        <v>956</v>
      </c>
      <c r="M584" s="307"/>
      <c r="N584" s="307"/>
      <c r="O584" s="307">
        <f t="shared" si="13"/>
        <v>0</v>
      </c>
      <c r="P584" s="92"/>
      <c r="Q584" s="410" t="str">
        <f t="shared" ca="1" si="18"/>
        <v>https://www.youtube.com/watch?v=4gAHt9ki2xY</v>
      </c>
      <c r="R584" s="50"/>
      <c r="S584" s="50"/>
      <c r="T584" s="50"/>
      <c r="U584" s="52"/>
      <c r="V584" s="53"/>
      <c r="W584" s="60"/>
      <c r="X584" s="56"/>
      <c r="Y584" s="38"/>
      <c r="Z584" s="38"/>
    </row>
    <row r="585" spans="1:26" hidden="1">
      <c r="A585" s="38">
        <v>245</v>
      </c>
      <c r="B585" s="38"/>
      <c r="C585" s="38"/>
      <c r="D585" s="38"/>
      <c r="E585" s="38" t="s">
        <v>1117</v>
      </c>
      <c r="F585" s="43" t="s">
        <v>1118</v>
      </c>
      <c r="G585" s="44"/>
      <c r="H585" s="45"/>
      <c r="I585" s="38"/>
      <c r="J585" s="38">
        <f>11*1000</f>
        <v>11000</v>
      </c>
      <c r="K585" s="46">
        <v>3.3321759259259259E-2</v>
      </c>
      <c r="L585" s="47" t="s">
        <v>956</v>
      </c>
      <c r="M585" s="307"/>
      <c r="N585" s="307"/>
      <c r="O585" s="307">
        <f t="shared" si="13"/>
        <v>0</v>
      </c>
      <c r="P585" s="92"/>
      <c r="Q585" s="410" t="str">
        <f t="shared" ca="1" si="18"/>
        <v>https://www.youtube.com/watch?v=TbQkh6axHEM</v>
      </c>
      <c r="R585" s="50"/>
      <c r="S585" s="50"/>
      <c r="T585" s="50"/>
      <c r="U585" s="52"/>
      <c r="V585" s="53"/>
      <c r="W585" s="60"/>
      <c r="X585" s="56"/>
      <c r="Y585" s="38"/>
      <c r="Z585" s="38"/>
    </row>
    <row r="586" spans="1:26" hidden="1">
      <c r="A586" s="38">
        <v>246</v>
      </c>
      <c r="B586" s="38"/>
      <c r="C586" s="38"/>
      <c r="D586" s="38"/>
      <c r="E586" s="38" t="s">
        <v>1119</v>
      </c>
      <c r="F586" s="43" t="s">
        <v>1120</v>
      </c>
      <c r="G586" s="44"/>
      <c r="H586" s="45"/>
      <c r="I586" s="38"/>
      <c r="J586" s="38">
        <f>2.4*1000</f>
        <v>2400</v>
      </c>
      <c r="K586" s="46">
        <v>3.6226851851851854E-3</v>
      </c>
      <c r="L586" s="47" t="s">
        <v>956</v>
      </c>
      <c r="M586" s="307"/>
      <c r="N586" s="307"/>
      <c r="O586" s="307">
        <f t="shared" si="13"/>
        <v>0</v>
      </c>
      <c r="P586" s="92"/>
      <c r="Q586" s="410" t="str">
        <f t="shared" ca="1" si="18"/>
        <v>https://www.youtube.com/watch?v=1_8y5fSSOlE</v>
      </c>
      <c r="R586" s="50"/>
      <c r="S586" s="50"/>
      <c r="T586" s="50"/>
      <c r="U586" s="52"/>
      <c r="V586" s="53"/>
      <c r="W586" s="60"/>
      <c r="X586" s="56"/>
      <c r="Y586" s="38"/>
      <c r="Z586" s="38"/>
    </row>
    <row r="587" spans="1:26" hidden="1">
      <c r="A587" s="38">
        <v>247</v>
      </c>
      <c r="B587" s="38"/>
      <c r="C587" s="38"/>
      <c r="D587" s="38"/>
      <c r="E587" s="38" t="s">
        <v>1122</v>
      </c>
      <c r="F587" s="43" t="s">
        <v>1124</v>
      </c>
      <c r="G587" s="44"/>
      <c r="H587" s="45"/>
      <c r="I587" s="38"/>
      <c r="J587" s="38">
        <f>329</f>
        <v>329</v>
      </c>
      <c r="K587" s="46">
        <v>1.7592592592592592E-3</v>
      </c>
      <c r="L587" s="47" t="s">
        <v>956</v>
      </c>
      <c r="M587" s="307"/>
      <c r="N587" s="307"/>
      <c r="O587" s="307">
        <f t="shared" si="13"/>
        <v>0</v>
      </c>
      <c r="P587" s="92"/>
      <c r="Q587" s="410" t="str">
        <f t="shared" ca="1" si="18"/>
        <v>https://www.youtube.com/watch?v=jaw4U_s24zo</v>
      </c>
      <c r="R587" s="50"/>
      <c r="S587" s="50"/>
      <c r="T587" s="50"/>
      <c r="U587" s="52"/>
      <c r="V587" s="53"/>
      <c r="W587" s="60"/>
      <c r="X587" s="56"/>
      <c r="Y587" s="38"/>
      <c r="Z587" s="38"/>
    </row>
    <row r="588" spans="1:26" hidden="1">
      <c r="A588" s="38">
        <v>248</v>
      </c>
      <c r="B588" s="38"/>
      <c r="C588" s="38"/>
      <c r="D588" s="38"/>
      <c r="E588" s="38" t="s">
        <v>1126</v>
      </c>
      <c r="F588" s="43" t="s">
        <v>1127</v>
      </c>
      <c r="G588" s="44"/>
      <c r="H588" s="45"/>
      <c r="I588" s="38"/>
      <c r="J588" s="38">
        <f>6.2*1000</f>
        <v>6200</v>
      </c>
      <c r="K588" s="46">
        <v>2.4016203703703706E-2</v>
      </c>
      <c r="L588" s="47" t="s">
        <v>956</v>
      </c>
      <c r="M588" s="307"/>
      <c r="N588" s="307"/>
      <c r="O588" s="307">
        <f t="shared" si="13"/>
        <v>0</v>
      </c>
      <c r="P588" s="92"/>
      <c r="Q588" s="410" t="str">
        <f t="shared" ca="1" si="18"/>
        <v>https://www.youtube.com/watch?v=R2XPp4eJXLk</v>
      </c>
      <c r="R588" s="50"/>
      <c r="S588" s="50"/>
      <c r="T588" s="50"/>
      <c r="U588" s="52"/>
      <c r="V588" s="53"/>
      <c r="W588" s="60"/>
      <c r="X588" s="56"/>
      <c r="Y588" s="38"/>
      <c r="Z588" s="38"/>
    </row>
    <row r="589" spans="1:26" hidden="1">
      <c r="A589" s="38">
        <v>249</v>
      </c>
      <c r="B589" s="38"/>
      <c r="C589" s="38"/>
      <c r="D589" s="38"/>
      <c r="E589" s="38" t="s">
        <v>1130</v>
      </c>
      <c r="F589" s="43" t="s">
        <v>1131</v>
      </c>
      <c r="G589" s="44"/>
      <c r="H589" s="45"/>
      <c r="I589" s="38"/>
      <c r="J589" s="38">
        <f>8.7*1000</f>
        <v>8700</v>
      </c>
      <c r="K589" s="46">
        <v>2.3807870370370368E-2</v>
      </c>
      <c r="L589" s="47" t="s">
        <v>956</v>
      </c>
      <c r="M589" s="307"/>
      <c r="N589" s="307"/>
      <c r="O589" s="307">
        <f t="shared" si="13"/>
        <v>0</v>
      </c>
      <c r="P589" s="92"/>
      <c r="Q589" s="410" t="str">
        <f t="shared" ca="1" si="18"/>
        <v>https://www.youtube.com/watch?v=d9iObjKR5yI</v>
      </c>
      <c r="R589" s="50"/>
      <c r="S589" s="50"/>
      <c r="T589" s="50"/>
      <c r="U589" s="52"/>
      <c r="V589" s="53"/>
      <c r="W589" s="60"/>
      <c r="X589" s="56"/>
      <c r="Y589" s="38"/>
      <c r="Z589" s="38"/>
    </row>
    <row r="590" spans="1:26" hidden="1">
      <c r="A590" s="38">
        <v>250</v>
      </c>
      <c r="B590" s="38"/>
      <c r="C590" s="38"/>
      <c r="D590" s="38"/>
      <c r="E590" s="38" t="s">
        <v>1135</v>
      </c>
      <c r="F590" s="43" t="s">
        <v>1136</v>
      </c>
      <c r="G590" s="44"/>
      <c r="H590" s="45"/>
      <c r="I590" s="38"/>
      <c r="J590" s="38">
        <f>31*1000</f>
        <v>31000</v>
      </c>
      <c r="K590" s="46">
        <v>3.9756944444444449E-2</v>
      </c>
      <c r="L590" s="47" t="s">
        <v>1139</v>
      </c>
      <c r="M590" s="307"/>
      <c r="N590" s="307"/>
      <c r="O590" s="307">
        <f t="shared" si="13"/>
        <v>0</v>
      </c>
      <c r="P590" s="92"/>
      <c r="Q590" s="410" t="str">
        <f t="shared" ca="1" si="18"/>
        <v>https://www.youtube.com/watch?v=Ow3nJA8fhhQ</v>
      </c>
      <c r="R590" s="50"/>
      <c r="S590" s="50"/>
      <c r="T590" s="50"/>
      <c r="U590" s="52"/>
      <c r="V590" s="53"/>
      <c r="W590" s="60"/>
      <c r="X590" s="56"/>
      <c r="Y590" s="38"/>
      <c r="Z590" s="38"/>
    </row>
    <row r="591" spans="1:26" hidden="1">
      <c r="A591" s="38">
        <v>251</v>
      </c>
      <c r="B591" s="38"/>
      <c r="C591" s="38"/>
      <c r="D591" s="38"/>
      <c r="E591" s="38" t="s">
        <v>1140</v>
      </c>
      <c r="F591" s="43" t="s">
        <v>1141</v>
      </c>
      <c r="G591" s="44"/>
      <c r="H591" s="45"/>
      <c r="I591" s="38"/>
      <c r="J591" s="38">
        <f>20*1000</f>
        <v>20000</v>
      </c>
      <c r="K591" s="46">
        <v>7.3252314814814812E-2</v>
      </c>
      <c r="L591" s="47" t="s">
        <v>1139</v>
      </c>
      <c r="M591" s="307"/>
      <c r="N591" s="307"/>
      <c r="O591" s="307">
        <f t="shared" si="13"/>
        <v>0</v>
      </c>
      <c r="P591" s="92"/>
      <c r="Q591" s="410" t="str">
        <f t="shared" ca="1" si="18"/>
        <v>https://www.youtube.com/watch?v=yr_-UHm07rM</v>
      </c>
      <c r="R591" s="50"/>
      <c r="S591" s="50"/>
      <c r="T591" s="50"/>
      <c r="U591" s="52"/>
      <c r="V591" s="53"/>
      <c r="W591" s="60"/>
      <c r="X591" s="56"/>
      <c r="Y591" s="38"/>
      <c r="Z591" s="38"/>
    </row>
    <row r="592" spans="1:26" hidden="1">
      <c r="A592" s="38">
        <v>252</v>
      </c>
      <c r="B592" s="38"/>
      <c r="C592" s="38"/>
      <c r="D592" s="38"/>
      <c r="E592" s="38" t="s">
        <v>1144</v>
      </c>
      <c r="F592" s="43" t="s">
        <v>1145</v>
      </c>
      <c r="G592" s="44"/>
      <c r="H592" s="45"/>
      <c r="I592" s="38"/>
      <c r="J592" s="38">
        <f>7.9*1000</f>
        <v>7900</v>
      </c>
      <c r="K592" s="46">
        <v>2.2789351851851852E-2</v>
      </c>
      <c r="L592" s="47" t="s">
        <v>1139</v>
      </c>
      <c r="M592" s="307"/>
      <c r="N592" s="307"/>
      <c r="O592" s="307">
        <f t="shared" si="13"/>
        <v>0</v>
      </c>
      <c r="P592" s="92"/>
      <c r="Q592" s="410" t="str">
        <f t="shared" ca="1" si="18"/>
        <v>https://www.youtube.com/watch?v=JNg9hu1QURw</v>
      </c>
      <c r="R592" s="50"/>
      <c r="S592" s="50"/>
      <c r="T592" s="50"/>
      <c r="U592" s="52"/>
      <c r="V592" s="53"/>
      <c r="W592" s="60"/>
      <c r="X592" s="56"/>
      <c r="Y592" s="38"/>
      <c r="Z592" s="38"/>
    </row>
    <row r="593" spans="1:26" hidden="1">
      <c r="A593" s="38">
        <v>253</v>
      </c>
      <c r="B593" s="38"/>
      <c r="C593" s="38"/>
      <c r="D593" s="38"/>
      <c r="E593" s="38" t="s">
        <v>1148</v>
      </c>
      <c r="F593" s="43" t="s">
        <v>1149</v>
      </c>
      <c r="G593" s="44"/>
      <c r="H593" s="45"/>
      <c r="I593" s="38"/>
      <c r="J593" s="38">
        <f>2*1000</f>
        <v>2000</v>
      </c>
      <c r="K593" s="46">
        <v>7.0717592592592594E-3</v>
      </c>
      <c r="L593" s="47" t="s">
        <v>1139</v>
      </c>
      <c r="M593" s="307"/>
      <c r="N593" s="307"/>
      <c r="O593" s="307">
        <f t="shared" si="13"/>
        <v>0</v>
      </c>
      <c r="P593" s="92"/>
      <c r="Q593" s="410" t="str">
        <f t="shared" ca="1" si="18"/>
        <v>https://www.youtube.com/watch?v=11Ben3IvDQ0</v>
      </c>
      <c r="R593" s="50"/>
      <c r="S593" s="50"/>
      <c r="T593" s="50"/>
      <c r="U593" s="52"/>
      <c r="V593" s="53"/>
      <c r="W593" s="60"/>
      <c r="X593" s="56"/>
      <c r="Y593" s="38"/>
      <c r="Z593" s="38"/>
    </row>
    <row r="594" spans="1:26" hidden="1">
      <c r="A594" s="38">
        <v>254</v>
      </c>
      <c r="B594" s="38"/>
      <c r="C594" s="38"/>
      <c r="D594" s="38"/>
      <c r="E594" s="38" t="s">
        <v>1152</v>
      </c>
      <c r="F594" s="43" t="s">
        <v>1153</v>
      </c>
      <c r="G594" s="44"/>
      <c r="H594" s="45"/>
      <c r="I594" s="38"/>
      <c r="J594" s="38">
        <f>1.5*1000</f>
        <v>1500</v>
      </c>
      <c r="K594" s="46">
        <v>5.0578703703703706E-3</v>
      </c>
      <c r="L594" s="47" t="s">
        <v>1139</v>
      </c>
      <c r="M594" s="307"/>
      <c r="N594" s="307"/>
      <c r="O594" s="307">
        <f t="shared" si="13"/>
        <v>0</v>
      </c>
      <c r="P594" s="92"/>
      <c r="Q594" s="410" t="str">
        <f t="shared" ca="1" si="18"/>
        <v>https://www.youtube.com/watch?v=xjZO-uNelDI</v>
      </c>
      <c r="R594" s="50"/>
      <c r="S594" s="50"/>
      <c r="T594" s="50"/>
      <c r="U594" s="52"/>
      <c r="V594" s="53"/>
      <c r="W594" s="60"/>
      <c r="X594" s="56"/>
      <c r="Y594" s="38"/>
      <c r="Z594" s="38"/>
    </row>
    <row r="595" spans="1:26" hidden="1">
      <c r="A595" s="38">
        <v>255</v>
      </c>
      <c r="B595" s="38"/>
      <c r="C595" s="38"/>
      <c r="D595" s="38"/>
      <c r="E595" s="38" t="s">
        <v>1156</v>
      </c>
      <c r="F595" s="43" t="s">
        <v>1157</v>
      </c>
      <c r="G595" s="44"/>
      <c r="H595" s="45"/>
      <c r="I595" s="38"/>
      <c r="J595" s="38">
        <f>2.3*1000</f>
        <v>2300</v>
      </c>
      <c r="K595" s="46">
        <v>0.02</v>
      </c>
      <c r="L595" s="47" t="s">
        <v>1139</v>
      </c>
      <c r="M595" s="307"/>
      <c r="N595" s="307"/>
      <c r="O595" s="307">
        <f t="shared" si="13"/>
        <v>0</v>
      </c>
      <c r="P595" s="92"/>
      <c r="Q595" s="410" t="str">
        <f t="shared" ca="1" si="18"/>
        <v>https://www.youtube.com/watch?v=6oKx_bFPSSA</v>
      </c>
      <c r="R595" s="50"/>
      <c r="S595" s="50"/>
      <c r="T595" s="50"/>
      <c r="U595" s="52"/>
      <c r="V595" s="53"/>
      <c r="W595" s="60"/>
      <c r="X595" s="56"/>
      <c r="Y595" s="38"/>
      <c r="Z595" s="38"/>
    </row>
    <row r="596" spans="1:26" hidden="1">
      <c r="A596" s="38">
        <v>256</v>
      </c>
      <c r="B596" s="38"/>
      <c r="C596" s="38"/>
      <c r="D596" s="38"/>
      <c r="E596" s="38" t="s">
        <v>1160</v>
      </c>
      <c r="F596" s="43" t="s">
        <v>1161</v>
      </c>
      <c r="G596" s="44"/>
      <c r="H596" s="45"/>
      <c r="I596" s="38"/>
      <c r="J596" s="38">
        <f>3.8*1000</f>
        <v>3800</v>
      </c>
      <c r="K596" s="46">
        <v>2.2337962962962967E-3</v>
      </c>
      <c r="L596" s="47" t="s">
        <v>1139</v>
      </c>
      <c r="M596" s="307"/>
      <c r="N596" s="307"/>
      <c r="O596" s="307">
        <f t="shared" si="13"/>
        <v>0</v>
      </c>
      <c r="P596" s="92"/>
      <c r="Q596" s="410" t="str">
        <f t="shared" ca="1" si="18"/>
        <v>https://www.youtube.com/watch?v=_Anq0CTYGt8</v>
      </c>
      <c r="R596" s="50"/>
      <c r="S596" s="50"/>
      <c r="T596" s="50"/>
      <c r="U596" s="52"/>
      <c r="V596" s="53"/>
      <c r="W596" s="60"/>
      <c r="X596" s="56"/>
      <c r="Y596" s="38"/>
      <c r="Z596" s="38"/>
    </row>
    <row r="597" spans="1:26" hidden="1">
      <c r="A597" s="38">
        <v>257</v>
      </c>
      <c r="B597" s="38"/>
      <c r="C597" s="38"/>
      <c r="D597" s="38"/>
      <c r="E597" s="38" t="s">
        <v>1164</v>
      </c>
      <c r="F597" s="43" t="s">
        <v>1165</v>
      </c>
      <c r="G597" s="44"/>
      <c r="H597" s="45"/>
      <c r="I597" s="38"/>
      <c r="J597" s="38">
        <f>1.4*1000</f>
        <v>1400</v>
      </c>
      <c r="K597" s="46">
        <v>1.9456018518518518E-2</v>
      </c>
      <c r="L597" s="47" t="s">
        <v>1139</v>
      </c>
      <c r="M597" s="307"/>
      <c r="N597" s="307"/>
      <c r="O597" s="307">
        <f t="shared" si="13"/>
        <v>0</v>
      </c>
      <c r="P597" s="92"/>
      <c r="Q597" s="410" t="str">
        <f t="shared" ca="1" si="18"/>
        <v>https://www.youtube.com/watch?v=_xIbCmTtK8s</v>
      </c>
      <c r="R597" s="50"/>
      <c r="S597" s="50"/>
      <c r="T597" s="50"/>
      <c r="U597" s="52"/>
      <c r="V597" s="53"/>
      <c r="W597" s="60"/>
      <c r="X597" s="56"/>
      <c r="Y597" s="38"/>
      <c r="Z597" s="38"/>
    </row>
    <row r="598" spans="1:26" hidden="1">
      <c r="A598" s="38">
        <v>258</v>
      </c>
      <c r="B598" s="38"/>
      <c r="C598" s="38"/>
      <c r="D598" s="38"/>
      <c r="E598" s="38" t="s">
        <v>1168</v>
      </c>
      <c r="F598" s="43" t="s">
        <v>1169</v>
      </c>
      <c r="G598" s="44"/>
      <c r="H598" s="45"/>
      <c r="I598" s="38"/>
      <c r="J598" s="38">
        <f>6.9*1000</f>
        <v>6900</v>
      </c>
      <c r="K598" s="46">
        <v>9.2592592592592605E-3</v>
      </c>
      <c r="L598" s="47" t="s">
        <v>1139</v>
      </c>
      <c r="M598" s="307"/>
      <c r="N598" s="307"/>
      <c r="O598" s="307">
        <f t="shared" si="13"/>
        <v>0</v>
      </c>
      <c r="P598" s="92"/>
      <c r="Q598" s="410" t="str">
        <f t="shared" ca="1" si="18"/>
        <v>https://www.youtube.com/watch?v=qGie_-i1j6o</v>
      </c>
      <c r="R598" s="50"/>
      <c r="S598" s="50"/>
      <c r="T598" s="50"/>
      <c r="U598" s="52"/>
      <c r="V598" s="53"/>
      <c r="W598" s="60"/>
      <c r="X598" s="56"/>
      <c r="Y598" s="38"/>
      <c r="Z598" s="38"/>
    </row>
    <row r="599" spans="1:26" hidden="1">
      <c r="A599" s="38">
        <v>259</v>
      </c>
      <c r="B599" s="38"/>
      <c r="C599" s="38"/>
      <c r="D599" s="38"/>
      <c r="E599" s="38" t="s">
        <v>1172</v>
      </c>
      <c r="F599" s="43" t="s">
        <v>1173</v>
      </c>
      <c r="G599" s="44"/>
      <c r="H599" s="45"/>
      <c r="I599" s="38"/>
      <c r="J599" s="38">
        <f>29*1000</f>
        <v>29000</v>
      </c>
      <c r="K599" s="46">
        <v>8.8541666666666664E-3</v>
      </c>
      <c r="L599" s="47" t="s">
        <v>1139</v>
      </c>
      <c r="M599" s="307"/>
      <c r="N599" s="307"/>
      <c r="O599" s="307">
        <f t="shared" si="13"/>
        <v>0</v>
      </c>
      <c r="P599" s="92"/>
      <c r="Q599" s="410" t="str">
        <f t="shared" ca="1" si="18"/>
        <v>https://www.youtube.com/watch?v=VwTbkm1NN4Y</v>
      </c>
      <c r="R599" s="50"/>
      <c r="S599" s="50"/>
      <c r="T599" s="50"/>
      <c r="U599" s="52"/>
      <c r="V599" s="53"/>
      <c r="W599" s="60"/>
      <c r="X599" s="56"/>
      <c r="Y599" s="38"/>
      <c r="Z599" s="38"/>
    </row>
    <row r="600" spans="1:26" hidden="1">
      <c r="A600" s="38">
        <v>260</v>
      </c>
      <c r="B600" s="38"/>
      <c r="C600" s="38"/>
      <c r="D600" s="38"/>
      <c r="E600" s="38" t="s">
        <v>1174</v>
      </c>
      <c r="F600" s="43" t="s">
        <v>1175</v>
      </c>
      <c r="G600" s="44"/>
      <c r="H600" s="45"/>
      <c r="I600" s="38"/>
      <c r="J600" s="38">
        <f>2.6*1000</f>
        <v>2600</v>
      </c>
      <c r="K600" s="46">
        <v>3.9236111111111112E-3</v>
      </c>
      <c r="L600" s="47" t="s">
        <v>1139</v>
      </c>
      <c r="M600" s="307"/>
      <c r="N600" s="307"/>
      <c r="O600" s="307">
        <f t="shared" si="13"/>
        <v>0</v>
      </c>
      <c r="P600" s="92"/>
      <c r="Q600" s="410" t="str">
        <f t="shared" ca="1" si="18"/>
        <v>https://www.youtube.com/watch?v=WQObFfIG62Q</v>
      </c>
      <c r="R600" s="50"/>
      <c r="S600" s="50"/>
      <c r="T600" s="50"/>
      <c r="U600" s="52"/>
      <c r="V600" s="53"/>
      <c r="W600" s="60"/>
      <c r="X600" s="56"/>
      <c r="Y600" s="38"/>
      <c r="Z600" s="38"/>
    </row>
    <row r="601" spans="1:26" hidden="1">
      <c r="A601" s="38">
        <v>261</v>
      </c>
      <c r="B601" s="38"/>
      <c r="C601" s="38"/>
      <c r="D601" s="38"/>
      <c r="E601" s="38" t="s">
        <v>1178</v>
      </c>
      <c r="F601" s="43" t="s">
        <v>1179</v>
      </c>
      <c r="G601" s="44"/>
      <c r="H601" s="45"/>
      <c r="I601" s="38"/>
      <c r="J601" s="38">
        <f>1*1000</f>
        <v>1000</v>
      </c>
      <c r="K601" s="46">
        <v>3.1249999999999997E-3</v>
      </c>
      <c r="L601" s="47" t="s">
        <v>1139</v>
      </c>
      <c r="M601" s="307"/>
      <c r="N601" s="307"/>
      <c r="O601" s="307">
        <f t="shared" si="13"/>
        <v>0</v>
      </c>
      <c r="P601" s="92"/>
      <c r="Q601" s="410" t="str">
        <f t="shared" ca="1" si="18"/>
        <v>https://www.youtube.com/watch?v=CouNRYMLDmY</v>
      </c>
      <c r="R601" s="50"/>
      <c r="S601" s="50"/>
      <c r="T601" s="50"/>
      <c r="U601" s="52"/>
      <c r="V601" s="53"/>
      <c r="W601" s="60"/>
      <c r="X601" s="56"/>
      <c r="Y601" s="38"/>
      <c r="Z601" s="38"/>
    </row>
    <row r="602" spans="1:26" hidden="1">
      <c r="A602" s="38">
        <v>262</v>
      </c>
      <c r="B602" s="38"/>
      <c r="C602" s="38"/>
      <c r="D602" s="38"/>
      <c r="E602" s="38" t="s">
        <v>1182</v>
      </c>
      <c r="F602" s="43" t="s">
        <v>1183</v>
      </c>
      <c r="G602" s="44"/>
      <c r="H602" s="45"/>
      <c r="I602" s="38"/>
      <c r="J602" s="38">
        <f>5*1000</f>
        <v>5000</v>
      </c>
      <c r="K602" s="46">
        <v>1.7476851851851851E-2</v>
      </c>
      <c r="L602" s="47" t="s">
        <v>1139</v>
      </c>
      <c r="M602" s="307"/>
      <c r="N602" s="307"/>
      <c r="O602" s="307">
        <f t="shared" si="13"/>
        <v>0</v>
      </c>
      <c r="P602" s="92"/>
      <c r="Q602" s="410" t="str">
        <f t="shared" ca="1" si="18"/>
        <v>https://www.youtube.com/watch?v=ZWkU2WQv4mM</v>
      </c>
      <c r="R602" s="50"/>
      <c r="S602" s="50"/>
      <c r="T602" s="50"/>
      <c r="U602" s="52"/>
      <c r="V602" s="53"/>
      <c r="W602" s="60"/>
      <c r="X602" s="56"/>
      <c r="Y602" s="38"/>
      <c r="Z602" s="38"/>
    </row>
    <row r="603" spans="1:26" hidden="1">
      <c r="A603" s="38">
        <v>263</v>
      </c>
      <c r="B603" s="38"/>
      <c r="C603" s="38"/>
      <c r="D603" s="38"/>
      <c r="E603" s="38" t="s">
        <v>1186</v>
      </c>
      <c r="F603" s="43" t="s">
        <v>1187</v>
      </c>
      <c r="G603" s="44"/>
      <c r="H603" s="45"/>
      <c r="I603" s="38"/>
      <c r="J603" s="38">
        <f>4.5*1000</f>
        <v>4500</v>
      </c>
      <c r="K603" s="46">
        <v>1.9560185185185184E-3</v>
      </c>
      <c r="L603" s="47" t="s">
        <v>1139</v>
      </c>
      <c r="M603" s="307"/>
      <c r="N603" s="307"/>
      <c r="O603" s="307">
        <f t="shared" si="13"/>
        <v>0</v>
      </c>
      <c r="P603" s="92"/>
      <c r="Q603" s="410" t="str">
        <f t="shared" ca="1" si="18"/>
        <v>https://www.youtube.com/watch?v=ziCW-l-SXRM</v>
      </c>
      <c r="R603" s="50"/>
      <c r="S603" s="50"/>
      <c r="T603" s="50"/>
      <c r="U603" s="52"/>
      <c r="V603" s="53"/>
      <c r="W603" s="60"/>
      <c r="X603" s="56"/>
      <c r="Y603" s="38"/>
      <c r="Z603" s="38"/>
    </row>
    <row r="604" spans="1:26" hidden="1">
      <c r="A604" s="38">
        <v>264</v>
      </c>
      <c r="B604" s="38"/>
      <c r="C604" s="38"/>
      <c r="D604" s="38"/>
      <c r="E604" s="38" t="s">
        <v>1190</v>
      </c>
      <c r="F604" s="43" t="s">
        <v>1191</v>
      </c>
      <c r="G604" s="44"/>
      <c r="H604" s="45"/>
      <c r="I604" s="38"/>
      <c r="J604" s="38">
        <f>1.4*1000</f>
        <v>1400</v>
      </c>
      <c r="K604" s="46">
        <v>4.1319444444444442E-3</v>
      </c>
      <c r="L604" s="47" t="s">
        <v>1139</v>
      </c>
      <c r="M604" s="307"/>
      <c r="N604" s="307"/>
      <c r="O604" s="307">
        <f t="shared" si="13"/>
        <v>0</v>
      </c>
      <c r="P604" s="92"/>
      <c r="Q604" s="410" t="str">
        <f t="shared" ca="1" si="18"/>
        <v>https://www.youtube.com/watch?v=mNRX-8C-RmY</v>
      </c>
      <c r="R604" s="50"/>
      <c r="S604" s="50"/>
      <c r="T604" s="50"/>
      <c r="U604" s="52"/>
      <c r="V604" s="53"/>
      <c r="W604" s="60"/>
      <c r="X604" s="56"/>
      <c r="Y604" s="38"/>
      <c r="Z604" s="38"/>
    </row>
    <row r="605" spans="1:26" hidden="1">
      <c r="A605" s="38">
        <v>265</v>
      </c>
      <c r="B605" s="38"/>
      <c r="C605" s="38"/>
      <c r="D605" s="38"/>
      <c r="E605" s="38" t="s">
        <v>1192</v>
      </c>
      <c r="F605" s="43" t="s">
        <v>1193</v>
      </c>
      <c r="G605" s="44"/>
      <c r="H605" s="45"/>
      <c r="I605" s="38"/>
      <c r="J605" s="38">
        <f>6.8*1000</f>
        <v>6800</v>
      </c>
      <c r="K605" s="46">
        <v>3.6122685185185181E-2</v>
      </c>
      <c r="L605" s="47" t="s">
        <v>1139</v>
      </c>
      <c r="M605" s="307"/>
      <c r="N605" s="307"/>
      <c r="O605" s="307">
        <f t="shared" si="13"/>
        <v>0</v>
      </c>
      <c r="P605" s="92"/>
      <c r="Q605" s="410" t="str">
        <f t="shared" ca="1" si="18"/>
        <v>https://www.youtube.com/watch?v=hH3jbt-s4aY</v>
      </c>
      <c r="R605" s="50"/>
      <c r="S605" s="50"/>
      <c r="T605" s="50"/>
      <c r="U605" s="52"/>
      <c r="V605" s="53"/>
      <c r="W605" s="60"/>
      <c r="X605" s="56"/>
      <c r="Y605" s="38"/>
      <c r="Z605" s="38"/>
    </row>
    <row r="606" spans="1:26" hidden="1">
      <c r="A606" s="38">
        <v>266</v>
      </c>
      <c r="B606" s="38"/>
      <c r="C606" s="38"/>
      <c r="D606" s="38"/>
      <c r="E606" s="38" t="s">
        <v>1196</v>
      </c>
      <c r="F606" s="43" t="s">
        <v>1198</v>
      </c>
      <c r="G606" s="44"/>
      <c r="H606" s="45"/>
      <c r="I606" s="38"/>
      <c r="J606" s="38">
        <f>3.2*1000</f>
        <v>3200</v>
      </c>
      <c r="K606" s="46">
        <v>2.8125000000000001E-2</v>
      </c>
      <c r="L606" s="47" t="s">
        <v>1139</v>
      </c>
      <c r="M606" s="307"/>
      <c r="N606" s="307"/>
      <c r="O606" s="307">
        <f t="shared" si="13"/>
        <v>0</v>
      </c>
      <c r="P606" s="92"/>
      <c r="Q606" s="410" t="str">
        <f t="shared" ca="1" si="18"/>
        <v>https://www.youtube.com/watch?v=zyTsxv3NJzA</v>
      </c>
      <c r="R606" s="50"/>
      <c r="S606" s="50"/>
      <c r="T606" s="50"/>
      <c r="U606" s="52"/>
      <c r="V606" s="53"/>
      <c r="W606" s="60"/>
      <c r="X606" s="56"/>
      <c r="Y606" s="38"/>
      <c r="Z606" s="38"/>
    </row>
    <row r="607" spans="1:26" hidden="1">
      <c r="A607" s="38">
        <v>267</v>
      </c>
      <c r="B607" s="38"/>
      <c r="C607" s="38"/>
      <c r="D607" s="38"/>
      <c r="E607" s="38" t="s">
        <v>1200</v>
      </c>
      <c r="F607" s="43" t="s">
        <v>1201</v>
      </c>
      <c r="G607" s="44"/>
      <c r="H607" s="45"/>
      <c r="I607" s="38"/>
      <c r="J607" s="38">
        <f>4.4*1000</f>
        <v>4400</v>
      </c>
      <c r="K607" s="46">
        <v>3.3101851851851848E-2</v>
      </c>
      <c r="L607" s="47" t="s">
        <v>1139</v>
      </c>
      <c r="M607" s="307"/>
      <c r="N607" s="307"/>
      <c r="O607" s="307">
        <f t="shared" si="13"/>
        <v>0</v>
      </c>
      <c r="P607" s="92"/>
      <c r="Q607" s="410" t="str">
        <f t="shared" ca="1" si="18"/>
        <v>https://www.youtube.com/watch?v=yYhGJH2NjBA</v>
      </c>
      <c r="R607" s="50"/>
      <c r="S607" s="50"/>
      <c r="T607" s="50"/>
      <c r="U607" s="52"/>
      <c r="V607" s="53"/>
      <c r="W607" s="60"/>
      <c r="X607" s="56"/>
      <c r="Y607" s="38"/>
      <c r="Z607" s="38"/>
    </row>
    <row r="608" spans="1:26" hidden="1">
      <c r="A608" s="38">
        <v>268</v>
      </c>
      <c r="B608" s="38"/>
      <c r="C608" s="38"/>
      <c r="D608" s="38"/>
      <c r="E608" s="38" t="s">
        <v>1204</v>
      </c>
      <c r="F608" s="43" t="s">
        <v>1205</v>
      </c>
      <c r="G608" s="44"/>
      <c r="H608" s="45"/>
      <c r="I608" s="38"/>
      <c r="J608" s="38">
        <f>64*1000</f>
        <v>64000</v>
      </c>
      <c r="K608" s="46">
        <v>5.9305555555555556E-2</v>
      </c>
      <c r="L608" s="47" t="s">
        <v>1139</v>
      </c>
      <c r="M608" s="307"/>
      <c r="N608" s="307"/>
      <c r="O608" s="307">
        <f t="shared" si="13"/>
        <v>0</v>
      </c>
      <c r="P608" s="92"/>
      <c r="Q608" s="410" t="str">
        <f t="shared" ca="1" si="18"/>
        <v>https://www.youtube.com/watch?v=R_G2Gd70LiY</v>
      </c>
      <c r="R608" s="50"/>
      <c r="S608" s="50"/>
      <c r="T608" s="50"/>
      <c r="U608" s="52"/>
      <c r="V608" s="53"/>
      <c r="W608" s="60"/>
      <c r="X608" s="56"/>
      <c r="Y608" s="38"/>
      <c r="Z608" s="38"/>
    </row>
    <row r="609" spans="1:26" hidden="1">
      <c r="A609" s="38">
        <v>269</v>
      </c>
      <c r="B609" s="38"/>
      <c r="C609" s="38"/>
      <c r="D609" s="38"/>
      <c r="E609" s="38" t="s">
        <v>1206</v>
      </c>
      <c r="F609" s="43" t="s">
        <v>1207</v>
      </c>
      <c r="G609" s="44"/>
      <c r="H609" s="45"/>
      <c r="I609" s="38"/>
      <c r="J609" s="38">
        <f>6*1000</f>
        <v>6000</v>
      </c>
      <c r="K609" s="46">
        <v>6.1493055555555558E-2</v>
      </c>
      <c r="L609" s="47" t="s">
        <v>1139</v>
      </c>
      <c r="M609" s="307"/>
      <c r="N609" s="307"/>
      <c r="O609" s="307">
        <f t="shared" si="13"/>
        <v>0</v>
      </c>
      <c r="P609" s="92"/>
      <c r="Q609" s="410" t="str">
        <f t="shared" ca="1" si="18"/>
        <v>https://www.youtube.com/watch?v=k6dsew1B6SE</v>
      </c>
      <c r="R609" s="50"/>
      <c r="S609" s="50"/>
      <c r="T609" s="50"/>
      <c r="U609" s="52"/>
      <c r="V609" s="53"/>
      <c r="W609" s="60"/>
      <c r="X609" s="56"/>
      <c r="Y609" s="38"/>
      <c r="Z609" s="38"/>
    </row>
    <row r="610" spans="1:26" hidden="1">
      <c r="A610" s="38">
        <v>270</v>
      </c>
      <c r="B610" s="38"/>
      <c r="C610" s="38"/>
      <c r="D610" s="38"/>
      <c r="E610" s="38" t="s">
        <v>1211</v>
      </c>
      <c r="F610" s="43" t="s">
        <v>1212</v>
      </c>
      <c r="G610" s="44"/>
      <c r="H610" s="45"/>
      <c r="I610" s="38"/>
      <c r="J610" s="38">
        <f>8.8*1000</f>
        <v>8800</v>
      </c>
      <c r="K610" s="46">
        <v>1.8888888888888889E-2</v>
      </c>
      <c r="L610" s="47" t="s">
        <v>1139</v>
      </c>
      <c r="M610" s="307"/>
      <c r="N610" s="307"/>
      <c r="O610" s="307">
        <f t="shared" si="13"/>
        <v>0</v>
      </c>
      <c r="P610" s="92"/>
      <c r="Q610" s="410" t="str">
        <f t="shared" ca="1" si="18"/>
        <v>https://www.youtube.com/watch?v=X4TDNzwe3s4</v>
      </c>
      <c r="R610" s="50"/>
      <c r="S610" s="50"/>
      <c r="T610" s="50"/>
      <c r="U610" s="52"/>
      <c r="V610" s="53"/>
      <c r="W610" s="60"/>
      <c r="X610" s="56"/>
      <c r="Y610" s="38"/>
      <c r="Z610" s="38"/>
    </row>
    <row r="611" spans="1:26">
      <c r="A611" s="38">
        <v>271</v>
      </c>
      <c r="B611" s="39" t="s">
        <v>136</v>
      </c>
      <c r="C611" s="40"/>
      <c r="D611" s="42" t="s">
        <v>56</v>
      </c>
      <c r="E611" s="38" t="s">
        <v>1217</v>
      </c>
      <c r="F611" s="43" t="s">
        <v>1218</v>
      </c>
      <c r="G611" s="44"/>
      <c r="H611" s="45"/>
      <c r="I611" s="38"/>
      <c r="J611" s="38">
        <f>46*1000</f>
        <v>46000</v>
      </c>
      <c r="K611" s="46">
        <v>3.3611111111111112E-2</v>
      </c>
      <c r="L611" s="47" t="s">
        <v>1139</v>
      </c>
      <c r="M611" s="307"/>
      <c r="N611" s="307"/>
      <c r="O611" s="307">
        <f t="shared" si="13"/>
        <v>0</v>
      </c>
      <c r="P611" s="66">
        <v>43019</v>
      </c>
      <c r="Q611" s="410" t="str">
        <f t="shared" ca="1" si="18"/>
        <v>https://www.youtube.com/watch?v=_OWY_haNDNI</v>
      </c>
      <c r="R611" s="39" t="s">
        <v>63</v>
      </c>
      <c r="S611" s="39" t="s">
        <v>2059</v>
      </c>
      <c r="T611" s="39" t="s">
        <v>63</v>
      </c>
      <c r="U611" s="40"/>
      <c r="V611" s="54"/>
      <c r="W611" s="55"/>
      <c r="X611" s="56"/>
      <c r="Y611" s="311"/>
      <c r="Z611" s="311"/>
    </row>
    <row r="612" spans="1:26">
      <c r="A612" s="42">
        <v>271.01</v>
      </c>
      <c r="B612" s="39" t="s">
        <v>136</v>
      </c>
      <c r="C612" s="40"/>
      <c r="D612" s="42" t="s">
        <v>56</v>
      </c>
      <c r="E612" s="38"/>
      <c r="F612" s="43"/>
      <c r="G612" s="63" t="s">
        <v>2062</v>
      </c>
      <c r="H612" s="58" t="s">
        <v>2063</v>
      </c>
      <c r="I612" s="38"/>
      <c r="J612" s="38"/>
      <c r="K612" s="46"/>
      <c r="L612" s="47"/>
      <c r="M612" s="342">
        <v>8.1018518518518516E-5</v>
      </c>
      <c r="N612" s="342">
        <v>1.9560185185185184E-3</v>
      </c>
      <c r="O612" s="307">
        <f t="shared" si="13"/>
        <v>1.8749999999999999E-3</v>
      </c>
      <c r="P612" s="66">
        <v>43019</v>
      </c>
      <c r="Q612" s="410" t="str">
        <f t="shared" ca="1" si="18"/>
        <v>https://www.youtube.com/embed/_OWY_haNDNI?start=7&amp;end=169&amp;autoplay=1</v>
      </c>
      <c r="R612" s="39" t="s">
        <v>63</v>
      </c>
      <c r="S612" s="39" t="s">
        <v>2059</v>
      </c>
      <c r="T612" s="39" t="s">
        <v>63</v>
      </c>
      <c r="U612" s="40"/>
      <c r="V612" s="54"/>
      <c r="W612" s="69" t="s">
        <v>64</v>
      </c>
      <c r="X612" s="56"/>
      <c r="Y612" s="311"/>
      <c r="Z612" s="311"/>
    </row>
    <row r="613" spans="1:26">
      <c r="A613" s="42">
        <v>271.02</v>
      </c>
      <c r="B613" s="39" t="s">
        <v>136</v>
      </c>
      <c r="C613" s="40"/>
      <c r="D613" s="42" t="s">
        <v>56</v>
      </c>
      <c r="E613" s="38"/>
      <c r="F613" s="43"/>
      <c r="G613" s="63" t="s">
        <v>2066</v>
      </c>
      <c r="H613" s="58" t="s">
        <v>2067</v>
      </c>
      <c r="I613" s="38"/>
      <c r="J613" s="38"/>
      <c r="K613" s="46"/>
      <c r="L613" s="47"/>
      <c r="M613" s="342">
        <v>2.0254629629629629E-3</v>
      </c>
      <c r="N613" s="342">
        <v>4.8495370370370368E-3</v>
      </c>
      <c r="O613" s="307">
        <f t="shared" si="13"/>
        <v>2.8240740740740739E-3</v>
      </c>
      <c r="P613" s="66">
        <v>43020</v>
      </c>
      <c r="Q613" s="410" t="str">
        <f t="shared" ca="1" si="18"/>
        <v>https://www.youtube.com/embed/_OWY_haNDNI?start=175&amp;end=419&amp;autoplay=1</v>
      </c>
      <c r="R613" s="39" t="s">
        <v>63</v>
      </c>
      <c r="S613" s="39" t="s">
        <v>2059</v>
      </c>
      <c r="T613" s="39" t="s">
        <v>63</v>
      </c>
      <c r="U613" s="40"/>
      <c r="V613" s="54"/>
      <c r="W613" s="69" t="s">
        <v>64</v>
      </c>
      <c r="X613" s="56"/>
      <c r="Y613" s="311"/>
      <c r="Z613" s="311"/>
    </row>
    <row r="614" spans="1:26">
      <c r="A614" s="42">
        <v>271.02999999999997</v>
      </c>
      <c r="B614" s="39" t="s">
        <v>136</v>
      </c>
      <c r="C614" s="40"/>
      <c r="D614" s="42" t="s">
        <v>56</v>
      </c>
      <c r="E614" s="38"/>
      <c r="F614" s="43"/>
      <c r="G614" s="63" t="s">
        <v>2070</v>
      </c>
      <c r="H614" s="58" t="s">
        <v>2071</v>
      </c>
      <c r="I614" s="38"/>
      <c r="J614" s="38"/>
      <c r="K614" s="46"/>
      <c r="L614" s="47"/>
      <c r="M614" s="342">
        <v>4.9652777777777777E-3</v>
      </c>
      <c r="N614" s="342">
        <v>6.1574074074074074E-3</v>
      </c>
      <c r="O614" s="307">
        <f t="shared" si="13"/>
        <v>1.1921296296296298E-3</v>
      </c>
      <c r="P614" s="66">
        <v>43020</v>
      </c>
      <c r="Q614" s="410" t="str">
        <f t="shared" ca="1" si="18"/>
        <v>https://www.youtube.com/embed/_OWY_haNDNI?start=429&amp;end=532&amp;autoplay=1</v>
      </c>
      <c r="R614" s="39" t="s">
        <v>63</v>
      </c>
      <c r="S614" s="39" t="s">
        <v>2059</v>
      </c>
      <c r="T614" s="39" t="s">
        <v>63</v>
      </c>
      <c r="U614" s="40"/>
      <c r="V614" s="54"/>
      <c r="W614" s="69" t="s">
        <v>64</v>
      </c>
      <c r="X614" s="56"/>
      <c r="Y614" s="311"/>
      <c r="Z614" s="311"/>
    </row>
    <row r="615" spans="1:26">
      <c r="A615" s="42">
        <v>271.04000000000002</v>
      </c>
      <c r="B615" s="39" t="s">
        <v>136</v>
      </c>
      <c r="C615" s="40"/>
      <c r="D615" s="42" t="s">
        <v>56</v>
      </c>
      <c r="E615" s="38"/>
      <c r="F615" s="43"/>
      <c r="G615" s="63" t="s">
        <v>2074</v>
      </c>
      <c r="H615" s="58" t="s">
        <v>2075</v>
      </c>
      <c r="I615" s="38"/>
      <c r="J615" s="38"/>
      <c r="K615" s="46"/>
      <c r="L615" s="47"/>
      <c r="M615" s="342">
        <v>6.1689814814814819E-3</v>
      </c>
      <c r="N615" s="342">
        <v>7.5231481481481477E-3</v>
      </c>
      <c r="O615" s="307">
        <f t="shared" si="13"/>
        <v>1.3541666666666658E-3</v>
      </c>
      <c r="P615" s="66">
        <v>43021</v>
      </c>
      <c r="Q615" s="410" t="str">
        <f t="shared" ca="1" si="18"/>
        <v>https://www.youtube.com/embed/_OWY_haNDNI?start=533&amp;end=650&amp;autoplay=1</v>
      </c>
      <c r="R615" s="39" t="s">
        <v>63</v>
      </c>
      <c r="S615" s="39" t="s">
        <v>2059</v>
      </c>
      <c r="T615" s="39" t="s">
        <v>63</v>
      </c>
      <c r="U615" s="40"/>
      <c r="V615" s="54"/>
      <c r="W615" s="69" t="s">
        <v>64</v>
      </c>
      <c r="X615" s="56"/>
      <c r="Y615" s="311"/>
      <c r="Z615" s="311"/>
    </row>
    <row r="616" spans="1:26">
      <c r="A616" s="42">
        <v>271.05</v>
      </c>
      <c r="B616" s="39" t="s">
        <v>136</v>
      </c>
      <c r="C616" s="40"/>
      <c r="D616" s="42" t="s">
        <v>56</v>
      </c>
      <c r="E616" s="38"/>
      <c r="F616" s="43"/>
      <c r="G616" s="63" t="s">
        <v>2076</v>
      </c>
      <c r="H616" s="58" t="s">
        <v>2077</v>
      </c>
      <c r="I616" s="38"/>
      <c r="J616" s="38"/>
      <c r="K616" s="46"/>
      <c r="L616" s="47"/>
      <c r="M616" s="342">
        <v>7.5231481481481477E-3</v>
      </c>
      <c r="N616" s="342">
        <v>9.6759259259259264E-3</v>
      </c>
      <c r="O616" s="307">
        <f t="shared" si="13"/>
        <v>2.1527777777777786E-3</v>
      </c>
      <c r="P616" s="66">
        <v>43021</v>
      </c>
      <c r="Q616" s="410" t="str">
        <f t="shared" ca="1" si="18"/>
        <v>https://www.youtube.com/embed/_OWY_haNDNI?start=650&amp;end=836&amp;autoplay=1</v>
      </c>
      <c r="R616" s="39" t="s">
        <v>63</v>
      </c>
      <c r="S616" s="39" t="s">
        <v>2059</v>
      </c>
      <c r="T616" s="39" t="s">
        <v>63</v>
      </c>
      <c r="U616" s="40"/>
      <c r="V616" s="54"/>
      <c r="W616" s="69" t="s">
        <v>64</v>
      </c>
      <c r="X616" s="56"/>
      <c r="Y616" s="311"/>
      <c r="Z616" s="311"/>
    </row>
    <row r="617" spans="1:26">
      <c r="A617" s="42">
        <v>271.06</v>
      </c>
      <c r="B617" s="39" t="s">
        <v>136</v>
      </c>
      <c r="C617" s="40"/>
      <c r="D617" s="42" t="s">
        <v>56</v>
      </c>
      <c r="E617" s="38"/>
      <c r="F617" s="43"/>
      <c r="G617" s="63" t="s">
        <v>2994</v>
      </c>
      <c r="H617" s="58" t="s">
        <v>2082</v>
      </c>
      <c r="I617" s="38"/>
      <c r="J617" s="38"/>
      <c r="K617" s="46"/>
      <c r="L617" s="47"/>
      <c r="M617" s="342">
        <v>9.6874999999999999E-3</v>
      </c>
      <c r="N617" s="342">
        <v>1.2418981481481482E-2</v>
      </c>
      <c r="O617" s="307">
        <f t="shared" si="13"/>
        <v>2.7314814814814823E-3</v>
      </c>
      <c r="P617" s="66">
        <v>43025</v>
      </c>
      <c r="Q617" s="410" t="str">
        <f t="shared" ca="1" si="18"/>
        <v>https://www.youtube.com/embed/_OWY_haNDNI?start=837&amp;end=1073&amp;autoplay=1</v>
      </c>
      <c r="R617" s="39" t="s">
        <v>63</v>
      </c>
      <c r="S617" s="39" t="s">
        <v>2059</v>
      </c>
      <c r="T617" s="39" t="s">
        <v>63</v>
      </c>
      <c r="U617" s="40"/>
      <c r="V617" s="54"/>
      <c r="W617" s="69" t="s">
        <v>64</v>
      </c>
      <c r="X617" s="56"/>
      <c r="Y617" s="311"/>
      <c r="Z617" s="311"/>
    </row>
    <row r="618" spans="1:26">
      <c r="A618" s="42">
        <v>271.07</v>
      </c>
      <c r="B618" s="39" t="s">
        <v>136</v>
      </c>
      <c r="C618" s="40"/>
      <c r="D618" s="42" t="s">
        <v>56</v>
      </c>
      <c r="E618" s="38"/>
      <c r="F618" s="43"/>
      <c r="G618" s="63" t="s">
        <v>2995</v>
      </c>
      <c r="H618" s="58" t="s">
        <v>2087</v>
      </c>
      <c r="I618" s="38"/>
      <c r="J618" s="38"/>
      <c r="K618" s="46"/>
      <c r="L618" s="47"/>
      <c r="M618" s="342">
        <v>1.2430555555555556E-2</v>
      </c>
      <c r="N618" s="342">
        <v>1.3472222222222222E-2</v>
      </c>
      <c r="O618" s="307">
        <f t="shared" si="13"/>
        <v>1.0416666666666664E-3</v>
      </c>
      <c r="P618" s="66">
        <v>43025</v>
      </c>
      <c r="Q618" s="410" t="str">
        <f t="shared" ca="1" si="18"/>
        <v>https://www.youtube.com/embed/_OWY_haNDNI?start=1074&amp;end=1164&amp;autoplay=1</v>
      </c>
      <c r="R618" s="39" t="s">
        <v>63</v>
      </c>
      <c r="S618" s="39" t="s">
        <v>2059</v>
      </c>
      <c r="T618" s="39" t="s">
        <v>63</v>
      </c>
      <c r="U618" s="40"/>
      <c r="V618" s="54"/>
      <c r="W618" s="69" t="s">
        <v>64</v>
      </c>
      <c r="X618" s="56"/>
      <c r="Y618" s="311"/>
      <c r="Z618" s="311"/>
    </row>
    <row r="619" spans="1:26">
      <c r="A619" s="42">
        <v>271.08</v>
      </c>
      <c r="B619" s="39" t="s">
        <v>136</v>
      </c>
      <c r="C619" s="40"/>
      <c r="D619" s="42" t="s">
        <v>56</v>
      </c>
      <c r="E619" s="38"/>
      <c r="F619" s="43"/>
      <c r="G619" s="63" t="s">
        <v>2996</v>
      </c>
      <c r="H619" s="58" t="s">
        <v>2090</v>
      </c>
      <c r="I619" s="38"/>
      <c r="J619" s="38"/>
      <c r="K619" s="46"/>
      <c r="L619" s="47"/>
      <c r="M619" s="342">
        <v>1.3472222222222222E-2</v>
      </c>
      <c r="N619" s="342">
        <v>1.4918981481481481E-2</v>
      </c>
      <c r="O619" s="307">
        <f t="shared" si="13"/>
        <v>1.4467592592592587E-3</v>
      </c>
      <c r="P619" s="66">
        <v>43025</v>
      </c>
      <c r="Q619" s="410" t="str">
        <f t="shared" ca="1" si="18"/>
        <v>https://www.youtube.com/embed/_OWY_haNDNI?start=1164&amp;end=1289&amp;autoplay=1</v>
      </c>
      <c r="R619" s="39" t="s">
        <v>63</v>
      </c>
      <c r="S619" s="39" t="s">
        <v>2059</v>
      </c>
      <c r="T619" s="39" t="s">
        <v>63</v>
      </c>
      <c r="U619" s="40"/>
      <c r="V619" s="54"/>
      <c r="W619" s="69" t="s">
        <v>64</v>
      </c>
      <c r="X619" s="56"/>
      <c r="Y619" s="311"/>
      <c r="Z619" s="311"/>
    </row>
    <row r="620" spans="1:26">
      <c r="A620" s="42">
        <v>271.08999999999997</v>
      </c>
      <c r="B620" s="39" t="s">
        <v>136</v>
      </c>
      <c r="C620" s="40"/>
      <c r="D620" s="42" t="s">
        <v>56</v>
      </c>
      <c r="E620" s="38"/>
      <c r="F620" s="43"/>
      <c r="G620" s="63" t="s">
        <v>2093</v>
      </c>
      <c r="H620" s="58" t="s">
        <v>2094</v>
      </c>
      <c r="I620" s="38"/>
      <c r="J620" s="38"/>
      <c r="K620" s="46"/>
      <c r="L620" s="47"/>
      <c r="M620" s="342">
        <v>1.4918981481481481E-2</v>
      </c>
      <c r="N620" s="342">
        <v>1.5868055555555555E-2</v>
      </c>
      <c r="O620" s="307">
        <f t="shared" si="13"/>
        <v>9.490740740740744E-4</v>
      </c>
      <c r="P620" s="66">
        <v>43025</v>
      </c>
      <c r="Q620" s="410" t="str">
        <f t="shared" ca="1" si="18"/>
        <v>https://www.youtube.com/embed/_OWY_haNDNI?start=1289&amp;end=1371&amp;autoplay=1</v>
      </c>
      <c r="R620" s="39" t="s">
        <v>63</v>
      </c>
      <c r="S620" s="39" t="s">
        <v>2059</v>
      </c>
      <c r="T620" s="39" t="s">
        <v>63</v>
      </c>
      <c r="U620" s="40"/>
      <c r="V620" s="54"/>
      <c r="W620" s="69" t="s">
        <v>64</v>
      </c>
      <c r="X620" s="56"/>
      <c r="Y620" s="311"/>
      <c r="Z620" s="311"/>
    </row>
    <row r="621" spans="1:26">
      <c r="A621" s="85">
        <v>271.10000000000002</v>
      </c>
      <c r="B621" s="39" t="s">
        <v>136</v>
      </c>
      <c r="C621" s="40"/>
      <c r="D621" s="42" t="s">
        <v>56</v>
      </c>
      <c r="E621" s="38"/>
      <c r="F621" s="43"/>
      <c r="G621" s="63" t="s">
        <v>2097</v>
      </c>
      <c r="H621" s="58" t="s">
        <v>2098</v>
      </c>
      <c r="I621" s="38"/>
      <c r="J621" s="38"/>
      <c r="K621" s="46"/>
      <c r="L621" s="47"/>
      <c r="M621" s="342">
        <v>1.5879629629629629E-2</v>
      </c>
      <c r="N621" s="342">
        <v>1.7384259259259259E-2</v>
      </c>
      <c r="O621" s="307">
        <f t="shared" si="13"/>
        <v>1.5046296296296301E-3</v>
      </c>
      <c r="P621" s="66">
        <v>43025</v>
      </c>
      <c r="Q621" s="410" t="str">
        <f t="shared" ca="1" si="18"/>
        <v>https://www.youtube.com/embed/_OWY_haNDNI?start=1372&amp;end=1502&amp;autoplay=1</v>
      </c>
      <c r="R621" s="39" t="s">
        <v>63</v>
      </c>
      <c r="S621" s="39" t="s">
        <v>2059</v>
      </c>
      <c r="T621" s="39" t="s">
        <v>63</v>
      </c>
      <c r="U621" s="40"/>
      <c r="V621" s="54"/>
      <c r="W621" s="69" t="s">
        <v>64</v>
      </c>
      <c r="X621" s="56"/>
      <c r="Y621" s="311"/>
      <c r="Z621" s="311"/>
    </row>
    <row r="622" spans="1:26">
      <c r="A622" s="42">
        <v>271.11</v>
      </c>
      <c r="B622" s="39" t="s">
        <v>136</v>
      </c>
      <c r="C622" s="40"/>
      <c r="D622" s="42" t="s">
        <v>56</v>
      </c>
      <c r="E622" s="38"/>
      <c r="F622" s="43"/>
      <c r="G622" s="63" t="s">
        <v>2099</v>
      </c>
      <c r="H622" s="58" t="s">
        <v>2100</v>
      </c>
      <c r="I622" s="38"/>
      <c r="J622" s="38"/>
      <c r="K622" s="46"/>
      <c r="L622" s="47"/>
      <c r="M622" s="342">
        <v>1.7384259259259259E-2</v>
      </c>
      <c r="N622" s="342">
        <v>1.8993055555555555E-2</v>
      </c>
      <c r="O622" s="307">
        <f t="shared" si="13"/>
        <v>1.6087962962962957E-3</v>
      </c>
      <c r="P622" s="66">
        <v>43025</v>
      </c>
      <c r="Q622" s="410" t="str">
        <f t="shared" ca="1" si="18"/>
        <v>https://www.youtube.com/embed/_OWY_haNDNI?start=1502&amp;end=1641&amp;autoplay=1</v>
      </c>
      <c r="R622" s="39" t="s">
        <v>63</v>
      </c>
      <c r="S622" s="39" t="s">
        <v>2059</v>
      </c>
      <c r="T622" s="39" t="s">
        <v>63</v>
      </c>
      <c r="U622" s="40"/>
      <c r="V622" s="54"/>
      <c r="W622" s="69" t="s">
        <v>64</v>
      </c>
      <c r="X622" s="56"/>
      <c r="Y622" s="311"/>
      <c r="Z622" s="311"/>
    </row>
    <row r="623" spans="1:26">
      <c r="A623" s="42">
        <v>271.12</v>
      </c>
      <c r="B623" s="39" t="s">
        <v>136</v>
      </c>
      <c r="C623" s="40"/>
      <c r="D623" s="42" t="s">
        <v>56</v>
      </c>
      <c r="E623" s="38"/>
      <c r="F623" s="43"/>
      <c r="G623" s="63" t="s">
        <v>2103</v>
      </c>
      <c r="H623" s="58" t="s">
        <v>2104</v>
      </c>
      <c r="I623" s="38"/>
      <c r="J623" s="38"/>
      <c r="K623" s="46"/>
      <c r="L623" s="47"/>
      <c r="M623" s="342">
        <v>1.9097222222222224E-2</v>
      </c>
      <c r="N623" s="342">
        <v>2.0208333333333332E-2</v>
      </c>
      <c r="O623" s="307">
        <f t="shared" si="13"/>
        <v>1.1111111111111079E-3</v>
      </c>
      <c r="P623" s="66">
        <v>43025</v>
      </c>
      <c r="Q623" s="410" t="str">
        <f t="shared" ca="1" si="18"/>
        <v>https://www.youtube.com/embed/_OWY_haNDNI?start=1650&amp;end=1746&amp;autoplay=1</v>
      </c>
      <c r="R623" s="39" t="s">
        <v>63</v>
      </c>
      <c r="S623" s="39" t="s">
        <v>2059</v>
      </c>
      <c r="T623" s="39" t="s">
        <v>63</v>
      </c>
      <c r="U623" s="40"/>
      <c r="V623" s="54"/>
      <c r="W623" s="69" t="s">
        <v>64</v>
      </c>
      <c r="X623" s="56"/>
      <c r="Y623" s="311"/>
      <c r="Z623" s="311"/>
    </row>
    <row r="624" spans="1:26">
      <c r="A624" s="42">
        <v>271.13</v>
      </c>
      <c r="B624" s="39" t="s">
        <v>136</v>
      </c>
      <c r="C624" s="40"/>
      <c r="D624" s="42" t="s">
        <v>56</v>
      </c>
      <c r="E624" s="38"/>
      <c r="F624" s="43"/>
      <c r="G624" s="63" t="s">
        <v>2109</v>
      </c>
      <c r="H624" s="58" t="s">
        <v>2997</v>
      </c>
      <c r="I624" s="38"/>
      <c r="J624" s="38"/>
      <c r="K624" s="46"/>
      <c r="L624" s="47"/>
      <c r="M624" s="342">
        <v>2.0324074074074074E-2</v>
      </c>
      <c r="N624" s="342">
        <v>2.4016203703703703E-2</v>
      </c>
      <c r="O624" s="307">
        <f t="shared" si="13"/>
        <v>3.6921296296296285E-3</v>
      </c>
      <c r="P624" s="66">
        <v>43025</v>
      </c>
      <c r="Q624" s="410" t="str">
        <f t="shared" ca="1" si="18"/>
        <v>https://www.youtube.com/embed/_OWY_haNDNI?start=1756&amp;end=2075&amp;autoplay=1</v>
      </c>
      <c r="R624" s="39" t="s">
        <v>63</v>
      </c>
      <c r="S624" s="39" t="s">
        <v>2059</v>
      </c>
      <c r="T624" s="39" t="s">
        <v>63</v>
      </c>
      <c r="U624" s="40"/>
      <c r="V624" s="54"/>
      <c r="W624" s="69" t="s">
        <v>64</v>
      </c>
      <c r="X624" s="56"/>
      <c r="Y624" s="311"/>
      <c r="Z624" s="311"/>
    </row>
    <row r="625" spans="1:26">
      <c r="A625" s="42">
        <v>271.14</v>
      </c>
      <c r="B625" s="39" t="s">
        <v>136</v>
      </c>
      <c r="C625" s="40"/>
      <c r="D625" s="42" t="s">
        <v>56</v>
      </c>
      <c r="E625" s="38"/>
      <c r="F625" s="43"/>
      <c r="G625" s="63" t="s">
        <v>2117</v>
      </c>
      <c r="H625" s="58" t="s">
        <v>2118</v>
      </c>
      <c r="I625" s="38"/>
      <c r="J625" s="38"/>
      <c r="K625" s="46"/>
      <c r="L625" s="47"/>
      <c r="M625" s="342">
        <v>2.4097222222222221E-2</v>
      </c>
      <c r="N625" s="342">
        <v>2.4872685185185185E-2</v>
      </c>
      <c r="O625" s="307">
        <f t="shared" si="13"/>
        <v>7.7546296296296391E-4</v>
      </c>
      <c r="P625" s="66">
        <v>43025</v>
      </c>
      <c r="Q625" s="410" t="str">
        <f t="shared" ca="1" si="18"/>
        <v>https://www.youtube.com/embed/_OWY_haNDNI?start=2082&amp;end=2149&amp;autoplay=1</v>
      </c>
      <c r="R625" s="39" t="s">
        <v>63</v>
      </c>
      <c r="S625" s="39" t="s">
        <v>2059</v>
      </c>
      <c r="T625" s="39" t="s">
        <v>63</v>
      </c>
      <c r="U625" s="40"/>
      <c r="V625" s="54"/>
      <c r="W625" s="69" t="s">
        <v>64</v>
      </c>
      <c r="X625" s="56"/>
      <c r="Y625" s="311"/>
      <c r="Z625" s="311"/>
    </row>
    <row r="626" spans="1:26">
      <c r="A626" s="42">
        <v>271.14999999999998</v>
      </c>
      <c r="B626" s="39" t="s">
        <v>136</v>
      </c>
      <c r="C626" s="40"/>
      <c r="D626" s="42" t="s">
        <v>56</v>
      </c>
      <c r="E626" s="38"/>
      <c r="F626" s="43"/>
      <c r="G626" s="63" t="s">
        <v>2124</v>
      </c>
      <c r="H626" s="58" t="s">
        <v>2126</v>
      </c>
      <c r="I626" s="38"/>
      <c r="J626" s="38"/>
      <c r="K626" s="46"/>
      <c r="L626" s="47"/>
      <c r="M626" s="342">
        <v>2.6666666666666668E-2</v>
      </c>
      <c r="N626" s="342">
        <v>2.8750000000000001E-2</v>
      </c>
      <c r="O626" s="307">
        <f t="shared" si="13"/>
        <v>2.0833333333333329E-3</v>
      </c>
      <c r="P626" s="66">
        <v>43025</v>
      </c>
      <c r="Q626" s="410" t="str">
        <f t="shared" ca="1" si="18"/>
        <v>https://www.youtube.com/embed/_OWY_haNDNI?start=2304&amp;end=2484&amp;autoplay=1</v>
      </c>
      <c r="R626" s="39" t="s">
        <v>63</v>
      </c>
      <c r="S626" s="39" t="s">
        <v>2059</v>
      </c>
      <c r="T626" s="39" t="s">
        <v>63</v>
      </c>
      <c r="U626" s="40"/>
      <c r="V626" s="54"/>
      <c r="W626" s="69" t="s">
        <v>64</v>
      </c>
      <c r="X626" s="56"/>
      <c r="Y626" s="311"/>
      <c r="Z626" s="311"/>
    </row>
    <row r="627" spans="1:26">
      <c r="A627" s="42">
        <v>271.16000000000003</v>
      </c>
      <c r="B627" s="39" t="s">
        <v>136</v>
      </c>
      <c r="C627" s="40"/>
      <c r="D627" s="42" t="s">
        <v>56</v>
      </c>
      <c r="E627" s="38"/>
      <c r="F627" s="43"/>
      <c r="G627" s="63" t="s">
        <v>2129</v>
      </c>
      <c r="H627" s="58" t="s">
        <v>2132</v>
      </c>
      <c r="I627" s="38"/>
      <c r="J627" s="38"/>
      <c r="K627" s="46"/>
      <c r="L627" s="47"/>
      <c r="M627" s="342">
        <v>2.8981481481481483E-2</v>
      </c>
      <c r="N627" s="342">
        <v>3.0659722222222224E-2</v>
      </c>
      <c r="O627" s="307">
        <f t="shared" si="13"/>
        <v>1.6782407407407406E-3</v>
      </c>
      <c r="P627" s="66">
        <v>43025</v>
      </c>
      <c r="Q627" s="410" t="str">
        <f t="shared" ca="1" si="18"/>
        <v>https://www.youtube.com/embed/_OWY_haNDNI?start=2504&amp;end=2649&amp;autoplay=1</v>
      </c>
      <c r="R627" s="39" t="s">
        <v>63</v>
      </c>
      <c r="S627" s="39" t="s">
        <v>2059</v>
      </c>
      <c r="T627" s="39" t="s">
        <v>63</v>
      </c>
      <c r="U627" s="40"/>
      <c r="V627" s="54"/>
      <c r="W627" s="69" t="s">
        <v>64</v>
      </c>
      <c r="X627" s="56"/>
      <c r="Y627" s="311"/>
      <c r="Z627" s="311"/>
    </row>
    <row r="628" spans="1:26" hidden="1">
      <c r="A628" s="38">
        <v>272</v>
      </c>
      <c r="B628" s="38"/>
      <c r="C628" s="38"/>
      <c r="D628" s="38"/>
      <c r="E628" s="38" t="s">
        <v>1221</v>
      </c>
      <c r="F628" s="43" t="s">
        <v>1222</v>
      </c>
      <c r="G628" s="44"/>
      <c r="H628" s="45"/>
      <c r="I628" s="38"/>
      <c r="J628" s="38">
        <f>7.6*1000</f>
        <v>7600</v>
      </c>
      <c r="K628" s="46">
        <v>3.3298611111111112E-2</v>
      </c>
      <c r="L628" s="47" t="s">
        <v>1139</v>
      </c>
      <c r="M628" s="307"/>
      <c r="N628" s="307"/>
      <c r="O628" s="307">
        <f t="shared" si="13"/>
        <v>0</v>
      </c>
      <c r="P628" s="92"/>
      <c r="Q628" s="410" t="str">
        <f t="shared" ca="1" si="18"/>
        <v>https://www.youtube.com/watch?v=s1VIjn0qPQg</v>
      </c>
      <c r="R628" s="50"/>
      <c r="S628" s="50"/>
      <c r="T628" s="50"/>
      <c r="U628" s="52"/>
      <c r="V628" s="53"/>
      <c r="W628" s="60"/>
      <c r="X628" s="56"/>
      <c r="Y628" s="38"/>
      <c r="Z628" s="38"/>
    </row>
    <row r="629" spans="1:26">
      <c r="A629" s="38">
        <v>273</v>
      </c>
      <c r="B629" s="39" t="s">
        <v>136</v>
      </c>
      <c r="C629" s="40"/>
      <c r="D629" s="42" t="s">
        <v>56</v>
      </c>
      <c r="E629" s="38" t="s">
        <v>1225</v>
      </c>
      <c r="F629" s="43" t="s">
        <v>1226</v>
      </c>
      <c r="G629" s="44"/>
      <c r="H629" s="45"/>
      <c r="I629" s="38"/>
      <c r="J629" s="38">
        <f>12*1000</f>
        <v>12000</v>
      </c>
      <c r="K629" s="46">
        <v>3.005787037037037E-2</v>
      </c>
      <c r="L629" s="47" t="s">
        <v>1139</v>
      </c>
      <c r="M629" s="48"/>
      <c r="N629" s="48"/>
      <c r="O629" s="48">
        <f t="shared" si="13"/>
        <v>0</v>
      </c>
      <c r="P629" s="65">
        <v>43029</v>
      </c>
      <c r="Q629" s="410" t="str">
        <f t="shared" ca="1" si="18"/>
        <v>https://www.youtube.com/watch?v=NpqJHyWjh7A</v>
      </c>
      <c r="R629" s="51"/>
      <c r="S629" s="51"/>
      <c r="T629" s="51"/>
      <c r="U629" s="40"/>
      <c r="V629" s="54"/>
      <c r="W629" s="55"/>
      <c r="X629" s="56"/>
      <c r="Y629" s="88"/>
      <c r="Z629" s="88"/>
    </row>
    <row r="630" spans="1:26">
      <c r="A630" s="42">
        <v>273.01</v>
      </c>
      <c r="B630" s="39" t="s">
        <v>136</v>
      </c>
      <c r="C630" s="40"/>
      <c r="D630" s="42" t="s">
        <v>56</v>
      </c>
      <c r="E630" s="38"/>
      <c r="F630" s="43"/>
      <c r="G630" s="63" t="s">
        <v>2140</v>
      </c>
      <c r="H630" s="58" t="s">
        <v>2141</v>
      </c>
      <c r="I630" s="38"/>
      <c r="J630" s="38"/>
      <c r="K630" s="46"/>
      <c r="L630" s="47"/>
      <c r="M630" s="93">
        <v>1.4351851851851852E-3</v>
      </c>
      <c r="N630" s="93">
        <v>2.7314814814814814E-3</v>
      </c>
      <c r="O630" s="48">
        <f t="shared" si="13"/>
        <v>1.2962962962962963E-3</v>
      </c>
      <c r="P630" s="65">
        <v>43029</v>
      </c>
      <c r="Q630" s="410" t="str">
        <f t="shared" ca="1" si="18"/>
        <v>https://www.youtube.com/embed/NpqJHyWjh7A?start=124&amp;end=236&amp;autoplay=1</v>
      </c>
      <c r="R630" s="39" t="s">
        <v>63</v>
      </c>
      <c r="S630" s="39" t="s">
        <v>2059</v>
      </c>
      <c r="T630" s="39" t="s">
        <v>63</v>
      </c>
      <c r="U630" s="40"/>
      <c r="V630" s="54"/>
      <c r="W630" s="69" t="s">
        <v>64</v>
      </c>
      <c r="X630" s="71" t="s">
        <v>64</v>
      </c>
      <c r="Y630" s="96"/>
      <c r="Z630" s="96" t="s">
        <v>2144</v>
      </c>
    </row>
    <row r="631" spans="1:26">
      <c r="A631" s="42">
        <v>273.02</v>
      </c>
      <c r="B631" s="39" t="s">
        <v>136</v>
      </c>
      <c r="C631" s="40"/>
      <c r="D631" s="42" t="s">
        <v>56</v>
      </c>
      <c r="E631" s="38"/>
      <c r="F631" s="43"/>
      <c r="G631" s="63" t="s">
        <v>2145</v>
      </c>
      <c r="H631" s="58" t="s">
        <v>2146</v>
      </c>
      <c r="I631" s="38"/>
      <c r="J631" s="38"/>
      <c r="K631" s="46"/>
      <c r="L631" s="47"/>
      <c r="M631" s="93">
        <v>2.8240740740740739E-3</v>
      </c>
      <c r="N631" s="93">
        <v>4.5833333333333334E-3</v>
      </c>
      <c r="O631" s="48">
        <f t="shared" si="13"/>
        <v>1.7592592592592595E-3</v>
      </c>
      <c r="P631" s="65">
        <v>43029</v>
      </c>
      <c r="Q631" s="410" t="str">
        <f t="shared" ca="1" si="18"/>
        <v>https://www.youtube.com/embed/NpqJHyWjh7A?start=244&amp;end=396&amp;autoplay=1</v>
      </c>
      <c r="R631" s="39" t="s">
        <v>63</v>
      </c>
      <c r="S631" s="39" t="s">
        <v>2059</v>
      </c>
      <c r="T631" s="39" t="s">
        <v>63</v>
      </c>
      <c r="U631" s="40"/>
      <c r="V631" s="54"/>
      <c r="W631" s="69" t="s">
        <v>64</v>
      </c>
      <c r="X631" s="71"/>
      <c r="Y631" s="96"/>
      <c r="Z631" s="96"/>
    </row>
    <row r="632" spans="1:26">
      <c r="A632" s="42">
        <v>273.02999999999997</v>
      </c>
      <c r="B632" s="39" t="s">
        <v>136</v>
      </c>
      <c r="C632" s="40"/>
      <c r="D632" s="42" t="s">
        <v>56</v>
      </c>
      <c r="E632" s="38"/>
      <c r="F632" s="43"/>
      <c r="G632" s="63" t="s">
        <v>2151</v>
      </c>
      <c r="H632" s="58" t="s">
        <v>2152</v>
      </c>
      <c r="I632" s="38"/>
      <c r="J632" s="38"/>
      <c r="K632" s="46"/>
      <c r="L632" s="47"/>
      <c r="M632" s="93">
        <v>4.5949074074074078E-3</v>
      </c>
      <c r="N632" s="93">
        <v>6.2037037037037035E-3</v>
      </c>
      <c r="O632" s="48">
        <f t="shared" si="13"/>
        <v>1.6087962962962957E-3</v>
      </c>
      <c r="P632" s="65">
        <v>43042</v>
      </c>
      <c r="Q632" s="410" t="str">
        <f t="shared" ca="1" si="18"/>
        <v>https://www.youtube.com/embed/NpqJHyWjh7A?start=397&amp;end=536&amp;autoplay=1</v>
      </c>
      <c r="R632" s="39" t="s">
        <v>63</v>
      </c>
      <c r="S632" s="39" t="s">
        <v>63</v>
      </c>
      <c r="T632" s="39" t="s">
        <v>63</v>
      </c>
      <c r="U632" s="40"/>
      <c r="V632" s="54"/>
      <c r="W632" s="69"/>
      <c r="X632" s="71" t="s">
        <v>64</v>
      </c>
      <c r="Y632" s="96"/>
      <c r="Z632" s="96" t="s">
        <v>2155</v>
      </c>
    </row>
    <row r="633" spans="1:26">
      <c r="A633" s="42">
        <v>273.04000000000002</v>
      </c>
      <c r="B633" s="39" t="s">
        <v>136</v>
      </c>
      <c r="C633" s="40"/>
      <c r="D633" s="42" t="s">
        <v>56</v>
      </c>
      <c r="E633" s="38"/>
      <c r="F633" s="43"/>
      <c r="G633" s="63" t="s">
        <v>2156</v>
      </c>
      <c r="H633" s="58" t="s">
        <v>2157</v>
      </c>
      <c r="I633" s="38"/>
      <c r="J633" s="38"/>
      <c r="K633" s="46"/>
      <c r="L633" s="47"/>
      <c r="M633" s="93">
        <v>6.2152777777777779E-3</v>
      </c>
      <c r="N633" s="76">
        <v>8.2291666666666659E-3</v>
      </c>
      <c r="O633" s="77">
        <f t="shared" si="13"/>
        <v>2.013888888888888E-3</v>
      </c>
      <c r="P633" s="65">
        <v>43042</v>
      </c>
      <c r="Q633" s="410" t="str">
        <f t="shared" ca="1" si="18"/>
        <v>https://www.youtube.com/embed/NpqJHyWjh7A?start=537&amp;end=711&amp;autoplay=1</v>
      </c>
      <c r="R633" s="39" t="s">
        <v>63</v>
      </c>
      <c r="S633" s="39" t="s">
        <v>63</v>
      </c>
      <c r="T633" s="39" t="s">
        <v>63</v>
      </c>
      <c r="U633" s="40"/>
      <c r="V633" s="54"/>
      <c r="W633" s="69" t="s">
        <v>64</v>
      </c>
      <c r="X633" s="71"/>
      <c r="Y633" s="96"/>
      <c r="Z633" s="96"/>
    </row>
    <row r="634" spans="1:26">
      <c r="A634" s="42">
        <v>273.05</v>
      </c>
      <c r="B634" s="39" t="s">
        <v>136</v>
      </c>
      <c r="C634" s="40"/>
      <c r="D634" s="42" t="s">
        <v>56</v>
      </c>
      <c r="E634" s="38"/>
      <c r="F634" s="43"/>
      <c r="G634" s="63" t="s">
        <v>2158</v>
      </c>
      <c r="H634" s="58" t="s">
        <v>2159</v>
      </c>
      <c r="I634" s="38"/>
      <c r="J634" s="38"/>
      <c r="K634" s="46"/>
      <c r="L634" s="47"/>
      <c r="M634" s="93">
        <v>8.2407407407407412E-3</v>
      </c>
      <c r="N634" s="76">
        <v>9.3171296296296301E-3</v>
      </c>
      <c r="O634" s="77">
        <f t="shared" si="13"/>
        <v>1.0763888888888889E-3</v>
      </c>
      <c r="P634" s="65">
        <v>43042</v>
      </c>
      <c r="Q634" s="410" t="str">
        <f t="shared" ca="1" si="18"/>
        <v>https://www.youtube.com/embed/NpqJHyWjh7A?start=712&amp;end=805&amp;autoplay=1</v>
      </c>
      <c r="R634" s="39" t="s">
        <v>63</v>
      </c>
      <c r="S634" s="39" t="s">
        <v>63</v>
      </c>
      <c r="T634" s="39" t="s">
        <v>63</v>
      </c>
      <c r="U634" s="40"/>
      <c r="V634" s="54"/>
      <c r="W634" s="69" t="s">
        <v>64</v>
      </c>
      <c r="X634" s="71"/>
      <c r="Y634" s="96"/>
      <c r="Z634" s="96"/>
    </row>
    <row r="635" spans="1:26">
      <c r="A635" s="42">
        <v>273.06</v>
      </c>
      <c r="B635" s="39" t="s">
        <v>136</v>
      </c>
      <c r="C635" s="40"/>
      <c r="D635" s="42" t="s">
        <v>56</v>
      </c>
      <c r="E635" s="38"/>
      <c r="F635" s="43"/>
      <c r="G635" s="63" t="s">
        <v>2162</v>
      </c>
      <c r="H635" s="58" t="s">
        <v>2163</v>
      </c>
      <c r="I635" s="38"/>
      <c r="J635" s="38"/>
      <c r="K635" s="46"/>
      <c r="L635" s="47"/>
      <c r="M635" s="93">
        <v>9.3171296296296301E-3</v>
      </c>
      <c r="N635" s="76">
        <v>1.1284722222222222E-2</v>
      </c>
      <c r="O635" s="77">
        <f t="shared" si="13"/>
        <v>1.967592592592592E-3</v>
      </c>
      <c r="P635" s="65">
        <v>43042</v>
      </c>
      <c r="Q635" s="410" t="str">
        <f t="shared" ca="1" si="18"/>
        <v>https://www.youtube.com/embed/NpqJHyWjh7A?start=805&amp;end=975&amp;autoplay=1</v>
      </c>
      <c r="R635" s="39" t="s">
        <v>63</v>
      </c>
      <c r="S635" s="39" t="s">
        <v>63</v>
      </c>
      <c r="T635" s="39" t="s">
        <v>63</v>
      </c>
      <c r="U635" s="40"/>
      <c r="V635" s="54"/>
      <c r="W635" s="69" t="s">
        <v>64</v>
      </c>
      <c r="X635" s="71"/>
      <c r="Y635" s="96"/>
      <c r="Z635" s="96" t="s">
        <v>2164</v>
      </c>
    </row>
    <row r="636" spans="1:26">
      <c r="A636" s="42">
        <v>273.07</v>
      </c>
      <c r="B636" s="39" t="s">
        <v>136</v>
      </c>
      <c r="C636" s="40"/>
      <c r="D636" s="42" t="s">
        <v>56</v>
      </c>
      <c r="E636" s="38"/>
      <c r="F636" s="43"/>
      <c r="G636" s="63" t="s">
        <v>2167</v>
      </c>
      <c r="H636" s="58" t="s">
        <v>2168</v>
      </c>
      <c r="I636" s="38"/>
      <c r="J636" s="38"/>
      <c r="K636" s="46"/>
      <c r="L636" s="47"/>
      <c r="M636" s="93">
        <v>1.1319444444444444E-2</v>
      </c>
      <c r="N636" s="76">
        <v>1.2152777777777778E-2</v>
      </c>
      <c r="O636" s="77">
        <f t="shared" si="13"/>
        <v>8.333333333333335E-4</v>
      </c>
      <c r="P636" s="65">
        <v>43042</v>
      </c>
      <c r="Q636" s="410" t="str">
        <f t="shared" ca="1" si="18"/>
        <v>https://www.youtube.com/embed/NpqJHyWjh7A?start=978&amp;end=1050&amp;autoplay=1</v>
      </c>
      <c r="R636" s="39" t="s">
        <v>63</v>
      </c>
      <c r="S636" s="39" t="s">
        <v>63</v>
      </c>
      <c r="T636" s="39" t="s">
        <v>63</v>
      </c>
      <c r="U636" s="40"/>
      <c r="V636" s="54"/>
      <c r="W636" s="69" t="s">
        <v>64</v>
      </c>
      <c r="X636" s="71"/>
      <c r="Y636" s="96"/>
      <c r="Z636" s="96"/>
    </row>
    <row r="637" spans="1:26">
      <c r="A637" s="42">
        <v>273.08</v>
      </c>
      <c r="B637" s="39" t="s">
        <v>136</v>
      </c>
      <c r="C637" s="40"/>
      <c r="D637" s="42" t="s">
        <v>56</v>
      </c>
      <c r="E637" s="38"/>
      <c r="F637" s="43"/>
      <c r="G637" s="63" t="s">
        <v>2171</v>
      </c>
      <c r="H637" s="58" t="s">
        <v>2172</v>
      </c>
      <c r="I637" s="38"/>
      <c r="J637" s="38"/>
      <c r="K637" s="46"/>
      <c r="L637" s="47"/>
      <c r="M637" s="93">
        <v>1.2164351851851852E-2</v>
      </c>
      <c r="N637" s="76">
        <v>1.3402777777777777E-2</v>
      </c>
      <c r="O637" s="77">
        <f t="shared" si="13"/>
        <v>1.2384259259259258E-3</v>
      </c>
      <c r="P637" s="65">
        <v>43042</v>
      </c>
      <c r="Q637" s="410" t="str">
        <f t="shared" ca="1" si="18"/>
        <v>https://www.youtube.com/embed/NpqJHyWjh7A?start=1051&amp;end=1158&amp;autoplay=1</v>
      </c>
      <c r="R637" s="39" t="s">
        <v>63</v>
      </c>
      <c r="S637" s="39" t="s">
        <v>63</v>
      </c>
      <c r="T637" s="39" t="s">
        <v>63</v>
      </c>
      <c r="U637" s="40"/>
      <c r="V637" s="54"/>
      <c r="W637" s="69" t="s">
        <v>64</v>
      </c>
      <c r="X637" s="71"/>
      <c r="Y637" s="96"/>
      <c r="Z637" s="96"/>
    </row>
    <row r="638" spans="1:26">
      <c r="A638" s="42">
        <v>273.08999999999997</v>
      </c>
      <c r="B638" s="39" t="s">
        <v>136</v>
      </c>
      <c r="C638" s="40"/>
      <c r="D638" s="42" t="s">
        <v>56</v>
      </c>
      <c r="E638" s="38"/>
      <c r="F638" s="43"/>
      <c r="G638" s="63" t="s">
        <v>2175</v>
      </c>
      <c r="H638" s="58" t="s">
        <v>2176</v>
      </c>
      <c r="I638" s="38"/>
      <c r="J638" s="38"/>
      <c r="K638" s="46"/>
      <c r="L638" s="47"/>
      <c r="M638" s="93">
        <v>1.3402777777777777E-2</v>
      </c>
      <c r="N638" s="76">
        <v>1.4583333333333334E-2</v>
      </c>
      <c r="O638" s="77">
        <f t="shared" si="13"/>
        <v>1.1805555555555562E-3</v>
      </c>
      <c r="P638" s="65">
        <v>43042</v>
      </c>
      <c r="Q638" s="410" t="str">
        <f t="shared" ca="1" si="18"/>
        <v>https://www.youtube.com/embed/NpqJHyWjh7A?start=1158&amp;end=1260&amp;autoplay=1</v>
      </c>
      <c r="R638" s="39" t="s">
        <v>63</v>
      </c>
      <c r="S638" s="39" t="s">
        <v>63</v>
      </c>
      <c r="T638" s="39" t="s">
        <v>63</v>
      </c>
      <c r="U638" s="40"/>
      <c r="V638" s="54"/>
      <c r="W638" s="69" t="s">
        <v>64</v>
      </c>
      <c r="X638" s="71"/>
      <c r="Y638" s="96"/>
      <c r="Z638" s="96"/>
    </row>
    <row r="639" spans="1:26">
      <c r="A639" s="85">
        <v>273.10000000000002</v>
      </c>
      <c r="B639" s="39" t="s">
        <v>136</v>
      </c>
      <c r="C639" s="40"/>
      <c r="D639" s="42" t="s">
        <v>56</v>
      </c>
      <c r="E639" s="38"/>
      <c r="F639" s="43"/>
      <c r="G639" s="63" t="s">
        <v>2179</v>
      </c>
      <c r="H639" s="58" t="s">
        <v>2180</v>
      </c>
      <c r="I639" s="38"/>
      <c r="J639" s="38"/>
      <c r="K639" s="46"/>
      <c r="L639" s="47"/>
      <c r="M639" s="93">
        <v>1.4583333333333334E-2</v>
      </c>
      <c r="N639" s="76">
        <v>1.6759259259259258E-2</v>
      </c>
      <c r="O639" s="77">
        <f t="shared" si="13"/>
        <v>2.1759259259259249E-3</v>
      </c>
      <c r="P639" s="65">
        <v>43042</v>
      </c>
      <c r="Q639" s="410" t="str">
        <f t="shared" ca="1" si="18"/>
        <v>https://www.youtube.com/embed/NpqJHyWjh7A?start=1260&amp;end=1448&amp;autoplay=1</v>
      </c>
      <c r="R639" s="39" t="s">
        <v>63</v>
      </c>
      <c r="S639" s="39" t="s">
        <v>63</v>
      </c>
      <c r="T639" s="39" t="s">
        <v>63</v>
      </c>
      <c r="U639" s="40"/>
      <c r="V639" s="54"/>
      <c r="W639" s="69" t="s">
        <v>64</v>
      </c>
      <c r="X639" s="71"/>
      <c r="Y639" s="96"/>
      <c r="Z639" s="96"/>
    </row>
    <row r="640" spans="1:26">
      <c r="A640" s="42">
        <v>273.11</v>
      </c>
      <c r="B640" s="39" t="s">
        <v>136</v>
      </c>
      <c r="C640" s="40"/>
      <c r="D640" s="42" t="s">
        <v>56</v>
      </c>
      <c r="E640" s="38"/>
      <c r="F640" s="43"/>
      <c r="G640" s="63" t="s">
        <v>2181</v>
      </c>
      <c r="H640" s="58" t="s">
        <v>2184</v>
      </c>
      <c r="I640" s="38"/>
      <c r="J640" s="38"/>
      <c r="K640" s="46"/>
      <c r="L640" s="47"/>
      <c r="M640" s="93">
        <v>1.6759259259259258E-2</v>
      </c>
      <c r="N640" s="76">
        <v>1.8298611111111113E-2</v>
      </c>
      <c r="O640" s="77">
        <f t="shared" si="13"/>
        <v>1.5393518518518542E-3</v>
      </c>
      <c r="P640" s="65">
        <v>43042</v>
      </c>
      <c r="Q640" s="410" t="str">
        <f t="shared" ca="1" si="18"/>
        <v>https://www.youtube.com/embed/NpqJHyWjh7A?start=1448&amp;end=1581&amp;autoplay=1</v>
      </c>
      <c r="R640" s="39" t="s">
        <v>63</v>
      </c>
      <c r="S640" s="39" t="s">
        <v>63</v>
      </c>
      <c r="T640" s="39" t="s">
        <v>63</v>
      </c>
      <c r="U640" s="40"/>
      <c r="V640" s="54"/>
      <c r="W640" s="69" t="s">
        <v>64</v>
      </c>
      <c r="X640" s="71"/>
      <c r="Y640" s="96"/>
      <c r="Z640" s="96"/>
    </row>
    <row r="641" spans="1:26">
      <c r="A641" s="42">
        <v>273.12</v>
      </c>
      <c r="B641" s="39" t="s">
        <v>136</v>
      </c>
      <c r="C641" s="40"/>
      <c r="D641" s="42" t="s">
        <v>56</v>
      </c>
      <c r="E641" s="38"/>
      <c r="F641" s="43"/>
      <c r="G641" s="63" t="s">
        <v>2185</v>
      </c>
      <c r="H641" s="58" t="s">
        <v>2186</v>
      </c>
      <c r="I641" s="38"/>
      <c r="J641" s="38"/>
      <c r="K641" s="46"/>
      <c r="L641" s="47"/>
      <c r="M641" s="93">
        <v>1.8298611111111113E-2</v>
      </c>
      <c r="N641" s="76">
        <v>1.9120370370370371E-2</v>
      </c>
      <c r="O641" s="77">
        <f t="shared" si="13"/>
        <v>8.2175925925925819E-4</v>
      </c>
      <c r="P641" s="65">
        <v>43042</v>
      </c>
      <c r="Q641" s="410" t="str">
        <f t="shared" ca="1" si="18"/>
        <v>https://www.youtube.com/embed/NpqJHyWjh7A?start=1581&amp;end=1652&amp;autoplay=1</v>
      </c>
      <c r="R641" s="39" t="s">
        <v>63</v>
      </c>
      <c r="S641" s="39" t="s">
        <v>63</v>
      </c>
      <c r="T641" s="39" t="s">
        <v>63</v>
      </c>
      <c r="U641" s="40"/>
      <c r="V641" s="54"/>
      <c r="W641" s="69" t="s">
        <v>64</v>
      </c>
      <c r="X641" s="71"/>
      <c r="Y641" s="96"/>
      <c r="Z641" s="96"/>
    </row>
    <row r="642" spans="1:26">
      <c r="A642" s="42">
        <v>273.13</v>
      </c>
      <c r="B642" s="39" t="s">
        <v>136</v>
      </c>
      <c r="C642" s="40"/>
      <c r="D642" s="42" t="s">
        <v>56</v>
      </c>
      <c r="E642" s="38"/>
      <c r="F642" s="43"/>
      <c r="G642" s="63" t="s">
        <v>2189</v>
      </c>
      <c r="H642" s="58" t="s">
        <v>2190</v>
      </c>
      <c r="I642" s="38"/>
      <c r="J642" s="38"/>
      <c r="K642" s="46"/>
      <c r="L642" s="47"/>
      <c r="M642" s="93">
        <v>1.9201388888888889E-2</v>
      </c>
      <c r="N642" s="76">
        <v>2.3993055555555556E-2</v>
      </c>
      <c r="O642" s="77">
        <f t="shared" si="13"/>
        <v>4.7916666666666663E-3</v>
      </c>
      <c r="P642" s="65">
        <v>43042</v>
      </c>
      <c r="Q642" s="410" t="str">
        <f t="shared" ca="1" si="18"/>
        <v>https://www.youtube.com/embed/NpqJHyWjh7A?start=1659&amp;end=2073&amp;autoplay=1</v>
      </c>
      <c r="R642" s="39" t="s">
        <v>63</v>
      </c>
      <c r="S642" s="39" t="s">
        <v>63</v>
      </c>
      <c r="T642" s="39" t="s">
        <v>63</v>
      </c>
      <c r="U642" s="40"/>
      <c r="V642" s="54"/>
      <c r="W642" s="69" t="s">
        <v>64</v>
      </c>
      <c r="X642" s="71"/>
      <c r="Y642" s="96"/>
      <c r="Z642" s="96"/>
    </row>
    <row r="643" spans="1:26">
      <c r="A643" s="42">
        <v>273.14</v>
      </c>
      <c r="B643" s="39" t="s">
        <v>136</v>
      </c>
      <c r="C643" s="40"/>
      <c r="D643" s="42" t="s">
        <v>56</v>
      </c>
      <c r="E643" s="38"/>
      <c r="F643" s="43"/>
      <c r="G643" s="63" t="s">
        <v>2193</v>
      </c>
      <c r="H643" s="58" t="s">
        <v>2194</v>
      </c>
      <c r="I643" s="38"/>
      <c r="J643" s="38"/>
      <c r="K643" s="46"/>
      <c r="L643" s="47"/>
      <c r="M643" s="93">
        <v>2.420138888888889E-2</v>
      </c>
      <c r="N643" s="76">
        <v>2.9201388888888888E-2</v>
      </c>
      <c r="O643" s="77">
        <f t="shared" si="13"/>
        <v>4.9999999999999975E-3</v>
      </c>
      <c r="P643" s="65">
        <v>43042</v>
      </c>
      <c r="Q643" s="410" t="str">
        <f t="shared" ref="Q643:Q706" ca="1" si="19">HYPERLINK(IF(INT(A643)-A643=0,E643,REPLACE(INDIRECT("MasterList!e"&amp;INT(A643)+1),25,8,"embed/")&amp;"?start="&amp;HOUR(M643)*3600+MINUTE(M643)*60+SECOND(M643)&amp;"&amp;end="&amp;HOUR(N643)*3600+MINUTE(N643)*60+SECOND(N643)&amp;"&amp;autoplay=1"))</f>
        <v>https://www.youtube.com/embed/NpqJHyWjh7A?start=2091&amp;end=2523&amp;autoplay=1</v>
      </c>
      <c r="R643" s="39" t="s">
        <v>63</v>
      </c>
      <c r="S643" s="39" t="s">
        <v>63</v>
      </c>
      <c r="T643" s="39" t="s">
        <v>63</v>
      </c>
      <c r="U643" s="40"/>
      <c r="V643" s="54"/>
      <c r="W643" s="69" t="s">
        <v>64</v>
      </c>
      <c r="X643" s="71"/>
      <c r="Y643" s="96"/>
      <c r="Z643" s="96" t="s">
        <v>2195</v>
      </c>
    </row>
    <row r="644" spans="1:26">
      <c r="A644" s="38">
        <v>274</v>
      </c>
      <c r="B644" s="39" t="s">
        <v>136</v>
      </c>
      <c r="C644" s="40"/>
      <c r="D644" s="42" t="s">
        <v>56</v>
      </c>
      <c r="E644" s="38" t="s">
        <v>1229</v>
      </c>
      <c r="F644" s="43" t="s">
        <v>1230</v>
      </c>
      <c r="G644" s="44"/>
      <c r="H644" s="45"/>
      <c r="I644" s="38"/>
      <c r="J644" s="38">
        <f>4.4*1000</f>
        <v>4400</v>
      </c>
      <c r="K644" s="46">
        <v>2.0902777777777781E-2</v>
      </c>
      <c r="L644" s="47" t="s">
        <v>1139</v>
      </c>
      <c r="M644" s="38"/>
      <c r="N644" s="38"/>
      <c r="O644" s="38"/>
      <c r="P644" s="65">
        <v>43043</v>
      </c>
      <c r="Q644" s="410" t="str">
        <f t="shared" ca="1" si="19"/>
        <v>https://www.youtube.com/watch?v=m9xF54UZFuY</v>
      </c>
      <c r="R644" s="51"/>
      <c r="S644" s="51"/>
      <c r="T644" s="51"/>
      <c r="U644" s="40"/>
      <c r="V644" s="54"/>
      <c r="W644" s="55"/>
      <c r="X644" s="56"/>
      <c r="Y644" s="88"/>
      <c r="Z644" s="88"/>
    </row>
    <row r="645" spans="1:26">
      <c r="A645" s="42">
        <v>274.01</v>
      </c>
      <c r="B645" s="39" t="s">
        <v>136</v>
      </c>
      <c r="C645" s="40"/>
      <c r="D645" s="42" t="s">
        <v>56</v>
      </c>
      <c r="E645" s="38"/>
      <c r="F645" s="43"/>
      <c r="G645" s="63" t="s">
        <v>2198</v>
      </c>
      <c r="H645" s="58" t="s">
        <v>2199</v>
      </c>
      <c r="I645" s="38"/>
      <c r="J645" s="38"/>
      <c r="K645" s="46"/>
      <c r="L645" s="47"/>
      <c r="M645" s="76">
        <v>7.9861111111111116E-4</v>
      </c>
      <c r="N645" s="76">
        <v>1.3425925925925925E-3</v>
      </c>
      <c r="O645" s="77">
        <f t="shared" ref="O645:O1198" si="20">N645-M645</f>
        <v>5.4398148148148133E-4</v>
      </c>
      <c r="P645" s="65">
        <v>43043</v>
      </c>
      <c r="Q645" s="410" t="str">
        <f t="shared" ca="1" si="19"/>
        <v>https://www.youtube.com/embed/m9xF54UZFuY?start=69&amp;end=116&amp;autoplay=1</v>
      </c>
      <c r="R645" s="39" t="s">
        <v>63</v>
      </c>
      <c r="S645" s="39" t="s">
        <v>2059</v>
      </c>
      <c r="T645" s="39" t="s">
        <v>63</v>
      </c>
      <c r="U645" s="40"/>
      <c r="V645" s="54"/>
      <c r="W645" s="69" t="s">
        <v>64</v>
      </c>
      <c r="X645" s="56"/>
      <c r="Y645" s="88"/>
      <c r="Z645" s="96" t="s">
        <v>2202</v>
      </c>
    </row>
    <row r="646" spans="1:26">
      <c r="A646" s="42">
        <v>274.02</v>
      </c>
      <c r="B646" s="39" t="s">
        <v>136</v>
      </c>
      <c r="C646" s="40"/>
      <c r="D646" s="42" t="s">
        <v>56</v>
      </c>
      <c r="E646" s="38"/>
      <c r="F646" s="43"/>
      <c r="G646" s="63" t="s">
        <v>2203</v>
      </c>
      <c r="H646" s="58" t="s">
        <v>2204</v>
      </c>
      <c r="I646" s="38"/>
      <c r="J646" s="38"/>
      <c r="K646" s="46"/>
      <c r="L646" s="47"/>
      <c r="M646" s="76">
        <v>1.3541666666666667E-3</v>
      </c>
      <c r="N646" s="76">
        <v>2.2916666666666667E-3</v>
      </c>
      <c r="O646" s="77">
        <f t="shared" si="20"/>
        <v>9.3749999999999997E-4</v>
      </c>
      <c r="P646" s="65">
        <v>43043</v>
      </c>
      <c r="Q646" s="410" t="str">
        <f t="shared" ca="1" si="19"/>
        <v>https://www.youtube.com/embed/m9xF54UZFuY?start=117&amp;end=198&amp;autoplay=1</v>
      </c>
      <c r="R646" s="39" t="s">
        <v>63</v>
      </c>
      <c r="S646" s="39" t="s">
        <v>63</v>
      </c>
      <c r="T646" s="39" t="s">
        <v>63</v>
      </c>
      <c r="U646" s="40"/>
      <c r="V646" s="54"/>
      <c r="W646" s="69" t="s">
        <v>64</v>
      </c>
      <c r="X646" s="56"/>
      <c r="Y646" s="88"/>
      <c r="Z646" s="96" t="s">
        <v>2207</v>
      </c>
    </row>
    <row r="647" spans="1:26">
      <c r="A647" s="42">
        <v>274.02999999999997</v>
      </c>
      <c r="B647" s="39" t="s">
        <v>136</v>
      </c>
      <c r="C647" s="40"/>
      <c r="D647" s="42" t="s">
        <v>56</v>
      </c>
      <c r="E647" s="38"/>
      <c r="F647" s="43"/>
      <c r="G647" s="63" t="s">
        <v>2208</v>
      </c>
      <c r="H647" s="58" t="s">
        <v>2209</v>
      </c>
      <c r="I647" s="38"/>
      <c r="J647" s="38"/>
      <c r="K647" s="46"/>
      <c r="L647" s="47"/>
      <c r="M647" s="76">
        <v>2.5694444444444445E-3</v>
      </c>
      <c r="N647" s="76">
        <v>3.7962962962962963E-3</v>
      </c>
      <c r="O647" s="77">
        <f t="shared" si="20"/>
        <v>1.2268518518518518E-3</v>
      </c>
      <c r="P647" s="65">
        <v>43043</v>
      </c>
      <c r="Q647" s="410" t="str">
        <f t="shared" ca="1" si="19"/>
        <v>https://www.youtube.com/embed/m9xF54UZFuY?start=222&amp;end=328&amp;autoplay=1</v>
      </c>
      <c r="R647" s="39" t="s">
        <v>63</v>
      </c>
      <c r="S647" s="39" t="s">
        <v>63</v>
      </c>
      <c r="T647" s="39" t="s">
        <v>63</v>
      </c>
      <c r="U647" s="40"/>
      <c r="V647" s="54"/>
      <c r="W647" s="69" t="s">
        <v>64</v>
      </c>
      <c r="X647" s="56"/>
      <c r="Y647" s="88"/>
      <c r="Z647" s="96" t="s">
        <v>2207</v>
      </c>
    </row>
    <row r="648" spans="1:26">
      <c r="A648" s="42">
        <v>274.04000000000002</v>
      </c>
      <c r="B648" s="39" t="s">
        <v>136</v>
      </c>
      <c r="C648" s="40"/>
      <c r="D648" s="42" t="s">
        <v>56</v>
      </c>
      <c r="E648" s="38"/>
      <c r="F648" s="43"/>
      <c r="G648" s="63" t="s">
        <v>2210</v>
      </c>
      <c r="H648" s="58" t="s">
        <v>2211</v>
      </c>
      <c r="I648" s="38"/>
      <c r="J648" s="38"/>
      <c r="K648" s="46"/>
      <c r="L648" s="47"/>
      <c r="M648" s="76">
        <v>3.7962962962962963E-3</v>
      </c>
      <c r="N648" s="76">
        <v>5.0000000000000001E-3</v>
      </c>
      <c r="O648" s="77">
        <f t="shared" si="20"/>
        <v>1.2037037037037038E-3</v>
      </c>
      <c r="P648" s="65">
        <v>43043</v>
      </c>
      <c r="Q648" s="410" t="str">
        <f t="shared" ca="1" si="19"/>
        <v>https://www.youtube.com/embed/m9xF54UZFuY?start=328&amp;end=432&amp;autoplay=1</v>
      </c>
      <c r="R648" s="39" t="s">
        <v>63</v>
      </c>
      <c r="S648" s="39" t="s">
        <v>63</v>
      </c>
      <c r="T648" s="39" t="s">
        <v>63</v>
      </c>
      <c r="U648" s="40"/>
      <c r="V648" s="54"/>
      <c r="W648" s="69" t="s">
        <v>64</v>
      </c>
      <c r="X648" s="56"/>
      <c r="Y648" s="88"/>
      <c r="Z648" s="96" t="s">
        <v>2214</v>
      </c>
    </row>
    <row r="649" spans="1:26">
      <c r="A649" s="42">
        <v>274.05</v>
      </c>
      <c r="B649" s="39" t="s">
        <v>136</v>
      </c>
      <c r="C649" s="40"/>
      <c r="D649" s="42" t="s">
        <v>56</v>
      </c>
      <c r="E649" s="38"/>
      <c r="F649" s="43"/>
      <c r="G649" s="63" t="s">
        <v>2215</v>
      </c>
      <c r="H649" s="58" t="s">
        <v>2216</v>
      </c>
      <c r="I649" s="38"/>
      <c r="J649" s="38"/>
      <c r="K649" s="46"/>
      <c r="L649" s="47"/>
      <c r="M649" s="76">
        <v>5.0000000000000001E-3</v>
      </c>
      <c r="N649" s="76">
        <v>6.9675925925925929E-3</v>
      </c>
      <c r="O649" s="77">
        <f t="shared" si="20"/>
        <v>1.9675925925925928E-3</v>
      </c>
      <c r="P649" s="65">
        <v>43043</v>
      </c>
      <c r="Q649" s="410" t="str">
        <f t="shared" ca="1" si="19"/>
        <v>https://www.youtube.com/embed/m9xF54UZFuY?start=432&amp;end=602&amp;autoplay=1</v>
      </c>
      <c r="R649" s="39" t="s">
        <v>63</v>
      </c>
      <c r="S649" s="39" t="s">
        <v>63</v>
      </c>
      <c r="T649" s="39" t="s">
        <v>63</v>
      </c>
      <c r="U649" s="40"/>
      <c r="V649" s="54"/>
      <c r="W649" s="69" t="s">
        <v>64</v>
      </c>
      <c r="X649" s="56"/>
      <c r="Y649" s="88"/>
      <c r="Z649" s="96" t="s">
        <v>2217</v>
      </c>
    </row>
    <row r="650" spans="1:26">
      <c r="A650" s="42">
        <v>274.06</v>
      </c>
      <c r="B650" s="39" t="s">
        <v>136</v>
      </c>
      <c r="C650" s="40"/>
      <c r="D650" s="42" t="s">
        <v>56</v>
      </c>
      <c r="E650" s="38"/>
      <c r="F650" s="43"/>
      <c r="G650" s="63" t="s">
        <v>2220</v>
      </c>
      <c r="H650" s="58" t="s">
        <v>2221</v>
      </c>
      <c r="I650" s="38"/>
      <c r="J650" s="38"/>
      <c r="K650" s="46"/>
      <c r="L650" s="47"/>
      <c r="M650" s="76">
        <v>7.1412037037037034E-3</v>
      </c>
      <c r="N650" s="76">
        <v>7.8935185185185185E-3</v>
      </c>
      <c r="O650" s="77">
        <f t="shared" si="20"/>
        <v>7.5231481481481503E-4</v>
      </c>
      <c r="P650" s="65">
        <v>43043</v>
      </c>
      <c r="Q650" s="410" t="str">
        <f t="shared" ca="1" si="19"/>
        <v>https://www.youtube.com/embed/m9xF54UZFuY?start=617&amp;end=682&amp;autoplay=1</v>
      </c>
      <c r="R650" s="39" t="s">
        <v>63</v>
      </c>
      <c r="S650" s="39" t="s">
        <v>63</v>
      </c>
      <c r="T650" s="39" t="s">
        <v>63</v>
      </c>
      <c r="U650" s="40"/>
      <c r="V650" s="54"/>
      <c r="W650" s="69" t="s">
        <v>151</v>
      </c>
      <c r="X650" s="56"/>
      <c r="Y650" s="88"/>
      <c r="Z650" s="96"/>
    </row>
    <row r="651" spans="1:26">
      <c r="A651" s="42">
        <v>274.07</v>
      </c>
      <c r="B651" s="39" t="s">
        <v>136</v>
      </c>
      <c r="C651" s="40"/>
      <c r="D651" s="42" t="s">
        <v>56</v>
      </c>
      <c r="E651" s="38"/>
      <c r="F651" s="43"/>
      <c r="G651" s="63" t="s">
        <v>2222</v>
      </c>
      <c r="H651" s="58" t="s">
        <v>2224</v>
      </c>
      <c r="I651" s="38"/>
      <c r="J651" s="38"/>
      <c r="K651" s="46"/>
      <c r="L651" s="47"/>
      <c r="M651" s="76">
        <v>7.9745370370370369E-3</v>
      </c>
      <c r="N651" s="76">
        <v>1.0347222222222223E-2</v>
      </c>
      <c r="O651" s="77">
        <f t="shared" si="20"/>
        <v>2.372685185185186E-3</v>
      </c>
      <c r="P651" s="65">
        <v>43043</v>
      </c>
      <c r="Q651" s="410" t="str">
        <f t="shared" ca="1" si="19"/>
        <v>https://www.youtube.com/embed/m9xF54UZFuY?start=689&amp;end=894&amp;autoplay=1</v>
      </c>
      <c r="R651" s="39" t="s">
        <v>63</v>
      </c>
      <c r="S651" s="39" t="s">
        <v>63</v>
      </c>
      <c r="T651" s="39" t="s">
        <v>63</v>
      </c>
      <c r="U651" s="40"/>
      <c r="V651" s="54"/>
      <c r="W651" s="69" t="s">
        <v>64</v>
      </c>
      <c r="X651" s="56"/>
      <c r="Y651" s="88"/>
      <c r="Z651" s="96" t="s">
        <v>2226</v>
      </c>
    </row>
    <row r="652" spans="1:26">
      <c r="A652" s="42">
        <v>274.08</v>
      </c>
      <c r="B652" s="39" t="s">
        <v>136</v>
      </c>
      <c r="C652" s="40"/>
      <c r="D652" s="42" t="s">
        <v>56</v>
      </c>
      <c r="E652" s="38"/>
      <c r="F652" s="43"/>
      <c r="G652" s="63" t="s">
        <v>2227</v>
      </c>
      <c r="H652" s="58" t="s">
        <v>2228</v>
      </c>
      <c r="I652" s="38"/>
      <c r="J652" s="38"/>
      <c r="K652" s="46"/>
      <c r="L652" s="47"/>
      <c r="M652" s="76">
        <v>1.0416666666666666E-2</v>
      </c>
      <c r="N652" s="76">
        <v>1.3310185185185185E-2</v>
      </c>
      <c r="O652" s="77">
        <f t="shared" si="20"/>
        <v>2.8935185185185192E-3</v>
      </c>
      <c r="P652" s="65">
        <v>43043</v>
      </c>
      <c r="Q652" s="410" t="str">
        <f t="shared" ca="1" si="19"/>
        <v>https://www.youtube.com/embed/m9xF54UZFuY?start=900&amp;end=1150&amp;autoplay=1</v>
      </c>
      <c r="R652" s="39" t="s">
        <v>63</v>
      </c>
      <c r="S652" s="39" t="s">
        <v>63</v>
      </c>
      <c r="T652" s="39" t="s">
        <v>63</v>
      </c>
      <c r="U652" s="40"/>
      <c r="V652" s="54"/>
      <c r="W652" s="69" t="s">
        <v>64</v>
      </c>
      <c r="X652" s="56"/>
      <c r="Y652" s="88"/>
      <c r="Z652" s="96" t="s">
        <v>2231</v>
      </c>
    </row>
    <row r="653" spans="1:26">
      <c r="A653" s="42">
        <v>274.08999999999997</v>
      </c>
      <c r="B653" s="39" t="s">
        <v>136</v>
      </c>
      <c r="C653" s="40"/>
      <c r="D653" s="42" t="s">
        <v>56</v>
      </c>
      <c r="E653" s="38"/>
      <c r="F653" s="43"/>
      <c r="G653" s="63" t="s">
        <v>2232</v>
      </c>
      <c r="H653" s="58" t="s">
        <v>2233</v>
      </c>
      <c r="I653" s="38"/>
      <c r="J653" s="38"/>
      <c r="K653" s="46"/>
      <c r="L653" s="47"/>
      <c r="M653" s="76">
        <v>1.3877314814814815E-2</v>
      </c>
      <c r="N653" s="76">
        <v>1.6273148148148148E-2</v>
      </c>
      <c r="O653" s="77">
        <f t="shared" si="20"/>
        <v>2.3958333333333331E-3</v>
      </c>
      <c r="P653" s="65">
        <v>43043</v>
      </c>
      <c r="Q653" s="410" t="str">
        <f t="shared" ca="1" si="19"/>
        <v>https://www.youtube.com/embed/m9xF54UZFuY?start=1199&amp;end=1406&amp;autoplay=1</v>
      </c>
      <c r="R653" s="39" t="s">
        <v>63</v>
      </c>
      <c r="S653" s="39" t="s">
        <v>63</v>
      </c>
      <c r="T653" s="39" t="s">
        <v>63</v>
      </c>
      <c r="U653" s="40"/>
      <c r="V653" s="54"/>
      <c r="W653" s="69" t="s">
        <v>64</v>
      </c>
      <c r="X653" s="56"/>
      <c r="Y653" s="88"/>
      <c r="Z653" s="96" t="s">
        <v>2236</v>
      </c>
    </row>
    <row r="654" spans="1:26">
      <c r="A654" s="85">
        <v>274.10000000000002</v>
      </c>
      <c r="B654" s="39" t="s">
        <v>136</v>
      </c>
      <c r="C654" s="40"/>
      <c r="D654" s="42" t="s">
        <v>56</v>
      </c>
      <c r="E654" s="38"/>
      <c r="F654" s="43"/>
      <c r="G654" s="63" t="s">
        <v>2237</v>
      </c>
      <c r="H654" s="58" t="s">
        <v>2238</v>
      </c>
      <c r="I654" s="38"/>
      <c r="J654" s="38"/>
      <c r="K654" s="46"/>
      <c r="L654" s="47"/>
      <c r="M654" s="76">
        <v>1.6273148148148148E-2</v>
      </c>
      <c r="N654" s="76">
        <v>2.0671296296296295E-2</v>
      </c>
      <c r="O654" s="77">
        <f t="shared" si="20"/>
        <v>4.3981481481481476E-3</v>
      </c>
      <c r="P654" s="65">
        <v>43043</v>
      </c>
      <c r="Q654" s="410" t="str">
        <f t="shared" ca="1" si="19"/>
        <v>https://www.youtube.com/embed/m9xF54UZFuY?start=1406&amp;end=1786&amp;autoplay=1</v>
      </c>
      <c r="R654" s="39" t="s">
        <v>63</v>
      </c>
      <c r="S654" s="39" t="s">
        <v>63</v>
      </c>
      <c r="T654" s="39" t="s">
        <v>63</v>
      </c>
      <c r="U654" s="40"/>
      <c r="V654" s="54"/>
      <c r="W654" s="69" t="s">
        <v>64</v>
      </c>
      <c r="X654" s="56"/>
      <c r="Y654" s="88"/>
      <c r="Z654" s="96" t="s">
        <v>2241</v>
      </c>
    </row>
    <row r="655" spans="1:26" hidden="1">
      <c r="A655" s="38">
        <v>275</v>
      </c>
      <c r="B655" s="38"/>
      <c r="C655" s="38"/>
      <c r="D655" s="38"/>
      <c r="E655" s="38" t="s">
        <v>1234</v>
      </c>
      <c r="F655" s="43" t="s">
        <v>1235</v>
      </c>
      <c r="G655" s="44"/>
      <c r="H655" s="45"/>
      <c r="I655" s="38"/>
      <c r="J655" s="38">
        <f>4.5*1000</f>
        <v>4500</v>
      </c>
      <c r="K655" s="46">
        <v>2.2083333333333333E-2</v>
      </c>
      <c r="L655" s="47" t="s">
        <v>1139</v>
      </c>
      <c r="M655" s="307"/>
      <c r="N655" s="307"/>
      <c r="O655" s="307">
        <f t="shared" si="20"/>
        <v>0</v>
      </c>
      <c r="P655" s="92"/>
      <c r="Q655" s="410" t="str">
        <f t="shared" ca="1" si="19"/>
        <v>https://www.youtube.com/watch?v=srr9jTynwdo</v>
      </c>
      <c r="R655" s="50"/>
      <c r="S655" s="50"/>
      <c r="T655" s="50"/>
      <c r="U655" s="52"/>
      <c r="V655" s="53"/>
      <c r="W655" s="60"/>
      <c r="X655" s="56"/>
      <c r="Y655" s="38"/>
      <c r="Z655" s="38"/>
    </row>
    <row r="656" spans="1:26">
      <c r="A656" s="38">
        <v>276</v>
      </c>
      <c r="B656" s="39" t="s">
        <v>136</v>
      </c>
      <c r="C656" s="40"/>
      <c r="D656" s="42" t="s">
        <v>56</v>
      </c>
      <c r="E656" s="38" t="s">
        <v>1238</v>
      </c>
      <c r="F656" s="43" t="s">
        <v>1239</v>
      </c>
      <c r="G656" s="44"/>
      <c r="H656" s="45"/>
      <c r="I656" s="38"/>
      <c r="J656" s="38">
        <f>4.3*1000</f>
        <v>4300</v>
      </c>
      <c r="K656" s="46">
        <v>5.2430555555555555E-3</v>
      </c>
      <c r="L656" s="47" t="s">
        <v>1139</v>
      </c>
      <c r="M656" s="38"/>
      <c r="N656" s="38"/>
      <c r="O656" s="38">
        <f t="shared" si="20"/>
        <v>0</v>
      </c>
      <c r="P656" s="65">
        <v>43043</v>
      </c>
      <c r="Q656" s="410" t="str">
        <f t="shared" ca="1" si="19"/>
        <v>https://www.youtube.com/watch?v=w5KPpzfrQQY</v>
      </c>
      <c r="R656" s="51"/>
      <c r="S656" s="51"/>
      <c r="T656" s="51"/>
      <c r="U656" s="40"/>
      <c r="V656" s="54"/>
      <c r="W656" s="55"/>
      <c r="X656" s="56"/>
      <c r="Y656" s="88"/>
      <c r="Z656" s="96" t="s">
        <v>2246</v>
      </c>
    </row>
    <row r="657" spans="1:26">
      <c r="A657" s="42">
        <v>276.01</v>
      </c>
      <c r="B657" s="39" t="s">
        <v>136</v>
      </c>
      <c r="C657" s="40"/>
      <c r="D657" s="42" t="s">
        <v>56</v>
      </c>
      <c r="E657" s="38"/>
      <c r="F657" s="43"/>
      <c r="G657" s="63" t="s">
        <v>2247</v>
      </c>
      <c r="H657" s="58" t="s">
        <v>2248</v>
      </c>
      <c r="I657" s="38"/>
      <c r="J657" s="38"/>
      <c r="K657" s="46"/>
      <c r="L657" s="47"/>
      <c r="M657" s="76">
        <v>7.0601851851851847E-4</v>
      </c>
      <c r="N657" s="76">
        <v>3.2291666666666666E-3</v>
      </c>
      <c r="O657" s="77">
        <f t="shared" si="20"/>
        <v>2.5231481481481481E-3</v>
      </c>
      <c r="P657" s="65">
        <v>43043</v>
      </c>
      <c r="Q657" s="410" t="str">
        <f t="shared" ca="1" si="19"/>
        <v>https://www.youtube.com/embed/w5KPpzfrQQY?start=61&amp;end=279&amp;autoplay=1</v>
      </c>
      <c r="R657" s="39" t="s">
        <v>63</v>
      </c>
      <c r="S657" s="39" t="s">
        <v>63</v>
      </c>
      <c r="T657" s="39" t="s">
        <v>63</v>
      </c>
      <c r="U657" s="40"/>
      <c r="V657" s="54"/>
      <c r="W657" s="69" t="s">
        <v>151</v>
      </c>
      <c r="X657" s="56"/>
      <c r="Y657" s="88"/>
      <c r="Z657" s="96" t="s">
        <v>2251</v>
      </c>
    </row>
    <row r="658" spans="1:26">
      <c r="A658" s="42">
        <v>276.02</v>
      </c>
      <c r="B658" s="39" t="s">
        <v>136</v>
      </c>
      <c r="C658" s="40"/>
      <c r="D658" s="42" t="s">
        <v>56</v>
      </c>
      <c r="E658" s="38"/>
      <c r="F658" s="43"/>
      <c r="G658" s="63" t="s">
        <v>2252</v>
      </c>
      <c r="H658" s="58" t="s">
        <v>2253</v>
      </c>
      <c r="I658" s="38"/>
      <c r="J658" s="38"/>
      <c r="K658" s="46"/>
      <c r="L658" s="47"/>
      <c r="M658" s="76">
        <v>3.2407407407407406E-3</v>
      </c>
      <c r="N658" s="76">
        <v>5.185185185185185E-3</v>
      </c>
      <c r="O658" s="77">
        <f t="shared" si="20"/>
        <v>1.9444444444444444E-3</v>
      </c>
      <c r="P658" s="65">
        <v>43044</v>
      </c>
      <c r="Q658" s="410" t="str">
        <f t="shared" ca="1" si="19"/>
        <v>https://www.youtube.com/embed/w5KPpzfrQQY?start=280&amp;end=448&amp;autoplay=1</v>
      </c>
      <c r="R658" s="39" t="s">
        <v>63</v>
      </c>
      <c r="S658" s="39" t="s">
        <v>63</v>
      </c>
      <c r="T658" s="39" t="s">
        <v>63</v>
      </c>
      <c r="U658" s="40"/>
      <c r="V658" s="54"/>
      <c r="W658" s="69" t="s">
        <v>151</v>
      </c>
      <c r="X658" s="56"/>
      <c r="Y658" s="88"/>
      <c r="Z658" s="96" t="s">
        <v>2256</v>
      </c>
    </row>
    <row r="659" spans="1:26" hidden="1">
      <c r="A659" s="38">
        <v>277</v>
      </c>
      <c r="B659" s="38"/>
      <c r="C659" s="38"/>
      <c r="D659" s="38"/>
      <c r="E659" s="38" t="s">
        <v>1244</v>
      </c>
      <c r="F659" s="43" t="s">
        <v>1245</v>
      </c>
      <c r="G659" s="44"/>
      <c r="H659" s="45"/>
      <c r="I659" s="38"/>
      <c r="J659" s="38">
        <f>34*1000</f>
        <v>34000</v>
      </c>
      <c r="K659" s="46">
        <v>2.388888888888889E-2</v>
      </c>
      <c r="L659" s="47" t="s">
        <v>1139</v>
      </c>
      <c r="M659" s="307"/>
      <c r="N659" s="307"/>
      <c r="O659" s="307">
        <f t="shared" si="20"/>
        <v>0</v>
      </c>
      <c r="P659" s="92"/>
      <c r="Q659" s="410" t="str">
        <f t="shared" ca="1" si="19"/>
        <v>https://www.youtube.com/watch?v=AuVaei10Du0</v>
      </c>
      <c r="R659" s="50"/>
      <c r="S659" s="50"/>
      <c r="T659" s="50"/>
      <c r="U659" s="52"/>
      <c r="V659" s="53"/>
      <c r="W659" s="60"/>
      <c r="X659" s="56"/>
      <c r="Y659" s="38"/>
      <c r="Z659" s="38"/>
    </row>
    <row r="660" spans="1:26" hidden="1">
      <c r="A660" s="38">
        <v>278</v>
      </c>
      <c r="B660" s="38"/>
      <c r="C660" s="38"/>
      <c r="D660" s="38"/>
      <c r="E660" s="38" t="s">
        <v>1246</v>
      </c>
      <c r="F660" s="43" t="s">
        <v>1247</v>
      </c>
      <c r="G660" s="44"/>
      <c r="H660" s="45"/>
      <c r="I660" s="38"/>
      <c r="J660" s="38">
        <f>27*1000</f>
        <v>27000</v>
      </c>
      <c r="K660" s="46">
        <v>5.3981481481481484E-2</v>
      </c>
      <c r="L660" s="47" t="s">
        <v>1139</v>
      </c>
      <c r="M660" s="307"/>
      <c r="N660" s="307"/>
      <c r="O660" s="307">
        <f t="shared" si="20"/>
        <v>0</v>
      </c>
      <c r="P660" s="92"/>
      <c r="Q660" s="410" t="str">
        <f t="shared" ca="1" si="19"/>
        <v>https://www.youtube.com/watch?v=1GLaXQ6Rgcg</v>
      </c>
      <c r="R660" s="50"/>
      <c r="S660" s="50"/>
      <c r="T660" s="50"/>
      <c r="U660" s="52"/>
      <c r="V660" s="53"/>
      <c r="W660" s="60"/>
      <c r="X660" s="56"/>
      <c r="Y660" s="38"/>
      <c r="Z660" s="38"/>
    </row>
    <row r="661" spans="1:26" hidden="1">
      <c r="A661" s="38">
        <v>279</v>
      </c>
      <c r="B661" s="38"/>
      <c r="C661" s="38"/>
      <c r="D661" s="38"/>
      <c r="E661" s="38" t="s">
        <v>1253</v>
      </c>
      <c r="F661" s="43" t="s">
        <v>1254</v>
      </c>
      <c r="G661" s="44"/>
      <c r="H661" s="45"/>
      <c r="I661" s="38"/>
      <c r="J661" s="38">
        <f>6.6*1000</f>
        <v>6600</v>
      </c>
      <c r="K661" s="46">
        <v>3.349537037037037E-2</v>
      </c>
      <c r="L661" s="47" t="s">
        <v>1139</v>
      </c>
      <c r="M661" s="307"/>
      <c r="N661" s="307"/>
      <c r="O661" s="307">
        <f t="shared" si="20"/>
        <v>0</v>
      </c>
      <c r="P661" s="92"/>
      <c r="Q661" s="410" t="str">
        <f t="shared" ca="1" si="19"/>
        <v>https://www.youtube.com/watch?v=FKg_FjS3qZw</v>
      </c>
      <c r="R661" s="50"/>
      <c r="S661" s="50"/>
      <c r="T661" s="50"/>
      <c r="U661" s="52"/>
      <c r="V661" s="53"/>
      <c r="W661" s="60"/>
      <c r="X661" s="56"/>
      <c r="Y661" s="38"/>
      <c r="Z661" s="38"/>
    </row>
    <row r="662" spans="1:26" hidden="1">
      <c r="A662" s="38">
        <v>280</v>
      </c>
      <c r="B662" s="38"/>
      <c r="C662" s="38"/>
      <c r="D662" s="38"/>
      <c r="E662" s="38" t="s">
        <v>1255</v>
      </c>
      <c r="F662" s="43" t="s">
        <v>1256</v>
      </c>
      <c r="G662" s="44"/>
      <c r="H662" s="45"/>
      <c r="I662" s="38"/>
      <c r="J662" s="38">
        <f>7.2*1000</f>
        <v>7200</v>
      </c>
      <c r="K662" s="46">
        <v>7.1504629629629626E-2</v>
      </c>
      <c r="L662" s="47" t="s">
        <v>1139</v>
      </c>
      <c r="M662" s="307"/>
      <c r="N662" s="307"/>
      <c r="O662" s="307">
        <f t="shared" si="20"/>
        <v>0</v>
      </c>
      <c r="P662" s="92"/>
      <c r="Q662" s="410" t="str">
        <f t="shared" ca="1" si="19"/>
        <v>https://www.youtube.com/watch?v=EHQ6eLHDs78</v>
      </c>
      <c r="R662" s="50"/>
      <c r="S662" s="50"/>
      <c r="T662" s="50"/>
      <c r="U662" s="52"/>
      <c r="V662" s="53"/>
      <c r="W662" s="60"/>
      <c r="X662" s="56"/>
      <c r="Y662" s="38"/>
      <c r="Z662" s="38"/>
    </row>
    <row r="663" spans="1:26" hidden="1">
      <c r="A663" s="38">
        <v>281</v>
      </c>
      <c r="B663" s="38"/>
      <c r="C663" s="38"/>
      <c r="D663" s="38"/>
      <c r="E663" s="38" t="s">
        <v>1259</v>
      </c>
      <c r="F663" s="43" t="s">
        <v>1260</v>
      </c>
      <c r="G663" s="44"/>
      <c r="H663" s="45"/>
      <c r="I663" s="38"/>
      <c r="J663" s="38">
        <f>20*1000</f>
        <v>20000</v>
      </c>
      <c r="K663" s="46">
        <v>9.6643518518518531E-2</v>
      </c>
      <c r="L663" s="47" t="s">
        <v>1139</v>
      </c>
      <c r="M663" s="307"/>
      <c r="N663" s="307"/>
      <c r="O663" s="307">
        <f t="shared" si="20"/>
        <v>0</v>
      </c>
      <c r="P663" s="92"/>
      <c r="Q663" s="410" t="str">
        <f t="shared" ca="1" si="19"/>
        <v>https://www.youtube.com/watch?v=-cC-ErXYdnI</v>
      </c>
      <c r="R663" s="50"/>
      <c r="S663" s="50"/>
      <c r="T663" s="50"/>
      <c r="U663" s="52"/>
      <c r="V663" s="53"/>
      <c r="W663" s="60"/>
      <c r="X663" s="56"/>
      <c r="Y663" s="38"/>
      <c r="Z663" s="38"/>
    </row>
    <row r="664" spans="1:26" hidden="1">
      <c r="A664" s="38">
        <v>282</v>
      </c>
      <c r="B664" s="38"/>
      <c r="C664" s="38"/>
      <c r="D664" s="38"/>
      <c r="E664" s="38" t="s">
        <v>1262</v>
      </c>
      <c r="F664" s="43" t="s">
        <v>1263</v>
      </c>
      <c r="G664" s="44"/>
      <c r="H664" s="45"/>
      <c r="I664" s="38"/>
      <c r="J664" s="38">
        <f>11*1000</f>
        <v>11000</v>
      </c>
      <c r="K664" s="46">
        <v>7.0729166666666662E-2</v>
      </c>
      <c r="L664" s="47" t="s">
        <v>1139</v>
      </c>
      <c r="M664" s="307"/>
      <c r="N664" s="307"/>
      <c r="O664" s="307">
        <f t="shared" si="20"/>
        <v>0</v>
      </c>
      <c r="P664" s="92"/>
      <c r="Q664" s="410" t="str">
        <f t="shared" ca="1" si="19"/>
        <v>https://www.youtube.com/watch?v=dZCZp5udJeI</v>
      </c>
      <c r="R664" s="50"/>
      <c r="S664" s="50"/>
      <c r="T664" s="50"/>
      <c r="U664" s="52"/>
      <c r="V664" s="53"/>
      <c r="W664" s="60"/>
      <c r="X664" s="56"/>
      <c r="Y664" s="38"/>
      <c r="Z664" s="38"/>
    </row>
    <row r="665" spans="1:26" hidden="1">
      <c r="A665" s="38">
        <v>283</v>
      </c>
      <c r="B665" s="38"/>
      <c r="C665" s="38"/>
      <c r="D665" s="38"/>
      <c r="E665" s="38" t="s">
        <v>1266</v>
      </c>
      <c r="F665" s="43" t="s">
        <v>1267</v>
      </c>
      <c r="G665" s="44"/>
      <c r="H665" s="45"/>
      <c r="I665" s="38"/>
      <c r="J665" s="38">
        <f>10*1000</f>
        <v>10000</v>
      </c>
      <c r="K665" s="46">
        <v>8.3668981481481483E-2</v>
      </c>
      <c r="L665" s="47" t="s">
        <v>1139</v>
      </c>
      <c r="M665" s="307"/>
      <c r="N665" s="307"/>
      <c r="O665" s="307">
        <f t="shared" si="20"/>
        <v>0</v>
      </c>
      <c r="P665" s="92"/>
      <c r="Q665" s="410" t="str">
        <f t="shared" ca="1" si="19"/>
        <v>https://www.youtube.com/watch?v=O5i1SD7KFkI</v>
      </c>
      <c r="R665" s="50"/>
      <c r="S665" s="50"/>
      <c r="T665" s="50"/>
      <c r="U665" s="52"/>
      <c r="V665" s="53"/>
      <c r="W665" s="60"/>
      <c r="X665" s="56"/>
      <c r="Y665" s="38"/>
      <c r="Z665" s="38"/>
    </row>
    <row r="666" spans="1:26" hidden="1">
      <c r="A666" s="38">
        <v>284</v>
      </c>
      <c r="B666" s="38"/>
      <c r="C666" s="38"/>
      <c r="D666" s="38"/>
      <c r="E666" s="38" t="s">
        <v>1271</v>
      </c>
      <c r="F666" s="43" t="s">
        <v>1272</v>
      </c>
      <c r="G666" s="44"/>
      <c r="H666" s="45"/>
      <c r="I666" s="38"/>
      <c r="J666" s="38">
        <f>4.7*1000</f>
        <v>4700</v>
      </c>
      <c r="K666" s="46">
        <v>7.5624999999999998E-2</v>
      </c>
      <c r="L666" s="47" t="s">
        <v>1139</v>
      </c>
      <c r="M666" s="307"/>
      <c r="N666" s="307"/>
      <c r="O666" s="307">
        <f t="shared" si="20"/>
        <v>0</v>
      </c>
      <c r="P666" s="92"/>
      <c r="Q666" s="410" t="str">
        <f t="shared" ca="1" si="19"/>
        <v>https://www.youtube.com/watch?v=Q3ZGmGasWfc</v>
      </c>
      <c r="R666" s="50"/>
      <c r="S666" s="50"/>
      <c r="T666" s="50"/>
      <c r="U666" s="52"/>
      <c r="V666" s="53"/>
      <c r="W666" s="60"/>
      <c r="X666" s="56"/>
      <c r="Y666" s="38"/>
      <c r="Z666" s="38"/>
    </row>
    <row r="667" spans="1:26" hidden="1">
      <c r="A667" s="38">
        <v>285</v>
      </c>
      <c r="B667" s="38"/>
      <c r="C667" s="38"/>
      <c r="D667" s="38"/>
      <c r="E667" s="38" t="s">
        <v>1275</v>
      </c>
      <c r="F667" s="43" t="s">
        <v>1276</v>
      </c>
      <c r="G667" s="44"/>
      <c r="H667" s="45"/>
      <c r="I667" s="38"/>
      <c r="J667" s="38">
        <f>6.7*1000</f>
        <v>6700</v>
      </c>
      <c r="K667" s="46">
        <v>1.8472222222222223E-2</v>
      </c>
      <c r="L667" s="47" t="s">
        <v>1139</v>
      </c>
      <c r="M667" s="307"/>
      <c r="N667" s="307"/>
      <c r="O667" s="307">
        <f t="shared" si="20"/>
        <v>0</v>
      </c>
      <c r="P667" s="92"/>
      <c r="Q667" s="410" t="str">
        <f t="shared" ca="1" si="19"/>
        <v>https://www.youtube.com/watch?v=JbxzX8kwig4</v>
      </c>
      <c r="R667" s="50"/>
      <c r="S667" s="50"/>
      <c r="T667" s="50"/>
      <c r="U667" s="52"/>
      <c r="V667" s="53"/>
      <c r="W667" s="60"/>
      <c r="X667" s="56"/>
      <c r="Y667" s="38"/>
      <c r="Z667" s="38"/>
    </row>
    <row r="668" spans="1:26" hidden="1">
      <c r="A668" s="38">
        <v>286</v>
      </c>
      <c r="B668" s="38"/>
      <c r="C668" s="38"/>
      <c r="D668" s="38"/>
      <c r="E668" s="38" t="s">
        <v>1281</v>
      </c>
      <c r="F668" s="43" t="s">
        <v>1282</v>
      </c>
      <c r="G668" s="44"/>
      <c r="H668" s="45"/>
      <c r="I668" s="38"/>
      <c r="J668" s="38">
        <f>11*1000</f>
        <v>11000</v>
      </c>
      <c r="K668" s="46">
        <v>9.5694444444444457E-2</v>
      </c>
      <c r="L668" s="47" t="s">
        <v>1283</v>
      </c>
      <c r="M668" s="307"/>
      <c r="N668" s="307"/>
      <c r="O668" s="307">
        <f t="shared" si="20"/>
        <v>0</v>
      </c>
      <c r="P668" s="92"/>
      <c r="Q668" s="410" t="str">
        <f t="shared" ca="1" si="19"/>
        <v>https://www.youtube.com/watch?v=Uxcvh2BQu1g</v>
      </c>
      <c r="R668" s="50"/>
      <c r="S668" s="50"/>
      <c r="T668" s="50"/>
      <c r="U668" s="52"/>
      <c r="V668" s="53"/>
      <c r="W668" s="60"/>
      <c r="X668" s="56"/>
      <c r="Y668" s="38"/>
      <c r="Z668" s="38"/>
    </row>
    <row r="669" spans="1:26" hidden="1">
      <c r="A669" s="38">
        <v>287</v>
      </c>
      <c r="B669" s="38"/>
      <c r="C669" s="38"/>
      <c r="D669" s="38"/>
      <c r="E669" s="38" t="s">
        <v>1286</v>
      </c>
      <c r="F669" s="43" t="s">
        <v>1287</v>
      </c>
      <c r="G669" s="44"/>
      <c r="H669" s="45"/>
      <c r="I669" s="38"/>
      <c r="J669" s="38">
        <f>14*1000</f>
        <v>14000</v>
      </c>
      <c r="K669" s="46">
        <v>8.5358796296296294E-2</v>
      </c>
      <c r="L669" s="47" t="s">
        <v>1283</v>
      </c>
      <c r="M669" s="307"/>
      <c r="N669" s="307"/>
      <c r="O669" s="307">
        <f t="shared" si="20"/>
        <v>0</v>
      </c>
      <c r="P669" s="92"/>
      <c r="Q669" s="410" t="str">
        <f t="shared" ca="1" si="19"/>
        <v>https://www.youtube.com/watch?v=0-Ishanuvj8</v>
      </c>
      <c r="R669" s="50"/>
      <c r="S669" s="50"/>
      <c r="T669" s="50"/>
      <c r="U669" s="52"/>
      <c r="V669" s="53"/>
      <c r="W669" s="60"/>
      <c r="X669" s="56"/>
      <c r="Y669" s="38"/>
      <c r="Z669" s="38"/>
    </row>
    <row r="670" spans="1:26" hidden="1">
      <c r="A670" s="38">
        <v>288</v>
      </c>
      <c r="B670" s="38"/>
      <c r="C670" s="38"/>
      <c r="D670" s="38"/>
      <c r="E670" s="38" t="s">
        <v>1290</v>
      </c>
      <c r="F670" s="43" t="s">
        <v>1291</v>
      </c>
      <c r="G670" s="44"/>
      <c r="H670" s="45"/>
      <c r="I670" s="38"/>
      <c r="J670" s="38">
        <f>6.9*1000</f>
        <v>6900</v>
      </c>
      <c r="K670" s="46">
        <v>5.6840277777777781E-2</v>
      </c>
      <c r="L670" s="47" t="s">
        <v>1283</v>
      </c>
      <c r="M670" s="307"/>
      <c r="N670" s="307"/>
      <c r="O670" s="307">
        <f t="shared" si="20"/>
        <v>0</v>
      </c>
      <c r="P670" s="92"/>
      <c r="Q670" s="410" t="str">
        <f t="shared" ca="1" si="19"/>
        <v>https://www.youtube.com/watch?v=j84sUcOTBRM</v>
      </c>
      <c r="R670" s="50"/>
      <c r="S670" s="50"/>
      <c r="T670" s="50"/>
      <c r="U670" s="52"/>
      <c r="V670" s="53"/>
      <c r="W670" s="60"/>
      <c r="X670" s="56"/>
      <c r="Y670" s="38"/>
      <c r="Z670" s="38"/>
    </row>
    <row r="671" spans="1:26" hidden="1">
      <c r="A671" s="38">
        <v>289</v>
      </c>
      <c r="B671" s="38"/>
      <c r="C671" s="38"/>
      <c r="D671" s="38"/>
      <c r="E671" s="38" t="s">
        <v>1292</v>
      </c>
      <c r="F671" s="43" t="s">
        <v>1293</v>
      </c>
      <c r="G671" s="44"/>
      <c r="H671" s="45"/>
      <c r="I671" s="38"/>
      <c r="J671" s="38">
        <f>22*1000</f>
        <v>22000</v>
      </c>
      <c r="K671" s="46">
        <v>7.4872685185185181E-2</v>
      </c>
      <c r="L671" s="47" t="s">
        <v>1283</v>
      </c>
      <c r="M671" s="307"/>
      <c r="N671" s="307"/>
      <c r="O671" s="307">
        <f t="shared" si="20"/>
        <v>0</v>
      </c>
      <c r="P671" s="92"/>
      <c r="Q671" s="410" t="str">
        <f t="shared" ca="1" si="19"/>
        <v>https://www.youtube.com/watch?v=NQUbNykwFG4</v>
      </c>
      <c r="R671" s="50"/>
      <c r="S671" s="50"/>
      <c r="T671" s="50"/>
      <c r="U671" s="52"/>
      <c r="V671" s="53"/>
      <c r="W671" s="60"/>
      <c r="X671" s="56"/>
      <c r="Y671" s="38"/>
      <c r="Z671" s="38"/>
    </row>
    <row r="672" spans="1:26" hidden="1">
      <c r="A672" s="38">
        <v>290</v>
      </c>
      <c r="B672" s="38"/>
      <c r="C672" s="38"/>
      <c r="D672" s="38"/>
      <c r="E672" s="38" t="s">
        <v>1296</v>
      </c>
      <c r="F672" s="43" t="s">
        <v>1297</v>
      </c>
      <c r="G672" s="44"/>
      <c r="H672" s="45"/>
      <c r="I672" s="38"/>
      <c r="J672" s="38">
        <f>13*1000</f>
        <v>13000</v>
      </c>
      <c r="K672" s="46">
        <v>8.1319444444444444E-2</v>
      </c>
      <c r="L672" s="47" t="s">
        <v>1283</v>
      </c>
      <c r="M672" s="307"/>
      <c r="N672" s="307"/>
      <c r="O672" s="307">
        <f t="shared" si="20"/>
        <v>0</v>
      </c>
      <c r="P672" s="92"/>
      <c r="Q672" s="410" t="str">
        <f t="shared" ca="1" si="19"/>
        <v>https://www.youtube.com/watch?v=zILqg37PouM</v>
      </c>
      <c r="R672" s="50"/>
      <c r="S672" s="50"/>
      <c r="T672" s="50"/>
      <c r="U672" s="52"/>
      <c r="V672" s="53"/>
      <c r="W672" s="60"/>
      <c r="X672" s="56"/>
      <c r="Y672" s="38"/>
      <c r="Z672" s="38"/>
    </row>
    <row r="673" spans="1:26" hidden="1">
      <c r="A673" s="38">
        <v>291</v>
      </c>
      <c r="B673" s="38"/>
      <c r="C673" s="38"/>
      <c r="D673" s="38"/>
      <c r="E673" s="38" t="s">
        <v>1300</v>
      </c>
      <c r="F673" s="43" t="s">
        <v>1301</v>
      </c>
      <c r="G673" s="44"/>
      <c r="H673" s="45"/>
      <c r="I673" s="38"/>
      <c r="J673" s="38">
        <f>51*1000</f>
        <v>51000</v>
      </c>
      <c r="K673" s="46">
        <v>6.4849537037037039E-2</v>
      </c>
      <c r="L673" s="47" t="s">
        <v>1283</v>
      </c>
      <c r="M673" s="307"/>
      <c r="N673" s="307"/>
      <c r="O673" s="307">
        <f t="shared" si="20"/>
        <v>0</v>
      </c>
      <c r="P673" s="92"/>
      <c r="Q673" s="410" t="str">
        <f t="shared" ca="1" si="19"/>
        <v>https://www.youtube.com/watch?v=fzzIeVO7-qk</v>
      </c>
      <c r="R673" s="50"/>
      <c r="S673" s="50"/>
      <c r="T673" s="50"/>
      <c r="U673" s="52"/>
      <c r="V673" s="53"/>
      <c r="W673" s="60"/>
      <c r="X673" s="56"/>
      <c r="Y673" s="38"/>
      <c r="Z673" s="38"/>
    </row>
    <row r="674" spans="1:26" hidden="1">
      <c r="A674" s="38">
        <v>292</v>
      </c>
      <c r="B674" s="38"/>
      <c r="C674" s="38"/>
      <c r="D674" s="38"/>
      <c r="E674" s="38" t="s">
        <v>1302</v>
      </c>
      <c r="F674" s="43" t="s">
        <v>1303</v>
      </c>
      <c r="G674" s="44"/>
      <c r="H674" s="45"/>
      <c r="I674" s="38"/>
      <c r="J674" s="38">
        <f>11*1000</f>
        <v>11000</v>
      </c>
      <c r="K674" s="46">
        <v>4.9687499999999996E-2</v>
      </c>
      <c r="L674" s="47" t="s">
        <v>1283</v>
      </c>
      <c r="M674" s="307"/>
      <c r="N674" s="307"/>
      <c r="O674" s="307">
        <f t="shared" si="20"/>
        <v>0</v>
      </c>
      <c r="P674" s="92"/>
      <c r="Q674" s="410" t="str">
        <f t="shared" ca="1" si="19"/>
        <v>https://www.youtube.com/watch?v=-fhrU0xoCgk</v>
      </c>
      <c r="R674" s="50"/>
      <c r="S674" s="50"/>
      <c r="T674" s="50"/>
      <c r="U674" s="52"/>
      <c r="V674" s="53"/>
      <c r="W674" s="60"/>
      <c r="X674" s="56"/>
      <c r="Y674" s="38"/>
      <c r="Z674" s="38"/>
    </row>
    <row r="675" spans="1:26" hidden="1">
      <c r="A675" s="38">
        <v>293</v>
      </c>
      <c r="B675" s="38"/>
      <c r="C675" s="38"/>
      <c r="D675" s="38"/>
      <c r="E675" s="38" t="s">
        <v>1306</v>
      </c>
      <c r="F675" s="43" t="s">
        <v>1307</v>
      </c>
      <c r="G675" s="44"/>
      <c r="H675" s="45"/>
      <c r="I675" s="38"/>
      <c r="J675" s="38">
        <f t="shared" ref="J675:J676" si="21">19*1000</f>
        <v>19000</v>
      </c>
      <c r="K675" s="46">
        <v>6.6412037037037033E-2</v>
      </c>
      <c r="L675" s="47" t="s">
        <v>1283</v>
      </c>
      <c r="M675" s="307"/>
      <c r="N675" s="307"/>
      <c r="O675" s="307">
        <f t="shared" si="20"/>
        <v>0</v>
      </c>
      <c r="P675" s="92"/>
      <c r="Q675" s="410" t="str">
        <f t="shared" ca="1" si="19"/>
        <v>https://www.youtube.com/watch?v=OXYcMlprdL4</v>
      </c>
      <c r="R675" s="50"/>
      <c r="S675" s="50"/>
      <c r="T675" s="50"/>
      <c r="U675" s="52"/>
      <c r="V675" s="53"/>
      <c r="W675" s="60"/>
      <c r="X675" s="56"/>
      <c r="Y675" s="38"/>
      <c r="Z675" s="38"/>
    </row>
    <row r="676" spans="1:26" hidden="1">
      <c r="A676" s="38">
        <v>294</v>
      </c>
      <c r="B676" s="38"/>
      <c r="C676" s="38"/>
      <c r="D676" s="38"/>
      <c r="E676" s="38" t="s">
        <v>1308</v>
      </c>
      <c r="F676" s="43" t="s">
        <v>1309</v>
      </c>
      <c r="G676" s="44"/>
      <c r="H676" s="45"/>
      <c r="I676" s="38"/>
      <c r="J676" s="38">
        <f t="shared" si="21"/>
        <v>19000</v>
      </c>
      <c r="K676" s="46">
        <v>1.2002314814814815E-2</v>
      </c>
      <c r="L676" s="47" t="s">
        <v>1283</v>
      </c>
      <c r="M676" s="307"/>
      <c r="N676" s="307"/>
      <c r="O676" s="307">
        <f t="shared" si="20"/>
        <v>0</v>
      </c>
      <c r="P676" s="92"/>
      <c r="Q676" s="410" t="str">
        <f t="shared" ca="1" si="19"/>
        <v>https://www.youtube.com/watch?v=yZ08CJsgurU</v>
      </c>
      <c r="R676" s="50"/>
      <c r="S676" s="50"/>
      <c r="T676" s="50"/>
      <c r="U676" s="52"/>
      <c r="V676" s="53"/>
      <c r="W676" s="60"/>
      <c r="X676" s="56"/>
      <c r="Y676" s="38"/>
      <c r="Z676" s="38"/>
    </row>
    <row r="677" spans="1:26" hidden="1">
      <c r="A677" s="38">
        <v>295</v>
      </c>
      <c r="B677" s="38"/>
      <c r="C677" s="38"/>
      <c r="D677" s="38"/>
      <c r="E677" s="38" t="s">
        <v>1314</v>
      </c>
      <c r="F677" s="43" t="s">
        <v>1315</v>
      </c>
      <c r="G677" s="44"/>
      <c r="H677" s="45"/>
      <c r="I677" s="38"/>
      <c r="J677" s="38">
        <f>3.5*1000</f>
        <v>3500</v>
      </c>
      <c r="K677" s="46">
        <v>7.5347222222222213E-3</v>
      </c>
      <c r="L677" s="47" t="s">
        <v>1283</v>
      </c>
      <c r="M677" s="307"/>
      <c r="N677" s="307"/>
      <c r="O677" s="307">
        <f t="shared" si="20"/>
        <v>0</v>
      </c>
      <c r="P677" s="92"/>
      <c r="Q677" s="410" t="str">
        <f t="shared" ca="1" si="19"/>
        <v>https://www.youtube.com/watch?v=c13ZN5rYckE</v>
      </c>
      <c r="R677" s="50"/>
      <c r="S677" s="50"/>
      <c r="T677" s="50"/>
      <c r="U677" s="52"/>
      <c r="V677" s="53"/>
      <c r="W677" s="60"/>
      <c r="X677" s="56"/>
      <c r="Y677" s="38"/>
      <c r="Z677" s="38"/>
    </row>
    <row r="678" spans="1:26" hidden="1">
      <c r="A678" s="38">
        <v>296</v>
      </c>
      <c r="B678" s="38"/>
      <c r="C678" s="38"/>
      <c r="D678" s="38"/>
      <c r="E678" s="38" t="s">
        <v>1320</v>
      </c>
      <c r="F678" s="43" t="s">
        <v>1321</v>
      </c>
      <c r="G678" s="44"/>
      <c r="H678" s="45"/>
      <c r="I678" s="38"/>
      <c r="J678" s="38">
        <f t="shared" ref="J678:J679" si="22">10*1000</f>
        <v>10000</v>
      </c>
      <c r="K678" s="46">
        <v>7.3854166666666665E-2</v>
      </c>
      <c r="L678" s="47" t="s">
        <v>1283</v>
      </c>
      <c r="M678" s="307"/>
      <c r="N678" s="307"/>
      <c r="O678" s="307">
        <f t="shared" si="20"/>
        <v>0</v>
      </c>
      <c r="P678" s="92"/>
      <c r="Q678" s="410" t="str">
        <f t="shared" ca="1" si="19"/>
        <v>https://www.youtube.com/watch?v=p3i_mI87a3E</v>
      </c>
      <c r="R678" s="50"/>
      <c r="S678" s="50"/>
      <c r="T678" s="50"/>
      <c r="U678" s="52"/>
      <c r="V678" s="53"/>
      <c r="W678" s="60"/>
      <c r="X678" s="56"/>
      <c r="Y678" s="38"/>
      <c r="Z678" s="38"/>
    </row>
    <row r="679" spans="1:26" hidden="1">
      <c r="A679" s="38">
        <v>297</v>
      </c>
      <c r="B679" s="38"/>
      <c r="C679" s="38"/>
      <c r="D679" s="38"/>
      <c r="E679" s="38" t="s">
        <v>1324</v>
      </c>
      <c r="F679" s="43" t="s">
        <v>1325</v>
      </c>
      <c r="G679" s="44"/>
      <c r="H679" s="45"/>
      <c r="I679" s="38"/>
      <c r="J679" s="38">
        <f t="shared" si="22"/>
        <v>10000</v>
      </c>
      <c r="K679" s="46">
        <v>6.8749999999999992E-2</v>
      </c>
      <c r="L679" s="47" t="s">
        <v>1283</v>
      </c>
      <c r="M679" s="307"/>
      <c r="N679" s="307"/>
      <c r="O679" s="307">
        <f t="shared" si="20"/>
        <v>0</v>
      </c>
      <c r="P679" s="92"/>
      <c r="Q679" s="410" t="str">
        <f t="shared" ca="1" si="19"/>
        <v>https://www.youtube.com/watch?v=FrXBeS9Vj40</v>
      </c>
      <c r="R679" s="50"/>
      <c r="S679" s="50"/>
      <c r="T679" s="50"/>
      <c r="U679" s="52"/>
      <c r="V679" s="53"/>
      <c r="W679" s="60"/>
      <c r="X679" s="56"/>
      <c r="Y679" s="38"/>
      <c r="Z679" s="38"/>
    </row>
    <row r="680" spans="1:26" hidden="1">
      <c r="A680" s="38">
        <v>298</v>
      </c>
      <c r="B680" s="38"/>
      <c r="C680" s="38"/>
      <c r="D680" s="38"/>
      <c r="E680" s="38" t="s">
        <v>1328</v>
      </c>
      <c r="F680" s="43" t="s">
        <v>1329</v>
      </c>
      <c r="G680" s="44"/>
      <c r="H680" s="45"/>
      <c r="I680" s="38"/>
      <c r="J680" s="38">
        <f>15*1000</f>
        <v>15000</v>
      </c>
      <c r="K680" s="46">
        <v>2.1585648148148145E-2</v>
      </c>
      <c r="L680" s="47" t="s">
        <v>1283</v>
      </c>
      <c r="M680" s="307"/>
      <c r="N680" s="307"/>
      <c r="O680" s="307">
        <f t="shared" si="20"/>
        <v>0</v>
      </c>
      <c r="P680" s="92"/>
      <c r="Q680" s="410" t="str">
        <f t="shared" ca="1" si="19"/>
        <v>https://www.youtube.com/watch?v=kaJQx-nXg6M</v>
      </c>
      <c r="R680" s="50"/>
      <c r="S680" s="50"/>
      <c r="T680" s="50"/>
      <c r="U680" s="52"/>
      <c r="V680" s="53"/>
      <c r="W680" s="60"/>
      <c r="X680" s="56"/>
      <c r="Y680" s="38"/>
      <c r="Z680" s="38"/>
    </row>
    <row r="681" spans="1:26" hidden="1">
      <c r="A681" s="38">
        <v>299</v>
      </c>
      <c r="B681" s="38"/>
      <c r="C681" s="38"/>
      <c r="D681" s="38"/>
      <c r="E681" s="38" t="s">
        <v>1330</v>
      </c>
      <c r="F681" s="43" t="s">
        <v>1331</v>
      </c>
      <c r="G681" s="44"/>
      <c r="H681" s="45"/>
      <c r="I681" s="38"/>
      <c r="J681" s="38">
        <f>3.1*1000</f>
        <v>3100</v>
      </c>
      <c r="K681" s="46">
        <v>6.7662037037037034E-2</v>
      </c>
      <c r="L681" s="47" t="s">
        <v>1283</v>
      </c>
      <c r="M681" s="307"/>
      <c r="N681" s="307"/>
      <c r="O681" s="307">
        <f t="shared" si="20"/>
        <v>0</v>
      </c>
      <c r="P681" s="92"/>
      <c r="Q681" s="410" t="str">
        <f t="shared" ca="1" si="19"/>
        <v>https://www.youtube.com/watch?v=fyMRRD_YeRI</v>
      </c>
      <c r="R681" s="50"/>
      <c r="S681" s="50"/>
      <c r="T681" s="50"/>
      <c r="U681" s="52"/>
      <c r="V681" s="53"/>
      <c r="W681" s="60"/>
      <c r="X681" s="56"/>
      <c r="Y681" s="38"/>
      <c r="Z681" s="38"/>
    </row>
    <row r="682" spans="1:26" hidden="1">
      <c r="A682" s="38">
        <v>300</v>
      </c>
      <c r="B682" s="38"/>
      <c r="C682" s="38"/>
      <c r="D682" s="38"/>
      <c r="E682" s="38" t="s">
        <v>1332</v>
      </c>
      <c r="F682" s="43" t="s">
        <v>1333</v>
      </c>
      <c r="G682" s="44"/>
      <c r="H682" s="45"/>
      <c r="I682" s="38"/>
      <c r="J682" s="38">
        <f>27*1000</f>
        <v>27000</v>
      </c>
      <c r="K682" s="46">
        <v>0.11447916666666667</v>
      </c>
      <c r="L682" s="47" t="s">
        <v>1283</v>
      </c>
      <c r="M682" s="307"/>
      <c r="N682" s="307"/>
      <c r="O682" s="307">
        <f t="shared" si="20"/>
        <v>0</v>
      </c>
      <c r="P682" s="92"/>
      <c r="Q682" s="410" t="str">
        <f t="shared" ca="1" si="19"/>
        <v>https://www.youtube.com/watch?v=OHn7cvWw5gE</v>
      </c>
      <c r="R682" s="50"/>
      <c r="S682" s="50"/>
      <c r="T682" s="50"/>
      <c r="U682" s="52"/>
      <c r="V682" s="53"/>
      <c r="W682" s="60"/>
      <c r="X682" s="56"/>
      <c r="Y682" s="38"/>
      <c r="Z682" s="38"/>
    </row>
    <row r="683" spans="1:26" hidden="1">
      <c r="A683" s="38">
        <v>301</v>
      </c>
      <c r="B683" s="38"/>
      <c r="C683" s="38"/>
      <c r="D683" s="38"/>
      <c r="E683" s="38" t="s">
        <v>1334</v>
      </c>
      <c r="F683" s="43" t="s">
        <v>1335</v>
      </c>
      <c r="G683" s="44"/>
      <c r="H683" s="45"/>
      <c r="I683" s="38"/>
      <c r="J683" s="38">
        <f>4.6*1000</f>
        <v>4600</v>
      </c>
      <c r="K683" s="46">
        <v>9.5578703703703694E-2</v>
      </c>
      <c r="L683" s="47" t="s">
        <v>1283</v>
      </c>
      <c r="M683" s="307"/>
      <c r="N683" s="307"/>
      <c r="O683" s="307">
        <f t="shared" si="20"/>
        <v>0</v>
      </c>
      <c r="P683" s="92"/>
      <c r="Q683" s="410" t="str">
        <f t="shared" ca="1" si="19"/>
        <v>https://www.youtube.com/watch?v=tBf6vZKjL9w</v>
      </c>
      <c r="R683" s="50"/>
      <c r="S683" s="50"/>
      <c r="T683" s="50"/>
      <c r="U683" s="52"/>
      <c r="V683" s="53"/>
      <c r="W683" s="60"/>
      <c r="X683" s="56"/>
      <c r="Y683" s="38"/>
      <c r="Z683" s="38"/>
    </row>
    <row r="684" spans="1:26" hidden="1">
      <c r="A684" s="38">
        <v>302</v>
      </c>
      <c r="B684" s="38"/>
      <c r="C684" s="38"/>
      <c r="D684" s="38"/>
      <c r="E684" s="38" t="s">
        <v>1336</v>
      </c>
      <c r="F684" s="43" t="s">
        <v>1337</v>
      </c>
      <c r="G684" s="44"/>
      <c r="H684" s="45"/>
      <c r="I684" s="38"/>
      <c r="J684" s="38">
        <f>27*1000</f>
        <v>27000</v>
      </c>
      <c r="K684" s="46">
        <v>4.0474537037037038E-2</v>
      </c>
      <c r="L684" s="47" t="s">
        <v>1283</v>
      </c>
      <c r="M684" s="307"/>
      <c r="N684" s="307"/>
      <c r="O684" s="307">
        <f t="shared" si="20"/>
        <v>0</v>
      </c>
      <c r="P684" s="92"/>
      <c r="Q684" s="410" t="str">
        <f t="shared" ca="1" si="19"/>
        <v>https://www.youtube.com/watch?v=tNKCTknE59M</v>
      </c>
      <c r="R684" s="50"/>
      <c r="S684" s="50"/>
      <c r="T684" s="50"/>
      <c r="U684" s="52"/>
      <c r="V684" s="53"/>
      <c r="W684" s="60"/>
      <c r="X684" s="56"/>
      <c r="Y684" s="38"/>
      <c r="Z684" s="38"/>
    </row>
    <row r="685" spans="1:26" hidden="1">
      <c r="A685" s="38">
        <v>303</v>
      </c>
      <c r="B685" s="38"/>
      <c r="C685" s="38"/>
      <c r="D685" s="38"/>
      <c r="E685" s="38" t="s">
        <v>1338</v>
      </c>
      <c r="F685" s="43" t="s">
        <v>1339</v>
      </c>
      <c r="G685" s="44"/>
      <c r="H685" s="45"/>
      <c r="I685" s="38"/>
      <c r="J685" s="38">
        <f>7.5*1000</f>
        <v>7500</v>
      </c>
      <c r="K685" s="46">
        <v>9.9988425925925925E-2</v>
      </c>
      <c r="L685" s="47" t="s">
        <v>1283</v>
      </c>
      <c r="M685" s="307"/>
      <c r="N685" s="307"/>
      <c r="O685" s="307">
        <f t="shared" si="20"/>
        <v>0</v>
      </c>
      <c r="P685" s="92"/>
      <c r="Q685" s="410" t="str">
        <f t="shared" ca="1" si="19"/>
        <v>https://www.youtube.com/watch?v=0DzUUFbFZHs</v>
      </c>
      <c r="R685" s="50"/>
      <c r="S685" s="50"/>
      <c r="T685" s="50"/>
      <c r="U685" s="52"/>
      <c r="V685" s="53"/>
      <c r="W685" s="60"/>
      <c r="X685" s="56"/>
      <c r="Y685" s="38"/>
      <c r="Z685" s="38"/>
    </row>
    <row r="686" spans="1:26" hidden="1">
      <c r="A686" s="38">
        <v>304</v>
      </c>
      <c r="B686" s="38"/>
      <c r="C686" s="38"/>
      <c r="D686" s="38"/>
      <c r="E686" s="38" t="s">
        <v>1340</v>
      </c>
      <c r="F686" s="43" t="s">
        <v>1341</v>
      </c>
      <c r="G686" s="44"/>
      <c r="H686" s="45"/>
      <c r="I686" s="38"/>
      <c r="J686" s="38">
        <f>5.7*1000</f>
        <v>5700</v>
      </c>
      <c r="K686" s="46">
        <v>8.6851851851851847E-2</v>
      </c>
      <c r="L686" s="47" t="s">
        <v>1283</v>
      </c>
      <c r="M686" s="307"/>
      <c r="N686" s="307"/>
      <c r="O686" s="307">
        <f t="shared" si="20"/>
        <v>0</v>
      </c>
      <c r="P686" s="92"/>
      <c r="Q686" s="410" t="str">
        <f t="shared" ca="1" si="19"/>
        <v>https://www.youtube.com/watch?v=59-D2X_vmlA</v>
      </c>
      <c r="R686" s="50"/>
      <c r="S686" s="50"/>
      <c r="T686" s="50"/>
      <c r="U686" s="52"/>
      <c r="V686" s="53"/>
      <c r="W686" s="60"/>
      <c r="X686" s="56"/>
      <c r="Y686" s="38"/>
      <c r="Z686" s="38"/>
    </row>
    <row r="687" spans="1:26" hidden="1">
      <c r="A687" s="38">
        <v>305</v>
      </c>
      <c r="B687" s="38"/>
      <c r="C687" s="38"/>
      <c r="D687" s="38"/>
      <c r="E687" s="38" t="s">
        <v>1342</v>
      </c>
      <c r="F687" s="43" t="s">
        <v>1343</v>
      </c>
      <c r="G687" s="44"/>
      <c r="H687" s="45"/>
      <c r="I687" s="38"/>
      <c r="J687" s="38">
        <f>20*1000</f>
        <v>20000</v>
      </c>
      <c r="K687" s="46">
        <v>0.1057523148148148</v>
      </c>
      <c r="L687" s="47" t="s">
        <v>1283</v>
      </c>
      <c r="M687" s="307"/>
      <c r="N687" s="307"/>
      <c r="O687" s="307">
        <f t="shared" si="20"/>
        <v>0</v>
      </c>
      <c r="P687" s="92"/>
      <c r="Q687" s="410" t="str">
        <f t="shared" ca="1" si="19"/>
        <v>https://www.youtube.com/watch?v=NhDs3OPqMQ4</v>
      </c>
      <c r="R687" s="50"/>
      <c r="S687" s="50"/>
      <c r="T687" s="50"/>
      <c r="U687" s="52"/>
      <c r="V687" s="53"/>
      <c r="W687" s="60"/>
      <c r="X687" s="56"/>
      <c r="Y687" s="38"/>
      <c r="Z687" s="38"/>
    </row>
    <row r="688" spans="1:26" hidden="1">
      <c r="A688" s="38">
        <v>306</v>
      </c>
      <c r="B688" s="38"/>
      <c r="C688" s="38"/>
      <c r="D688" s="38"/>
      <c r="E688" s="38" t="s">
        <v>1344</v>
      </c>
      <c r="F688" s="43" t="s">
        <v>1345</v>
      </c>
      <c r="G688" s="44"/>
      <c r="H688" s="45"/>
      <c r="I688" s="38"/>
      <c r="J688" s="38">
        <f>6.3*1000</f>
        <v>6300</v>
      </c>
      <c r="K688" s="46">
        <v>5.4166666666666669E-2</v>
      </c>
      <c r="L688" s="47" t="s">
        <v>1283</v>
      </c>
      <c r="M688" s="307"/>
      <c r="N688" s="307"/>
      <c r="O688" s="307">
        <f t="shared" si="20"/>
        <v>0</v>
      </c>
      <c r="P688" s="92"/>
      <c r="Q688" s="410" t="str">
        <f t="shared" ca="1" si="19"/>
        <v>https://www.youtube.com/watch?v=7JNUG5Lyals</v>
      </c>
      <c r="R688" s="50"/>
      <c r="S688" s="50"/>
      <c r="T688" s="50"/>
      <c r="U688" s="52"/>
      <c r="V688" s="53"/>
      <c r="W688" s="60"/>
      <c r="X688" s="56"/>
      <c r="Y688" s="38"/>
      <c r="Z688" s="38"/>
    </row>
    <row r="689" spans="1:26" hidden="1">
      <c r="A689" s="38">
        <v>307</v>
      </c>
      <c r="B689" s="38"/>
      <c r="C689" s="38"/>
      <c r="D689" s="38"/>
      <c r="E689" s="38" t="s">
        <v>1346</v>
      </c>
      <c r="F689" s="43" t="s">
        <v>1347</v>
      </c>
      <c r="G689" s="44"/>
      <c r="H689" s="45"/>
      <c r="I689" s="38"/>
      <c r="J689" s="38">
        <f>6.8*1000</f>
        <v>6800</v>
      </c>
      <c r="K689" s="46">
        <v>7.5856481481481483E-2</v>
      </c>
      <c r="L689" s="47" t="s">
        <v>1283</v>
      </c>
      <c r="M689" s="307"/>
      <c r="N689" s="307"/>
      <c r="O689" s="307">
        <f t="shared" si="20"/>
        <v>0</v>
      </c>
      <c r="P689" s="92"/>
      <c r="Q689" s="410" t="str">
        <f t="shared" ca="1" si="19"/>
        <v>https://www.youtube.com/watch?v=T-iBVjoTxpY</v>
      </c>
      <c r="R689" s="50"/>
      <c r="S689" s="50"/>
      <c r="T689" s="50"/>
      <c r="U689" s="52"/>
      <c r="V689" s="53"/>
      <c r="W689" s="60"/>
      <c r="X689" s="56"/>
      <c r="Y689" s="38"/>
      <c r="Z689" s="38"/>
    </row>
    <row r="690" spans="1:26" hidden="1">
      <c r="A690" s="38">
        <v>308</v>
      </c>
      <c r="B690" s="38"/>
      <c r="C690" s="38"/>
      <c r="D690" s="38"/>
      <c r="E690" s="38" t="s">
        <v>1348</v>
      </c>
      <c r="F690" s="43" t="s">
        <v>1349</v>
      </c>
      <c r="G690" s="44"/>
      <c r="H690" s="45"/>
      <c r="I690" s="38"/>
      <c r="J690" s="38">
        <f>9.9*1000</f>
        <v>9900</v>
      </c>
      <c r="K690" s="46">
        <v>6.2291666666666669E-2</v>
      </c>
      <c r="L690" s="47" t="s">
        <v>1283</v>
      </c>
      <c r="M690" s="307"/>
      <c r="N690" s="307"/>
      <c r="O690" s="307">
        <f t="shared" si="20"/>
        <v>0</v>
      </c>
      <c r="P690" s="92"/>
      <c r="Q690" s="410" t="str">
        <f t="shared" ca="1" si="19"/>
        <v>https://www.youtube.com/watch?v=2RlQdQoP4mE</v>
      </c>
      <c r="R690" s="50"/>
      <c r="S690" s="50"/>
      <c r="T690" s="50"/>
      <c r="U690" s="52"/>
      <c r="V690" s="53"/>
      <c r="W690" s="60"/>
      <c r="X690" s="56"/>
      <c r="Y690" s="38"/>
      <c r="Z690" s="38"/>
    </row>
    <row r="691" spans="1:26" hidden="1">
      <c r="A691" s="38">
        <v>309</v>
      </c>
      <c r="B691" s="38"/>
      <c r="C691" s="38"/>
      <c r="D691" s="38"/>
      <c r="E691" s="38" t="s">
        <v>1350</v>
      </c>
      <c r="F691" s="43" t="s">
        <v>1351</v>
      </c>
      <c r="G691" s="44"/>
      <c r="H691" s="45"/>
      <c r="I691" s="38"/>
      <c r="J691" s="38">
        <f>849</f>
        <v>849</v>
      </c>
      <c r="K691" s="46">
        <v>3.9004629629629632E-3</v>
      </c>
      <c r="L691" s="47" t="s">
        <v>1283</v>
      </c>
      <c r="M691" s="307"/>
      <c r="N691" s="307"/>
      <c r="O691" s="307">
        <f t="shared" si="20"/>
        <v>0</v>
      </c>
      <c r="P691" s="92"/>
      <c r="Q691" s="410" t="str">
        <f t="shared" ca="1" si="19"/>
        <v>https://www.youtube.com/watch?v=9eSzra79z-I</v>
      </c>
      <c r="R691" s="50"/>
      <c r="S691" s="50"/>
      <c r="T691" s="50"/>
      <c r="U691" s="52"/>
      <c r="V691" s="53"/>
      <c r="W691" s="60"/>
      <c r="X691" s="56"/>
      <c r="Y691" s="38"/>
      <c r="Z691" s="38"/>
    </row>
    <row r="692" spans="1:26" hidden="1">
      <c r="A692" s="38">
        <v>310</v>
      </c>
      <c r="B692" s="38"/>
      <c r="C692" s="38"/>
      <c r="D692" s="38"/>
      <c r="E692" s="38" t="s">
        <v>1352</v>
      </c>
      <c r="F692" s="43" t="s">
        <v>1353</v>
      </c>
      <c r="G692" s="44"/>
      <c r="H692" s="45"/>
      <c r="I692" s="38"/>
      <c r="J692" s="38">
        <f>799</f>
        <v>799</v>
      </c>
      <c r="K692" s="46">
        <v>3.8541666666666668E-3</v>
      </c>
      <c r="L692" s="47" t="s">
        <v>1283</v>
      </c>
      <c r="M692" s="307"/>
      <c r="N692" s="307"/>
      <c r="O692" s="307">
        <f t="shared" si="20"/>
        <v>0</v>
      </c>
      <c r="P692" s="92"/>
      <c r="Q692" s="410" t="str">
        <f t="shared" ca="1" si="19"/>
        <v>https://www.youtube.com/watch?v=t5AEphve0P8</v>
      </c>
      <c r="R692" s="50"/>
      <c r="S692" s="50"/>
      <c r="T692" s="50"/>
      <c r="U692" s="52"/>
      <c r="V692" s="53"/>
      <c r="W692" s="60"/>
      <c r="X692" s="56"/>
      <c r="Y692" s="38"/>
      <c r="Z692" s="38"/>
    </row>
    <row r="693" spans="1:26" hidden="1">
      <c r="A693" s="38">
        <v>311</v>
      </c>
      <c r="B693" s="38"/>
      <c r="C693" s="38"/>
      <c r="D693" s="38"/>
      <c r="E693" s="38" t="s">
        <v>1354</v>
      </c>
      <c r="F693" s="43" t="s">
        <v>1355</v>
      </c>
      <c r="G693" s="44"/>
      <c r="H693" s="45"/>
      <c r="I693" s="38"/>
      <c r="J693" s="38">
        <f t="shared" ref="J693:J694" si="23">1.4*1000</f>
        <v>1400</v>
      </c>
      <c r="K693" s="46">
        <v>4.8726851851851856E-3</v>
      </c>
      <c r="L693" s="47" t="s">
        <v>1283</v>
      </c>
      <c r="M693" s="307"/>
      <c r="N693" s="307"/>
      <c r="O693" s="307">
        <f t="shared" si="20"/>
        <v>0</v>
      </c>
      <c r="P693" s="92"/>
      <c r="Q693" s="410" t="str">
        <f t="shared" ca="1" si="19"/>
        <v>https://www.youtube.com/watch?v=zm-fPGwlflY</v>
      </c>
      <c r="R693" s="50"/>
      <c r="S693" s="50"/>
      <c r="T693" s="50"/>
      <c r="U693" s="52"/>
      <c r="V693" s="53"/>
      <c r="W693" s="60"/>
      <c r="X693" s="56"/>
      <c r="Y693" s="38"/>
      <c r="Z693" s="38"/>
    </row>
    <row r="694" spans="1:26" hidden="1">
      <c r="A694" s="38">
        <v>312</v>
      </c>
      <c r="B694" s="38"/>
      <c r="C694" s="38"/>
      <c r="D694" s="38"/>
      <c r="E694" s="38" t="s">
        <v>1356</v>
      </c>
      <c r="F694" s="43" t="s">
        <v>1357</v>
      </c>
      <c r="G694" s="44"/>
      <c r="H694" s="45"/>
      <c r="I694" s="38"/>
      <c r="J694" s="38">
        <f t="shared" si="23"/>
        <v>1400</v>
      </c>
      <c r="K694" s="46">
        <v>8.7499999999999991E-3</v>
      </c>
      <c r="L694" s="47" t="s">
        <v>1283</v>
      </c>
      <c r="M694" s="307"/>
      <c r="N694" s="307"/>
      <c r="O694" s="307">
        <f t="shared" si="20"/>
        <v>0</v>
      </c>
      <c r="P694" s="92"/>
      <c r="Q694" s="410" t="str">
        <f t="shared" ca="1" si="19"/>
        <v>https://www.youtube.com/watch?v=Iimv8qJijTE</v>
      </c>
      <c r="R694" s="50"/>
      <c r="S694" s="50"/>
      <c r="T694" s="50"/>
      <c r="U694" s="52"/>
      <c r="V694" s="53"/>
      <c r="W694" s="60"/>
      <c r="X694" s="56"/>
      <c r="Y694" s="38"/>
      <c r="Z694" s="38"/>
    </row>
    <row r="695" spans="1:26" hidden="1">
      <c r="A695" s="38">
        <v>313</v>
      </c>
      <c r="B695" s="38"/>
      <c r="C695" s="38"/>
      <c r="D695" s="38"/>
      <c r="E695" s="38" t="s">
        <v>1358</v>
      </c>
      <c r="F695" s="43" t="s">
        <v>1359</v>
      </c>
      <c r="G695" s="44"/>
      <c r="H695" s="45"/>
      <c r="I695" s="38"/>
      <c r="J695" s="38">
        <f>3.5*1000</f>
        <v>3500</v>
      </c>
      <c r="K695" s="46">
        <v>1.1180555555555556E-2</v>
      </c>
      <c r="L695" s="47" t="s">
        <v>1283</v>
      </c>
      <c r="M695" s="307"/>
      <c r="N695" s="307"/>
      <c r="O695" s="307">
        <f t="shared" si="20"/>
        <v>0</v>
      </c>
      <c r="P695" s="92"/>
      <c r="Q695" s="410" t="str">
        <f t="shared" ca="1" si="19"/>
        <v>https://www.youtube.com/watch?v=kpktr2ml8m8</v>
      </c>
      <c r="R695" s="50"/>
      <c r="S695" s="50"/>
      <c r="T695" s="50"/>
      <c r="U695" s="52"/>
      <c r="V695" s="53"/>
      <c r="W695" s="60"/>
      <c r="X695" s="56"/>
      <c r="Y695" s="38"/>
      <c r="Z695" s="38"/>
    </row>
    <row r="696" spans="1:26" hidden="1">
      <c r="A696" s="38">
        <v>314</v>
      </c>
      <c r="B696" s="38"/>
      <c r="C696" s="38"/>
      <c r="D696" s="38"/>
      <c r="E696" s="38" t="s">
        <v>1360</v>
      </c>
      <c r="F696" s="43" t="s">
        <v>1361</v>
      </c>
      <c r="G696" s="44"/>
      <c r="H696" s="45"/>
      <c r="I696" s="38"/>
      <c r="J696" s="38">
        <f>2.6*1000</f>
        <v>2600</v>
      </c>
      <c r="K696" s="46">
        <v>2.4664351851851851E-2</v>
      </c>
      <c r="L696" s="47" t="s">
        <v>1283</v>
      </c>
      <c r="M696" s="307"/>
      <c r="N696" s="307"/>
      <c r="O696" s="307">
        <f t="shared" si="20"/>
        <v>0</v>
      </c>
      <c r="P696" s="92"/>
      <c r="Q696" s="410" t="str">
        <f t="shared" ca="1" si="19"/>
        <v>https://www.youtube.com/watch?v=jB9efRnouaI</v>
      </c>
      <c r="R696" s="50"/>
      <c r="S696" s="50"/>
      <c r="T696" s="50"/>
      <c r="U696" s="52"/>
      <c r="V696" s="53"/>
      <c r="W696" s="60"/>
      <c r="X696" s="56"/>
      <c r="Y696" s="38"/>
      <c r="Z696" s="38"/>
    </row>
    <row r="697" spans="1:26" hidden="1">
      <c r="A697" s="38">
        <v>315</v>
      </c>
      <c r="B697" s="38"/>
      <c r="C697" s="38"/>
      <c r="D697" s="38"/>
      <c r="E697" s="38" t="s">
        <v>1362</v>
      </c>
      <c r="F697" s="43" t="s">
        <v>1363</v>
      </c>
      <c r="G697" s="44"/>
      <c r="H697" s="45"/>
      <c r="I697" s="38"/>
      <c r="J697" s="38">
        <f>2.9*1000</f>
        <v>2900</v>
      </c>
      <c r="K697" s="46">
        <v>2.2835648148148147E-2</v>
      </c>
      <c r="L697" s="47" t="s">
        <v>1283</v>
      </c>
      <c r="M697" s="307"/>
      <c r="N697" s="307"/>
      <c r="O697" s="307">
        <f t="shared" si="20"/>
        <v>0</v>
      </c>
      <c r="P697" s="92"/>
      <c r="Q697" s="410" t="str">
        <f t="shared" ca="1" si="19"/>
        <v>https://www.youtube.com/watch?v=r2uhf3x6oH8</v>
      </c>
      <c r="R697" s="50"/>
      <c r="S697" s="50"/>
      <c r="T697" s="50"/>
      <c r="U697" s="52"/>
      <c r="V697" s="53"/>
      <c r="W697" s="60"/>
      <c r="X697" s="56"/>
      <c r="Y697" s="38"/>
      <c r="Z697" s="38"/>
    </row>
    <row r="698" spans="1:26" hidden="1">
      <c r="A698" s="38">
        <v>316</v>
      </c>
      <c r="B698" s="38"/>
      <c r="C698" s="38"/>
      <c r="D698" s="38"/>
      <c r="E698" s="38" t="s">
        <v>1364</v>
      </c>
      <c r="F698" s="43" t="s">
        <v>1365</v>
      </c>
      <c r="G698" s="44"/>
      <c r="H698" s="45"/>
      <c r="I698" s="38"/>
      <c r="J698" s="38">
        <f>6*1000</f>
        <v>6000</v>
      </c>
      <c r="K698" s="46">
        <v>2.0949074074074075E-2</v>
      </c>
      <c r="L698" s="47" t="s">
        <v>1283</v>
      </c>
      <c r="M698" s="307"/>
      <c r="N698" s="307"/>
      <c r="O698" s="307">
        <f t="shared" si="20"/>
        <v>0</v>
      </c>
      <c r="P698" s="92"/>
      <c r="Q698" s="410" t="str">
        <f t="shared" ca="1" si="19"/>
        <v>https://www.youtube.com/watch?v=G-AjF_4Jc1I</v>
      </c>
      <c r="R698" s="50"/>
      <c r="S698" s="50"/>
      <c r="T698" s="50"/>
      <c r="U698" s="52"/>
      <c r="V698" s="53"/>
      <c r="W698" s="60"/>
      <c r="X698" s="56"/>
      <c r="Y698" s="38"/>
      <c r="Z698" s="38"/>
    </row>
    <row r="699" spans="1:26" hidden="1">
      <c r="A699" s="38">
        <v>317</v>
      </c>
      <c r="B699" s="38"/>
      <c r="C699" s="38"/>
      <c r="D699" s="38"/>
      <c r="E699" s="38" t="s">
        <v>1366</v>
      </c>
      <c r="F699" s="43" t="s">
        <v>1367</v>
      </c>
      <c r="G699" s="44"/>
      <c r="H699" s="45"/>
      <c r="I699" s="38"/>
      <c r="J699" s="38">
        <f>3*1000</f>
        <v>3000</v>
      </c>
      <c r="K699" s="46">
        <v>1.1597222222222222E-2</v>
      </c>
      <c r="L699" s="47" t="s">
        <v>1283</v>
      </c>
      <c r="M699" s="307"/>
      <c r="N699" s="307"/>
      <c r="O699" s="307">
        <f t="shared" si="20"/>
        <v>0</v>
      </c>
      <c r="P699" s="92"/>
      <c r="Q699" s="410" t="str">
        <f t="shared" ca="1" si="19"/>
        <v>https://www.youtube.com/watch?v=hbcWYVaowqI</v>
      </c>
      <c r="R699" s="50"/>
      <c r="S699" s="50"/>
      <c r="T699" s="50"/>
      <c r="U699" s="52"/>
      <c r="V699" s="53"/>
      <c r="W699" s="60"/>
      <c r="X699" s="56"/>
      <c r="Y699" s="38"/>
      <c r="Z699" s="38"/>
    </row>
    <row r="700" spans="1:26" hidden="1">
      <c r="A700" s="38">
        <v>318</v>
      </c>
      <c r="B700" s="38"/>
      <c r="C700" s="38"/>
      <c r="D700" s="38"/>
      <c r="E700" s="38" t="s">
        <v>1368</v>
      </c>
      <c r="F700" s="43" t="s">
        <v>1369</v>
      </c>
      <c r="G700" s="44"/>
      <c r="H700" s="45"/>
      <c r="I700" s="38"/>
      <c r="J700" s="38">
        <f>70*1000</f>
        <v>70000</v>
      </c>
      <c r="K700" s="46">
        <v>6.6006944444444438E-2</v>
      </c>
      <c r="L700" s="47" t="s">
        <v>1283</v>
      </c>
      <c r="M700" s="307"/>
      <c r="N700" s="307"/>
      <c r="O700" s="307">
        <f t="shared" si="20"/>
        <v>0</v>
      </c>
      <c r="P700" s="92"/>
      <c r="Q700" s="410" t="str">
        <f t="shared" ca="1" si="19"/>
        <v>https://www.youtube.com/watch?v=olQlPZuEWLY</v>
      </c>
      <c r="R700" s="50"/>
      <c r="S700" s="50"/>
      <c r="T700" s="50"/>
      <c r="U700" s="52"/>
      <c r="V700" s="53"/>
      <c r="W700" s="60"/>
      <c r="X700" s="56"/>
      <c r="Y700" s="38"/>
      <c r="Z700" s="38"/>
    </row>
    <row r="701" spans="1:26" hidden="1">
      <c r="A701" s="38">
        <v>319</v>
      </c>
      <c r="B701" s="38"/>
      <c r="C701" s="38"/>
      <c r="D701" s="38"/>
      <c r="E701" s="38" t="s">
        <v>1370</v>
      </c>
      <c r="F701" s="43" t="s">
        <v>1371</v>
      </c>
      <c r="G701" s="44"/>
      <c r="H701" s="45"/>
      <c r="I701" s="38"/>
      <c r="J701" s="38">
        <f>28*1000</f>
        <v>28000</v>
      </c>
      <c r="K701" s="46">
        <v>9.2581018518518521E-2</v>
      </c>
      <c r="L701" s="47" t="s">
        <v>1283</v>
      </c>
      <c r="M701" s="307"/>
      <c r="N701" s="307"/>
      <c r="O701" s="307">
        <f t="shared" si="20"/>
        <v>0</v>
      </c>
      <c r="P701" s="92"/>
      <c r="Q701" s="410" t="str">
        <f t="shared" ca="1" si="19"/>
        <v>https://www.youtube.com/watch?v=fwbLw9W9GC8</v>
      </c>
      <c r="R701" s="50"/>
      <c r="S701" s="50"/>
      <c r="T701" s="50"/>
      <c r="U701" s="52"/>
      <c r="V701" s="53"/>
      <c r="W701" s="60"/>
      <c r="X701" s="56"/>
      <c r="Y701" s="38"/>
      <c r="Z701" s="38"/>
    </row>
    <row r="702" spans="1:26" hidden="1">
      <c r="A702" s="38">
        <v>320</v>
      </c>
      <c r="B702" s="38"/>
      <c r="C702" s="38"/>
      <c r="D702" s="38"/>
      <c r="E702" s="38" t="s">
        <v>1372</v>
      </c>
      <c r="F702" s="43" t="s">
        <v>1373</v>
      </c>
      <c r="G702" s="44"/>
      <c r="H702" s="45"/>
      <c r="I702" s="38"/>
      <c r="J702" s="38">
        <f>1.9*1000</f>
        <v>1900</v>
      </c>
      <c r="K702" s="46">
        <v>2.4652777777777776E-3</v>
      </c>
      <c r="L702" s="47" t="s">
        <v>1283</v>
      </c>
      <c r="M702" s="307"/>
      <c r="N702" s="307"/>
      <c r="O702" s="307">
        <f t="shared" si="20"/>
        <v>0</v>
      </c>
      <c r="P702" s="92"/>
      <c r="Q702" s="410" t="str">
        <f t="shared" ca="1" si="19"/>
        <v>https://www.youtube.com/watch?v=XcIm7eWfJ_M</v>
      </c>
      <c r="R702" s="50"/>
      <c r="S702" s="50"/>
      <c r="T702" s="50"/>
      <c r="U702" s="52"/>
      <c r="V702" s="53"/>
      <c r="W702" s="60"/>
      <c r="X702" s="56"/>
      <c r="Y702" s="38"/>
      <c r="Z702" s="38"/>
    </row>
    <row r="703" spans="1:26" hidden="1">
      <c r="A703" s="38">
        <v>321</v>
      </c>
      <c r="B703" s="38"/>
      <c r="C703" s="38"/>
      <c r="D703" s="38"/>
      <c r="E703" s="38" t="s">
        <v>1374</v>
      </c>
      <c r="F703" s="43" t="s">
        <v>1375</v>
      </c>
      <c r="G703" s="44"/>
      <c r="H703" s="45"/>
      <c r="I703" s="38"/>
      <c r="J703" s="38">
        <f>2.1*1000</f>
        <v>2100</v>
      </c>
      <c r="K703" s="46">
        <v>1.712962962962963E-3</v>
      </c>
      <c r="L703" s="47" t="s">
        <v>1283</v>
      </c>
      <c r="M703" s="307"/>
      <c r="N703" s="307"/>
      <c r="O703" s="307">
        <f t="shared" si="20"/>
        <v>0</v>
      </c>
      <c r="P703" s="92"/>
      <c r="Q703" s="410" t="str">
        <f t="shared" ca="1" si="19"/>
        <v>https://www.youtube.com/watch?v=tD7VxQAIPLM</v>
      </c>
      <c r="R703" s="50"/>
      <c r="S703" s="50"/>
      <c r="T703" s="50"/>
      <c r="U703" s="52"/>
      <c r="V703" s="53"/>
      <c r="W703" s="60"/>
      <c r="X703" s="56"/>
      <c r="Y703" s="38"/>
      <c r="Z703" s="38"/>
    </row>
    <row r="704" spans="1:26" hidden="1">
      <c r="A704" s="38">
        <v>322</v>
      </c>
      <c r="B704" s="38"/>
      <c r="C704" s="38"/>
      <c r="D704" s="38"/>
      <c r="E704" s="38" t="s">
        <v>1376</v>
      </c>
      <c r="F704" s="43" t="s">
        <v>1377</v>
      </c>
      <c r="G704" s="44"/>
      <c r="H704" s="45"/>
      <c r="I704" s="38"/>
      <c r="J704" s="38">
        <f>7.6*1000</f>
        <v>7600</v>
      </c>
      <c r="K704" s="46">
        <v>3.4490740740740745E-3</v>
      </c>
      <c r="L704" s="47" t="s">
        <v>1283</v>
      </c>
      <c r="M704" s="307"/>
      <c r="N704" s="307"/>
      <c r="O704" s="307">
        <f t="shared" si="20"/>
        <v>0</v>
      </c>
      <c r="P704" s="92"/>
      <c r="Q704" s="410" t="str">
        <f t="shared" ca="1" si="19"/>
        <v>https://www.youtube.com/watch?v=RaNpNJVvWDI</v>
      </c>
      <c r="R704" s="50"/>
      <c r="S704" s="50"/>
      <c r="T704" s="50"/>
      <c r="U704" s="52"/>
      <c r="V704" s="53"/>
      <c r="W704" s="60"/>
      <c r="X704" s="56"/>
      <c r="Y704" s="38"/>
      <c r="Z704" s="38"/>
    </row>
    <row r="705" spans="1:26" hidden="1">
      <c r="A705" s="38">
        <v>323</v>
      </c>
      <c r="B705" s="38"/>
      <c r="C705" s="38"/>
      <c r="D705" s="38"/>
      <c r="E705" s="38" t="s">
        <v>1378</v>
      </c>
      <c r="F705" s="43" t="s">
        <v>1379</v>
      </c>
      <c r="G705" s="44"/>
      <c r="H705" s="45"/>
      <c r="I705" s="38"/>
      <c r="J705" s="38">
        <f>944</f>
        <v>944</v>
      </c>
      <c r="K705" s="46">
        <v>9.479166666666667E-3</v>
      </c>
      <c r="L705" s="47" t="s">
        <v>1283</v>
      </c>
      <c r="M705" s="307"/>
      <c r="N705" s="307"/>
      <c r="O705" s="307">
        <f t="shared" si="20"/>
        <v>0</v>
      </c>
      <c r="P705" s="92"/>
      <c r="Q705" s="410" t="str">
        <f t="shared" ca="1" si="19"/>
        <v>https://www.youtube.com/watch?v=sdUuukDpj9s</v>
      </c>
      <c r="R705" s="50"/>
      <c r="S705" s="50"/>
      <c r="T705" s="50"/>
      <c r="U705" s="52"/>
      <c r="V705" s="53"/>
      <c r="W705" s="60"/>
      <c r="X705" s="56"/>
      <c r="Y705" s="38"/>
      <c r="Z705" s="38"/>
    </row>
    <row r="706" spans="1:26" hidden="1">
      <c r="A706" s="38">
        <v>324</v>
      </c>
      <c r="B706" s="38"/>
      <c r="C706" s="38"/>
      <c r="D706" s="38"/>
      <c r="E706" s="38" t="s">
        <v>1380</v>
      </c>
      <c r="F706" s="43" t="s">
        <v>1381</v>
      </c>
      <c r="G706" s="44"/>
      <c r="H706" s="45"/>
      <c r="I706" s="38"/>
      <c r="J706" s="38">
        <f>545</f>
        <v>545</v>
      </c>
      <c r="K706" s="46">
        <v>1.5972222222222221E-3</v>
      </c>
      <c r="L706" s="47" t="s">
        <v>1283</v>
      </c>
      <c r="M706" s="307"/>
      <c r="N706" s="307"/>
      <c r="O706" s="307">
        <f t="shared" si="20"/>
        <v>0</v>
      </c>
      <c r="P706" s="92"/>
      <c r="Q706" s="410" t="str">
        <f t="shared" ca="1" si="19"/>
        <v>https://www.youtube.com/watch?v=jQ47l4DT1BY</v>
      </c>
      <c r="R706" s="50"/>
      <c r="S706" s="50"/>
      <c r="T706" s="50"/>
      <c r="U706" s="52"/>
      <c r="V706" s="53"/>
      <c r="W706" s="60"/>
      <c r="X706" s="56"/>
      <c r="Y706" s="38"/>
      <c r="Z706" s="38"/>
    </row>
    <row r="707" spans="1:26" hidden="1">
      <c r="A707" s="38">
        <v>325</v>
      </c>
      <c r="B707" s="38"/>
      <c r="C707" s="38"/>
      <c r="D707" s="38"/>
      <c r="E707" s="38" t="s">
        <v>1382</v>
      </c>
      <c r="F707" s="43" t="s">
        <v>1383</v>
      </c>
      <c r="G707" s="44"/>
      <c r="H707" s="45"/>
      <c r="I707" s="38"/>
      <c r="J707" s="38">
        <f>626</f>
        <v>626</v>
      </c>
      <c r="K707" s="46">
        <v>1.5740740740740741E-3</v>
      </c>
      <c r="L707" s="47" t="s">
        <v>1283</v>
      </c>
      <c r="M707" s="307"/>
      <c r="N707" s="307"/>
      <c r="O707" s="307">
        <f t="shared" si="20"/>
        <v>0</v>
      </c>
      <c r="P707" s="92"/>
      <c r="Q707" s="410" t="str">
        <f t="shared" ref="Q707:Q770" ca="1" si="24">HYPERLINK(IF(INT(A707)-A707=0,E707,REPLACE(INDIRECT("MasterList!e"&amp;INT(A707)+1),25,8,"embed/")&amp;"?start="&amp;HOUR(M707)*3600+MINUTE(M707)*60+SECOND(M707)&amp;"&amp;end="&amp;HOUR(N707)*3600+MINUTE(N707)*60+SECOND(N707)&amp;"&amp;autoplay=1"))</f>
        <v>https://www.youtube.com/watch?v=WkR5PD16sCg</v>
      </c>
      <c r="R707" s="50"/>
      <c r="S707" s="50"/>
      <c r="T707" s="50"/>
      <c r="U707" s="52"/>
      <c r="V707" s="53"/>
      <c r="W707" s="60"/>
      <c r="X707" s="56"/>
      <c r="Y707" s="38"/>
      <c r="Z707" s="38"/>
    </row>
    <row r="708" spans="1:26" hidden="1">
      <c r="A708" s="38">
        <v>326</v>
      </c>
      <c r="B708" s="38"/>
      <c r="C708" s="38"/>
      <c r="D708" s="38"/>
      <c r="E708" s="38" t="s">
        <v>1384</v>
      </c>
      <c r="F708" s="43" t="s">
        <v>1385</v>
      </c>
      <c r="G708" s="44"/>
      <c r="H708" s="45"/>
      <c r="I708" s="38"/>
      <c r="J708" s="38">
        <f>1.5*1000</f>
        <v>1500</v>
      </c>
      <c r="K708" s="46">
        <v>5.4861111111111117E-3</v>
      </c>
      <c r="L708" s="47" t="s">
        <v>1283</v>
      </c>
      <c r="M708" s="307"/>
      <c r="N708" s="307"/>
      <c r="O708" s="307">
        <f t="shared" si="20"/>
        <v>0</v>
      </c>
      <c r="P708" s="92"/>
      <c r="Q708" s="410" t="str">
        <f t="shared" ca="1" si="24"/>
        <v>https://www.youtube.com/watch?v=wXSD2PQznXI</v>
      </c>
      <c r="R708" s="50"/>
      <c r="S708" s="50"/>
      <c r="T708" s="50"/>
      <c r="U708" s="52"/>
      <c r="V708" s="53"/>
      <c r="W708" s="60"/>
      <c r="X708" s="56"/>
      <c r="Y708" s="38"/>
      <c r="Z708" s="38"/>
    </row>
    <row r="709" spans="1:26" hidden="1">
      <c r="A709" s="38">
        <v>327</v>
      </c>
      <c r="B709" s="38"/>
      <c r="C709" s="38"/>
      <c r="D709" s="38"/>
      <c r="E709" s="38" t="s">
        <v>1386</v>
      </c>
      <c r="F709" s="43" t="s">
        <v>1387</v>
      </c>
      <c r="G709" s="44"/>
      <c r="H709" s="45"/>
      <c r="I709" s="38"/>
      <c r="J709" s="38">
        <f>1.6*1000</f>
        <v>1600</v>
      </c>
      <c r="K709" s="46">
        <v>5.0694444444444441E-3</v>
      </c>
      <c r="L709" s="47" t="s">
        <v>1283</v>
      </c>
      <c r="M709" s="307"/>
      <c r="N709" s="307"/>
      <c r="O709" s="307">
        <f t="shared" si="20"/>
        <v>0</v>
      </c>
      <c r="P709" s="92"/>
      <c r="Q709" s="410" t="str">
        <f t="shared" ca="1" si="24"/>
        <v>https://www.youtube.com/watch?v=p4NkqPPh2fk</v>
      </c>
      <c r="R709" s="50"/>
      <c r="S709" s="50"/>
      <c r="T709" s="50"/>
      <c r="U709" s="52"/>
      <c r="V709" s="53"/>
      <c r="W709" s="60"/>
      <c r="X709" s="56"/>
      <c r="Y709" s="38"/>
      <c r="Z709" s="38"/>
    </row>
    <row r="710" spans="1:26" hidden="1">
      <c r="A710" s="38">
        <v>328</v>
      </c>
      <c r="B710" s="38"/>
      <c r="C710" s="38"/>
      <c r="D710" s="38"/>
      <c r="E710" s="38" t="s">
        <v>1388</v>
      </c>
      <c r="F710" s="43" t="s">
        <v>1389</v>
      </c>
      <c r="G710" s="44"/>
      <c r="H710" s="45"/>
      <c r="I710" s="38"/>
      <c r="J710" s="38">
        <f>16*1000</f>
        <v>16000</v>
      </c>
      <c r="K710" s="46">
        <v>6.0740740740740741E-2</v>
      </c>
      <c r="L710" s="47" t="s">
        <v>1283</v>
      </c>
      <c r="M710" s="307"/>
      <c r="N710" s="307"/>
      <c r="O710" s="307">
        <f t="shared" si="20"/>
        <v>0</v>
      </c>
      <c r="P710" s="92"/>
      <c r="Q710" s="410" t="str">
        <f t="shared" ca="1" si="24"/>
        <v>https://www.youtube.com/watch?v=7bZemcM70W0</v>
      </c>
      <c r="R710" s="50"/>
      <c r="S710" s="50"/>
      <c r="T710" s="50"/>
      <c r="U710" s="52"/>
      <c r="V710" s="53"/>
      <c r="W710" s="60"/>
      <c r="X710" s="56"/>
      <c r="Y710" s="38"/>
      <c r="Z710" s="38"/>
    </row>
    <row r="711" spans="1:26" hidden="1">
      <c r="A711" s="38">
        <v>329</v>
      </c>
      <c r="B711" s="38"/>
      <c r="C711" s="38"/>
      <c r="D711" s="38"/>
      <c r="E711" s="38" t="s">
        <v>1390</v>
      </c>
      <c r="F711" s="43" t="s">
        <v>1391</v>
      </c>
      <c r="G711" s="44"/>
      <c r="H711" s="45"/>
      <c r="I711" s="38"/>
      <c r="J711" s="38">
        <f>1.5*1000</f>
        <v>1500</v>
      </c>
      <c r="K711" s="46">
        <v>2.0023148148148148E-3</v>
      </c>
      <c r="L711" s="47" t="s">
        <v>1283</v>
      </c>
      <c r="M711" s="307"/>
      <c r="N711" s="307"/>
      <c r="O711" s="307">
        <f t="shared" si="20"/>
        <v>0</v>
      </c>
      <c r="P711" s="92"/>
      <c r="Q711" s="410" t="str">
        <f t="shared" ca="1" si="24"/>
        <v>https://www.youtube.com/watch?v=GpEk4HU0r2Y</v>
      </c>
      <c r="R711" s="50"/>
      <c r="S711" s="50"/>
      <c r="T711" s="50"/>
      <c r="U711" s="52"/>
      <c r="V711" s="53"/>
      <c r="W711" s="60"/>
      <c r="X711" s="56"/>
      <c r="Y711" s="38"/>
      <c r="Z711" s="38"/>
    </row>
    <row r="712" spans="1:26" hidden="1">
      <c r="A712" s="38">
        <v>330</v>
      </c>
      <c r="B712" s="38"/>
      <c r="C712" s="38"/>
      <c r="D712" s="38"/>
      <c r="E712" s="38" t="s">
        <v>1392</v>
      </c>
      <c r="F712" s="43" t="s">
        <v>1393</v>
      </c>
      <c r="G712" s="44"/>
      <c r="H712" s="45"/>
      <c r="I712" s="38"/>
      <c r="J712" s="38">
        <f>1.2*1000</f>
        <v>1200</v>
      </c>
      <c r="K712" s="46">
        <v>7.8703703703703705E-4</v>
      </c>
      <c r="L712" s="47" t="s">
        <v>1283</v>
      </c>
      <c r="M712" s="307"/>
      <c r="N712" s="307"/>
      <c r="O712" s="307">
        <f t="shared" si="20"/>
        <v>0</v>
      </c>
      <c r="P712" s="92"/>
      <c r="Q712" s="410" t="str">
        <f t="shared" ca="1" si="24"/>
        <v>https://www.youtube.com/watch?v=322EiuTqg7w</v>
      </c>
      <c r="R712" s="50"/>
      <c r="S712" s="50"/>
      <c r="T712" s="50"/>
      <c r="U712" s="52"/>
      <c r="V712" s="53"/>
      <c r="W712" s="60"/>
      <c r="X712" s="56"/>
      <c r="Y712" s="38"/>
      <c r="Z712" s="38"/>
    </row>
    <row r="713" spans="1:26" hidden="1">
      <c r="A713" s="38">
        <v>331</v>
      </c>
      <c r="B713" s="38"/>
      <c r="C713" s="38"/>
      <c r="D713" s="38"/>
      <c r="E713" s="38" t="s">
        <v>1394</v>
      </c>
      <c r="F713" s="43" t="s">
        <v>1395</v>
      </c>
      <c r="G713" s="44"/>
      <c r="H713" s="45"/>
      <c r="I713" s="38"/>
      <c r="J713" s="38">
        <f>9.3*1000</f>
        <v>9300</v>
      </c>
      <c r="K713" s="46">
        <v>6.2499999999999995E-3</v>
      </c>
      <c r="L713" s="47" t="s">
        <v>1283</v>
      </c>
      <c r="M713" s="307"/>
      <c r="N713" s="307"/>
      <c r="O713" s="307">
        <f t="shared" si="20"/>
        <v>0</v>
      </c>
      <c r="P713" s="92"/>
      <c r="Q713" s="410" t="str">
        <f t="shared" ca="1" si="24"/>
        <v>https://www.youtube.com/watch?v=liKAbE7beNI</v>
      </c>
      <c r="R713" s="50"/>
      <c r="S713" s="50"/>
      <c r="T713" s="50"/>
      <c r="U713" s="52"/>
      <c r="V713" s="53"/>
      <c r="W713" s="60"/>
      <c r="X713" s="56"/>
      <c r="Y713" s="38"/>
      <c r="Z713" s="38"/>
    </row>
    <row r="714" spans="1:26" hidden="1">
      <c r="A714" s="38">
        <v>332</v>
      </c>
      <c r="B714" s="38"/>
      <c r="C714" s="38"/>
      <c r="D714" s="38"/>
      <c r="E714" s="38" t="s">
        <v>1396</v>
      </c>
      <c r="F714" s="43" t="s">
        <v>1397</v>
      </c>
      <c r="G714" s="44"/>
      <c r="H714" s="45"/>
      <c r="I714" s="38"/>
      <c r="J714" s="38">
        <f>265</f>
        <v>265</v>
      </c>
      <c r="K714" s="46">
        <v>2.7199074074074074E-3</v>
      </c>
      <c r="L714" s="47" t="s">
        <v>1283</v>
      </c>
      <c r="M714" s="307"/>
      <c r="N714" s="307"/>
      <c r="O714" s="307">
        <f t="shared" si="20"/>
        <v>0</v>
      </c>
      <c r="P714" s="92"/>
      <c r="Q714" s="410" t="str">
        <f t="shared" ca="1" si="24"/>
        <v>https://www.youtube.com/watch?v=3eTjsY7w5kM</v>
      </c>
      <c r="R714" s="50"/>
      <c r="S714" s="50"/>
      <c r="T714" s="50"/>
      <c r="U714" s="52"/>
      <c r="V714" s="53"/>
      <c r="W714" s="60"/>
      <c r="X714" s="56"/>
      <c r="Y714" s="38"/>
      <c r="Z714" s="38"/>
    </row>
    <row r="715" spans="1:26" hidden="1">
      <c r="A715" s="38">
        <v>333</v>
      </c>
      <c r="B715" s="38"/>
      <c r="C715" s="38"/>
      <c r="D715" s="38"/>
      <c r="E715" s="38" t="s">
        <v>1398</v>
      </c>
      <c r="F715" s="43" t="s">
        <v>1399</v>
      </c>
      <c r="G715" s="44"/>
      <c r="H715" s="45"/>
      <c r="I715" s="38"/>
      <c r="J715" s="38">
        <f>238</f>
        <v>238</v>
      </c>
      <c r="K715" s="46">
        <v>2.6041666666666665E-3</v>
      </c>
      <c r="L715" s="47" t="s">
        <v>1283</v>
      </c>
      <c r="M715" s="307"/>
      <c r="N715" s="307"/>
      <c r="O715" s="307">
        <f t="shared" si="20"/>
        <v>0</v>
      </c>
      <c r="P715" s="92"/>
      <c r="Q715" s="410" t="str">
        <f t="shared" ca="1" si="24"/>
        <v>https://www.youtube.com/watch?v=afXofZLlzB4</v>
      </c>
      <c r="R715" s="50"/>
      <c r="S715" s="50"/>
      <c r="T715" s="50"/>
      <c r="U715" s="52"/>
      <c r="V715" s="53"/>
      <c r="W715" s="60"/>
      <c r="X715" s="56"/>
      <c r="Y715" s="38"/>
      <c r="Z715" s="38"/>
    </row>
    <row r="716" spans="1:26" hidden="1">
      <c r="A716" s="38">
        <v>334</v>
      </c>
      <c r="B716" s="38"/>
      <c r="C716" s="38"/>
      <c r="D716" s="38"/>
      <c r="E716" s="38" t="s">
        <v>1400</v>
      </c>
      <c r="F716" s="43" t="s">
        <v>1401</v>
      </c>
      <c r="G716" s="44"/>
      <c r="H716" s="45"/>
      <c r="I716" s="38"/>
      <c r="J716" s="38">
        <f>585</f>
        <v>585</v>
      </c>
      <c r="K716" s="46">
        <v>7.8125E-3</v>
      </c>
      <c r="L716" s="47" t="s">
        <v>1283</v>
      </c>
      <c r="M716" s="307"/>
      <c r="N716" s="307"/>
      <c r="O716" s="307">
        <f t="shared" si="20"/>
        <v>0</v>
      </c>
      <c r="P716" s="92"/>
      <c r="Q716" s="410" t="str">
        <f t="shared" ca="1" si="24"/>
        <v>https://www.youtube.com/watch?v=gtDa8NLyc74</v>
      </c>
      <c r="R716" s="50"/>
      <c r="S716" s="50"/>
      <c r="T716" s="50"/>
      <c r="U716" s="52"/>
      <c r="V716" s="53"/>
      <c r="W716" s="60"/>
      <c r="X716" s="56"/>
      <c r="Y716" s="38"/>
      <c r="Z716" s="38"/>
    </row>
    <row r="717" spans="1:26" hidden="1">
      <c r="A717" s="38">
        <v>335</v>
      </c>
      <c r="B717" s="38"/>
      <c r="C717" s="38"/>
      <c r="D717" s="38"/>
      <c r="E717" s="38" t="s">
        <v>1402</v>
      </c>
      <c r="F717" s="43" t="s">
        <v>1403</v>
      </c>
      <c r="G717" s="44"/>
      <c r="H717" s="45"/>
      <c r="I717" s="38"/>
      <c r="J717" s="38">
        <f>8.8*1000</f>
        <v>8800</v>
      </c>
      <c r="K717" s="46">
        <v>3.9328703703703706E-2</v>
      </c>
      <c r="L717" s="47" t="s">
        <v>1283</v>
      </c>
      <c r="M717" s="307"/>
      <c r="N717" s="307"/>
      <c r="O717" s="307">
        <f t="shared" si="20"/>
        <v>0</v>
      </c>
      <c r="P717" s="92"/>
      <c r="Q717" s="410" t="str">
        <f t="shared" ca="1" si="24"/>
        <v>https://www.youtube.com/watch?v=zgOMSgegwGk</v>
      </c>
      <c r="R717" s="50"/>
      <c r="S717" s="50"/>
      <c r="T717" s="50"/>
      <c r="U717" s="52"/>
      <c r="V717" s="53"/>
      <c r="W717" s="60"/>
      <c r="X717" s="56"/>
      <c r="Y717" s="38"/>
      <c r="Z717" s="38"/>
    </row>
    <row r="718" spans="1:26" hidden="1">
      <c r="A718" s="38">
        <v>336</v>
      </c>
      <c r="B718" s="38"/>
      <c r="C718" s="38"/>
      <c r="D718" s="38"/>
      <c r="E718" s="38" t="s">
        <v>1404</v>
      </c>
      <c r="F718" s="43" t="s">
        <v>1405</v>
      </c>
      <c r="G718" s="44"/>
      <c r="H718" s="45"/>
      <c r="I718" s="38"/>
      <c r="J718" s="38">
        <f>2.2*1000</f>
        <v>2200</v>
      </c>
      <c r="K718" s="46">
        <v>2.6388888888888885E-3</v>
      </c>
      <c r="L718" s="47" t="s">
        <v>1283</v>
      </c>
      <c r="M718" s="307"/>
      <c r="N718" s="307"/>
      <c r="O718" s="307">
        <f t="shared" si="20"/>
        <v>0</v>
      </c>
      <c r="P718" s="92"/>
      <c r="Q718" s="410" t="str">
        <f t="shared" ca="1" si="24"/>
        <v>https://www.youtube.com/watch?v=Xk3tQcQ1QcQ</v>
      </c>
      <c r="R718" s="50"/>
      <c r="S718" s="50"/>
      <c r="T718" s="50"/>
      <c r="U718" s="52"/>
      <c r="V718" s="53"/>
      <c r="W718" s="60"/>
      <c r="X718" s="56"/>
      <c r="Y718" s="38"/>
      <c r="Z718" s="38"/>
    </row>
    <row r="719" spans="1:26" hidden="1">
      <c r="A719" s="38">
        <v>337</v>
      </c>
      <c r="B719" s="38"/>
      <c r="C719" s="38"/>
      <c r="D719" s="38"/>
      <c r="E719" s="38" t="s">
        <v>1406</v>
      </c>
      <c r="F719" s="43" t="s">
        <v>1407</v>
      </c>
      <c r="G719" s="44"/>
      <c r="H719" s="45"/>
      <c r="I719" s="38"/>
      <c r="J719" s="38">
        <f>3.3*1000</f>
        <v>3300</v>
      </c>
      <c r="K719" s="46">
        <v>7.5069444444444453E-2</v>
      </c>
      <c r="L719" s="47" t="s">
        <v>1283</v>
      </c>
      <c r="M719" s="307"/>
      <c r="N719" s="307"/>
      <c r="O719" s="307">
        <f t="shared" si="20"/>
        <v>0</v>
      </c>
      <c r="P719" s="92"/>
      <c r="Q719" s="410" t="str">
        <f t="shared" ca="1" si="24"/>
        <v>https://www.youtube.com/watch?v=MP4mGKSR2-0</v>
      </c>
      <c r="R719" s="50"/>
      <c r="S719" s="50"/>
      <c r="T719" s="50"/>
      <c r="U719" s="52"/>
      <c r="V719" s="53"/>
      <c r="W719" s="60"/>
      <c r="X719" s="56"/>
      <c r="Y719" s="38"/>
      <c r="Z719" s="38"/>
    </row>
    <row r="720" spans="1:26" hidden="1">
      <c r="A720" s="38">
        <v>338</v>
      </c>
      <c r="B720" s="38"/>
      <c r="C720" s="38"/>
      <c r="D720" s="38"/>
      <c r="E720" s="38" t="s">
        <v>1408</v>
      </c>
      <c r="F720" s="43" t="s">
        <v>1409</v>
      </c>
      <c r="G720" s="44"/>
      <c r="H720" s="45"/>
      <c r="I720" s="38"/>
      <c r="J720" s="38">
        <f>828</f>
        <v>828</v>
      </c>
      <c r="K720" s="46">
        <v>2.5000000000000001E-3</v>
      </c>
      <c r="L720" s="47" t="s">
        <v>1283</v>
      </c>
      <c r="M720" s="307"/>
      <c r="N720" s="307"/>
      <c r="O720" s="307">
        <f t="shared" si="20"/>
        <v>0</v>
      </c>
      <c r="P720" s="92"/>
      <c r="Q720" s="410" t="str">
        <f t="shared" ca="1" si="24"/>
        <v>https://www.youtube.com/watch?v=55sjF1l4Hu0</v>
      </c>
      <c r="R720" s="50"/>
      <c r="S720" s="50"/>
      <c r="T720" s="50"/>
      <c r="U720" s="52"/>
      <c r="V720" s="53"/>
      <c r="W720" s="60"/>
      <c r="X720" s="56"/>
      <c r="Y720" s="38"/>
      <c r="Z720" s="38"/>
    </row>
    <row r="721" spans="1:26" hidden="1">
      <c r="A721" s="38">
        <v>339</v>
      </c>
      <c r="B721" s="38"/>
      <c r="C721" s="38"/>
      <c r="D721" s="38"/>
      <c r="E721" s="38" t="s">
        <v>1410</v>
      </c>
      <c r="F721" s="43" t="s">
        <v>1411</v>
      </c>
      <c r="G721" s="44"/>
      <c r="H721" s="45"/>
      <c r="I721" s="38"/>
      <c r="J721" s="38">
        <f>1.2*1000</f>
        <v>1200</v>
      </c>
      <c r="K721" s="46">
        <v>9.8379629629629642E-4</v>
      </c>
      <c r="L721" s="47" t="s">
        <v>1283</v>
      </c>
      <c r="M721" s="307"/>
      <c r="N721" s="307"/>
      <c r="O721" s="307">
        <f t="shared" si="20"/>
        <v>0</v>
      </c>
      <c r="P721" s="92"/>
      <c r="Q721" s="410" t="str">
        <f t="shared" ca="1" si="24"/>
        <v>https://www.youtube.com/watch?v=LkTTH9gGQwA</v>
      </c>
      <c r="R721" s="50"/>
      <c r="S721" s="50"/>
      <c r="T721" s="50"/>
      <c r="U721" s="52"/>
      <c r="V721" s="53"/>
      <c r="W721" s="60"/>
      <c r="X721" s="56"/>
      <c r="Y721" s="38"/>
      <c r="Z721" s="38"/>
    </row>
    <row r="722" spans="1:26" hidden="1">
      <c r="A722" s="38">
        <v>340</v>
      </c>
      <c r="B722" s="38"/>
      <c r="C722" s="38"/>
      <c r="D722" s="38"/>
      <c r="E722" s="38" t="s">
        <v>1412</v>
      </c>
      <c r="F722" s="43" t="s">
        <v>1413</v>
      </c>
      <c r="G722" s="44"/>
      <c r="H722" s="45"/>
      <c r="I722" s="38"/>
      <c r="J722" s="38">
        <f>3.7*1000</f>
        <v>3700</v>
      </c>
      <c r="K722" s="46">
        <v>7.0636574074074074E-2</v>
      </c>
      <c r="L722" s="47" t="s">
        <v>1283</v>
      </c>
      <c r="M722" s="307"/>
      <c r="N722" s="307"/>
      <c r="O722" s="307">
        <f t="shared" si="20"/>
        <v>0</v>
      </c>
      <c r="P722" s="92"/>
      <c r="Q722" s="410" t="str">
        <f t="shared" ca="1" si="24"/>
        <v>https://www.youtube.com/watch?v=cuauchPBFCY</v>
      </c>
      <c r="R722" s="50"/>
      <c r="S722" s="50"/>
      <c r="T722" s="50"/>
      <c r="U722" s="52"/>
      <c r="V722" s="53"/>
      <c r="W722" s="60"/>
      <c r="X722" s="56"/>
      <c r="Y722" s="38"/>
      <c r="Z722" s="38"/>
    </row>
    <row r="723" spans="1:26" hidden="1">
      <c r="A723" s="38">
        <v>341</v>
      </c>
      <c r="B723" s="38"/>
      <c r="C723" s="38"/>
      <c r="D723" s="38"/>
      <c r="E723" s="38" t="s">
        <v>1414</v>
      </c>
      <c r="F723" s="43" t="s">
        <v>1415</v>
      </c>
      <c r="G723" s="44"/>
      <c r="H723" s="45"/>
      <c r="I723" s="38"/>
      <c r="J723" s="38">
        <f>6.8*1000</f>
        <v>6800</v>
      </c>
      <c r="K723" s="46">
        <v>1.2453703703703703E-2</v>
      </c>
      <c r="L723" s="47" t="s">
        <v>1283</v>
      </c>
      <c r="M723" s="307"/>
      <c r="N723" s="307"/>
      <c r="O723" s="307">
        <f t="shared" si="20"/>
        <v>0</v>
      </c>
      <c r="P723" s="92"/>
      <c r="Q723" s="410" t="str">
        <f t="shared" ca="1" si="24"/>
        <v>https://www.youtube.com/watch?v=oeJfmsvMRBs</v>
      </c>
      <c r="R723" s="50"/>
      <c r="S723" s="50"/>
      <c r="T723" s="50"/>
      <c r="U723" s="52"/>
      <c r="V723" s="53"/>
      <c r="W723" s="60"/>
      <c r="X723" s="56"/>
      <c r="Y723" s="38"/>
      <c r="Z723" s="38"/>
    </row>
    <row r="724" spans="1:26" hidden="1">
      <c r="A724" s="38">
        <v>342</v>
      </c>
      <c r="B724" s="38"/>
      <c r="C724" s="38"/>
      <c r="D724" s="38"/>
      <c r="E724" s="38" t="s">
        <v>1416</v>
      </c>
      <c r="F724" s="43" t="s">
        <v>1417</v>
      </c>
      <c r="G724" s="44"/>
      <c r="H724" s="45"/>
      <c r="I724" s="38"/>
      <c r="J724" s="38">
        <f t="shared" ref="J724:J725" si="25">1.2*1000</f>
        <v>1200</v>
      </c>
      <c r="K724" s="46">
        <v>2.7546296296296294E-3</v>
      </c>
      <c r="L724" s="47" t="s">
        <v>1283</v>
      </c>
      <c r="M724" s="307"/>
      <c r="N724" s="307"/>
      <c r="O724" s="307">
        <f t="shared" si="20"/>
        <v>0</v>
      </c>
      <c r="P724" s="92"/>
      <c r="Q724" s="410" t="str">
        <f t="shared" ca="1" si="24"/>
        <v>https://www.youtube.com/watch?v=vEdOCEkdY9Q</v>
      </c>
      <c r="R724" s="50"/>
      <c r="S724" s="50"/>
      <c r="T724" s="50"/>
      <c r="U724" s="52"/>
      <c r="V724" s="53"/>
      <c r="W724" s="60"/>
      <c r="X724" s="56"/>
      <c r="Y724" s="38"/>
      <c r="Z724" s="38"/>
    </row>
    <row r="725" spans="1:26" hidden="1">
      <c r="A725" s="38">
        <v>343</v>
      </c>
      <c r="B725" s="38"/>
      <c r="C725" s="38"/>
      <c r="D725" s="38"/>
      <c r="E725" s="38" t="s">
        <v>1418</v>
      </c>
      <c r="F725" s="43" t="s">
        <v>1419</v>
      </c>
      <c r="G725" s="44"/>
      <c r="H725" s="45"/>
      <c r="I725" s="38"/>
      <c r="J725" s="38">
        <f t="shared" si="25"/>
        <v>1200</v>
      </c>
      <c r="K725" s="46">
        <v>2.5694444444444445E-3</v>
      </c>
      <c r="L725" s="47" t="s">
        <v>1283</v>
      </c>
      <c r="M725" s="307"/>
      <c r="N725" s="307"/>
      <c r="O725" s="307">
        <f t="shared" si="20"/>
        <v>0</v>
      </c>
      <c r="P725" s="92"/>
      <c r="Q725" s="410" t="str">
        <f t="shared" ca="1" si="24"/>
        <v>https://www.youtube.com/watch?v=Cv8kec-TugY</v>
      </c>
      <c r="R725" s="50"/>
      <c r="S725" s="50"/>
      <c r="T725" s="50"/>
      <c r="U725" s="52"/>
      <c r="V725" s="53"/>
      <c r="W725" s="60"/>
      <c r="X725" s="56"/>
      <c r="Y725" s="38"/>
      <c r="Z725" s="38"/>
    </row>
    <row r="726" spans="1:26" hidden="1">
      <c r="A726" s="38">
        <v>344</v>
      </c>
      <c r="B726" s="38"/>
      <c r="C726" s="38"/>
      <c r="D726" s="38"/>
      <c r="E726" s="38" t="s">
        <v>1420</v>
      </c>
      <c r="F726" s="43" t="s">
        <v>1421</v>
      </c>
      <c r="G726" s="44"/>
      <c r="H726" s="45"/>
      <c r="I726" s="38"/>
      <c r="J726" s="38">
        <f>231</f>
        <v>231</v>
      </c>
      <c r="K726" s="46">
        <v>1.7708333333333332E-3</v>
      </c>
      <c r="L726" s="47" t="s">
        <v>1283</v>
      </c>
      <c r="M726" s="307"/>
      <c r="N726" s="307"/>
      <c r="O726" s="307">
        <f t="shared" si="20"/>
        <v>0</v>
      </c>
      <c r="P726" s="92"/>
      <c r="Q726" s="410" t="str">
        <f t="shared" ca="1" si="24"/>
        <v>https://www.youtube.com/watch?v=Uk3mD3cAFXg</v>
      </c>
      <c r="R726" s="50"/>
      <c r="S726" s="50"/>
      <c r="T726" s="50"/>
      <c r="U726" s="52"/>
      <c r="V726" s="53"/>
      <c r="W726" s="60"/>
      <c r="X726" s="56"/>
      <c r="Y726" s="38"/>
      <c r="Z726" s="38"/>
    </row>
    <row r="727" spans="1:26" hidden="1">
      <c r="A727" s="38">
        <v>345</v>
      </c>
      <c r="B727" s="38"/>
      <c r="C727" s="38"/>
      <c r="D727" s="38"/>
      <c r="E727" s="38" t="s">
        <v>1422</v>
      </c>
      <c r="F727" s="43" t="s">
        <v>1423</v>
      </c>
      <c r="G727" s="44"/>
      <c r="H727" s="45"/>
      <c r="I727" s="38"/>
      <c r="J727" s="38">
        <f>666</f>
        <v>666</v>
      </c>
      <c r="K727" s="46">
        <v>1.3194444444444443E-3</v>
      </c>
      <c r="L727" s="47" t="s">
        <v>1283</v>
      </c>
      <c r="M727" s="307"/>
      <c r="N727" s="307"/>
      <c r="O727" s="307">
        <f t="shared" si="20"/>
        <v>0</v>
      </c>
      <c r="P727" s="92"/>
      <c r="Q727" s="410" t="str">
        <f t="shared" ca="1" si="24"/>
        <v>https://www.youtube.com/watch?v=spEEA-o1zlE</v>
      </c>
      <c r="R727" s="50"/>
      <c r="S727" s="50"/>
      <c r="T727" s="50"/>
      <c r="U727" s="52"/>
      <c r="V727" s="53"/>
      <c r="W727" s="60"/>
      <c r="X727" s="56"/>
      <c r="Y727" s="38"/>
      <c r="Z727" s="38"/>
    </row>
    <row r="728" spans="1:26" hidden="1">
      <c r="A728" s="38">
        <v>346</v>
      </c>
      <c r="B728" s="38"/>
      <c r="C728" s="38"/>
      <c r="D728" s="38"/>
      <c r="E728" s="38" t="s">
        <v>1424</v>
      </c>
      <c r="F728" s="43" t="s">
        <v>1425</v>
      </c>
      <c r="G728" s="44"/>
      <c r="H728" s="45"/>
      <c r="I728" s="38"/>
      <c r="J728" s="38">
        <f>191</f>
        <v>191</v>
      </c>
      <c r="K728" s="46">
        <v>9.4907407407407408E-4</v>
      </c>
      <c r="L728" s="47" t="s">
        <v>1283</v>
      </c>
      <c r="M728" s="307"/>
      <c r="N728" s="307"/>
      <c r="O728" s="307">
        <f t="shared" si="20"/>
        <v>0</v>
      </c>
      <c r="P728" s="92"/>
      <c r="Q728" s="410" t="str">
        <f t="shared" ca="1" si="24"/>
        <v>https://www.youtube.com/watch?v=7cA62ZHlWx0</v>
      </c>
      <c r="R728" s="50"/>
      <c r="S728" s="50"/>
      <c r="T728" s="50"/>
      <c r="U728" s="52"/>
      <c r="V728" s="53"/>
      <c r="W728" s="60"/>
      <c r="X728" s="56"/>
      <c r="Y728" s="38"/>
      <c r="Z728" s="38"/>
    </row>
    <row r="729" spans="1:26" hidden="1">
      <c r="A729" s="38">
        <v>347</v>
      </c>
      <c r="B729" s="38"/>
      <c r="C729" s="38"/>
      <c r="D729" s="38"/>
      <c r="E729" s="38" t="s">
        <v>1426</v>
      </c>
      <c r="F729" s="43" t="s">
        <v>1427</v>
      </c>
      <c r="G729" s="44"/>
      <c r="H729" s="45"/>
      <c r="I729" s="38"/>
      <c r="J729" s="38">
        <f>870</f>
        <v>870</v>
      </c>
      <c r="K729" s="46">
        <v>6.076388888888889E-3</v>
      </c>
      <c r="L729" s="47" t="s">
        <v>1283</v>
      </c>
      <c r="M729" s="307"/>
      <c r="N729" s="307"/>
      <c r="O729" s="307">
        <f t="shared" si="20"/>
        <v>0</v>
      </c>
      <c r="P729" s="92"/>
      <c r="Q729" s="410" t="str">
        <f t="shared" ca="1" si="24"/>
        <v>https://www.youtube.com/watch?v=M8Xez56Bg9c</v>
      </c>
      <c r="R729" s="50"/>
      <c r="S729" s="50"/>
      <c r="T729" s="50"/>
      <c r="U729" s="52"/>
      <c r="V729" s="53"/>
      <c r="W729" s="60"/>
      <c r="X729" s="56"/>
      <c r="Y729" s="38"/>
      <c r="Z729" s="38"/>
    </row>
    <row r="730" spans="1:26" hidden="1">
      <c r="A730" s="38">
        <v>348</v>
      </c>
      <c r="B730" s="38"/>
      <c r="C730" s="38"/>
      <c r="D730" s="38"/>
      <c r="E730" s="38" t="s">
        <v>1428</v>
      </c>
      <c r="F730" s="43" t="s">
        <v>1429</v>
      </c>
      <c r="G730" s="44"/>
      <c r="H730" s="45"/>
      <c r="I730" s="38"/>
      <c r="J730" s="38">
        <f>527</f>
        <v>527</v>
      </c>
      <c r="K730" s="46">
        <v>3.6574074074074074E-3</v>
      </c>
      <c r="L730" s="47" t="s">
        <v>1283</v>
      </c>
      <c r="M730" s="307"/>
      <c r="N730" s="307"/>
      <c r="O730" s="307">
        <f t="shared" si="20"/>
        <v>0</v>
      </c>
      <c r="P730" s="92"/>
      <c r="Q730" s="410" t="str">
        <f t="shared" ca="1" si="24"/>
        <v>https://www.youtube.com/watch?v=5U64D5B9-O0</v>
      </c>
      <c r="R730" s="50"/>
      <c r="S730" s="50"/>
      <c r="T730" s="50"/>
      <c r="U730" s="52"/>
      <c r="V730" s="53"/>
      <c r="W730" s="60"/>
      <c r="X730" s="56"/>
      <c r="Y730" s="38"/>
      <c r="Z730" s="38"/>
    </row>
    <row r="731" spans="1:26" hidden="1">
      <c r="A731" s="38">
        <v>349</v>
      </c>
      <c r="B731" s="38"/>
      <c r="C731" s="38"/>
      <c r="D731" s="38"/>
      <c r="E731" s="38" t="s">
        <v>1430</v>
      </c>
      <c r="F731" s="43" t="s">
        <v>1431</v>
      </c>
      <c r="G731" s="44"/>
      <c r="H731" s="45"/>
      <c r="I731" s="38"/>
      <c r="J731" s="38">
        <f>1*1000</f>
        <v>1000</v>
      </c>
      <c r="K731" s="46">
        <v>5.2662037037037035E-3</v>
      </c>
      <c r="L731" s="47" t="s">
        <v>1283</v>
      </c>
      <c r="M731" s="307"/>
      <c r="N731" s="307"/>
      <c r="O731" s="307">
        <f t="shared" si="20"/>
        <v>0</v>
      </c>
      <c r="P731" s="92"/>
      <c r="Q731" s="410" t="str">
        <f t="shared" ca="1" si="24"/>
        <v>https://www.youtube.com/watch?v=fKsfq4rFzbA</v>
      </c>
      <c r="R731" s="50"/>
      <c r="S731" s="50"/>
      <c r="T731" s="50"/>
      <c r="U731" s="52"/>
      <c r="V731" s="53"/>
      <c r="W731" s="60"/>
      <c r="X731" s="56"/>
      <c r="Y731" s="38"/>
      <c r="Z731" s="38"/>
    </row>
    <row r="732" spans="1:26" hidden="1">
      <c r="A732" s="38">
        <v>350</v>
      </c>
      <c r="B732" s="38"/>
      <c r="C732" s="38"/>
      <c r="D732" s="38"/>
      <c r="E732" s="38" t="s">
        <v>1432</v>
      </c>
      <c r="F732" s="43" t="s">
        <v>1433</v>
      </c>
      <c r="G732" s="44"/>
      <c r="H732" s="45"/>
      <c r="I732" s="38"/>
      <c r="J732" s="38">
        <f>368</f>
        <v>368</v>
      </c>
      <c r="K732" s="46">
        <v>1.1805555555555556E-3</v>
      </c>
      <c r="L732" s="47" t="s">
        <v>1283</v>
      </c>
      <c r="M732" s="307"/>
      <c r="N732" s="307"/>
      <c r="O732" s="307">
        <f t="shared" si="20"/>
        <v>0</v>
      </c>
      <c r="P732" s="92"/>
      <c r="Q732" s="410" t="str">
        <f t="shared" ca="1" si="24"/>
        <v>https://www.youtube.com/watch?v=zKr-cYKprD8</v>
      </c>
      <c r="R732" s="50"/>
      <c r="S732" s="50"/>
      <c r="T732" s="50"/>
      <c r="U732" s="52"/>
      <c r="V732" s="53"/>
      <c r="W732" s="60"/>
      <c r="X732" s="56"/>
      <c r="Y732" s="38"/>
      <c r="Z732" s="38"/>
    </row>
    <row r="733" spans="1:26" hidden="1">
      <c r="A733" s="38">
        <v>351</v>
      </c>
      <c r="B733" s="38"/>
      <c r="C733" s="38"/>
      <c r="D733" s="38"/>
      <c r="E733" s="38" t="s">
        <v>1434</v>
      </c>
      <c r="F733" s="43" t="s">
        <v>1435</v>
      </c>
      <c r="G733" s="44"/>
      <c r="H733" s="45"/>
      <c r="I733" s="38"/>
      <c r="J733" s="38">
        <f>1.3*1000</f>
        <v>1300</v>
      </c>
      <c r="K733" s="46">
        <v>2.9398148148148148E-3</v>
      </c>
      <c r="L733" s="47" t="s">
        <v>1283</v>
      </c>
      <c r="M733" s="307"/>
      <c r="N733" s="307"/>
      <c r="O733" s="307">
        <f t="shared" si="20"/>
        <v>0</v>
      </c>
      <c r="P733" s="92"/>
      <c r="Q733" s="410" t="str">
        <f t="shared" ca="1" si="24"/>
        <v>https://www.youtube.com/watch?v=YHee5lF9yPc</v>
      </c>
      <c r="R733" s="50"/>
      <c r="S733" s="50"/>
      <c r="T733" s="50"/>
      <c r="U733" s="52"/>
      <c r="V733" s="53"/>
      <c r="W733" s="60"/>
      <c r="X733" s="56"/>
      <c r="Y733" s="38"/>
      <c r="Z733" s="38"/>
    </row>
    <row r="734" spans="1:26" hidden="1">
      <c r="A734" s="38">
        <v>352</v>
      </c>
      <c r="B734" s="38"/>
      <c r="C734" s="38"/>
      <c r="D734" s="38"/>
      <c r="E734" s="38" t="s">
        <v>1436</v>
      </c>
      <c r="F734" s="43" t="s">
        <v>1437</v>
      </c>
      <c r="G734" s="44"/>
      <c r="H734" s="45"/>
      <c r="I734" s="38"/>
      <c r="J734" s="38">
        <f>207</f>
        <v>207</v>
      </c>
      <c r="K734" s="46">
        <v>3.425925925925926E-3</v>
      </c>
      <c r="L734" s="47" t="s">
        <v>1283</v>
      </c>
      <c r="M734" s="307"/>
      <c r="N734" s="307"/>
      <c r="O734" s="307">
        <f t="shared" si="20"/>
        <v>0</v>
      </c>
      <c r="P734" s="92"/>
      <c r="Q734" s="410" t="str">
        <f t="shared" ca="1" si="24"/>
        <v>https://www.youtube.com/watch?v=8xbYHg11ROo</v>
      </c>
      <c r="R734" s="50"/>
      <c r="S734" s="50"/>
      <c r="T734" s="50"/>
      <c r="U734" s="52"/>
      <c r="V734" s="53"/>
      <c r="W734" s="60"/>
      <c r="X734" s="56"/>
      <c r="Y734" s="38"/>
      <c r="Z734" s="38"/>
    </row>
    <row r="735" spans="1:26" hidden="1">
      <c r="A735" s="38">
        <v>353</v>
      </c>
      <c r="B735" s="38"/>
      <c r="C735" s="38"/>
      <c r="D735" s="38"/>
      <c r="E735" s="38" t="s">
        <v>1438</v>
      </c>
      <c r="F735" s="43" t="s">
        <v>1439</v>
      </c>
      <c r="G735" s="44"/>
      <c r="H735" s="45"/>
      <c r="I735" s="38"/>
      <c r="J735" s="38">
        <f>177</f>
        <v>177</v>
      </c>
      <c r="K735" s="46">
        <v>2.7777777777777778E-4</v>
      </c>
      <c r="L735" s="47" t="s">
        <v>1283</v>
      </c>
      <c r="M735" s="307"/>
      <c r="N735" s="307"/>
      <c r="O735" s="307">
        <f t="shared" si="20"/>
        <v>0</v>
      </c>
      <c r="P735" s="92"/>
      <c r="Q735" s="410" t="str">
        <f t="shared" ca="1" si="24"/>
        <v>https://www.youtube.com/watch?v=yp1ZVELrxIA</v>
      </c>
      <c r="R735" s="50"/>
      <c r="S735" s="50"/>
      <c r="T735" s="50"/>
      <c r="U735" s="52"/>
      <c r="V735" s="53"/>
      <c r="W735" s="60"/>
      <c r="X735" s="56"/>
      <c r="Y735" s="38"/>
      <c r="Z735" s="38"/>
    </row>
    <row r="736" spans="1:26" hidden="1">
      <c r="A736" s="38">
        <v>354</v>
      </c>
      <c r="B736" s="38"/>
      <c r="C736" s="38"/>
      <c r="D736" s="38"/>
      <c r="E736" s="38" t="s">
        <v>1440</v>
      </c>
      <c r="F736" s="43" t="s">
        <v>1441</v>
      </c>
      <c r="G736" s="44"/>
      <c r="H736" s="45"/>
      <c r="I736" s="38"/>
      <c r="J736" s="38">
        <f>3*1000</f>
        <v>3000</v>
      </c>
      <c r="K736" s="46">
        <v>2.615740740740741E-3</v>
      </c>
      <c r="L736" s="47" t="s">
        <v>1283</v>
      </c>
      <c r="M736" s="307"/>
      <c r="N736" s="307"/>
      <c r="O736" s="307">
        <f t="shared" si="20"/>
        <v>0</v>
      </c>
      <c r="P736" s="92"/>
      <c r="Q736" s="410" t="str">
        <f t="shared" ca="1" si="24"/>
        <v>https://www.youtube.com/watch?v=JkoZriLo3fA</v>
      </c>
      <c r="R736" s="50"/>
      <c r="S736" s="50"/>
      <c r="T736" s="50"/>
      <c r="U736" s="52"/>
      <c r="V736" s="53"/>
      <c r="W736" s="60"/>
      <c r="X736" s="56"/>
      <c r="Y736" s="38"/>
      <c r="Z736" s="38"/>
    </row>
    <row r="737" spans="1:26" hidden="1">
      <c r="A737" s="38">
        <v>355</v>
      </c>
      <c r="B737" s="38"/>
      <c r="C737" s="38"/>
      <c r="D737" s="38"/>
      <c r="E737" s="38" t="s">
        <v>1442</v>
      </c>
      <c r="F737" s="43" t="s">
        <v>1443</v>
      </c>
      <c r="G737" s="44"/>
      <c r="H737" s="45"/>
      <c r="I737" s="38"/>
      <c r="J737" s="38">
        <f>1.9*1000</f>
        <v>1900</v>
      </c>
      <c r="K737" s="46">
        <v>2.9629629629629628E-3</v>
      </c>
      <c r="L737" s="47" t="s">
        <v>1283</v>
      </c>
      <c r="M737" s="307"/>
      <c r="N737" s="307"/>
      <c r="O737" s="307">
        <f t="shared" si="20"/>
        <v>0</v>
      </c>
      <c r="P737" s="92"/>
      <c r="Q737" s="410" t="str">
        <f t="shared" ca="1" si="24"/>
        <v>https://www.youtube.com/watch?v=hPD7CW4JiSA</v>
      </c>
      <c r="R737" s="50"/>
      <c r="S737" s="50"/>
      <c r="T737" s="50"/>
      <c r="U737" s="52"/>
      <c r="V737" s="53"/>
      <c r="W737" s="60"/>
      <c r="X737" s="56"/>
      <c r="Y737" s="38"/>
      <c r="Z737" s="38"/>
    </row>
    <row r="738" spans="1:26" hidden="1">
      <c r="A738" s="38">
        <v>356</v>
      </c>
      <c r="B738" s="38"/>
      <c r="C738" s="38"/>
      <c r="D738" s="38"/>
      <c r="E738" s="38" t="s">
        <v>1444</v>
      </c>
      <c r="F738" s="43" t="s">
        <v>1445</v>
      </c>
      <c r="G738" s="44"/>
      <c r="H738" s="45"/>
      <c r="I738" s="38"/>
      <c r="J738" s="38">
        <f>549</f>
        <v>549</v>
      </c>
      <c r="K738" s="46">
        <v>2.1874999999999998E-3</v>
      </c>
      <c r="L738" s="47" t="s">
        <v>1283</v>
      </c>
      <c r="M738" s="307"/>
      <c r="N738" s="307"/>
      <c r="O738" s="307">
        <f t="shared" si="20"/>
        <v>0</v>
      </c>
      <c r="P738" s="92"/>
      <c r="Q738" s="410" t="str">
        <f t="shared" ca="1" si="24"/>
        <v>https://www.youtube.com/watch?v=wKE7d6nLsDM</v>
      </c>
      <c r="R738" s="50"/>
      <c r="S738" s="50"/>
      <c r="T738" s="50"/>
      <c r="U738" s="52"/>
      <c r="V738" s="53"/>
      <c r="W738" s="60"/>
      <c r="X738" s="56"/>
      <c r="Y738" s="38"/>
      <c r="Z738" s="38"/>
    </row>
    <row r="739" spans="1:26" hidden="1">
      <c r="A739" s="38">
        <v>357</v>
      </c>
      <c r="B739" s="38"/>
      <c r="C739" s="38"/>
      <c r="D739" s="38"/>
      <c r="E739" s="38" t="s">
        <v>1446</v>
      </c>
      <c r="F739" s="43" t="s">
        <v>1447</v>
      </c>
      <c r="G739" s="44"/>
      <c r="H739" s="45"/>
      <c r="I739" s="38"/>
      <c r="J739" s="38">
        <f>632</f>
        <v>632</v>
      </c>
      <c r="K739" s="46">
        <v>4.3749999999999995E-3</v>
      </c>
      <c r="L739" s="47" t="s">
        <v>1283</v>
      </c>
      <c r="M739" s="307"/>
      <c r="N739" s="307"/>
      <c r="O739" s="307">
        <f t="shared" si="20"/>
        <v>0</v>
      </c>
      <c r="P739" s="92"/>
      <c r="Q739" s="410" t="str">
        <f t="shared" ca="1" si="24"/>
        <v>https://www.youtube.com/watch?v=dlQfycnk550</v>
      </c>
      <c r="R739" s="50"/>
      <c r="S739" s="50"/>
      <c r="T739" s="50"/>
      <c r="U739" s="52"/>
      <c r="V739" s="53"/>
      <c r="W739" s="60"/>
      <c r="X739" s="56"/>
      <c r="Y739" s="38"/>
      <c r="Z739" s="38"/>
    </row>
    <row r="740" spans="1:26" hidden="1">
      <c r="A740" s="38">
        <v>358</v>
      </c>
      <c r="B740" s="38"/>
      <c r="C740" s="38"/>
      <c r="D740" s="38"/>
      <c r="E740" s="38" t="s">
        <v>1448</v>
      </c>
      <c r="F740" s="43" t="s">
        <v>1449</v>
      </c>
      <c r="G740" s="44"/>
      <c r="H740" s="45"/>
      <c r="I740" s="38"/>
      <c r="J740" s="38">
        <f>656</f>
        <v>656</v>
      </c>
      <c r="K740" s="46">
        <v>3.1250000000000001E-4</v>
      </c>
      <c r="L740" s="47" t="s">
        <v>1283</v>
      </c>
      <c r="M740" s="307"/>
      <c r="N740" s="307"/>
      <c r="O740" s="307">
        <f t="shared" si="20"/>
        <v>0</v>
      </c>
      <c r="P740" s="92"/>
      <c r="Q740" s="410" t="str">
        <f t="shared" ca="1" si="24"/>
        <v>https://www.youtube.com/watch?v=dgXtHzSngX0</v>
      </c>
      <c r="R740" s="50"/>
      <c r="S740" s="50"/>
      <c r="T740" s="50"/>
      <c r="U740" s="52"/>
      <c r="V740" s="53"/>
      <c r="W740" s="60"/>
      <c r="X740" s="56"/>
      <c r="Y740" s="38"/>
      <c r="Z740" s="38"/>
    </row>
    <row r="741" spans="1:26" hidden="1">
      <c r="A741" s="38">
        <v>359</v>
      </c>
      <c r="B741" s="38"/>
      <c r="C741" s="38"/>
      <c r="D741" s="38"/>
      <c r="E741" s="38" t="s">
        <v>1450</v>
      </c>
      <c r="F741" s="43" t="s">
        <v>1451</v>
      </c>
      <c r="G741" s="44"/>
      <c r="H741" s="45"/>
      <c r="I741" s="38"/>
      <c r="J741" s="38">
        <f>1.2*1000</f>
        <v>1200</v>
      </c>
      <c r="K741" s="46">
        <v>4.9189814814814816E-3</v>
      </c>
      <c r="L741" s="47" t="s">
        <v>1452</v>
      </c>
      <c r="M741" s="307"/>
      <c r="N741" s="307"/>
      <c r="O741" s="307">
        <f t="shared" si="20"/>
        <v>0</v>
      </c>
      <c r="P741" s="92"/>
      <c r="Q741" s="410" t="str">
        <f t="shared" ca="1" si="24"/>
        <v>https://www.youtube.com/watch?v=Xml5nVm8bg0</v>
      </c>
      <c r="R741" s="50"/>
      <c r="S741" s="50"/>
      <c r="T741" s="50"/>
      <c r="U741" s="52"/>
      <c r="V741" s="53"/>
      <c r="W741" s="60"/>
      <c r="X741" s="56"/>
      <c r="Y741" s="38"/>
      <c r="Z741" s="38"/>
    </row>
    <row r="742" spans="1:26" hidden="1">
      <c r="A742" s="38">
        <v>360</v>
      </c>
      <c r="B742" s="38"/>
      <c r="C742" s="38"/>
      <c r="D742" s="38"/>
      <c r="E742" s="38" t="s">
        <v>1453</v>
      </c>
      <c r="F742" s="43" t="s">
        <v>1454</v>
      </c>
      <c r="G742" s="44"/>
      <c r="H742" s="45"/>
      <c r="I742" s="38"/>
      <c r="J742" s="38">
        <f>1.3*1000</f>
        <v>1300</v>
      </c>
      <c r="K742" s="46">
        <v>2.9398148148148148E-3</v>
      </c>
      <c r="L742" s="47" t="s">
        <v>1283</v>
      </c>
      <c r="M742" s="307"/>
      <c r="N742" s="307"/>
      <c r="O742" s="307">
        <f t="shared" si="20"/>
        <v>0</v>
      </c>
      <c r="P742" s="92"/>
      <c r="Q742" s="410" t="str">
        <f t="shared" ca="1" si="24"/>
        <v>https://www.youtube.com/watch?v=I6Nwopg3FIw</v>
      </c>
      <c r="R742" s="50"/>
      <c r="S742" s="50"/>
      <c r="T742" s="50"/>
      <c r="U742" s="52"/>
      <c r="V742" s="53"/>
      <c r="W742" s="60"/>
      <c r="X742" s="56"/>
      <c r="Y742" s="38"/>
      <c r="Z742" s="38"/>
    </row>
    <row r="743" spans="1:26" hidden="1">
      <c r="A743" s="38">
        <v>361</v>
      </c>
      <c r="B743" s="38"/>
      <c r="C743" s="38"/>
      <c r="D743" s="38"/>
      <c r="E743" s="38" t="s">
        <v>1455</v>
      </c>
      <c r="F743" s="43" t="s">
        <v>1456</v>
      </c>
      <c r="G743" s="44"/>
      <c r="H743" s="45"/>
      <c r="I743" s="38"/>
      <c r="J743" s="38">
        <f>3.8*1000</f>
        <v>3800</v>
      </c>
      <c r="K743" s="46">
        <v>1.3912037037037037E-2</v>
      </c>
      <c r="L743" s="47" t="s">
        <v>1283</v>
      </c>
      <c r="M743" s="307"/>
      <c r="N743" s="307"/>
      <c r="O743" s="307">
        <f t="shared" si="20"/>
        <v>0</v>
      </c>
      <c r="P743" s="92"/>
      <c r="Q743" s="410" t="str">
        <f t="shared" ca="1" si="24"/>
        <v>https://www.youtube.com/watch?v=QT3p6iGNrkU</v>
      </c>
      <c r="R743" s="50"/>
      <c r="S743" s="50"/>
      <c r="T743" s="50"/>
      <c r="U743" s="52"/>
      <c r="V743" s="53"/>
      <c r="W743" s="60"/>
      <c r="X743" s="56"/>
      <c r="Y743" s="38"/>
      <c r="Z743" s="38"/>
    </row>
    <row r="744" spans="1:26" hidden="1">
      <c r="A744" s="38">
        <v>362</v>
      </c>
      <c r="B744" s="38"/>
      <c r="C744" s="38"/>
      <c r="D744" s="38"/>
      <c r="E744" s="38" t="s">
        <v>1457</v>
      </c>
      <c r="F744" s="43" t="s">
        <v>1458</v>
      </c>
      <c r="G744" s="44"/>
      <c r="H744" s="45"/>
      <c r="I744" s="38"/>
      <c r="J744" s="38">
        <f>9.2*1000</f>
        <v>9200</v>
      </c>
      <c r="K744" s="46">
        <v>1.6898148148148148E-2</v>
      </c>
      <c r="L744" s="47" t="s">
        <v>1283</v>
      </c>
      <c r="M744" s="307"/>
      <c r="N744" s="307"/>
      <c r="O744" s="307">
        <f t="shared" si="20"/>
        <v>0</v>
      </c>
      <c r="P744" s="92"/>
      <c r="Q744" s="410" t="str">
        <f t="shared" ca="1" si="24"/>
        <v>https://www.youtube.com/watch?v=DYtc95s7Kpc</v>
      </c>
      <c r="R744" s="50"/>
      <c r="S744" s="50"/>
      <c r="T744" s="50"/>
      <c r="U744" s="52"/>
      <c r="V744" s="53"/>
      <c r="W744" s="60"/>
      <c r="X744" s="56"/>
      <c r="Y744" s="38"/>
      <c r="Z744" s="38"/>
    </row>
    <row r="745" spans="1:26" hidden="1">
      <c r="A745" s="38">
        <v>363</v>
      </c>
      <c r="B745" s="38"/>
      <c r="C745" s="38"/>
      <c r="D745" s="38"/>
      <c r="E745" s="38" t="s">
        <v>1459</v>
      </c>
      <c r="F745" s="43" t="s">
        <v>1460</v>
      </c>
      <c r="G745" s="44"/>
      <c r="H745" s="45"/>
      <c r="I745" s="38"/>
      <c r="J745" s="38">
        <f>1.6*1000</f>
        <v>1600</v>
      </c>
      <c r="K745" s="46">
        <v>2.2106481481481478E-3</v>
      </c>
      <c r="L745" s="47" t="s">
        <v>1283</v>
      </c>
      <c r="M745" s="307"/>
      <c r="N745" s="307"/>
      <c r="O745" s="307">
        <f t="shared" si="20"/>
        <v>0</v>
      </c>
      <c r="P745" s="92"/>
      <c r="Q745" s="410" t="str">
        <f t="shared" ca="1" si="24"/>
        <v>https://www.youtube.com/watch?v=Lg0JLlBHCgA</v>
      </c>
      <c r="R745" s="50"/>
      <c r="S745" s="50"/>
      <c r="T745" s="50"/>
      <c r="U745" s="52"/>
      <c r="V745" s="53"/>
      <c r="W745" s="60"/>
      <c r="X745" s="56"/>
      <c r="Y745" s="38"/>
      <c r="Z745" s="38"/>
    </row>
    <row r="746" spans="1:26" hidden="1">
      <c r="A746" s="38">
        <v>364</v>
      </c>
      <c r="B746" s="38"/>
      <c r="C746" s="38"/>
      <c r="D746" s="38"/>
      <c r="E746" s="38" t="s">
        <v>1461</v>
      </c>
      <c r="F746" s="43" t="s">
        <v>1462</v>
      </c>
      <c r="G746" s="44"/>
      <c r="H746" s="45"/>
      <c r="I746" s="38"/>
      <c r="J746" s="38">
        <f>2.7*1000</f>
        <v>2700</v>
      </c>
      <c r="K746" s="46">
        <v>2.2615740740740742E-2</v>
      </c>
      <c r="L746" s="47" t="s">
        <v>1283</v>
      </c>
      <c r="M746" s="307"/>
      <c r="N746" s="307"/>
      <c r="O746" s="307">
        <f t="shared" si="20"/>
        <v>0</v>
      </c>
      <c r="P746" s="92"/>
      <c r="Q746" s="410" t="str">
        <f t="shared" ca="1" si="24"/>
        <v>https://www.youtube.com/watch?v=ZpdQsUkjwMc</v>
      </c>
      <c r="R746" s="50"/>
      <c r="S746" s="50"/>
      <c r="T746" s="50"/>
      <c r="U746" s="52"/>
      <c r="V746" s="53"/>
      <c r="W746" s="60"/>
      <c r="X746" s="56"/>
      <c r="Y746" s="38"/>
      <c r="Z746" s="38"/>
    </row>
    <row r="747" spans="1:26" hidden="1">
      <c r="A747" s="38">
        <v>365</v>
      </c>
      <c r="B747" s="38"/>
      <c r="C747" s="38"/>
      <c r="D747" s="38"/>
      <c r="E747" s="38" t="s">
        <v>1463</v>
      </c>
      <c r="F747" s="43" t="s">
        <v>1464</v>
      </c>
      <c r="G747" s="44"/>
      <c r="H747" s="45"/>
      <c r="I747" s="38"/>
      <c r="J747" s="38">
        <f>768</f>
        <v>768</v>
      </c>
      <c r="K747" s="46">
        <v>2.8587962962962963E-3</v>
      </c>
      <c r="L747" s="47" t="s">
        <v>1283</v>
      </c>
      <c r="M747" s="307"/>
      <c r="N747" s="307"/>
      <c r="O747" s="307">
        <f t="shared" si="20"/>
        <v>0</v>
      </c>
      <c r="P747" s="92"/>
      <c r="Q747" s="410" t="str">
        <f t="shared" ca="1" si="24"/>
        <v>https://www.youtube.com/watch?v=xA9TKhOjY24</v>
      </c>
      <c r="R747" s="50"/>
      <c r="S747" s="50"/>
      <c r="T747" s="50"/>
      <c r="U747" s="52"/>
      <c r="V747" s="53"/>
      <c r="W747" s="60"/>
      <c r="X747" s="56"/>
      <c r="Y747" s="38"/>
      <c r="Z747" s="38"/>
    </row>
    <row r="748" spans="1:26" hidden="1">
      <c r="A748" s="38">
        <v>366</v>
      </c>
      <c r="B748" s="38"/>
      <c r="C748" s="38"/>
      <c r="D748" s="38"/>
      <c r="E748" s="38" t="s">
        <v>1465</v>
      </c>
      <c r="F748" s="43" t="s">
        <v>1466</v>
      </c>
      <c r="G748" s="44"/>
      <c r="H748" s="45"/>
      <c r="I748" s="38"/>
      <c r="J748" s="38">
        <f>925</f>
        <v>925</v>
      </c>
      <c r="K748" s="46">
        <v>1.2037037037037038E-3</v>
      </c>
      <c r="L748" s="47" t="s">
        <v>1283</v>
      </c>
      <c r="M748" s="307"/>
      <c r="N748" s="307"/>
      <c r="O748" s="307">
        <f t="shared" si="20"/>
        <v>0</v>
      </c>
      <c r="P748" s="92"/>
      <c r="Q748" s="410" t="str">
        <f t="shared" ca="1" si="24"/>
        <v>https://www.youtube.com/watch?v=w2e5eqI49cE</v>
      </c>
      <c r="R748" s="50"/>
      <c r="S748" s="50"/>
      <c r="T748" s="50"/>
      <c r="U748" s="52"/>
      <c r="V748" s="53"/>
      <c r="W748" s="60"/>
      <c r="X748" s="56"/>
      <c r="Y748" s="38"/>
      <c r="Z748" s="38"/>
    </row>
    <row r="749" spans="1:26" hidden="1">
      <c r="A749" s="38">
        <v>367</v>
      </c>
      <c r="B749" s="38"/>
      <c r="C749" s="38"/>
      <c r="D749" s="38"/>
      <c r="E749" s="38" t="s">
        <v>1467</v>
      </c>
      <c r="F749" s="43" t="s">
        <v>1468</v>
      </c>
      <c r="G749" s="44"/>
      <c r="H749" s="45"/>
      <c r="I749" s="38"/>
      <c r="J749" s="38">
        <f>12*1000</f>
        <v>12000</v>
      </c>
      <c r="K749" s="46">
        <v>1.8634259259259261E-3</v>
      </c>
      <c r="L749" s="47" t="s">
        <v>1283</v>
      </c>
      <c r="M749" s="307"/>
      <c r="N749" s="307"/>
      <c r="O749" s="307">
        <f t="shared" si="20"/>
        <v>0</v>
      </c>
      <c r="P749" s="92"/>
      <c r="Q749" s="410" t="str">
        <f t="shared" ca="1" si="24"/>
        <v>https://www.youtube.com/watch?v=qY5oQOirve4</v>
      </c>
      <c r="R749" s="50"/>
      <c r="S749" s="50"/>
      <c r="T749" s="50"/>
      <c r="U749" s="52"/>
      <c r="V749" s="53"/>
      <c r="W749" s="60"/>
      <c r="X749" s="56"/>
      <c r="Y749" s="38"/>
      <c r="Z749" s="38"/>
    </row>
    <row r="750" spans="1:26" hidden="1">
      <c r="A750" s="38">
        <v>368</v>
      </c>
      <c r="B750" s="38"/>
      <c r="C750" s="38"/>
      <c r="D750" s="38"/>
      <c r="E750" s="38" t="s">
        <v>1469</v>
      </c>
      <c r="F750" s="43" t="s">
        <v>1470</v>
      </c>
      <c r="G750" s="44"/>
      <c r="H750" s="45"/>
      <c r="I750" s="38"/>
      <c r="J750" s="38">
        <f>13*1000</f>
        <v>13000</v>
      </c>
      <c r="K750" s="46">
        <v>1.5914351851851853E-2</v>
      </c>
      <c r="L750" s="47" t="s">
        <v>1283</v>
      </c>
      <c r="M750" s="307"/>
      <c r="N750" s="307"/>
      <c r="O750" s="307">
        <f t="shared" si="20"/>
        <v>0</v>
      </c>
      <c r="P750" s="92"/>
      <c r="Q750" s="410" t="str">
        <f t="shared" ca="1" si="24"/>
        <v>https://www.youtube.com/watch?v=yMRw4TF7CAk</v>
      </c>
      <c r="R750" s="50"/>
      <c r="S750" s="50"/>
      <c r="T750" s="50"/>
      <c r="U750" s="52"/>
      <c r="V750" s="53"/>
      <c r="W750" s="60"/>
      <c r="X750" s="56"/>
      <c r="Y750" s="38"/>
      <c r="Z750" s="38"/>
    </row>
    <row r="751" spans="1:26" hidden="1">
      <c r="A751" s="38">
        <v>369</v>
      </c>
      <c r="B751" s="38"/>
      <c r="C751" s="38"/>
      <c r="D751" s="38"/>
      <c r="E751" s="38" t="s">
        <v>1471</v>
      </c>
      <c r="F751" s="43" t="s">
        <v>1472</v>
      </c>
      <c r="G751" s="44"/>
      <c r="H751" s="45"/>
      <c r="I751" s="38"/>
      <c r="J751" s="38">
        <f>193</f>
        <v>193</v>
      </c>
      <c r="K751" s="46">
        <v>3.8773148148148143E-3</v>
      </c>
      <c r="L751" s="47" t="s">
        <v>1283</v>
      </c>
      <c r="M751" s="307"/>
      <c r="N751" s="307"/>
      <c r="O751" s="307">
        <f t="shared" si="20"/>
        <v>0</v>
      </c>
      <c r="P751" s="92"/>
      <c r="Q751" s="410" t="str">
        <f t="shared" ca="1" si="24"/>
        <v>https://www.youtube.com/watch?v=XCXsh2mfb3M</v>
      </c>
      <c r="R751" s="50"/>
      <c r="S751" s="50"/>
      <c r="T751" s="50"/>
      <c r="U751" s="52"/>
      <c r="V751" s="53"/>
      <c r="W751" s="60"/>
      <c r="X751" s="56"/>
      <c r="Y751" s="38"/>
      <c r="Z751" s="38"/>
    </row>
    <row r="752" spans="1:26" hidden="1">
      <c r="A752" s="38">
        <v>370</v>
      </c>
      <c r="B752" s="38"/>
      <c r="C752" s="38"/>
      <c r="D752" s="38"/>
      <c r="E752" s="38" t="s">
        <v>1473</v>
      </c>
      <c r="F752" s="43" t="s">
        <v>1474</v>
      </c>
      <c r="G752" s="44"/>
      <c r="H752" s="45"/>
      <c r="I752" s="38"/>
      <c r="J752" s="38">
        <f>219</f>
        <v>219</v>
      </c>
      <c r="K752" s="46">
        <v>2.1296296296296298E-3</v>
      </c>
      <c r="L752" s="47" t="s">
        <v>1283</v>
      </c>
      <c r="M752" s="307"/>
      <c r="N752" s="307"/>
      <c r="O752" s="307">
        <f t="shared" si="20"/>
        <v>0</v>
      </c>
      <c r="P752" s="92"/>
      <c r="Q752" s="410" t="str">
        <f t="shared" ca="1" si="24"/>
        <v>https://www.youtube.com/watch?v=sTYcLqa56Z4</v>
      </c>
      <c r="R752" s="50"/>
      <c r="S752" s="50"/>
      <c r="T752" s="50"/>
      <c r="U752" s="52"/>
      <c r="V752" s="53"/>
      <c r="W752" s="60"/>
      <c r="X752" s="56"/>
      <c r="Y752" s="38"/>
      <c r="Z752" s="38"/>
    </row>
    <row r="753" spans="1:26" hidden="1">
      <c r="A753" s="38">
        <v>371</v>
      </c>
      <c r="B753" s="38"/>
      <c r="C753" s="38"/>
      <c r="D753" s="38"/>
      <c r="E753" s="38" t="s">
        <v>1475</v>
      </c>
      <c r="F753" s="43" t="s">
        <v>1476</v>
      </c>
      <c r="G753" s="44"/>
      <c r="H753" s="45"/>
      <c r="I753" s="38"/>
      <c r="J753" s="38">
        <f>413</f>
        <v>413</v>
      </c>
      <c r="K753" s="46">
        <v>2.4189814814814816E-3</v>
      </c>
      <c r="L753" s="47" t="s">
        <v>1283</v>
      </c>
      <c r="M753" s="307"/>
      <c r="N753" s="307"/>
      <c r="O753" s="307">
        <f t="shared" si="20"/>
        <v>0</v>
      </c>
      <c r="P753" s="92"/>
      <c r="Q753" s="410" t="str">
        <f t="shared" ca="1" si="24"/>
        <v>https://www.youtube.com/watch?v=VxI-y4zU4YE</v>
      </c>
      <c r="R753" s="50"/>
      <c r="S753" s="50"/>
      <c r="T753" s="50"/>
      <c r="U753" s="52"/>
      <c r="V753" s="53"/>
      <c r="W753" s="60"/>
      <c r="X753" s="56"/>
      <c r="Y753" s="38"/>
      <c r="Z753" s="38"/>
    </row>
    <row r="754" spans="1:26" hidden="1">
      <c r="A754" s="38">
        <v>372</v>
      </c>
      <c r="B754" s="38"/>
      <c r="C754" s="38"/>
      <c r="D754" s="38"/>
      <c r="E754" s="38" t="s">
        <v>1477</v>
      </c>
      <c r="F754" s="43" t="s">
        <v>1478</v>
      </c>
      <c r="G754" s="44"/>
      <c r="H754" s="45"/>
      <c r="I754" s="38"/>
      <c r="J754" s="38">
        <f>126</f>
        <v>126</v>
      </c>
      <c r="K754" s="46">
        <v>1.6203703703703703E-3</v>
      </c>
      <c r="L754" s="47" t="s">
        <v>1283</v>
      </c>
      <c r="M754" s="307"/>
      <c r="N754" s="307"/>
      <c r="O754" s="307">
        <f t="shared" si="20"/>
        <v>0</v>
      </c>
      <c r="P754" s="92"/>
      <c r="Q754" s="410" t="str">
        <f t="shared" ca="1" si="24"/>
        <v>https://www.youtube.com/watch?v=kKbQvD24QPY</v>
      </c>
      <c r="R754" s="50"/>
      <c r="S754" s="50"/>
      <c r="T754" s="50"/>
      <c r="U754" s="52"/>
      <c r="V754" s="53"/>
      <c r="W754" s="60"/>
      <c r="X754" s="56"/>
      <c r="Y754" s="38"/>
      <c r="Z754" s="38"/>
    </row>
    <row r="755" spans="1:26" hidden="1">
      <c r="A755" s="38">
        <v>373</v>
      </c>
      <c r="B755" s="38"/>
      <c r="C755" s="38"/>
      <c r="D755" s="38"/>
      <c r="E755" s="38" t="s">
        <v>1479</v>
      </c>
      <c r="F755" s="43" t="s">
        <v>1480</v>
      </c>
      <c r="G755" s="44"/>
      <c r="H755" s="45"/>
      <c r="I755" s="38"/>
      <c r="J755" s="38">
        <f>154</f>
        <v>154</v>
      </c>
      <c r="K755" s="46">
        <v>3.3680555555555551E-3</v>
      </c>
      <c r="L755" s="47" t="s">
        <v>1283</v>
      </c>
      <c r="M755" s="307"/>
      <c r="N755" s="307"/>
      <c r="O755" s="307">
        <f t="shared" si="20"/>
        <v>0</v>
      </c>
      <c r="P755" s="92"/>
      <c r="Q755" s="410" t="str">
        <f t="shared" ca="1" si="24"/>
        <v>https://www.youtube.com/watch?v=A6j1KcojG0E</v>
      </c>
      <c r="R755" s="50"/>
      <c r="S755" s="50"/>
      <c r="T755" s="50"/>
      <c r="U755" s="52"/>
      <c r="V755" s="53"/>
      <c r="W755" s="60"/>
      <c r="X755" s="56"/>
      <c r="Y755" s="38"/>
      <c r="Z755" s="38"/>
    </row>
    <row r="756" spans="1:26" hidden="1">
      <c r="A756" s="38">
        <v>374</v>
      </c>
      <c r="B756" s="38"/>
      <c r="C756" s="38"/>
      <c r="D756" s="38"/>
      <c r="E756" s="38" t="s">
        <v>1481</v>
      </c>
      <c r="F756" s="43" t="s">
        <v>1482</v>
      </c>
      <c r="G756" s="44"/>
      <c r="H756" s="45"/>
      <c r="I756" s="38"/>
      <c r="J756" s="38">
        <f>119</f>
        <v>119</v>
      </c>
      <c r="K756" s="46">
        <v>2.3263888888888887E-3</v>
      </c>
      <c r="L756" s="47" t="s">
        <v>1283</v>
      </c>
      <c r="M756" s="307"/>
      <c r="N756" s="307"/>
      <c r="O756" s="307">
        <f t="shared" si="20"/>
        <v>0</v>
      </c>
      <c r="P756" s="92"/>
      <c r="Q756" s="410" t="str">
        <f t="shared" ca="1" si="24"/>
        <v>https://www.youtube.com/watch?v=wzPkggokfLg</v>
      </c>
      <c r="R756" s="50"/>
      <c r="S756" s="50"/>
      <c r="T756" s="50"/>
      <c r="U756" s="52"/>
      <c r="V756" s="53"/>
      <c r="W756" s="60"/>
      <c r="X756" s="56"/>
      <c r="Y756" s="38"/>
      <c r="Z756" s="38"/>
    </row>
    <row r="757" spans="1:26" hidden="1">
      <c r="A757" s="38">
        <v>375</v>
      </c>
      <c r="B757" s="38"/>
      <c r="C757" s="38"/>
      <c r="D757" s="38"/>
      <c r="E757" s="38" t="s">
        <v>1483</v>
      </c>
      <c r="F757" s="43" t="s">
        <v>1484</v>
      </c>
      <c r="G757" s="44"/>
      <c r="H757" s="45"/>
      <c r="I757" s="38"/>
      <c r="J757" s="38">
        <f>241</f>
        <v>241</v>
      </c>
      <c r="K757" s="46">
        <v>8.7962962962962962E-4</v>
      </c>
      <c r="L757" s="47" t="s">
        <v>1283</v>
      </c>
      <c r="M757" s="307"/>
      <c r="N757" s="307"/>
      <c r="O757" s="307">
        <f t="shared" si="20"/>
        <v>0</v>
      </c>
      <c r="P757" s="92"/>
      <c r="Q757" s="410" t="str">
        <f t="shared" ca="1" si="24"/>
        <v>https://www.youtube.com/watch?v=dJ9wpyiJSSI</v>
      </c>
      <c r="R757" s="50"/>
      <c r="S757" s="50"/>
      <c r="T757" s="50"/>
      <c r="U757" s="52"/>
      <c r="V757" s="53"/>
      <c r="W757" s="60"/>
      <c r="X757" s="56"/>
      <c r="Y757" s="38"/>
      <c r="Z757" s="38"/>
    </row>
    <row r="758" spans="1:26" hidden="1">
      <c r="A758" s="38">
        <v>376</v>
      </c>
      <c r="B758" s="38"/>
      <c r="C758" s="38"/>
      <c r="D758" s="38"/>
      <c r="E758" s="38" t="s">
        <v>1485</v>
      </c>
      <c r="F758" s="43" t="s">
        <v>1486</v>
      </c>
      <c r="G758" s="44"/>
      <c r="H758" s="45"/>
      <c r="I758" s="38"/>
      <c r="J758" s="38">
        <f>13*1000</f>
        <v>13000</v>
      </c>
      <c r="K758" s="46">
        <v>8.2986111111111108E-3</v>
      </c>
      <c r="L758" s="47" t="s">
        <v>1283</v>
      </c>
      <c r="M758" s="307"/>
      <c r="N758" s="307"/>
      <c r="O758" s="307">
        <f t="shared" si="20"/>
        <v>0</v>
      </c>
      <c r="P758" s="92"/>
      <c r="Q758" s="410" t="str">
        <f t="shared" ca="1" si="24"/>
        <v>https://www.youtube.com/watch?v=0DBc4TKwgDc</v>
      </c>
      <c r="R758" s="50"/>
      <c r="S758" s="50"/>
      <c r="T758" s="50"/>
      <c r="U758" s="52"/>
      <c r="V758" s="53"/>
      <c r="W758" s="60"/>
      <c r="X758" s="56"/>
      <c r="Y758" s="38"/>
      <c r="Z758" s="38"/>
    </row>
    <row r="759" spans="1:26" hidden="1">
      <c r="A759" s="38">
        <v>377</v>
      </c>
      <c r="B759" s="38"/>
      <c r="C759" s="38"/>
      <c r="D759" s="38"/>
      <c r="E759" s="38" t="s">
        <v>1487</v>
      </c>
      <c r="F759" s="43" t="s">
        <v>1488</v>
      </c>
      <c r="G759" s="44"/>
      <c r="H759" s="45"/>
      <c r="I759" s="38"/>
      <c r="J759" s="38">
        <f>20*1000</f>
        <v>20000</v>
      </c>
      <c r="K759" s="46">
        <v>6.7592592592592591E-3</v>
      </c>
      <c r="L759" s="47" t="s">
        <v>1283</v>
      </c>
      <c r="M759" s="307"/>
      <c r="N759" s="307"/>
      <c r="O759" s="307">
        <f t="shared" si="20"/>
        <v>0</v>
      </c>
      <c r="P759" s="92"/>
      <c r="Q759" s="410" t="str">
        <f t="shared" ca="1" si="24"/>
        <v>https://www.youtube.com/watch?v=AjEKOFHh4yM</v>
      </c>
      <c r="R759" s="50"/>
      <c r="S759" s="50"/>
      <c r="T759" s="50"/>
      <c r="U759" s="52"/>
      <c r="V759" s="53"/>
      <c r="W759" s="60"/>
      <c r="X759" s="56"/>
      <c r="Y759" s="38"/>
      <c r="Z759" s="38"/>
    </row>
    <row r="760" spans="1:26" hidden="1">
      <c r="A760" s="38">
        <v>378</v>
      </c>
      <c r="B760" s="38"/>
      <c r="C760" s="38"/>
      <c r="D760" s="38"/>
      <c r="E760" s="38" t="s">
        <v>1489</v>
      </c>
      <c r="F760" s="43" t="s">
        <v>1490</v>
      </c>
      <c r="G760" s="44"/>
      <c r="H760" s="45"/>
      <c r="I760" s="38"/>
      <c r="J760" s="38">
        <f>844</f>
        <v>844</v>
      </c>
      <c r="K760" s="46">
        <v>2.5347222222222221E-3</v>
      </c>
      <c r="L760" s="47" t="s">
        <v>1283</v>
      </c>
      <c r="M760" s="307"/>
      <c r="N760" s="307"/>
      <c r="O760" s="307">
        <f t="shared" si="20"/>
        <v>0</v>
      </c>
      <c r="P760" s="92"/>
      <c r="Q760" s="410" t="str">
        <f t="shared" ca="1" si="24"/>
        <v>https://www.youtube.com/watch?v=FQmwAFcJSpw</v>
      </c>
      <c r="R760" s="50"/>
      <c r="S760" s="50"/>
      <c r="T760" s="50"/>
      <c r="U760" s="52"/>
      <c r="V760" s="53"/>
      <c r="W760" s="60"/>
      <c r="X760" s="56"/>
      <c r="Y760" s="38"/>
      <c r="Z760" s="38"/>
    </row>
    <row r="761" spans="1:26" hidden="1">
      <c r="A761" s="38">
        <v>379</v>
      </c>
      <c r="B761" s="38"/>
      <c r="C761" s="38"/>
      <c r="D761" s="38"/>
      <c r="E761" s="38" t="s">
        <v>1491</v>
      </c>
      <c r="F761" s="43" t="s">
        <v>1492</v>
      </c>
      <c r="G761" s="44"/>
      <c r="H761" s="45"/>
      <c r="I761" s="38"/>
      <c r="J761" s="38">
        <f>904</f>
        <v>904</v>
      </c>
      <c r="K761" s="46">
        <v>5.37037037037037E-3</v>
      </c>
      <c r="L761" s="47" t="s">
        <v>1283</v>
      </c>
      <c r="M761" s="307"/>
      <c r="N761" s="307"/>
      <c r="O761" s="307">
        <f t="shared" si="20"/>
        <v>0</v>
      </c>
      <c r="P761" s="92"/>
      <c r="Q761" s="410" t="str">
        <f t="shared" ca="1" si="24"/>
        <v>https://www.youtube.com/watch?v=Kg7UNGe9lik</v>
      </c>
      <c r="R761" s="50"/>
      <c r="S761" s="50"/>
      <c r="T761" s="50"/>
      <c r="U761" s="52"/>
      <c r="V761" s="53"/>
      <c r="W761" s="60"/>
      <c r="X761" s="56"/>
      <c r="Y761" s="38"/>
      <c r="Z761" s="38"/>
    </row>
    <row r="762" spans="1:26" hidden="1">
      <c r="A762" s="38">
        <v>380</v>
      </c>
      <c r="B762" s="38"/>
      <c r="C762" s="38"/>
      <c r="D762" s="38"/>
      <c r="E762" s="38" t="s">
        <v>1493</v>
      </c>
      <c r="F762" s="43" t="s">
        <v>1494</v>
      </c>
      <c r="G762" s="44"/>
      <c r="H762" s="45"/>
      <c r="I762" s="38"/>
      <c r="J762" s="38">
        <f>384</f>
        <v>384</v>
      </c>
      <c r="K762" s="46">
        <v>1.7592592592592592E-3</v>
      </c>
      <c r="L762" s="47" t="s">
        <v>1283</v>
      </c>
      <c r="M762" s="307"/>
      <c r="N762" s="307"/>
      <c r="O762" s="307">
        <f t="shared" si="20"/>
        <v>0</v>
      </c>
      <c r="P762" s="92"/>
      <c r="Q762" s="410" t="str">
        <f t="shared" ca="1" si="24"/>
        <v>https://www.youtube.com/watch?v=_OTzuNIDOOA</v>
      </c>
      <c r="R762" s="50"/>
      <c r="S762" s="50"/>
      <c r="T762" s="50"/>
      <c r="U762" s="52"/>
      <c r="V762" s="53"/>
      <c r="W762" s="60"/>
      <c r="X762" s="56"/>
      <c r="Y762" s="38"/>
      <c r="Z762" s="38"/>
    </row>
    <row r="763" spans="1:26" hidden="1">
      <c r="A763" s="38">
        <v>381</v>
      </c>
      <c r="B763" s="38"/>
      <c r="C763" s="38"/>
      <c r="D763" s="38"/>
      <c r="E763" s="38" t="s">
        <v>1495</v>
      </c>
      <c r="F763" s="43" t="s">
        <v>1496</v>
      </c>
      <c r="G763" s="44"/>
      <c r="H763" s="45"/>
      <c r="I763" s="38"/>
      <c r="J763" s="38">
        <f>43*1000</f>
        <v>43000</v>
      </c>
      <c r="K763" s="46">
        <v>4.9652777777777777E-3</v>
      </c>
      <c r="L763" s="47" t="s">
        <v>1283</v>
      </c>
      <c r="M763" s="307"/>
      <c r="N763" s="307"/>
      <c r="O763" s="307">
        <f t="shared" si="20"/>
        <v>0</v>
      </c>
      <c r="P763" s="92"/>
      <c r="Q763" s="410" t="str">
        <f t="shared" ca="1" si="24"/>
        <v>https://www.youtube.com/watch?v=VJZ4LARPMJU&amp;t=79s</v>
      </c>
      <c r="R763" s="50"/>
      <c r="S763" s="50"/>
      <c r="T763" s="50"/>
      <c r="U763" s="52"/>
      <c r="V763" s="53"/>
      <c r="W763" s="60"/>
      <c r="X763" s="56"/>
      <c r="Y763" s="38"/>
      <c r="Z763" s="38"/>
    </row>
    <row r="764" spans="1:26" hidden="1">
      <c r="A764" s="38">
        <v>382</v>
      </c>
      <c r="B764" s="38"/>
      <c r="C764" s="38"/>
      <c r="D764" s="38"/>
      <c r="E764" s="38" t="s">
        <v>1497</v>
      </c>
      <c r="F764" s="43" t="s">
        <v>1498</v>
      </c>
      <c r="G764" s="44"/>
      <c r="H764" s="45"/>
      <c r="I764" s="38"/>
      <c r="J764" s="38">
        <f>1.3*1000</f>
        <v>1300</v>
      </c>
      <c r="K764" s="46">
        <v>1.1689814814814814E-2</v>
      </c>
      <c r="L764" s="47" t="s">
        <v>1283</v>
      </c>
      <c r="M764" s="307"/>
      <c r="N764" s="307"/>
      <c r="O764" s="307">
        <f t="shared" si="20"/>
        <v>0</v>
      </c>
      <c r="P764" s="92"/>
      <c r="Q764" s="410" t="str">
        <f t="shared" ca="1" si="24"/>
        <v>https://www.youtube.com/watch?v=V-N1KdB7QTg</v>
      </c>
      <c r="R764" s="50"/>
      <c r="S764" s="50"/>
      <c r="T764" s="50"/>
      <c r="U764" s="52"/>
      <c r="V764" s="53"/>
      <c r="W764" s="60"/>
      <c r="X764" s="56"/>
      <c r="Y764" s="38"/>
      <c r="Z764" s="38"/>
    </row>
    <row r="765" spans="1:26" hidden="1">
      <c r="A765" s="38">
        <v>383</v>
      </c>
      <c r="B765" s="38"/>
      <c r="C765" s="38"/>
      <c r="D765" s="38"/>
      <c r="E765" s="38" t="s">
        <v>1499</v>
      </c>
      <c r="F765" s="43" t="s">
        <v>1500</v>
      </c>
      <c r="G765" s="44"/>
      <c r="H765" s="45"/>
      <c r="I765" s="38"/>
      <c r="J765" s="38">
        <f>1.1*1000</f>
        <v>1100</v>
      </c>
      <c r="K765" s="46">
        <v>2.7199074074074074E-3</v>
      </c>
      <c r="L765" s="47" t="s">
        <v>1283</v>
      </c>
      <c r="M765" s="307"/>
      <c r="N765" s="307"/>
      <c r="O765" s="307">
        <f t="shared" si="20"/>
        <v>0</v>
      </c>
      <c r="P765" s="92"/>
      <c r="Q765" s="410" t="str">
        <f t="shared" ca="1" si="24"/>
        <v>https://www.youtube.com/watch?v=4fTC0cZiBus</v>
      </c>
      <c r="R765" s="50"/>
      <c r="S765" s="50"/>
      <c r="T765" s="50"/>
      <c r="U765" s="52"/>
      <c r="V765" s="53"/>
      <c r="W765" s="60"/>
      <c r="X765" s="56"/>
      <c r="Y765" s="38"/>
      <c r="Z765" s="38"/>
    </row>
    <row r="766" spans="1:26" hidden="1">
      <c r="A766" s="38">
        <v>384</v>
      </c>
      <c r="B766" s="38"/>
      <c r="C766" s="38"/>
      <c r="D766" s="38"/>
      <c r="E766" s="38" t="s">
        <v>1501</v>
      </c>
      <c r="F766" s="43" t="s">
        <v>1502</v>
      </c>
      <c r="G766" s="44"/>
      <c r="H766" s="45"/>
      <c r="I766" s="38"/>
      <c r="J766" s="38">
        <f>947</f>
        <v>947</v>
      </c>
      <c r="K766" s="46">
        <v>2.0254629629629629E-3</v>
      </c>
      <c r="L766" s="47" t="s">
        <v>1283</v>
      </c>
      <c r="M766" s="307"/>
      <c r="N766" s="307"/>
      <c r="O766" s="307">
        <f t="shared" si="20"/>
        <v>0</v>
      </c>
      <c r="P766" s="92"/>
      <c r="Q766" s="410" t="str">
        <f t="shared" ca="1" si="24"/>
        <v>https://www.youtube.com/watch?v=G1vj3YNYQYg</v>
      </c>
      <c r="R766" s="50"/>
      <c r="S766" s="50"/>
      <c r="T766" s="50"/>
      <c r="U766" s="52"/>
      <c r="V766" s="53"/>
      <c r="W766" s="60"/>
      <c r="X766" s="56"/>
      <c r="Y766" s="38"/>
      <c r="Z766" s="38"/>
    </row>
    <row r="767" spans="1:26" hidden="1">
      <c r="A767" s="38">
        <v>385</v>
      </c>
      <c r="B767" s="38"/>
      <c r="C767" s="38"/>
      <c r="D767" s="38"/>
      <c r="E767" s="38" t="s">
        <v>1503</v>
      </c>
      <c r="F767" s="43" t="s">
        <v>1504</v>
      </c>
      <c r="G767" s="44"/>
      <c r="H767" s="45"/>
      <c r="I767" s="38"/>
      <c r="J767" s="38">
        <f>405</f>
        <v>405</v>
      </c>
      <c r="K767" s="46">
        <v>3.4375E-3</v>
      </c>
      <c r="L767" s="47" t="s">
        <v>1283</v>
      </c>
      <c r="M767" s="307"/>
      <c r="N767" s="307"/>
      <c r="O767" s="307">
        <f t="shared" si="20"/>
        <v>0</v>
      </c>
      <c r="P767" s="92"/>
      <c r="Q767" s="410" t="str">
        <f t="shared" ca="1" si="24"/>
        <v>https://www.youtube.com/watch?v=Ly_KKukp01g</v>
      </c>
      <c r="R767" s="50"/>
      <c r="S767" s="50"/>
      <c r="T767" s="50"/>
      <c r="U767" s="52"/>
      <c r="V767" s="53"/>
      <c r="W767" s="60"/>
      <c r="X767" s="56"/>
      <c r="Y767" s="38"/>
      <c r="Z767" s="38"/>
    </row>
    <row r="768" spans="1:26" hidden="1">
      <c r="A768" s="38">
        <v>386</v>
      </c>
      <c r="B768" s="38"/>
      <c r="C768" s="38"/>
      <c r="D768" s="38"/>
      <c r="E768" s="38" t="s">
        <v>1505</v>
      </c>
      <c r="F768" s="43" t="s">
        <v>1506</v>
      </c>
      <c r="G768" s="44"/>
      <c r="H768" s="45"/>
      <c r="I768" s="38"/>
      <c r="J768" s="38">
        <f>365</f>
        <v>365</v>
      </c>
      <c r="K768" s="46">
        <v>2.9745370370370373E-3</v>
      </c>
      <c r="L768" s="47" t="s">
        <v>1283</v>
      </c>
      <c r="M768" s="307"/>
      <c r="N768" s="307"/>
      <c r="O768" s="307">
        <f t="shared" si="20"/>
        <v>0</v>
      </c>
      <c r="P768" s="92"/>
      <c r="Q768" s="410" t="str">
        <f t="shared" ca="1" si="24"/>
        <v>https://www.youtube.com/watch?v=yB7P6V4_zUw</v>
      </c>
      <c r="R768" s="50"/>
      <c r="S768" s="50"/>
      <c r="T768" s="50"/>
      <c r="U768" s="52"/>
      <c r="V768" s="53"/>
      <c r="W768" s="60"/>
      <c r="X768" s="56"/>
      <c r="Y768" s="38"/>
      <c r="Z768" s="38"/>
    </row>
    <row r="769" spans="1:26" hidden="1">
      <c r="A769" s="38">
        <v>387</v>
      </c>
      <c r="B769" s="38"/>
      <c r="C769" s="38"/>
      <c r="D769" s="38"/>
      <c r="E769" s="38" t="s">
        <v>1507</v>
      </c>
      <c r="F769" s="43" t="s">
        <v>1508</v>
      </c>
      <c r="G769" s="44"/>
      <c r="H769" s="45"/>
      <c r="I769" s="38"/>
      <c r="J769" s="38">
        <f>728</f>
        <v>728</v>
      </c>
      <c r="K769" s="46">
        <v>3.37962962962963E-3</v>
      </c>
      <c r="L769" s="47" t="s">
        <v>1283</v>
      </c>
      <c r="M769" s="307"/>
      <c r="N769" s="307"/>
      <c r="O769" s="307">
        <f t="shared" si="20"/>
        <v>0</v>
      </c>
      <c r="P769" s="92"/>
      <c r="Q769" s="410" t="str">
        <f t="shared" ca="1" si="24"/>
        <v>https://www.youtube.com/watch?v=xjoBDX3u1Ys</v>
      </c>
      <c r="R769" s="50"/>
      <c r="S769" s="50"/>
      <c r="T769" s="50"/>
      <c r="U769" s="52"/>
      <c r="V769" s="53"/>
      <c r="W769" s="60"/>
      <c r="X769" s="56"/>
      <c r="Y769" s="38"/>
      <c r="Z769" s="38"/>
    </row>
    <row r="770" spans="1:26" hidden="1">
      <c r="A770" s="38">
        <v>388</v>
      </c>
      <c r="B770" s="38"/>
      <c r="C770" s="38"/>
      <c r="D770" s="38"/>
      <c r="E770" s="38" t="s">
        <v>1509</v>
      </c>
      <c r="F770" s="43" t="s">
        <v>1510</v>
      </c>
      <c r="G770" s="44"/>
      <c r="H770" s="45"/>
      <c r="I770" s="38"/>
      <c r="J770" s="38">
        <f>3.7*1000</f>
        <v>3700</v>
      </c>
      <c r="K770" s="46">
        <v>3.1782407407407405E-2</v>
      </c>
      <c r="L770" s="47" t="s">
        <v>1283</v>
      </c>
      <c r="M770" s="307"/>
      <c r="N770" s="307"/>
      <c r="O770" s="307">
        <f t="shared" si="20"/>
        <v>0</v>
      </c>
      <c r="P770" s="92"/>
      <c r="Q770" s="410" t="str">
        <f t="shared" ca="1" si="24"/>
        <v>https://www.youtube.com/watch?v=hFK3wIxZt3g</v>
      </c>
      <c r="R770" s="50"/>
      <c r="S770" s="50"/>
      <c r="T770" s="50"/>
      <c r="U770" s="52"/>
      <c r="V770" s="53"/>
      <c r="W770" s="60"/>
      <c r="X770" s="56"/>
      <c r="Y770" s="38"/>
      <c r="Z770" s="38"/>
    </row>
    <row r="771" spans="1:26" hidden="1">
      <c r="A771" s="38">
        <v>389</v>
      </c>
      <c r="B771" s="38"/>
      <c r="C771" s="38"/>
      <c r="D771" s="38"/>
      <c r="E771" s="38" t="s">
        <v>1511</v>
      </c>
      <c r="F771" s="43" t="s">
        <v>1512</v>
      </c>
      <c r="G771" s="44"/>
      <c r="H771" s="45"/>
      <c r="I771" s="38"/>
      <c r="J771" s="38">
        <f>634</f>
        <v>634</v>
      </c>
      <c r="K771" s="46">
        <v>2.2337962962962967E-3</v>
      </c>
      <c r="L771" s="47" t="s">
        <v>1283</v>
      </c>
      <c r="M771" s="307"/>
      <c r="N771" s="307"/>
      <c r="O771" s="307">
        <f t="shared" si="20"/>
        <v>0</v>
      </c>
      <c r="P771" s="92"/>
      <c r="Q771" s="410" t="str">
        <f t="shared" ref="Q771:Q834" ca="1" si="26">HYPERLINK(IF(INT(A771)-A771=0,E771,REPLACE(INDIRECT("MasterList!e"&amp;INT(A771)+1),25,8,"embed/")&amp;"?start="&amp;HOUR(M771)*3600+MINUTE(M771)*60+SECOND(M771)&amp;"&amp;end="&amp;HOUR(N771)*3600+MINUTE(N771)*60+SECOND(N771)&amp;"&amp;autoplay=1"))</f>
        <v>https://www.youtube.com/watch?v=gL_j5YKKN38</v>
      </c>
      <c r="R771" s="50"/>
      <c r="S771" s="50"/>
      <c r="T771" s="50"/>
      <c r="U771" s="52"/>
      <c r="V771" s="53"/>
      <c r="W771" s="60"/>
      <c r="X771" s="56"/>
      <c r="Y771" s="38"/>
      <c r="Z771" s="38"/>
    </row>
    <row r="772" spans="1:26" hidden="1">
      <c r="A772" s="38">
        <v>390</v>
      </c>
      <c r="B772" s="38"/>
      <c r="C772" s="38"/>
      <c r="D772" s="38"/>
      <c r="E772" s="38" t="s">
        <v>1513</v>
      </c>
      <c r="F772" s="43" t="s">
        <v>1514</v>
      </c>
      <c r="G772" s="44"/>
      <c r="H772" s="45"/>
      <c r="I772" s="38"/>
      <c r="J772" s="38">
        <f>387</f>
        <v>387</v>
      </c>
      <c r="K772" s="46">
        <v>1.8171296296296297E-3</v>
      </c>
      <c r="L772" s="47" t="s">
        <v>1283</v>
      </c>
      <c r="M772" s="307"/>
      <c r="N772" s="307"/>
      <c r="O772" s="307">
        <f t="shared" si="20"/>
        <v>0</v>
      </c>
      <c r="P772" s="92"/>
      <c r="Q772" s="410" t="str">
        <f t="shared" ca="1" si="26"/>
        <v>https://www.youtube.com/watch?v=J2klGHwzFFo</v>
      </c>
      <c r="R772" s="50"/>
      <c r="S772" s="50"/>
      <c r="T772" s="50"/>
      <c r="U772" s="52"/>
      <c r="V772" s="53"/>
      <c r="W772" s="60"/>
      <c r="X772" s="56"/>
      <c r="Y772" s="38"/>
      <c r="Z772" s="38"/>
    </row>
    <row r="773" spans="1:26" hidden="1">
      <c r="A773" s="38">
        <v>391</v>
      </c>
      <c r="B773" s="38"/>
      <c r="C773" s="38"/>
      <c r="D773" s="38"/>
      <c r="E773" s="38" t="s">
        <v>1515</v>
      </c>
      <c r="F773" s="43" t="s">
        <v>1516</v>
      </c>
      <c r="G773" s="44"/>
      <c r="H773" s="45"/>
      <c r="I773" s="38"/>
      <c r="J773" s="38">
        <f>319</f>
        <v>319</v>
      </c>
      <c r="K773" s="46">
        <v>1.8402777777777777E-3</v>
      </c>
      <c r="L773" s="47" t="s">
        <v>1283</v>
      </c>
      <c r="M773" s="307"/>
      <c r="N773" s="307"/>
      <c r="O773" s="307">
        <f t="shared" si="20"/>
        <v>0</v>
      </c>
      <c r="P773" s="92"/>
      <c r="Q773" s="410" t="str">
        <f t="shared" ca="1" si="26"/>
        <v>https://www.youtube.com/watch?v=ebsBucPcYoU</v>
      </c>
      <c r="R773" s="50"/>
      <c r="S773" s="50"/>
      <c r="T773" s="50"/>
      <c r="U773" s="52"/>
      <c r="V773" s="53"/>
      <c r="W773" s="60"/>
      <c r="X773" s="56"/>
      <c r="Y773" s="38"/>
      <c r="Z773" s="38"/>
    </row>
    <row r="774" spans="1:26" hidden="1">
      <c r="A774" s="38">
        <v>392</v>
      </c>
      <c r="B774" s="38"/>
      <c r="C774" s="38"/>
      <c r="D774" s="38"/>
      <c r="E774" s="38" t="s">
        <v>1517</v>
      </c>
      <c r="F774" s="43" t="s">
        <v>1518</v>
      </c>
      <c r="G774" s="44"/>
      <c r="H774" s="45"/>
      <c r="I774" s="38"/>
      <c r="J774" s="38">
        <f>282</f>
        <v>282</v>
      </c>
      <c r="K774" s="46">
        <v>1.0995370370370371E-3</v>
      </c>
      <c r="L774" s="47" t="s">
        <v>1283</v>
      </c>
      <c r="M774" s="307"/>
      <c r="N774" s="307"/>
      <c r="O774" s="307">
        <f t="shared" si="20"/>
        <v>0</v>
      </c>
      <c r="P774" s="92"/>
      <c r="Q774" s="410" t="str">
        <f t="shared" ca="1" si="26"/>
        <v>https://www.youtube.com/watch?v=orOA4dPxE98</v>
      </c>
      <c r="R774" s="50"/>
      <c r="S774" s="50"/>
      <c r="T774" s="50"/>
      <c r="U774" s="52"/>
      <c r="V774" s="53"/>
      <c r="W774" s="60"/>
      <c r="X774" s="56"/>
      <c r="Y774" s="38"/>
      <c r="Z774" s="38"/>
    </row>
    <row r="775" spans="1:26" hidden="1">
      <c r="A775" s="38">
        <v>393</v>
      </c>
      <c r="B775" s="38"/>
      <c r="C775" s="38"/>
      <c r="D775" s="38"/>
      <c r="E775" s="38" t="s">
        <v>1520</v>
      </c>
      <c r="F775" s="43" t="s">
        <v>1521</v>
      </c>
      <c r="G775" s="44"/>
      <c r="H775" s="45"/>
      <c r="I775" s="38"/>
      <c r="J775" s="38">
        <f>1*1000</f>
        <v>1000</v>
      </c>
      <c r="K775" s="46">
        <v>5.7986111111111112E-3</v>
      </c>
      <c r="L775" s="47" t="s">
        <v>1283</v>
      </c>
      <c r="M775" s="307"/>
      <c r="N775" s="307"/>
      <c r="O775" s="307">
        <f t="shared" si="20"/>
        <v>0</v>
      </c>
      <c r="P775" s="92"/>
      <c r="Q775" s="410" t="str">
        <f t="shared" ca="1" si="26"/>
        <v>https://www.youtube.com/watch?v=go47jpA5M1A</v>
      </c>
      <c r="R775" s="50"/>
      <c r="S775" s="50"/>
      <c r="T775" s="50"/>
      <c r="U775" s="52"/>
      <c r="V775" s="53"/>
      <c r="W775" s="60"/>
      <c r="X775" s="56"/>
      <c r="Y775" s="38"/>
      <c r="Z775" s="38"/>
    </row>
    <row r="776" spans="1:26" hidden="1">
      <c r="A776" s="38">
        <v>394</v>
      </c>
      <c r="B776" s="38"/>
      <c r="C776" s="38"/>
      <c r="D776" s="38"/>
      <c r="E776" s="38" t="s">
        <v>1526</v>
      </c>
      <c r="F776" s="43" t="s">
        <v>1527</v>
      </c>
      <c r="G776" s="44"/>
      <c r="H776" s="45"/>
      <c r="I776" s="38"/>
      <c r="J776" s="38">
        <f>790</f>
        <v>790</v>
      </c>
      <c r="K776" s="46">
        <v>2.8124999999999995E-3</v>
      </c>
      <c r="L776" s="47" t="s">
        <v>1283</v>
      </c>
      <c r="M776" s="307"/>
      <c r="N776" s="307"/>
      <c r="O776" s="307">
        <f t="shared" si="20"/>
        <v>0</v>
      </c>
      <c r="P776" s="92"/>
      <c r="Q776" s="410" t="str">
        <f t="shared" ca="1" si="26"/>
        <v>https://www.youtube.com/watch?v=dlfE6JbvIYI</v>
      </c>
      <c r="R776" s="50"/>
      <c r="S776" s="50"/>
      <c r="T776" s="50"/>
      <c r="U776" s="52"/>
      <c r="V776" s="53"/>
      <c r="W776" s="60"/>
      <c r="X776" s="56"/>
      <c r="Y776" s="38"/>
      <c r="Z776" s="38"/>
    </row>
    <row r="777" spans="1:26" hidden="1">
      <c r="A777" s="38">
        <v>395</v>
      </c>
      <c r="B777" s="38"/>
      <c r="C777" s="38"/>
      <c r="D777" s="38"/>
      <c r="E777" s="38" t="s">
        <v>1531</v>
      </c>
      <c r="F777" s="43" t="s">
        <v>1532</v>
      </c>
      <c r="G777" s="44"/>
      <c r="H777" s="45"/>
      <c r="I777" s="38"/>
      <c r="J777" s="38">
        <f>270</f>
        <v>270</v>
      </c>
      <c r="K777" s="46">
        <v>7.7546296296296304E-4</v>
      </c>
      <c r="L777" s="47" t="s">
        <v>1283</v>
      </c>
      <c r="M777" s="307"/>
      <c r="N777" s="307"/>
      <c r="O777" s="307">
        <f t="shared" si="20"/>
        <v>0</v>
      </c>
      <c r="P777" s="92"/>
      <c r="Q777" s="410" t="str">
        <f t="shared" ca="1" si="26"/>
        <v>https://www.youtube.com/watch?v=1VZl4rtt2aU</v>
      </c>
      <c r="R777" s="50"/>
      <c r="S777" s="50"/>
      <c r="T777" s="50"/>
      <c r="U777" s="52"/>
      <c r="V777" s="53"/>
      <c r="W777" s="60"/>
      <c r="X777" s="56"/>
      <c r="Y777" s="38"/>
      <c r="Z777" s="38"/>
    </row>
    <row r="778" spans="1:26" hidden="1">
      <c r="A778" s="38">
        <v>396</v>
      </c>
      <c r="B778" s="38"/>
      <c r="C778" s="38"/>
      <c r="D778" s="38"/>
      <c r="E778" s="38" t="s">
        <v>1535</v>
      </c>
      <c r="F778" s="43" t="s">
        <v>1536</v>
      </c>
      <c r="G778" s="44"/>
      <c r="H778" s="45"/>
      <c r="I778" s="38"/>
      <c r="J778" s="38">
        <f>9.5*1000</f>
        <v>9500</v>
      </c>
      <c r="K778" s="46">
        <v>1.4224537037037037E-2</v>
      </c>
      <c r="L778" s="47" t="s">
        <v>1283</v>
      </c>
      <c r="M778" s="307"/>
      <c r="N778" s="307"/>
      <c r="O778" s="307">
        <f t="shared" si="20"/>
        <v>0</v>
      </c>
      <c r="P778" s="92"/>
      <c r="Q778" s="410" t="str">
        <f t="shared" ca="1" si="26"/>
        <v>https://www.youtube.com/watch?v=cUULt5zHp0k</v>
      </c>
      <c r="R778" s="50"/>
      <c r="S778" s="50"/>
      <c r="T778" s="50"/>
      <c r="U778" s="52"/>
      <c r="V778" s="53"/>
      <c r="W778" s="60"/>
      <c r="X778" s="56"/>
      <c r="Y778" s="38"/>
      <c r="Z778" s="38"/>
    </row>
    <row r="779" spans="1:26" hidden="1">
      <c r="A779" s="38">
        <v>397</v>
      </c>
      <c r="B779" s="38"/>
      <c r="C779" s="38"/>
      <c r="D779" s="38"/>
      <c r="E779" s="38" t="s">
        <v>1539</v>
      </c>
      <c r="F779" s="43" t="s">
        <v>1540</v>
      </c>
      <c r="G779" s="44"/>
      <c r="H779" s="45"/>
      <c r="I779" s="38"/>
      <c r="J779" s="38">
        <f>276</f>
        <v>276</v>
      </c>
      <c r="K779" s="46">
        <v>2.5115740740740741E-3</v>
      </c>
      <c r="L779" s="47" t="s">
        <v>1283</v>
      </c>
      <c r="M779" s="307"/>
      <c r="N779" s="307"/>
      <c r="O779" s="307">
        <f t="shared" si="20"/>
        <v>0</v>
      </c>
      <c r="P779" s="92"/>
      <c r="Q779" s="410" t="str">
        <f t="shared" ca="1" si="26"/>
        <v>https://www.youtube.com/watch?v=BNly0XIZX6c</v>
      </c>
      <c r="R779" s="50"/>
      <c r="S779" s="50"/>
      <c r="T779" s="50"/>
      <c r="U779" s="52"/>
      <c r="V779" s="53"/>
      <c r="W779" s="60"/>
      <c r="X779" s="56"/>
      <c r="Y779" s="38"/>
      <c r="Z779" s="38"/>
    </row>
    <row r="780" spans="1:26" hidden="1">
      <c r="A780" s="38">
        <v>398</v>
      </c>
      <c r="B780" s="38"/>
      <c r="C780" s="38"/>
      <c r="D780" s="38"/>
      <c r="E780" s="38" t="s">
        <v>1545</v>
      </c>
      <c r="F780" s="43" t="s">
        <v>1546</v>
      </c>
      <c r="G780" s="44"/>
      <c r="H780" s="45"/>
      <c r="I780" s="38"/>
      <c r="J780" s="38">
        <f>574</f>
        <v>574</v>
      </c>
      <c r="K780" s="46">
        <v>5.0694444444444441E-3</v>
      </c>
      <c r="L780" s="47" t="s">
        <v>1283</v>
      </c>
      <c r="M780" s="307"/>
      <c r="N780" s="307"/>
      <c r="O780" s="307">
        <f t="shared" si="20"/>
        <v>0</v>
      </c>
      <c r="P780" s="92"/>
      <c r="Q780" s="410" t="str">
        <f t="shared" ca="1" si="26"/>
        <v>https://www.youtube.com/watch?v=C3knBzrgTTY</v>
      </c>
      <c r="R780" s="50"/>
      <c r="S780" s="50"/>
      <c r="T780" s="50"/>
      <c r="U780" s="52"/>
      <c r="V780" s="53"/>
      <c r="W780" s="60"/>
      <c r="X780" s="56"/>
      <c r="Y780" s="38"/>
      <c r="Z780" s="38"/>
    </row>
    <row r="781" spans="1:26" hidden="1">
      <c r="A781" s="38">
        <v>399</v>
      </c>
      <c r="B781" s="38"/>
      <c r="C781" s="38"/>
      <c r="D781" s="38"/>
      <c r="E781" s="38" t="s">
        <v>1549</v>
      </c>
      <c r="F781" s="43" t="s">
        <v>1550</v>
      </c>
      <c r="G781" s="44"/>
      <c r="H781" s="45"/>
      <c r="I781" s="38"/>
      <c r="J781" s="38">
        <f>612</f>
        <v>612</v>
      </c>
      <c r="K781" s="46">
        <v>1.5393518518518519E-3</v>
      </c>
      <c r="L781" s="47" t="s">
        <v>1283</v>
      </c>
      <c r="M781" s="307"/>
      <c r="N781" s="307"/>
      <c r="O781" s="307">
        <f t="shared" si="20"/>
        <v>0</v>
      </c>
      <c r="P781" s="92"/>
      <c r="Q781" s="410" t="str">
        <f t="shared" ca="1" si="26"/>
        <v>https://www.youtube.com/watch?v=w1UAQGgnz4A</v>
      </c>
      <c r="R781" s="50"/>
      <c r="S781" s="50"/>
      <c r="T781" s="50"/>
      <c r="U781" s="52"/>
      <c r="V781" s="53"/>
      <c r="W781" s="60"/>
      <c r="X781" s="56"/>
      <c r="Y781" s="38"/>
      <c r="Z781" s="38"/>
    </row>
    <row r="782" spans="1:26" hidden="1">
      <c r="A782" s="38">
        <v>400</v>
      </c>
      <c r="B782" s="38"/>
      <c r="C782" s="38"/>
      <c r="D782" s="38"/>
      <c r="E782" s="38" t="s">
        <v>1554</v>
      </c>
      <c r="F782" s="43" t="s">
        <v>1555</v>
      </c>
      <c r="G782" s="44"/>
      <c r="H782" s="45"/>
      <c r="I782" s="38"/>
      <c r="J782" s="38">
        <f>423</f>
        <v>423</v>
      </c>
      <c r="K782" s="46">
        <v>1.1689814814814816E-3</v>
      </c>
      <c r="L782" s="47" t="s">
        <v>1283</v>
      </c>
      <c r="M782" s="307"/>
      <c r="N782" s="307"/>
      <c r="O782" s="307">
        <f t="shared" si="20"/>
        <v>0</v>
      </c>
      <c r="P782" s="92"/>
      <c r="Q782" s="410" t="str">
        <f t="shared" ca="1" si="26"/>
        <v>https://www.youtube.com/watch?v=1-5q-Da6EHQ</v>
      </c>
      <c r="R782" s="50"/>
      <c r="S782" s="50"/>
      <c r="T782" s="50"/>
      <c r="U782" s="52"/>
      <c r="V782" s="53"/>
      <c r="W782" s="60"/>
      <c r="X782" s="56"/>
      <c r="Y782" s="38"/>
      <c r="Z782" s="38"/>
    </row>
    <row r="783" spans="1:26" hidden="1">
      <c r="A783" s="38">
        <v>401</v>
      </c>
      <c r="B783" s="38"/>
      <c r="C783" s="38"/>
      <c r="D783" s="38"/>
      <c r="E783" s="38" t="s">
        <v>1558</v>
      </c>
      <c r="F783" s="43" t="s">
        <v>1559</v>
      </c>
      <c r="G783" s="44"/>
      <c r="H783" s="45"/>
      <c r="I783" s="38"/>
      <c r="J783" s="38">
        <f>567</f>
        <v>567</v>
      </c>
      <c r="K783" s="46">
        <v>1.3657407407407409E-3</v>
      </c>
      <c r="L783" s="47" t="s">
        <v>1283</v>
      </c>
      <c r="M783" s="307"/>
      <c r="N783" s="307"/>
      <c r="O783" s="307">
        <f t="shared" si="20"/>
        <v>0</v>
      </c>
      <c r="P783" s="92"/>
      <c r="Q783" s="410" t="str">
        <f t="shared" ca="1" si="26"/>
        <v>https://www.youtube.com/watch?v=JcNaFHIozC4</v>
      </c>
      <c r="R783" s="50"/>
      <c r="S783" s="50"/>
      <c r="T783" s="50"/>
      <c r="U783" s="52"/>
      <c r="V783" s="53"/>
      <c r="W783" s="60"/>
      <c r="X783" s="56"/>
      <c r="Y783" s="38"/>
      <c r="Z783" s="38"/>
    </row>
    <row r="784" spans="1:26" hidden="1">
      <c r="A784" s="38">
        <v>402</v>
      </c>
      <c r="B784" s="38"/>
      <c r="C784" s="38"/>
      <c r="D784" s="38"/>
      <c r="E784" s="38" t="s">
        <v>1564</v>
      </c>
      <c r="F784" s="43" t="s">
        <v>1565</v>
      </c>
      <c r="G784" s="44"/>
      <c r="H784" s="45"/>
      <c r="I784" s="38"/>
      <c r="J784" s="38">
        <f>231</f>
        <v>231</v>
      </c>
      <c r="K784" s="46">
        <v>2.2685185185185182E-3</v>
      </c>
      <c r="L784" s="47" t="s">
        <v>1283</v>
      </c>
      <c r="M784" s="307"/>
      <c r="N784" s="307"/>
      <c r="O784" s="307">
        <f t="shared" si="20"/>
        <v>0</v>
      </c>
      <c r="P784" s="92"/>
      <c r="Q784" s="410" t="str">
        <f t="shared" ca="1" si="26"/>
        <v>https://www.youtube.com/watch?v=3zpg3MGhmyI</v>
      </c>
      <c r="R784" s="50"/>
      <c r="S784" s="50"/>
      <c r="T784" s="50"/>
      <c r="U784" s="52"/>
      <c r="V784" s="53"/>
      <c r="W784" s="60"/>
      <c r="X784" s="56"/>
      <c r="Y784" s="38"/>
      <c r="Z784" s="38"/>
    </row>
    <row r="785" spans="1:26" hidden="1">
      <c r="A785" s="38">
        <v>403</v>
      </c>
      <c r="B785" s="38"/>
      <c r="C785" s="38"/>
      <c r="D785" s="38"/>
      <c r="E785" s="38" t="s">
        <v>1567</v>
      </c>
      <c r="F785" s="43" t="s">
        <v>1568</v>
      </c>
      <c r="G785" s="44"/>
      <c r="H785" s="45"/>
      <c r="I785" s="38"/>
      <c r="J785" s="38">
        <f>415</f>
        <v>415</v>
      </c>
      <c r="K785" s="46">
        <v>2.8935185185185188E-3</v>
      </c>
      <c r="L785" s="47" t="s">
        <v>1283</v>
      </c>
      <c r="M785" s="307"/>
      <c r="N785" s="307"/>
      <c r="O785" s="307">
        <f t="shared" si="20"/>
        <v>0</v>
      </c>
      <c r="P785" s="92"/>
      <c r="Q785" s="410" t="str">
        <f t="shared" ca="1" si="26"/>
        <v>https://www.youtube.com/watch?v=QrVLpFoGRb4</v>
      </c>
      <c r="R785" s="50"/>
      <c r="S785" s="50"/>
      <c r="T785" s="50"/>
      <c r="U785" s="52"/>
      <c r="V785" s="53"/>
      <c r="W785" s="60"/>
      <c r="X785" s="56"/>
      <c r="Y785" s="38"/>
      <c r="Z785" s="38"/>
    </row>
    <row r="786" spans="1:26" hidden="1">
      <c r="A786" s="38">
        <v>404</v>
      </c>
      <c r="B786" s="38"/>
      <c r="C786" s="38"/>
      <c r="D786" s="38"/>
      <c r="E786" s="38" t="s">
        <v>1571</v>
      </c>
      <c r="F786" s="43" t="s">
        <v>1572</v>
      </c>
      <c r="G786" s="44"/>
      <c r="H786" s="45"/>
      <c r="I786" s="38"/>
      <c r="J786" s="38">
        <f>553</f>
        <v>553</v>
      </c>
      <c r="K786" s="46">
        <v>2.1990740740740742E-3</v>
      </c>
      <c r="L786" s="47" t="s">
        <v>1283</v>
      </c>
      <c r="M786" s="307"/>
      <c r="N786" s="307"/>
      <c r="O786" s="307">
        <f t="shared" si="20"/>
        <v>0</v>
      </c>
      <c r="P786" s="92"/>
      <c r="Q786" s="410" t="str">
        <f t="shared" ca="1" si="26"/>
        <v>https://www.youtube.com/watch?v=yCrftsxElf8</v>
      </c>
      <c r="R786" s="50"/>
      <c r="S786" s="50"/>
      <c r="T786" s="50"/>
      <c r="U786" s="52"/>
      <c r="V786" s="53"/>
      <c r="W786" s="60"/>
      <c r="X786" s="56"/>
      <c r="Y786" s="38"/>
      <c r="Z786" s="38"/>
    </row>
    <row r="787" spans="1:26" hidden="1">
      <c r="A787" s="38">
        <v>405</v>
      </c>
      <c r="B787" s="38"/>
      <c r="C787" s="38"/>
      <c r="D787" s="38"/>
      <c r="E787" s="38" t="s">
        <v>1573</v>
      </c>
      <c r="F787" s="43" t="s">
        <v>1574</v>
      </c>
      <c r="G787" s="44"/>
      <c r="H787" s="45"/>
      <c r="I787" s="38"/>
      <c r="J787" s="38">
        <f>353</f>
        <v>353</v>
      </c>
      <c r="K787" s="46">
        <v>1.3541666666666667E-3</v>
      </c>
      <c r="L787" s="47" t="s">
        <v>1283</v>
      </c>
      <c r="M787" s="307"/>
      <c r="N787" s="307"/>
      <c r="O787" s="307">
        <f t="shared" si="20"/>
        <v>0</v>
      </c>
      <c r="P787" s="92"/>
      <c r="Q787" s="410" t="str">
        <f t="shared" ca="1" si="26"/>
        <v>https://www.youtube.com/watch?v=c0qRokhkADI</v>
      </c>
      <c r="R787" s="50"/>
      <c r="S787" s="50"/>
      <c r="T787" s="50"/>
      <c r="U787" s="52"/>
      <c r="V787" s="53"/>
      <c r="W787" s="60"/>
      <c r="X787" s="56"/>
      <c r="Y787" s="38"/>
      <c r="Z787" s="38"/>
    </row>
    <row r="788" spans="1:26" hidden="1">
      <c r="A788" s="38">
        <v>406</v>
      </c>
      <c r="B788" s="38"/>
      <c r="C788" s="38"/>
      <c r="D788" s="38"/>
      <c r="E788" s="38" t="s">
        <v>1577</v>
      </c>
      <c r="F788" s="43" t="s">
        <v>1578</v>
      </c>
      <c r="G788" s="44"/>
      <c r="H788" s="45"/>
      <c r="I788" s="38"/>
      <c r="J788" s="38">
        <f>798</f>
        <v>798</v>
      </c>
      <c r="K788" s="46">
        <v>1.8287037037037037E-3</v>
      </c>
      <c r="L788" s="47" t="s">
        <v>1283</v>
      </c>
      <c r="M788" s="307"/>
      <c r="N788" s="307"/>
      <c r="O788" s="307">
        <f t="shared" si="20"/>
        <v>0</v>
      </c>
      <c r="P788" s="92"/>
      <c r="Q788" s="410" t="str">
        <f t="shared" ca="1" si="26"/>
        <v>https://www.youtube.com/watch?v=AcHVZjv6cAs</v>
      </c>
      <c r="R788" s="50"/>
      <c r="S788" s="50"/>
      <c r="T788" s="50"/>
      <c r="U788" s="52"/>
      <c r="V788" s="53"/>
      <c r="W788" s="60"/>
      <c r="X788" s="56"/>
      <c r="Y788" s="38"/>
      <c r="Z788" s="38"/>
    </row>
    <row r="789" spans="1:26" hidden="1">
      <c r="A789" s="38">
        <v>407</v>
      </c>
      <c r="B789" s="38"/>
      <c r="C789" s="38"/>
      <c r="D789" s="38"/>
      <c r="E789" s="38" t="s">
        <v>1579</v>
      </c>
      <c r="F789" s="43" t="s">
        <v>1581</v>
      </c>
      <c r="G789" s="44"/>
      <c r="H789" s="45"/>
      <c r="I789" s="38"/>
      <c r="J789" s="38">
        <f>632</f>
        <v>632</v>
      </c>
      <c r="K789" s="46">
        <v>5.9490740740740745E-3</v>
      </c>
      <c r="L789" s="47" t="s">
        <v>1283</v>
      </c>
      <c r="M789" s="307"/>
      <c r="N789" s="307"/>
      <c r="O789" s="307">
        <f t="shared" si="20"/>
        <v>0</v>
      </c>
      <c r="P789" s="92"/>
      <c r="Q789" s="410" t="str">
        <f t="shared" ca="1" si="26"/>
        <v>https://www.youtube.com/watch?v=P1Eurn7tEJM</v>
      </c>
      <c r="R789" s="50"/>
      <c r="S789" s="50"/>
      <c r="T789" s="50"/>
      <c r="U789" s="52"/>
      <c r="V789" s="53"/>
      <c r="W789" s="60"/>
      <c r="X789" s="56"/>
      <c r="Y789" s="38"/>
      <c r="Z789" s="38"/>
    </row>
    <row r="790" spans="1:26" hidden="1">
      <c r="A790" s="38">
        <v>408</v>
      </c>
      <c r="B790" s="38"/>
      <c r="C790" s="38"/>
      <c r="D790" s="38"/>
      <c r="E790" s="38" t="s">
        <v>1584</v>
      </c>
      <c r="F790" s="43" t="s">
        <v>1585</v>
      </c>
      <c r="G790" s="44"/>
      <c r="H790" s="45"/>
      <c r="I790" s="38"/>
      <c r="J790" s="38">
        <f>363</f>
        <v>363</v>
      </c>
      <c r="K790" s="46">
        <v>1.4583333333333334E-3</v>
      </c>
      <c r="L790" s="47" t="s">
        <v>1283</v>
      </c>
      <c r="M790" s="307"/>
      <c r="N790" s="307"/>
      <c r="O790" s="307">
        <f t="shared" si="20"/>
        <v>0</v>
      </c>
      <c r="P790" s="92"/>
      <c r="Q790" s="410" t="str">
        <f t="shared" ca="1" si="26"/>
        <v>https://www.youtube.com/watch?v=GDQ-FTObhak</v>
      </c>
      <c r="R790" s="50"/>
      <c r="S790" s="50"/>
      <c r="T790" s="50"/>
      <c r="U790" s="52"/>
      <c r="V790" s="53"/>
      <c r="W790" s="60"/>
      <c r="X790" s="56"/>
      <c r="Y790" s="38"/>
      <c r="Z790" s="38"/>
    </row>
    <row r="791" spans="1:26" hidden="1">
      <c r="A791" s="38">
        <v>409</v>
      </c>
      <c r="B791" s="38"/>
      <c r="C791" s="38"/>
      <c r="D791" s="38"/>
      <c r="E791" s="38" t="s">
        <v>1587</v>
      </c>
      <c r="F791" s="43" t="s">
        <v>1588</v>
      </c>
      <c r="G791" s="44"/>
      <c r="H791" s="45"/>
      <c r="I791" s="38"/>
      <c r="J791" s="38">
        <f>2.4*1000</f>
        <v>2400</v>
      </c>
      <c r="K791" s="46">
        <v>2.0370370370370373E-3</v>
      </c>
      <c r="L791" s="47" t="s">
        <v>1283</v>
      </c>
      <c r="M791" s="307"/>
      <c r="N791" s="307"/>
      <c r="O791" s="307">
        <f t="shared" si="20"/>
        <v>0</v>
      </c>
      <c r="P791" s="92"/>
      <c r="Q791" s="410" t="str">
        <f t="shared" ca="1" si="26"/>
        <v>https://www.youtube.com/watch?v=5P0vjP1Hdvs</v>
      </c>
      <c r="R791" s="50"/>
      <c r="S791" s="50"/>
      <c r="T791" s="50"/>
      <c r="U791" s="52"/>
      <c r="V791" s="53"/>
      <c r="W791" s="60"/>
      <c r="X791" s="56"/>
      <c r="Y791" s="38"/>
      <c r="Z791" s="38"/>
    </row>
    <row r="792" spans="1:26" hidden="1">
      <c r="A792" s="38">
        <v>410</v>
      </c>
      <c r="B792" s="38"/>
      <c r="C792" s="38"/>
      <c r="D792" s="38"/>
      <c r="E792" s="38" t="s">
        <v>1591</v>
      </c>
      <c r="F792" s="43" t="s">
        <v>1592</v>
      </c>
      <c r="G792" s="44"/>
      <c r="H792" s="45"/>
      <c r="I792" s="38"/>
      <c r="J792" s="38">
        <f>513</f>
        <v>513</v>
      </c>
      <c r="K792" s="46">
        <v>7.6388888888888893E-4</v>
      </c>
      <c r="L792" s="47" t="s">
        <v>1283</v>
      </c>
      <c r="M792" s="307"/>
      <c r="N792" s="307"/>
      <c r="O792" s="307">
        <f t="shared" si="20"/>
        <v>0</v>
      </c>
      <c r="P792" s="92"/>
      <c r="Q792" s="410" t="str">
        <f t="shared" ca="1" si="26"/>
        <v>https://www.youtube.com/watch?v=OAcu0ZHtcXc</v>
      </c>
      <c r="R792" s="50"/>
      <c r="S792" s="50"/>
      <c r="T792" s="50"/>
      <c r="U792" s="52"/>
      <c r="V792" s="53"/>
      <c r="W792" s="60"/>
      <c r="X792" s="56"/>
      <c r="Y792" s="38"/>
      <c r="Z792" s="38"/>
    </row>
    <row r="793" spans="1:26" hidden="1">
      <c r="A793" s="38">
        <v>411</v>
      </c>
      <c r="B793" s="38"/>
      <c r="C793" s="38"/>
      <c r="D793" s="38"/>
      <c r="E793" s="38" t="s">
        <v>1595</v>
      </c>
      <c r="F793" s="43" t="s">
        <v>1596</v>
      </c>
      <c r="G793" s="44"/>
      <c r="H793" s="45"/>
      <c r="I793" s="38"/>
      <c r="J793" s="38">
        <f>765</f>
        <v>765</v>
      </c>
      <c r="K793" s="46">
        <v>2.615740740740741E-3</v>
      </c>
      <c r="L793" s="47" t="s">
        <v>1283</v>
      </c>
      <c r="M793" s="307"/>
      <c r="N793" s="307"/>
      <c r="O793" s="307">
        <f t="shared" si="20"/>
        <v>0</v>
      </c>
      <c r="P793" s="92"/>
      <c r="Q793" s="410" t="str">
        <f t="shared" ca="1" si="26"/>
        <v>https://www.youtube.com/watch?v=F4X3ljkLFP8</v>
      </c>
      <c r="R793" s="50"/>
      <c r="S793" s="50"/>
      <c r="T793" s="50"/>
      <c r="U793" s="52"/>
      <c r="V793" s="53"/>
      <c r="W793" s="60"/>
      <c r="X793" s="56"/>
      <c r="Y793" s="38"/>
      <c r="Z793" s="38"/>
    </row>
    <row r="794" spans="1:26" hidden="1">
      <c r="A794" s="38">
        <v>412</v>
      </c>
      <c r="B794" s="38"/>
      <c r="C794" s="38"/>
      <c r="D794" s="38"/>
      <c r="E794" s="38" t="s">
        <v>1599</v>
      </c>
      <c r="F794" s="43" t="s">
        <v>1600</v>
      </c>
      <c r="G794" s="44"/>
      <c r="H794" s="45"/>
      <c r="I794" s="38"/>
      <c r="J794" s="38">
        <f>477</f>
        <v>477</v>
      </c>
      <c r="K794" s="46">
        <v>2.9629629629629628E-3</v>
      </c>
      <c r="L794" s="47" t="s">
        <v>1283</v>
      </c>
      <c r="M794" s="307"/>
      <c r="N794" s="307"/>
      <c r="O794" s="307">
        <f t="shared" si="20"/>
        <v>0</v>
      </c>
      <c r="P794" s="92"/>
      <c r="Q794" s="410" t="str">
        <f t="shared" ca="1" si="26"/>
        <v>https://www.youtube.com/watch?v=_VfaX30ncIU</v>
      </c>
      <c r="R794" s="50"/>
      <c r="S794" s="50"/>
      <c r="T794" s="50"/>
      <c r="U794" s="52"/>
      <c r="V794" s="53"/>
      <c r="W794" s="60"/>
      <c r="X794" s="56"/>
      <c r="Y794" s="38"/>
      <c r="Z794" s="38"/>
    </row>
    <row r="795" spans="1:26" hidden="1">
      <c r="A795" s="38">
        <v>413</v>
      </c>
      <c r="B795" s="38"/>
      <c r="C795" s="38"/>
      <c r="D795" s="38"/>
      <c r="E795" s="38" t="s">
        <v>1603</v>
      </c>
      <c r="F795" s="43" t="s">
        <v>1604</v>
      </c>
      <c r="G795" s="44"/>
      <c r="H795" s="45"/>
      <c r="I795" s="38"/>
      <c r="J795" s="38">
        <f>742</f>
        <v>742</v>
      </c>
      <c r="K795" s="46">
        <v>2.627314814814815E-3</v>
      </c>
      <c r="L795" s="47" t="s">
        <v>1283</v>
      </c>
      <c r="M795" s="307"/>
      <c r="N795" s="307"/>
      <c r="O795" s="307">
        <f t="shared" si="20"/>
        <v>0</v>
      </c>
      <c r="P795" s="92"/>
      <c r="Q795" s="410" t="str">
        <f t="shared" ca="1" si="26"/>
        <v>https://www.youtube.com/watch?v=JDOBTQ94-S4</v>
      </c>
      <c r="R795" s="50"/>
      <c r="S795" s="50"/>
      <c r="T795" s="50"/>
      <c r="U795" s="52"/>
      <c r="V795" s="53"/>
      <c r="W795" s="60"/>
      <c r="X795" s="56"/>
      <c r="Y795" s="38"/>
      <c r="Z795" s="38"/>
    </row>
    <row r="796" spans="1:26" hidden="1">
      <c r="A796" s="38">
        <v>414</v>
      </c>
      <c r="B796" s="38"/>
      <c r="C796" s="38"/>
      <c r="D796" s="38"/>
      <c r="E796" s="38" t="s">
        <v>1607</v>
      </c>
      <c r="F796" s="43" t="s">
        <v>1608</v>
      </c>
      <c r="G796" s="44"/>
      <c r="H796" s="45"/>
      <c r="I796" s="38"/>
      <c r="J796" s="38">
        <f>540</f>
        <v>540</v>
      </c>
      <c r="K796" s="46">
        <v>3.9236111111111112E-3</v>
      </c>
      <c r="L796" s="47" t="s">
        <v>1283</v>
      </c>
      <c r="M796" s="307"/>
      <c r="N796" s="307"/>
      <c r="O796" s="307">
        <f t="shared" si="20"/>
        <v>0</v>
      </c>
      <c r="P796" s="92"/>
      <c r="Q796" s="410" t="str">
        <f t="shared" ca="1" si="26"/>
        <v>https://www.youtube.com/watch?v=5tMCiwnQlXM</v>
      </c>
      <c r="R796" s="50"/>
      <c r="S796" s="50"/>
      <c r="T796" s="50"/>
      <c r="U796" s="52"/>
      <c r="V796" s="53"/>
      <c r="W796" s="60"/>
      <c r="X796" s="56"/>
      <c r="Y796" s="38"/>
      <c r="Z796" s="38"/>
    </row>
    <row r="797" spans="1:26" hidden="1">
      <c r="A797" s="38">
        <v>415</v>
      </c>
      <c r="B797" s="38"/>
      <c r="C797" s="38"/>
      <c r="D797" s="38"/>
      <c r="E797" s="38" t="s">
        <v>1614</v>
      </c>
      <c r="F797" s="43" t="s">
        <v>1615</v>
      </c>
      <c r="G797" s="44"/>
      <c r="H797" s="45"/>
      <c r="I797" s="38"/>
      <c r="J797" s="38">
        <f>657</f>
        <v>657</v>
      </c>
      <c r="K797" s="46">
        <v>1.0995370370370371E-3</v>
      </c>
      <c r="L797" s="47" t="s">
        <v>1283</v>
      </c>
      <c r="M797" s="307"/>
      <c r="N797" s="307"/>
      <c r="O797" s="307">
        <f t="shared" si="20"/>
        <v>0</v>
      </c>
      <c r="P797" s="92"/>
      <c r="Q797" s="410" t="str">
        <f t="shared" ca="1" si="26"/>
        <v>https://www.youtube.com/watch?v=61VsCIaQhX4</v>
      </c>
      <c r="R797" s="50"/>
      <c r="S797" s="50"/>
      <c r="T797" s="50"/>
      <c r="U797" s="52"/>
      <c r="V797" s="53"/>
      <c r="W797" s="60"/>
      <c r="X797" s="56"/>
      <c r="Y797" s="38"/>
      <c r="Z797" s="38"/>
    </row>
    <row r="798" spans="1:26" hidden="1">
      <c r="A798" s="38">
        <v>416</v>
      </c>
      <c r="B798" s="38"/>
      <c r="C798" s="38"/>
      <c r="D798" s="38"/>
      <c r="E798" s="38" t="s">
        <v>1618</v>
      </c>
      <c r="F798" s="43" t="s">
        <v>1619</v>
      </c>
      <c r="G798" s="44"/>
      <c r="H798" s="45"/>
      <c r="I798" s="38"/>
      <c r="J798" s="38">
        <f>535</f>
        <v>535</v>
      </c>
      <c r="K798" s="46">
        <v>1.7708333333333332E-3</v>
      </c>
      <c r="L798" s="47" t="s">
        <v>1283</v>
      </c>
      <c r="M798" s="307"/>
      <c r="N798" s="307"/>
      <c r="O798" s="307">
        <f t="shared" si="20"/>
        <v>0</v>
      </c>
      <c r="P798" s="92"/>
      <c r="Q798" s="410" t="str">
        <f t="shared" ca="1" si="26"/>
        <v>https://www.youtube.com/watch?v=o4_iAmYXDzg</v>
      </c>
      <c r="R798" s="50"/>
      <c r="S798" s="50"/>
      <c r="T798" s="50"/>
      <c r="U798" s="52"/>
      <c r="V798" s="53"/>
      <c r="W798" s="60"/>
      <c r="X798" s="56"/>
      <c r="Y798" s="38"/>
      <c r="Z798" s="38"/>
    </row>
    <row r="799" spans="1:26" hidden="1">
      <c r="A799" s="38">
        <v>417</v>
      </c>
      <c r="B799" s="38"/>
      <c r="C799" s="38"/>
      <c r="D799" s="38"/>
      <c r="E799" s="38" t="s">
        <v>1622</v>
      </c>
      <c r="F799" s="43" t="s">
        <v>1623</v>
      </c>
      <c r="G799" s="44"/>
      <c r="H799" s="45"/>
      <c r="I799" s="38"/>
      <c r="J799" s="38">
        <f>6.4*1000</f>
        <v>6400</v>
      </c>
      <c r="K799" s="46">
        <v>1.8807870370370371E-2</v>
      </c>
      <c r="L799" s="47" t="s">
        <v>1283</v>
      </c>
      <c r="M799" s="307"/>
      <c r="N799" s="307"/>
      <c r="O799" s="307">
        <f t="shared" si="20"/>
        <v>0</v>
      </c>
      <c r="P799" s="92"/>
      <c r="Q799" s="410" t="str">
        <f t="shared" ca="1" si="26"/>
        <v>https://www.youtube.com/watch?v=bF-3L4O8Nq8</v>
      </c>
      <c r="R799" s="50"/>
      <c r="S799" s="50"/>
      <c r="T799" s="50"/>
      <c r="U799" s="52"/>
      <c r="V799" s="53"/>
      <c r="W799" s="60"/>
      <c r="X799" s="56"/>
      <c r="Y799" s="38"/>
      <c r="Z799" s="38"/>
    </row>
    <row r="800" spans="1:26" hidden="1">
      <c r="A800" s="38">
        <v>418</v>
      </c>
      <c r="B800" s="38"/>
      <c r="C800" s="38"/>
      <c r="D800" s="38"/>
      <c r="E800" s="38" t="s">
        <v>1627</v>
      </c>
      <c r="F800" s="43" t="s">
        <v>1628</v>
      </c>
      <c r="G800" s="44"/>
      <c r="H800" s="45"/>
      <c r="I800" s="38"/>
      <c r="J800" s="38">
        <f>257</f>
        <v>257</v>
      </c>
      <c r="K800" s="46">
        <v>2.0486111111111113E-3</v>
      </c>
      <c r="L800" s="47" t="s">
        <v>1283</v>
      </c>
      <c r="M800" s="307"/>
      <c r="N800" s="307"/>
      <c r="O800" s="307">
        <f t="shared" si="20"/>
        <v>0</v>
      </c>
      <c r="P800" s="92"/>
      <c r="Q800" s="410" t="str">
        <f t="shared" ca="1" si="26"/>
        <v>https://www.youtube.com/watch?v=5c75GXSIdlM</v>
      </c>
      <c r="R800" s="50"/>
      <c r="S800" s="50"/>
      <c r="T800" s="50"/>
      <c r="U800" s="52"/>
      <c r="V800" s="53"/>
      <c r="W800" s="60"/>
      <c r="X800" s="56"/>
      <c r="Y800" s="38"/>
      <c r="Z800" s="38"/>
    </row>
    <row r="801" spans="1:26" hidden="1">
      <c r="A801" s="38">
        <v>419</v>
      </c>
      <c r="B801" s="38"/>
      <c r="C801" s="38"/>
      <c r="D801" s="38"/>
      <c r="E801" s="38" t="s">
        <v>1631</v>
      </c>
      <c r="F801" s="43" t="s">
        <v>1632</v>
      </c>
      <c r="G801" s="44"/>
      <c r="H801" s="45"/>
      <c r="I801" s="38"/>
      <c r="J801" s="38">
        <f>485</f>
        <v>485</v>
      </c>
      <c r="K801" s="46">
        <v>1.5624999999999999E-3</v>
      </c>
      <c r="L801" s="47" t="s">
        <v>1283</v>
      </c>
      <c r="M801" s="307"/>
      <c r="N801" s="307"/>
      <c r="O801" s="307">
        <f t="shared" si="20"/>
        <v>0</v>
      </c>
      <c r="P801" s="92"/>
      <c r="Q801" s="410" t="str">
        <f t="shared" ca="1" si="26"/>
        <v>https://www.youtube.com/watch?v=KXamV4OZjYs</v>
      </c>
      <c r="R801" s="50"/>
      <c r="S801" s="50"/>
      <c r="T801" s="50"/>
      <c r="U801" s="52"/>
      <c r="V801" s="53"/>
      <c r="W801" s="60"/>
      <c r="X801" s="56"/>
      <c r="Y801" s="38"/>
      <c r="Z801" s="38"/>
    </row>
    <row r="802" spans="1:26" hidden="1">
      <c r="A802" s="38">
        <v>420</v>
      </c>
      <c r="B802" s="38"/>
      <c r="C802" s="38"/>
      <c r="D802" s="38"/>
      <c r="E802" s="38" t="s">
        <v>1635</v>
      </c>
      <c r="F802" s="43" t="s">
        <v>1636</v>
      </c>
      <c r="G802" s="44"/>
      <c r="H802" s="45"/>
      <c r="I802" s="38"/>
      <c r="J802" s="38">
        <f>994</f>
        <v>994</v>
      </c>
      <c r="K802" s="46">
        <v>3.5879629629629635E-4</v>
      </c>
      <c r="L802" s="47" t="s">
        <v>1283</v>
      </c>
      <c r="M802" s="307"/>
      <c r="N802" s="307"/>
      <c r="O802" s="307">
        <f t="shared" si="20"/>
        <v>0</v>
      </c>
      <c r="P802" s="92"/>
      <c r="Q802" s="410" t="str">
        <f t="shared" ca="1" si="26"/>
        <v>https://www.youtube.com/watch?v=rbrxzObExNc</v>
      </c>
      <c r="R802" s="50"/>
      <c r="S802" s="50"/>
      <c r="T802" s="50"/>
      <c r="U802" s="52"/>
      <c r="V802" s="53"/>
      <c r="W802" s="60"/>
      <c r="X802" s="56"/>
      <c r="Y802" s="38"/>
      <c r="Z802" s="38"/>
    </row>
    <row r="803" spans="1:26" hidden="1">
      <c r="A803" s="38">
        <v>421</v>
      </c>
      <c r="B803" s="38"/>
      <c r="C803" s="38"/>
      <c r="D803" s="38"/>
      <c r="E803" s="38" t="s">
        <v>1640</v>
      </c>
      <c r="F803" s="43" t="s">
        <v>1641</v>
      </c>
      <c r="G803" s="44"/>
      <c r="H803" s="45"/>
      <c r="I803" s="38"/>
      <c r="J803" s="38">
        <f>3.3*1000</f>
        <v>3300</v>
      </c>
      <c r="K803" s="46">
        <v>3.8194444444444443E-3</v>
      </c>
      <c r="L803" s="47" t="s">
        <v>1283</v>
      </c>
      <c r="M803" s="307"/>
      <c r="N803" s="307"/>
      <c r="O803" s="307">
        <f t="shared" si="20"/>
        <v>0</v>
      </c>
      <c r="P803" s="92"/>
      <c r="Q803" s="410" t="str">
        <f t="shared" ca="1" si="26"/>
        <v>https://www.youtube.com/watch?v=G6rcMSQ1UVE</v>
      </c>
      <c r="R803" s="50"/>
      <c r="S803" s="50"/>
      <c r="T803" s="50"/>
      <c r="U803" s="52"/>
      <c r="V803" s="53"/>
      <c r="W803" s="60"/>
      <c r="X803" s="56"/>
      <c r="Y803" s="38"/>
      <c r="Z803" s="38"/>
    </row>
    <row r="804" spans="1:26" hidden="1">
      <c r="A804" s="38">
        <v>422</v>
      </c>
      <c r="B804" s="38"/>
      <c r="C804" s="38"/>
      <c r="D804" s="38"/>
      <c r="E804" s="38" t="s">
        <v>1645</v>
      </c>
      <c r="F804" s="43" t="s">
        <v>1646</v>
      </c>
      <c r="G804" s="44"/>
      <c r="H804" s="45"/>
      <c r="I804" s="38"/>
      <c r="J804" s="38">
        <f>376</f>
        <v>376</v>
      </c>
      <c r="K804" s="46">
        <v>1.6203703703703703E-3</v>
      </c>
      <c r="L804" s="47" t="s">
        <v>1283</v>
      </c>
      <c r="M804" s="307"/>
      <c r="N804" s="307"/>
      <c r="O804" s="307">
        <f t="shared" si="20"/>
        <v>0</v>
      </c>
      <c r="P804" s="92"/>
      <c r="Q804" s="410" t="str">
        <f t="shared" ca="1" si="26"/>
        <v>https://www.youtube.com/watch?v=mK5DuxKw-I8</v>
      </c>
      <c r="R804" s="50"/>
      <c r="S804" s="50"/>
      <c r="T804" s="50"/>
      <c r="U804" s="52"/>
      <c r="V804" s="53"/>
      <c r="W804" s="60"/>
      <c r="X804" s="56"/>
      <c r="Y804" s="38"/>
      <c r="Z804" s="38"/>
    </row>
    <row r="805" spans="1:26" hidden="1">
      <c r="A805" s="38">
        <v>423</v>
      </c>
      <c r="B805" s="38"/>
      <c r="C805" s="38"/>
      <c r="D805" s="38"/>
      <c r="E805" s="38" t="s">
        <v>1650</v>
      </c>
      <c r="F805" s="43" t="s">
        <v>1651</v>
      </c>
      <c r="G805" s="44"/>
      <c r="H805" s="45"/>
      <c r="I805" s="38"/>
      <c r="J805" s="38">
        <f>263</f>
        <v>263</v>
      </c>
      <c r="K805" s="46">
        <v>4.5138888888888892E-4</v>
      </c>
      <c r="L805" s="47" t="s">
        <v>1283</v>
      </c>
      <c r="M805" s="307"/>
      <c r="N805" s="307"/>
      <c r="O805" s="307">
        <f t="shared" si="20"/>
        <v>0</v>
      </c>
      <c r="P805" s="92"/>
      <c r="Q805" s="410" t="str">
        <f t="shared" ca="1" si="26"/>
        <v>https://www.youtube.com/watch?v=zV5AbsAy5m4</v>
      </c>
      <c r="R805" s="50"/>
      <c r="S805" s="50"/>
      <c r="T805" s="50"/>
      <c r="U805" s="52"/>
      <c r="V805" s="53"/>
      <c r="W805" s="60"/>
      <c r="X805" s="56"/>
      <c r="Y805" s="38"/>
      <c r="Z805" s="38"/>
    </row>
    <row r="806" spans="1:26" hidden="1">
      <c r="A806" s="38">
        <v>424</v>
      </c>
      <c r="B806" s="38"/>
      <c r="C806" s="38"/>
      <c r="D806" s="38"/>
      <c r="E806" s="38" t="s">
        <v>1654</v>
      </c>
      <c r="F806" s="43" t="s">
        <v>1655</v>
      </c>
      <c r="G806" s="44"/>
      <c r="H806" s="45"/>
      <c r="I806" s="38"/>
      <c r="J806" s="38">
        <f>309</f>
        <v>309</v>
      </c>
      <c r="K806" s="46">
        <v>1.8171296296296297E-3</v>
      </c>
      <c r="L806" s="47" t="s">
        <v>1283</v>
      </c>
      <c r="M806" s="307"/>
      <c r="N806" s="307"/>
      <c r="O806" s="307">
        <f t="shared" si="20"/>
        <v>0</v>
      </c>
      <c r="P806" s="92"/>
      <c r="Q806" s="410" t="str">
        <f t="shared" ca="1" si="26"/>
        <v>https://www.youtube.com/watch?v=dzUx3zUv_yw</v>
      </c>
      <c r="R806" s="50"/>
      <c r="S806" s="50"/>
      <c r="T806" s="50"/>
      <c r="U806" s="52"/>
      <c r="V806" s="53"/>
      <c r="W806" s="60"/>
      <c r="X806" s="56"/>
      <c r="Y806" s="38"/>
      <c r="Z806" s="38"/>
    </row>
    <row r="807" spans="1:26" hidden="1">
      <c r="A807" s="38">
        <v>425</v>
      </c>
      <c r="B807" s="38"/>
      <c r="C807" s="38"/>
      <c r="D807" s="38"/>
      <c r="E807" s="38" t="s">
        <v>1656</v>
      </c>
      <c r="F807" s="43" t="s">
        <v>1658</v>
      </c>
      <c r="G807" s="44"/>
      <c r="H807" s="45"/>
      <c r="I807" s="38"/>
      <c r="J807" s="38">
        <f>899</f>
        <v>899</v>
      </c>
      <c r="K807" s="46">
        <v>8.9120370370370362E-4</v>
      </c>
      <c r="L807" s="47" t="s">
        <v>1283</v>
      </c>
      <c r="M807" s="307"/>
      <c r="N807" s="307"/>
      <c r="O807" s="307">
        <f t="shared" si="20"/>
        <v>0</v>
      </c>
      <c r="P807" s="92"/>
      <c r="Q807" s="410" t="str">
        <f t="shared" ca="1" si="26"/>
        <v>https://www.youtube.com/watch?v=5iT09vIaZOU</v>
      </c>
      <c r="R807" s="50"/>
      <c r="S807" s="50"/>
      <c r="T807" s="50"/>
      <c r="U807" s="52"/>
      <c r="V807" s="53"/>
      <c r="W807" s="60"/>
      <c r="X807" s="56"/>
      <c r="Y807" s="38"/>
      <c r="Z807" s="38"/>
    </row>
    <row r="808" spans="1:26" hidden="1">
      <c r="A808" s="38">
        <v>426</v>
      </c>
      <c r="B808" s="38"/>
      <c r="C808" s="38"/>
      <c r="D808" s="38"/>
      <c r="E808" s="38" t="s">
        <v>1662</v>
      </c>
      <c r="F808" s="43" t="s">
        <v>1663</v>
      </c>
      <c r="G808" s="44"/>
      <c r="H808" s="45"/>
      <c r="I808" s="38"/>
      <c r="J808" s="38">
        <f>1.4*1000</f>
        <v>1400</v>
      </c>
      <c r="K808" s="46">
        <v>1.736111111111111E-3</v>
      </c>
      <c r="L808" s="47" t="s">
        <v>1283</v>
      </c>
      <c r="M808" s="307"/>
      <c r="N808" s="307"/>
      <c r="O808" s="307">
        <f t="shared" si="20"/>
        <v>0</v>
      </c>
      <c r="P808" s="92"/>
      <c r="Q808" s="410" t="str">
        <f t="shared" ca="1" si="26"/>
        <v>https://www.youtube.com/watch?v=inpmzGJn2LU</v>
      </c>
      <c r="R808" s="50"/>
      <c r="S808" s="50"/>
      <c r="T808" s="50"/>
      <c r="U808" s="52"/>
      <c r="V808" s="53"/>
      <c r="W808" s="60"/>
      <c r="X808" s="56"/>
      <c r="Y808" s="38"/>
      <c r="Z808" s="38"/>
    </row>
    <row r="809" spans="1:26" hidden="1">
      <c r="A809" s="38">
        <v>427</v>
      </c>
      <c r="B809" s="38"/>
      <c r="C809" s="38"/>
      <c r="D809" s="38"/>
      <c r="E809" s="38" t="s">
        <v>1670</v>
      </c>
      <c r="F809" s="43" t="s">
        <v>1672</v>
      </c>
      <c r="G809" s="44"/>
      <c r="H809" s="45"/>
      <c r="I809" s="38"/>
      <c r="J809" s="38">
        <f>328</f>
        <v>328</v>
      </c>
      <c r="K809" s="46">
        <v>2.3958333333333336E-3</v>
      </c>
      <c r="L809" s="47" t="s">
        <v>1283</v>
      </c>
      <c r="M809" s="307"/>
      <c r="N809" s="307"/>
      <c r="O809" s="307">
        <f t="shared" si="20"/>
        <v>0</v>
      </c>
      <c r="P809" s="92"/>
      <c r="Q809" s="410" t="str">
        <f t="shared" ca="1" si="26"/>
        <v>https://www.youtube.com/watch?v=wXoImJcJYxQ</v>
      </c>
      <c r="R809" s="50"/>
      <c r="S809" s="50"/>
      <c r="T809" s="50"/>
      <c r="U809" s="52"/>
      <c r="V809" s="53"/>
      <c r="W809" s="60"/>
      <c r="X809" s="56"/>
      <c r="Y809" s="38"/>
      <c r="Z809" s="38"/>
    </row>
    <row r="810" spans="1:26" hidden="1">
      <c r="A810" s="38">
        <v>428</v>
      </c>
      <c r="B810" s="38"/>
      <c r="C810" s="38"/>
      <c r="D810" s="38"/>
      <c r="E810" s="38" t="s">
        <v>1674</v>
      </c>
      <c r="F810" s="43" t="s">
        <v>1675</v>
      </c>
      <c r="G810" s="44"/>
      <c r="H810" s="45"/>
      <c r="I810" s="38"/>
      <c r="J810" s="38">
        <f>776</f>
        <v>776</v>
      </c>
      <c r="K810" s="46">
        <v>1.3078703703703705E-3</v>
      </c>
      <c r="L810" s="47" t="s">
        <v>1283</v>
      </c>
      <c r="M810" s="307"/>
      <c r="N810" s="307"/>
      <c r="O810" s="307">
        <f t="shared" si="20"/>
        <v>0</v>
      </c>
      <c r="P810" s="92"/>
      <c r="Q810" s="410" t="str">
        <f t="shared" ca="1" si="26"/>
        <v>https://www.youtube.com/watch?v=aASsLwbe6kY</v>
      </c>
      <c r="R810" s="50"/>
      <c r="S810" s="50"/>
      <c r="T810" s="50"/>
      <c r="U810" s="52"/>
      <c r="V810" s="53"/>
      <c r="W810" s="60"/>
      <c r="X810" s="56"/>
      <c r="Y810" s="38"/>
      <c r="Z810" s="38"/>
    </row>
    <row r="811" spans="1:26" hidden="1">
      <c r="A811" s="38">
        <v>429</v>
      </c>
      <c r="B811" s="38"/>
      <c r="C811" s="38"/>
      <c r="D811" s="38"/>
      <c r="E811" s="38" t="s">
        <v>1676</v>
      </c>
      <c r="F811" s="43" t="s">
        <v>1677</v>
      </c>
      <c r="G811" s="44"/>
      <c r="H811" s="45"/>
      <c r="I811" s="38"/>
      <c r="J811" s="38">
        <f>241</f>
        <v>241</v>
      </c>
      <c r="K811" s="46">
        <v>1.2962962962962963E-3</v>
      </c>
      <c r="L811" s="47" t="s">
        <v>1283</v>
      </c>
      <c r="M811" s="307"/>
      <c r="N811" s="307"/>
      <c r="O811" s="307">
        <f t="shared" si="20"/>
        <v>0</v>
      </c>
      <c r="P811" s="92"/>
      <c r="Q811" s="410" t="str">
        <f t="shared" ca="1" si="26"/>
        <v>https://www.youtube.com/watch?v=bFIqLn3c85c</v>
      </c>
      <c r="R811" s="50"/>
      <c r="S811" s="50"/>
      <c r="T811" s="50"/>
      <c r="U811" s="52"/>
      <c r="V811" s="53"/>
      <c r="W811" s="60"/>
      <c r="X811" s="56"/>
      <c r="Y811" s="38"/>
      <c r="Z811" s="38"/>
    </row>
    <row r="812" spans="1:26" hidden="1">
      <c r="A812" s="38">
        <v>430</v>
      </c>
      <c r="B812" s="38"/>
      <c r="C812" s="38"/>
      <c r="D812" s="38"/>
      <c r="E812" s="38" t="s">
        <v>1682</v>
      </c>
      <c r="F812" s="43" t="s">
        <v>1683</v>
      </c>
      <c r="G812" s="44"/>
      <c r="H812" s="45"/>
      <c r="I812" s="38"/>
      <c r="J812" s="38">
        <f>440</f>
        <v>440</v>
      </c>
      <c r="K812" s="46">
        <v>4.386574074074074E-3</v>
      </c>
      <c r="L812" s="47" t="s">
        <v>1283</v>
      </c>
      <c r="M812" s="307"/>
      <c r="N812" s="307"/>
      <c r="O812" s="307">
        <f t="shared" si="20"/>
        <v>0</v>
      </c>
      <c r="P812" s="92"/>
      <c r="Q812" s="410" t="str">
        <f t="shared" ca="1" si="26"/>
        <v>https://www.youtube.com/watch?v=PWZrF-TGsWo</v>
      </c>
      <c r="R812" s="50"/>
      <c r="S812" s="50"/>
      <c r="T812" s="50"/>
      <c r="U812" s="52"/>
      <c r="V812" s="53"/>
      <c r="W812" s="60"/>
      <c r="X812" s="56"/>
      <c r="Y812" s="38"/>
      <c r="Z812" s="38"/>
    </row>
    <row r="813" spans="1:26" hidden="1">
      <c r="A813" s="38">
        <v>431</v>
      </c>
      <c r="B813" s="38"/>
      <c r="C813" s="38"/>
      <c r="D813" s="38"/>
      <c r="E813" s="38" t="s">
        <v>1687</v>
      </c>
      <c r="F813" s="43" t="s">
        <v>1688</v>
      </c>
      <c r="G813" s="44"/>
      <c r="H813" s="45"/>
      <c r="I813" s="38"/>
      <c r="J813" s="38">
        <f>801</f>
        <v>801</v>
      </c>
      <c r="K813" s="46">
        <v>3.414351851851852E-3</v>
      </c>
      <c r="L813" s="47" t="s">
        <v>1283</v>
      </c>
      <c r="M813" s="307"/>
      <c r="N813" s="307"/>
      <c r="O813" s="307">
        <f t="shared" si="20"/>
        <v>0</v>
      </c>
      <c r="P813" s="92"/>
      <c r="Q813" s="410" t="str">
        <f t="shared" ca="1" si="26"/>
        <v>https://www.youtube.com/watch?v=S2ePhtW_O5A</v>
      </c>
      <c r="R813" s="50"/>
      <c r="S813" s="50"/>
      <c r="T813" s="50"/>
      <c r="U813" s="52"/>
      <c r="V813" s="53"/>
      <c r="W813" s="60"/>
      <c r="X813" s="56"/>
      <c r="Y813" s="38"/>
      <c r="Z813" s="38"/>
    </row>
    <row r="814" spans="1:26" hidden="1">
      <c r="A814" s="38">
        <v>432</v>
      </c>
      <c r="B814" s="38"/>
      <c r="C814" s="38"/>
      <c r="D814" s="38"/>
      <c r="E814" s="38" t="s">
        <v>1690</v>
      </c>
      <c r="F814" s="43" t="s">
        <v>1691</v>
      </c>
      <c r="G814" s="44"/>
      <c r="H814" s="45"/>
      <c r="I814" s="38"/>
      <c r="J814" s="38">
        <f>271</f>
        <v>271</v>
      </c>
      <c r="K814" s="46">
        <v>2.4537037037037036E-3</v>
      </c>
      <c r="L814" s="47" t="s">
        <v>1283</v>
      </c>
      <c r="M814" s="307"/>
      <c r="N814" s="307"/>
      <c r="O814" s="307">
        <f t="shared" si="20"/>
        <v>0</v>
      </c>
      <c r="P814" s="92"/>
      <c r="Q814" s="410" t="str">
        <f t="shared" ca="1" si="26"/>
        <v>https://www.youtube.com/watch?v=6aJLKt2nXsg</v>
      </c>
      <c r="R814" s="50"/>
      <c r="S814" s="50"/>
      <c r="T814" s="50"/>
      <c r="U814" s="52"/>
      <c r="V814" s="53"/>
      <c r="W814" s="60"/>
      <c r="X814" s="56"/>
      <c r="Y814" s="38"/>
      <c r="Z814" s="38"/>
    </row>
    <row r="815" spans="1:26" hidden="1">
      <c r="A815" s="38">
        <v>433</v>
      </c>
      <c r="B815" s="38"/>
      <c r="C815" s="38"/>
      <c r="D815" s="38"/>
      <c r="E815" s="38" t="s">
        <v>1694</v>
      </c>
      <c r="F815" s="43" t="s">
        <v>1695</v>
      </c>
      <c r="G815" s="44"/>
      <c r="H815" s="45"/>
      <c r="I815" s="38"/>
      <c r="J815" s="38">
        <f>296</f>
        <v>296</v>
      </c>
      <c r="K815" s="46">
        <v>2.1643518518518518E-3</v>
      </c>
      <c r="L815" s="47" t="s">
        <v>1283</v>
      </c>
      <c r="M815" s="307"/>
      <c r="N815" s="307"/>
      <c r="O815" s="307">
        <f t="shared" si="20"/>
        <v>0</v>
      </c>
      <c r="P815" s="92"/>
      <c r="Q815" s="410" t="str">
        <f t="shared" ca="1" si="26"/>
        <v>https://www.youtube.com/watch?v=tRgTeYpgv8c</v>
      </c>
      <c r="R815" s="50"/>
      <c r="S815" s="50"/>
      <c r="T815" s="50"/>
      <c r="U815" s="52"/>
      <c r="V815" s="53"/>
      <c r="W815" s="60"/>
      <c r="X815" s="56"/>
      <c r="Y815" s="38"/>
      <c r="Z815" s="38"/>
    </row>
    <row r="816" spans="1:26" hidden="1">
      <c r="A816" s="38">
        <v>434</v>
      </c>
      <c r="B816" s="38"/>
      <c r="C816" s="38"/>
      <c r="D816" s="38"/>
      <c r="E816" s="38" t="s">
        <v>1700</v>
      </c>
      <c r="F816" s="43" t="s">
        <v>1701</v>
      </c>
      <c r="G816" s="44"/>
      <c r="H816" s="45"/>
      <c r="I816" s="38"/>
      <c r="J816" s="38">
        <f>696</f>
        <v>696</v>
      </c>
      <c r="K816" s="46">
        <v>2.8472222222222219E-3</v>
      </c>
      <c r="L816" s="47" t="s">
        <v>1283</v>
      </c>
      <c r="M816" s="307"/>
      <c r="N816" s="307"/>
      <c r="O816" s="307">
        <f t="shared" si="20"/>
        <v>0</v>
      </c>
      <c r="P816" s="92"/>
      <c r="Q816" s="410" t="str">
        <f t="shared" ca="1" si="26"/>
        <v>https://www.youtube.com/watch?v=txsij6WXt8s</v>
      </c>
      <c r="R816" s="50"/>
      <c r="S816" s="50"/>
      <c r="T816" s="50"/>
      <c r="U816" s="52"/>
      <c r="V816" s="53"/>
      <c r="W816" s="60"/>
      <c r="X816" s="56"/>
      <c r="Y816" s="38"/>
      <c r="Z816" s="38"/>
    </row>
    <row r="817" spans="1:26" hidden="1">
      <c r="A817" s="38">
        <v>435</v>
      </c>
      <c r="B817" s="38"/>
      <c r="C817" s="38"/>
      <c r="D817" s="38"/>
      <c r="E817" s="38" t="s">
        <v>1704</v>
      </c>
      <c r="F817" s="43" t="s">
        <v>1705</v>
      </c>
      <c r="G817" s="44"/>
      <c r="H817" s="45"/>
      <c r="I817" s="38"/>
      <c r="J817" s="38">
        <f>2.4*1000</f>
        <v>2400</v>
      </c>
      <c r="K817" s="46">
        <v>1.3310185185185187E-2</v>
      </c>
      <c r="L817" s="47" t="s">
        <v>1283</v>
      </c>
      <c r="M817" s="307"/>
      <c r="N817" s="307"/>
      <c r="O817" s="307">
        <f t="shared" si="20"/>
        <v>0</v>
      </c>
      <c r="P817" s="92"/>
      <c r="Q817" s="410" t="str">
        <f t="shared" ca="1" si="26"/>
        <v>https://www.youtube.com/watch?v=AefxKKTqv5I</v>
      </c>
      <c r="R817" s="50"/>
      <c r="S817" s="50"/>
      <c r="T817" s="50"/>
      <c r="U817" s="52"/>
      <c r="V817" s="53"/>
      <c r="W817" s="60"/>
      <c r="X817" s="56"/>
      <c r="Y817" s="38"/>
      <c r="Z817" s="38"/>
    </row>
    <row r="818" spans="1:26" hidden="1">
      <c r="A818" s="38">
        <v>436</v>
      </c>
      <c r="B818" s="38"/>
      <c r="C818" s="38"/>
      <c r="D818" s="38"/>
      <c r="E818" s="38" t="s">
        <v>1708</v>
      </c>
      <c r="F818" s="43" t="s">
        <v>1709</v>
      </c>
      <c r="G818" s="44"/>
      <c r="H818" s="45"/>
      <c r="I818" s="38"/>
      <c r="J818" s="38">
        <f>928</f>
        <v>928</v>
      </c>
      <c r="K818" s="46">
        <v>1.5972222222222221E-3</v>
      </c>
      <c r="L818" s="47" t="s">
        <v>1283</v>
      </c>
      <c r="M818" s="307"/>
      <c r="N818" s="307"/>
      <c r="O818" s="307">
        <f t="shared" si="20"/>
        <v>0</v>
      </c>
      <c r="P818" s="92"/>
      <c r="Q818" s="410" t="str">
        <f t="shared" ca="1" si="26"/>
        <v>https://www.youtube.com/watch?v=7gTT37SeSUc</v>
      </c>
      <c r="R818" s="50"/>
      <c r="S818" s="50"/>
      <c r="T818" s="50"/>
      <c r="U818" s="52"/>
      <c r="V818" s="53"/>
      <c r="W818" s="60"/>
      <c r="X818" s="56"/>
      <c r="Y818" s="38"/>
      <c r="Z818" s="38"/>
    </row>
    <row r="819" spans="1:26" hidden="1">
      <c r="A819" s="38">
        <v>437</v>
      </c>
      <c r="B819" s="38"/>
      <c r="C819" s="38"/>
      <c r="D819" s="38"/>
      <c r="E819" s="38" t="s">
        <v>1714</v>
      </c>
      <c r="F819" s="43" t="s">
        <v>1715</v>
      </c>
      <c r="G819" s="44"/>
      <c r="H819" s="45"/>
      <c r="I819" s="38"/>
      <c r="J819" s="38">
        <f>261</f>
        <v>261</v>
      </c>
      <c r="K819" s="46">
        <v>4.5833333333333334E-3</v>
      </c>
      <c r="L819" s="47" t="s">
        <v>1283</v>
      </c>
      <c r="M819" s="307"/>
      <c r="N819" s="307"/>
      <c r="O819" s="307">
        <f t="shared" si="20"/>
        <v>0</v>
      </c>
      <c r="P819" s="92"/>
      <c r="Q819" s="410" t="str">
        <f t="shared" ca="1" si="26"/>
        <v>https://www.youtube.com/watch?v=o-395A-OrOQ</v>
      </c>
      <c r="R819" s="50"/>
      <c r="S819" s="50"/>
      <c r="T819" s="50"/>
      <c r="U819" s="52"/>
      <c r="V819" s="53"/>
      <c r="W819" s="60"/>
      <c r="X819" s="56"/>
      <c r="Y819" s="38"/>
      <c r="Z819" s="38"/>
    </row>
    <row r="820" spans="1:26" hidden="1">
      <c r="A820" s="38">
        <v>438</v>
      </c>
      <c r="B820" s="38"/>
      <c r="C820" s="38"/>
      <c r="D820" s="38"/>
      <c r="E820" s="38" t="s">
        <v>1719</v>
      </c>
      <c r="F820" s="43" t="s">
        <v>1720</v>
      </c>
      <c r="G820" s="44"/>
      <c r="H820" s="45"/>
      <c r="I820" s="38"/>
      <c r="J820" s="38">
        <f>309</f>
        <v>309</v>
      </c>
      <c r="K820" s="46">
        <v>2.0833333333333333E-3</v>
      </c>
      <c r="L820" s="47" t="s">
        <v>1283</v>
      </c>
      <c r="M820" s="307"/>
      <c r="N820" s="307"/>
      <c r="O820" s="307">
        <f t="shared" si="20"/>
        <v>0</v>
      </c>
      <c r="P820" s="92"/>
      <c r="Q820" s="410" t="str">
        <f t="shared" ca="1" si="26"/>
        <v>https://www.youtube.com/watch?v=qYA9DVNkOCA</v>
      </c>
      <c r="R820" s="50"/>
      <c r="S820" s="50"/>
      <c r="T820" s="50"/>
      <c r="U820" s="52"/>
      <c r="V820" s="53"/>
      <c r="W820" s="60"/>
      <c r="X820" s="56"/>
      <c r="Y820" s="38"/>
      <c r="Z820" s="38"/>
    </row>
    <row r="821" spans="1:26" hidden="1">
      <c r="A821" s="38">
        <v>439</v>
      </c>
      <c r="B821" s="38"/>
      <c r="C821" s="38"/>
      <c r="D821" s="38"/>
      <c r="E821" s="38" t="s">
        <v>1725</v>
      </c>
      <c r="F821" s="43" t="s">
        <v>1726</v>
      </c>
      <c r="G821" s="44"/>
      <c r="H821" s="45"/>
      <c r="I821" s="38"/>
      <c r="J821" s="38">
        <f>184</f>
        <v>184</v>
      </c>
      <c r="K821" s="46">
        <v>1.9675925925925928E-3</v>
      </c>
      <c r="L821" s="47" t="s">
        <v>1283</v>
      </c>
      <c r="M821" s="307"/>
      <c r="N821" s="307"/>
      <c r="O821" s="307">
        <f t="shared" si="20"/>
        <v>0</v>
      </c>
      <c r="P821" s="92"/>
      <c r="Q821" s="410" t="str">
        <f t="shared" ca="1" si="26"/>
        <v>https://www.youtube.com/watch?v=-JT1qlD0wPQ</v>
      </c>
      <c r="R821" s="50"/>
      <c r="S821" s="50"/>
      <c r="T821" s="50"/>
      <c r="U821" s="52"/>
      <c r="V821" s="53"/>
      <c r="W821" s="60"/>
      <c r="X821" s="56"/>
      <c r="Y821" s="38"/>
      <c r="Z821" s="38"/>
    </row>
    <row r="822" spans="1:26" hidden="1">
      <c r="A822" s="38">
        <v>440</v>
      </c>
      <c r="B822" s="38"/>
      <c r="C822" s="38"/>
      <c r="D822" s="38"/>
      <c r="E822" s="38" t="s">
        <v>1729</v>
      </c>
      <c r="F822" s="43" t="s">
        <v>1730</v>
      </c>
      <c r="G822" s="44"/>
      <c r="H822" s="45"/>
      <c r="I822" s="38"/>
      <c r="J822" s="38">
        <f>380</f>
        <v>380</v>
      </c>
      <c r="K822" s="46">
        <v>3.6342592592592594E-3</v>
      </c>
      <c r="L822" s="47" t="s">
        <v>1283</v>
      </c>
      <c r="M822" s="307"/>
      <c r="N822" s="307"/>
      <c r="O822" s="307">
        <f t="shared" si="20"/>
        <v>0</v>
      </c>
      <c r="P822" s="92"/>
      <c r="Q822" s="410" t="str">
        <f t="shared" ca="1" si="26"/>
        <v>https://www.youtube.com/watch?v=kSNHRGhGt_Y</v>
      </c>
      <c r="R822" s="50"/>
      <c r="S822" s="50"/>
      <c r="T822" s="50"/>
      <c r="U822" s="52"/>
      <c r="V822" s="53"/>
      <c r="W822" s="60"/>
      <c r="X822" s="56"/>
      <c r="Y822" s="38"/>
      <c r="Z822" s="38"/>
    </row>
    <row r="823" spans="1:26" hidden="1">
      <c r="A823" s="38">
        <v>441</v>
      </c>
      <c r="B823" s="38"/>
      <c r="C823" s="38"/>
      <c r="D823" s="38"/>
      <c r="E823" s="38" t="s">
        <v>1735</v>
      </c>
      <c r="F823" s="43" t="s">
        <v>1736</v>
      </c>
      <c r="G823" s="44"/>
      <c r="H823" s="45"/>
      <c r="I823" s="38"/>
      <c r="J823" s="38">
        <f>398</f>
        <v>398</v>
      </c>
      <c r="K823" s="46">
        <v>1.2152777777777778E-3</v>
      </c>
      <c r="L823" s="47" t="s">
        <v>1283</v>
      </c>
      <c r="M823" s="307"/>
      <c r="N823" s="307"/>
      <c r="O823" s="307">
        <f t="shared" si="20"/>
        <v>0</v>
      </c>
      <c r="P823" s="92"/>
      <c r="Q823" s="410" t="str">
        <f t="shared" ca="1" si="26"/>
        <v>https://www.youtube.com/watch?v=adov37an6hU</v>
      </c>
      <c r="R823" s="50"/>
      <c r="S823" s="50"/>
      <c r="T823" s="50"/>
      <c r="U823" s="52"/>
      <c r="V823" s="53"/>
      <c r="W823" s="60"/>
      <c r="X823" s="56"/>
      <c r="Y823" s="38"/>
      <c r="Z823" s="38"/>
    </row>
    <row r="824" spans="1:26" hidden="1">
      <c r="A824" s="38">
        <v>442</v>
      </c>
      <c r="B824" s="38"/>
      <c r="C824" s="38"/>
      <c r="D824" s="38"/>
      <c r="E824" s="38" t="s">
        <v>1740</v>
      </c>
      <c r="F824" s="43" t="s">
        <v>1741</v>
      </c>
      <c r="G824" s="44"/>
      <c r="H824" s="45"/>
      <c r="I824" s="38"/>
      <c r="J824" s="38">
        <f>667</f>
        <v>667</v>
      </c>
      <c r="K824" s="46">
        <v>4.3518518518518515E-3</v>
      </c>
      <c r="L824" s="47" t="s">
        <v>1283</v>
      </c>
      <c r="M824" s="307"/>
      <c r="N824" s="307"/>
      <c r="O824" s="307">
        <f t="shared" si="20"/>
        <v>0</v>
      </c>
      <c r="P824" s="92"/>
      <c r="Q824" s="410" t="str">
        <f t="shared" ca="1" si="26"/>
        <v>https://www.youtube.com/watch?v=glBt8I5y1b8</v>
      </c>
      <c r="R824" s="50"/>
      <c r="S824" s="50"/>
      <c r="T824" s="50"/>
      <c r="U824" s="52"/>
      <c r="V824" s="53"/>
      <c r="W824" s="60"/>
      <c r="X824" s="56"/>
      <c r="Y824" s="38"/>
      <c r="Z824" s="38"/>
    </row>
    <row r="825" spans="1:26" hidden="1">
      <c r="A825" s="38">
        <v>443</v>
      </c>
      <c r="B825" s="38"/>
      <c r="C825" s="38"/>
      <c r="D825" s="38"/>
      <c r="E825" s="38" t="s">
        <v>1747</v>
      </c>
      <c r="F825" s="43" t="s">
        <v>1748</v>
      </c>
      <c r="G825" s="44"/>
      <c r="H825" s="45"/>
      <c r="I825" s="38"/>
      <c r="J825" s="38">
        <f>1.6*1000</f>
        <v>1600</v>
      </c>
      <c r="K825" s="46">
        <v>5.2777777777777771E-3</v>
      </c>
      <c r="L825" s="47" t="s">
        <v>1283</v>
      </c>
      <c r="M825" s="307"/>
      <c r="N825" s="307"/>
      <c r="O825" s="307">
        <f t="shared" si="20"/>
        <v>0</v>
      </c>
      <c r="P825" s="92"/>
      <c r="Q825" s="410" t="str">
        <f t="shared" ca="1" si="26"/>
        <v>https://www.youtube.com/watch?v=a_HGSrmF_8w</v>
      </c>
      <c r="R825" s="50"/>
      <c r="S825" s="50"/>
      <c r="T825" s="50"/>
      <c r="U825" s="52"/>
      <c r="V825" s="53"/>
      <c r="W825" s="60"/>
      <c r="X825" s="56"/>
      <c r="Y825" s="38"/>
      <c r="Z825" s="38"/>
    </row>
    <row r="826" spans="1:26" hidden="1">
      <c r="A826" s="38">
        <v>444</v>
      </c>
      <c r="B826" s="38"/>
      <c r="C826" s="38"/>
      <c r="D826" s="38"/>
      <c r="E826" s="38" t="s">
        <v>1750</v>
      </c>
      <c r="F826" s="43" t="s">
        <v>1751</v>
      </c>
      <c r="G826" s="44"/>
      <c r="H826" s="45"/>
      <c r="I826" s="38"/>
      <c r="J826" s="38">
        <f>797</f>
        <v>797</v>
      </c>
      <c r="K826" s="46">
        <v>1.4699074074074074E-3</v>
      </c>
      <c r="L826" s="47" t="s">
        <v>1283</v>
      </c>
      <c r="M826" s="307"/>
      <c r="N826" s="307"/>
      <c r="O826" s="307">
        <f t="shared" si="20"/>
        <v>0</v>
      </c>
      <c r="P826" s="92"/>
      <c r="Q826" s="410" t="str">
        <f t="shared" ca="1" si="26"/>
        <v>https://www.youtube.com/watch?v=Kfqplhug-eA</v>
      </c>
      <c r="R826" s="50"/>
      <c r="S826" s="50"/>
      <c r="T826" s="50"/>
      <c r="U826" s="52"/>
      <c r="V826" s="53"/>
      <c r="W826" s="60"/>
      <c r="X826" s="56"/>
      <c r="Y826" s="38"/>
      <c r="Z826" s="38"/>
    </row>
    <row r="827" spans="1:26" hidden="1">
      <c r="A827" s="38">
        <v>445</v>
      </c>
      <c r="B827" s="38"/>
      <c r="C827" s="38"/>
      <c r="D827" s="38"/>
      <c r="E827" s="38" t="s">
        <v>1752</v>
      </c>
      <c r="F827" s="43" t="s">
        <v>1753</v>
      </c>
      <c r="G827" s="44"/>
      <c r="H827" s="45"/>
      <c r="I827" s="38"/>
      <c r="J827" s="38">
        <f>327</f>
        <v>327</v>
      </c>
      <c r="K827" s="46">
        <v>3.2060185185185191E-3</v>
      </c>
      <c r="L827" s="47" t="s">
        <v>1283</v>
      </c>
      <c r="M827" s="307"/>
      <c r="N827" s="307"/>
      <c r="O827" s="307">
        <f t="shared" si="20"/>
        <v>0</v>
      </c>
      <c r="P827" s="92"/>
      <c r="Q827" s="410" t="str">
        <f t="shared" ca="1" si="26"/>
        <v>https://www.youtube.com/watch?v=AgRVHML48XM</v>
      </c>
      <c r="R827" s="50"/>
      <c r="S827" s="50"/>
      <c r="T827" s="50"/>
      <c r="U827" s="52"/>
      <c r="V827" s="53"/>
      <c r="W827" s="60"/>
      <c r="X827" s="56"/>
      <c r="Y827" s="38"/>
      <c r="Z827" s="38"/>
    </row>
    <row r="828" spans="1:26" hidden="1">
      <c r="A828" s="38">
        <v>446</v>
      </c>
      <c r="B828" s="38"/>
      <c r="C828" s="38"/>
      <c r="D828" s="38"/>
      <c r="E828" s="38" t="s">
        <v>1758</v>
      </c>
      <c r="F828" s="43" t="s">
        <v>1760</v>
      </c>
      <c r="G828" s="44"/>
      <c r="H828" s="45"/>
      <c r="I828" s="38"/>
      <c r="J828" s="38">
        <f>173</f>
        <v>173</v>
      </c>
      <c r="K828" s="46">
        <v>8.9120370370370362E-4</v>
      </c>
      <c r="L828" s="47" t="s">
        <v>1283</v>
      </c>
      <c r="M828" s="307"/>
      <c r="N828" s="307"/>
      <c r="O828" s="307">
        <f t="shared" si="20"/>
        <v>0</v>
      </c>
      <c r="P828" s="92"/>
      <c r="Q828" s="410" t="str">
        <f t="shared" ca="1" si="26"/>
        <v>https://www.youtube.com/watch?v=2Hmcjz_IH8I</v>
      </c>
      <c r="R828" s="50"/>
      <c r="S828" s="50"/>
      <c r="T828" s="50"/>
      <c r="U828" s="52"/>
      <c r="V828" s="53"/>
      <c r="W828" s="60"/>
      <c r="X828" s="56"/>
      <c r="Y828" s="38"/>
      <c r="Z828" s="38"/>
    </row>
    <row r="829" spans="1:26" hidden="1">
      <c r="A829" s="38">
        <v>447</v>
      </c>
      <c r="B829" s="38"/>
      <c r="C829" s="38"/>
      <c r="D829" s="38"/>
      <c r="E829" s="38" t="s">
        <v>1765</v>
      </c>
      <c r="F829" s="43" t="s">
        <v>1766</v>
      </c>
      <c r="G829" s="44"/>
      <c r="H829" s="45"/>
      <c r="I829" s="38"/>
      <c r="J829" s="38">
        <f>297</f>
        <v>297</v>
      </c>
      <c r="K829" s="46">
        <v>4.2129629629629626E-3</v>
      </c>
      <c r="L829" s="47" t="s">
        <v>1283</v>
      </c>
      <c r="M829" s="307"/>
      <c r="N829" s="307"/>
      <c r="O829" s="307">
        <f t="shared" si="20"/>
        <v>0</v>
      </c>
      <c r="P829" s="92"/>
      <c r="Q829" s="410" t="str">
        <f t="shared" ca="1" si="26"/>
        <v>https://www.youtube.com/watch?v=xuKnWRKpLyM</v>
      </c>
      <c r="R829" s="50"/>
      <c r="S829" s="50"/>
      <c r="T829" s="50"/>
      <c r="U829" s="52"/>
      <c r="V829" s="53"/>
      <c r="W829" s="60"/>
      <c r="X829" s="56"/>
      <c r="Y829" s="38"/>
      <c r="Z829" s="38"/>
    </row>
    <row r="830" spans="1:26" hidden="1">
      <c r="A830" s="38">
        <v>448</v>
      </c>
      <c r="B830" s="38"/>
      <c r="C830" s="38"/>
      <c r="D830" s="38"/>
      <c r="E830" s="38" t="s">
        <v>1770</v>
      </c>
      <c r="F830" s="43" t="s">
        <v>1771</v>
      </c>
      <c r="G830" s="44"/>
      <c r="H830" s="45"/>
      <c r="I830" s="38"/>
      <c r="J830" s="38">
        <f>182</f>
        <v>182</v>
      </c>
      <c r="K830" s="46">
        <v>2.7314814814814819E-3</v>
      </c>
      <c r="L830" s="47" t="s">
        <v>1283</v>
      </c>
      <c r="M830" s="307"/>
      <c r="N830" s="307"/>
      <c r="O830" s="307">
        <f t="shared" si="20"/>
        <v>0</v>
      </c>
      <c r="P830" s="92"/>
      <c r="Q830" s="410" t="str">
        <f t="shared" ca="1" si="26"/>
        <v>https://www.youtube.com/watch?v=2U1DVGO8vo4</v>
      </c>
      <c r="R830" s="50"/>
      <c r="S830" s="50"/>
      <c r="T830" s="50"/>
      <c r="U830" s="52"/>
      <c r="V830" s="53"/>
      <c r="W830" s="60"/>
      <c r="X830" s="56"/>
      <c r="Y830" s="38"/>
      <c r="Z830" s="38"/>
    </row>
    <row r="831" spans="1:26" hidden="1">
      <c r="A831" s="38">
        <v>449</v>
      </c>
      <c r="B831" s="38"/>
      <c r="C831" s="38"/>
      <c r="D831" s="38"/>
      <c r="E831" s="38" t="s">
        <v>1776</v>
      </c>
      <c r="F831" s="43" t="s">
        <v>1777</v>
      </c>
      <c r="G831" s="44"/>
      <c r="H831" s="45"/>
      <c r="I831" s="38"/>
      <c r="J831" s="38">
        <f>1.8*1000</f>
        <v>1800</v>
      </c>
      <c r="K831" s="46">
        <v>1.0081018518518519E-2</v>
      </c>
      <c r="L831" s="47" t="s">
        <v>1283</v>
      </c>
      <c r="M831" s="307"/>
      <c r="N831" s="307"/>
      <c r="O831" s="307">
        <f t="shared" si="20"/>
        <v>0</v>
      </c>
      <c r="P831" s="92"/>
      <c r="Q831" s="410" t="str">
        <f t="shared" ca="1" si="26"/>
        <v>https://www.youtube.com/watch?v=xhcu0nbcfy0</v>
      </c>
      <c r="R831" s="50"/>
      <c r="S831" s="50"/>
      <c r="T831" s="50"/>
      <c r="U831" s="52"/>
      <c r="V831" s="53"/>
      <c r="W831" s="60"/>
      <c r="X831" s="56"/>
      <c r="Y831" s="38"/>
      <c r="Z831" s="38"/>
    </row>
    <row r="832" spans="1:26" hidden="1">
      <c r="A832" s="38">
        <v>450</v>
      </c>
      <c r="B832" s="38"/>
      <c r="C832" s="38"/>
      <c r="D832" s="38"/>
      <c r="E832" s="38" t="s">
        <v>1781</v>
      </c>
      <c r="F832" s="43" t="s">
        <v>1783</v>
      </c>
      <c r="G832" s="44"/>
      <c r="H832" s="45"/>
      <c r="I832" s="38"/>
      <c r="J832" s="38">
        <f>3.6*1000</f>
        <v>3600</v>
      </c>
      <c r="K832" s="46">
        <v>2.7025462962962959E-2</v>
      </c>
      <c r="L832" s="47" t="s">
        <v>1283</v>
      </c>
      <c r="M832" s="307"/>
      <c r="N832" s="307"/>
      <c r="O832" s="307">
        <f t="shared" si="20"/>
        <v>0</v>
      </c>
      <c r="P832" s="92"/>
      <c r="Q832" s="410" t="str">
        <f t="shared" ca="1" si="26"/>
        <v>https://www.youtube.com/watch?v=lJLoAHZxMWE</v>
      </c>
      <c r="R832" s="50"/>
      <c r="S832" s="50"/>
      <c r="T832" s="50"/>
      <c r="U832" s="52"/>
      <c r="V832" s="53"/>
      <c r="W832" s="60"/>
      <c r="X832" s="56"/>
      <c r="Y832" s="38"/>
      <c r="Z832" s="38"/>
    </row>
    <row r="833" spans="1:26" hidden="1">
      <c r="A833" s="38">
        <v>451</v>
      </c>
      <c r="B833" s="38"/>
      <c r="C833" s="38"/>
      <c r="D833" s="38"/>
      <c r="E833" s="38" t="s">
        <v>1786</v>
      </c>
      <c r="F833" s="43" t="s">
        <v>1787</v>
      </c>
      <c r="G833" s="44"/>
      <c r="H833" s="45"/>
      <c r="I833" s="38"/>
      <c r="J833" s="38">
        <f>198</f>
        <v>198</v>
      </c>
      <c r="K833" s="46">
        <v>2.3611111111111111E-3</v>
      </c>
      <c r="L833" s="47" t="s">
        <v>1283</v>
      </c>
      <c r="M833" s="307"/>
      <c r="N833" s="307"/>
      <c r="O833" s="307">
        <f t="shared" si="20"/>
        <v>0</v>
      </c>
      <c r="P833" s="92"/>
      <c r="Q833" s="410" t="str">
        <f t="shared" ca="1" si="26"/>
        <v>https://www.youtube.com/watch?v=dSKwv3KOvN8</v>
      </c>
      <c r="R833" s="50"/>
      <c r="S833" s="50"/>
      <c r="T833" s="50"/>
      <c r="U833" s="52"/>
      <c r="V833" s="53"/>
      <c r="W833" s="60"/>
      <c r="X833" s="56"/>
      <c r="Y833" s="38"/>
      <c r="Z833" s="38"/>
    </row>
    <row r="834" spans="1:26" hidden="1">
      <c r="A834" s="38">
        <v>452</v>
      </c>
      <c r="B834" s="38"/>
      <c r="C834" s="38"/>
      <c r="D834" s="38"/>
      <c r="E834" s="38" t="s">
        <v>1792</v>
      </c>
      <c r="F834" s="43" t="s">
        <v>1793</v>
      </c>
      <c r="G834" s="44"/>
      <c r="H834" s="45"/>
      <c r="I834" s="38"/>
      <c r="J834" s="38">
        <f>193</f>
        <v>193</v>
      </c>
      <c r="K834" s="46">
        <v>1.7013888888888892E-3</v>
      </c>
      <c r="L834" s="47" t="s">
        <v>1283</v>
      </c>
      <c r="M834" s="307"/>
      <c r="N834" s="307"/>
      <c r="O834" s="307">
        <f t="shared" si="20"/>
        <v>0</v>
      </c>
      <c r="P834" s="92"/>
      <c r="Q834" s="410" t="str">
        <f t="shared" ca="1" si="26"/>
        <v>https://www.youtube.com/watch?v=t5tjD9qq-98</v>
      </c>
      <c r="R834" s="50"/>
      <c r="S834" s="50"/>
      <c r="T834" s="50"/>
      <c r="U834" s="52"/>
      <c r="V834" s="53"/>
      <c r="W834" s="60"/>
      <c r="X834" s="56"/>
      <c r="Y834" s="38"/>
      <c r="Z834" s="38"/>
    </row>
    <row r="835" spans="1:26" hidden="1">
      <c r="A835" s="38">
        <v>453</v>
      </c>
      <c r="B835" s="38"/>
      <c r="C835" s="38"/>
      <c r="D835" s="38"/>
      <c r="E835" s="38" t="s">
        <v>1798</v>
      </c>
      <c r="F835" s="43" t="s">
        <v>1799</v>
      </c>
      <c r="G835" s="44"/>
      <c r="H835" s="45"/>
      <c r="I835" s="38"/>
      <c r="J835" s="38">
        <f>1*1000</f>
        <v>1000</v>
      </c>
      <c r="K835" s="46">
        <v>7.4189814814814813E-3</v>
      </c>
      <c r="L835" s="47" t="s">
        <v>1283</v>
      </c>
      <c r="M835" s="307"/>
      <c r="N835" s="307"/>
      <c r="O835" s="307">
        <f t="shared" si="20"/>
        <v>0</v>
      </c>
      <c r="P835" s="92"/>
      <c r="Q835" s="410" t="str">
        <f t="shared" ref="Q835:Q898" ca="1" si="27">HYPERLINK(IF(INT(A835)-A835=0,E835,REPLACE(INDIRECT("MasterList!e"&amp;INT(A835)+1),25,8,"embed/")&amp;"?start="&amp;HOUR(M835)*3600+MINUTE(M835)*60+SECOND(M835)&amp;"&amp;end="&amp;HOUR(N835)*3600+MINUTE(N835)*60+SECOND(N835)&amp;"&amp;autoplay=1"))</f>
        <v>https://www.youtube.com/watch?v=LEotomBnsQk</v>
      </c>
      <c r="R835" s="50"/>
      <c r="S835" s="50"/>
      <c r="T835" s="50"/>
      <c r="U835" s="52"/>
      <c r="V835" s="53"/>
      <c r="W835" s="60"/>
      <c r="X835" s="56"/>
      <c r="Y835" s="38"/>
      <c r="Z835" s="38"/>
    </row>
    <row r="836" spans="1:26" hidden="1">
      <c r="A836" s="38">
        <v>454</v>
      </c>
      <c r="B836" s="38"/>
      <c r="C836" s="38"/>
      <c r="D836" s="38"/>
      <c r="E836" s="38" t="s">
        <v>1804</v>
      </c>
      <c r="F836" s="43" t="s">
        <v>1805</v>
      </c>
      <c r="G836" s="44"/>
      <c r="H836" s="45"/>
      <c r="I836" s="38"/>
      <c r="J836" s="38">
        <f>530</f>
        <v>530</v>
      </c>
      <c r="K836" s="46">
        <v>1.6666666666666668E-3</v>
      </c>
      <c r="L836" s="47" t="s">
        <v>1283</v>
      </c>
      <c r="M836" s="307"/>
      <c r="N836" s="307"/>
      <c r="O836" s="307">
        <f t="shared" si="20"/>
        <v>0</v>
      </c>
      <c r="P836" s="92"/>
      <c r="Q836" s="410" t="str">
        <f t="shared" ca="1" si="27"/>
        <v>https://www.youtube.com/watch?v=tpUBWJjtzrA</v>
      </c>
      <c r="R836" s="50"/>
      <c r="S836" s="50"/>
      <c r="T836" s="50"/>
      <c r="U836" s="52"/>
      <c r="V836" s="53"/>
      <c r="W836" s="60"/>
      <c r="X836" s="56"/>
      <c r="Y836" s="38"/>
      <c r="Z836" s="38"/>
    </row>
    <row r="837" spans="1:26" hidden="1">
      <c r="A837" s="38">
        <v>455</v>
      </c>
      <c r="B837" s="38"/>
      <c r="C837" s="38"/>
      <c r="D837" s="38"/>
      <c r="E837" s="38" t="s">
        <v>1808</v>
      </c>
      <c r="F837" s="43" t="s">
        <v>1809</v>
      </c>
      <c r="G837" s="44"/>
      <c r="H837" s="45"/>
      <c r="I837" s="38"/>
      <c r="J837" s="38">
        <f>509</f>
        <v>509</v>
      </c>
      <c r="K837" s="46">
        <v>1.3773148148148147E-3</v>
      </c>
      <c r="L837" s="47" t="s">
        <v>1283</v>
      </c>
      <c r="M837" s="307"/>
      <c r="N837" s="307"/>
      <c r="O837" s="307">
        <f t="shared" si="20"/>
        <v>0</v>
      </c>
      <c r="P837" s="92"/>
      <c r="Q837" s="410" t="str">
        <f t="shared" ca="1" si="27"/>
        <v>https://www.youtube.com/watch?v=Cuelsn9VyZQ</v>
      </c>
      <c r="R837" s="50"/>
      <c r="S837" s="50"/>
      <c r="T837" s="50"/>
      <c r="U837" s="52"/>
      <c r="V837" s="53"/>
      <c r="W837" s="60"/>
      <c r="X837" s="56"/>
      <c r="Y837" s="38"/>
      <c r="Z837" s="38"/>
    </row>
    <row r="838" spans="1:26" hidden="1">
      <c r="A838" s="38">
        <v>456</v>
      </c>
      <c r="B838" s="38"/>
      <c r="C838" s="38"/>
      <c r="D838" s="38"/>
      <c r="E838" s="38" t="s">
        <v>1810</v>
      </c>
      <c r="F838" s="43" t="s">
        <v>1811</v>
      </c>
      <c r="G838" s="44"/>
      <c r="H838" s="45"/>
      <c r="I838" s="38"/>
      <c r="J838" s="38">
        <f>352</f>
        <v>352</v>
      </c>
      <c r="K838" s="46">
        <v>2.0254629629629629E-3</v>
      </c>
      <c r="L838" s="47" t="s">
        <v>1283</v>
      </c>
      <c r="M838" s="307"/>
      <c r="N838" s="307"/>
      <c r="O838" s="307">
        <f t="shared" si="20"/>
        <v>0</v>
      </c>
      <c r="P838" s="92"/>
      <c r="Q838" s="410" t="str">
        <f t="shared" ca="1" si="27"/>
        <v>https://www.youtube.com/watch?v=IQCY6tVgZ9s</v>
      </c>
      <c r="R838" s="50"/>
      <c r="S838" s="50"/>
      <c r="T838" s="50"/>
      <c r="U838" s="52"/>
      <c r="V838" s="53"/>
      <c r="W838" s="60"/>
      <c r="X838" s="56"/>
      <c r="Y838" s="38"/>
      <c r="Z838" s="38"/>
    </row>
    <row r="839" spans="1:26" hidden="1">
      <c r="A839" s="38">
        <v>457</v>
      </c>
      <c r="B839" s="38"/>
      <c r="C839" s="38"/>
      <c r="D839" s="38"/>
      <c r="E839" s="38" t="s">
        <v>1813</v>
      </c>
      <c r="F839" s="43" t="s">
        <v>1814</v>
      </c>
      <c r="G839" s="44"/>
      <c r="H839" s="45"/>
      <c r="I839" s="38"/>
      <c r="J839" s="38">
        <f>223</f>
        <v>223</v>
      </c>
      <c r="K839" s="46">
        <v>3.8888888888888883E-3</v>
      </c>
      <c r="L839" s="47" t="s">
        <v>1283</v>
      </c>
      <c r="M839" s="307"/>
      <c r="N839" s="307"/>
      <c r="O839" s="307">
        <f t="shared" si="20"/>
        <v>0</v>
      </c>
      <c r="P839" s="92"/>
      <c r="Q839" s="410" t="str">
        <f t="shared" ca="1" si="27"/>
        <v>https://www.youtube.com/watch?v=xVrbpqr1LEE</v>
      </c>
      <c r="R839" s="50"/>
      <c r="S839" s="50"/>
      <c r="T839" s="50"/>
      <c r="U839" s="52"/>
      <c r="V839" s="53"/>
      <c r="W839" s="60"/>
      <c r="X839" s="56"/>
      <c r="Y839" s="38"/>
      <c r="Z839" s="38"/>
    </row>
    <row r="840" spans="1:26" hidden="1">
      <c r="A840" s="38">
        <v>458</v>
      </c>
      <c r="B840" s="38"/>
      <c r="C840" s="38"/>
      <c r="D840" s="38"/>
      <c r="E840" s="38" t="s">
        <v>1821</v>
      </c>
      <c r="F840" s="43" t="s">
        <v>1822</v>
      </c>
      <c r="G840" s="44"/>
      <c r="H840" s="45"/>
      <c r="I840" s="38"/>
      <c r="J840" s="38">
        <f>2.5*1000</f>
        <v>2500</v>
      </c>
      <c r="K840" s="46">
        <v>3.4340277777777782E-2</v>
      </c>
      <c r="L840" s="47" t="s">
        <v>1283</v>
      </c>
      <c r="M840" s="307"/>
      <c r="N840" s="307"/>
      <c r="O840" s="307">
        <f t="shared" si="20"/>
        <v>0</v>
      </c>
      <c r="P840" s="92"/>
      <c r="Q840" s="410" t="str">
        <f t="shared" ca="1" si="27"/>
        <v>https://www.youtube.com/watch?v=kZVT_WU4Pm4</v>
      </c>
      <c r="R840" s="50"/>
      <c r="S840" s="50"/>
      <c r="T840" s="50"/>
      <c r="U840" s="52"/>
      <c r="V840" s="53"/>
      <c r="W840" s="60"/>
      <c r="X840" s="56"/>
      <c r="Y840" s="38"/>
      <c r="Z840" s="38"/>
    </row>
    <row r="841" spans="1:26" hidden="1">
      <c r="A841" s="38">
        <v>459</v>
      </c>
      <c r="B841" s="38"/>
      <c r="C841" s="38"/>
      <c r="D841" s="38"/>
      <c r="E841" s="38" t="s">
        <v>1827</v>
      </c>
      <c r="F841" s="43" t="s">
        <v>1828</v>
      </c>
      <c r="G841" s="44"/>
      <c r="H841" s="45"/>
      <c r="I841" s="38"/>
      <c r="J841" s="38">
        <f>4.4*1000</f>
        <v>4400</v>
      </c>
      <c r="K841" s="46">
        <v>2.7303240740740743E-2</v>
      </c>
      <c r="L841" s="47" t="s">
        <v>1283</v>
      </c>
      <c r="M841" s="307"/>
      <c r="N841" s="307"/>
      <c r="O841" s="307">
        <f t="shared" si="20"/>
        <v>0</v>
      </c>
      <c r="P841" s="92"/>
      <c r="Q841" s="410" t="str">
        <f t="shared" ca="1" si="27"/>
        <v>https://www.youtube.com/watch?v=5HrBZvxcPmY</v>
      </c>
      <c r="R841" s="50"/>
      <c r="S841" s="50"/>
      <c r="T841" s="50"/>
      <c r="U841" s="52"/>
      <c r="V841" s="53"/>
      <c r="W841" s="60"/>
      <c r="X841" s="56"/>
      <c r="Y841" s="38"/>
      <c r="Z841" s="38"/>
    </row>
    <row r="842" spans="1:26" hidden="1">
      <c r="A842" s="38">
        <v>460</v>
      </c>
      <c r="B842" s="38"/>
      <c r="C842" s="38"/>
      <c r="D842" s="38"/>
      <c r="E842" s="38" t="s">
        <v>1833</v>
      </c>
      <c r="F842" s="43" t="s">
        <v>1836</v>
      </c>
      <c r="G842" s="44"/>
      <c r="H842" s="45"/>
      <c r="I842" s="38"/>
      <c r="J842" s="38">
        <f>2.7*1000</f>
        <v>2700</v>
      </c>
      <c r="K842" s="46">
        <v>1.9560185185185184E-3</v>
      </c>
      <c r="L842" s="47" t="s">
        <v>1283</v>
      </c>
      <c r="M842" s="307"/>
      <c r="N842" s="307"/>
      <c r="O842" s="307">
        <f t="shared" si="20"/>
        <v>0</v>
      </c>
      <c r="P842" s="92"/>
      <c r="Q842" s="410" t="str">
        <f t="shared" ca="1" si="27"/>
        <v>https://www.youtube.com/watch?v=KdiEMEbTV1M</v>
      </c>
      <c r="R842" s="50"/>
      <c r="S842" s="50"/>
      <c r="T842" s="50"/>
      <c r="U842" s="52"/>
      <c r="V842" s="53"/>
      <c r="W842" s="60"/>
      <c r="X842" s="56"/>
      <c r="Y842" s="38"/>
      <c r="Z842" s="38"/>
    </row>
    <row r="843" spans="1:26" hidden="1">
      <c r="A843" s="38">
        <v>461</v>
      </c>
      <c r="B843" s="38"/>
      <c r="C843" s="38"/>
      <c r="D843" s="38"/>
      <c r="E843" s="38" t="s">
        <v>1839</v>
      </c>
      <c r="F843" s="43" t="s">
        <v>1842</v>
      </c>
      <c r="G843" s="44"/>
      <c r="H843" s="45"/>
      <c r="I843" s="38"/>
      <c r="J843" s="38">
        <f>2.2*1000</f>
        <v>2200</v>
      </c>
      <c r="K843" s="46">
        <v>1.1331018518518518E-2</v>
      </c>
      <c r="L843" s="47" t="s">
        <v>1283</v>
      </c>
      <c r="M843" s="307"/>
      <c r="N843" s="307"/>
      <c r="O843" s="307">
        <f t="shared" si="20"/>
        <v>0</v>
      </c>
      <c r="P843" s="92"/>
      <c r="Q843" s="410" t="str">
        <f t="shared" ca="1" si="27"/>
        <v>https://www.youtube.com/watch?v=9Zummy0j6Ws</v>
      </c>
      <c r="R843" s="50"/>
      <c r="S843" s="50"/>
      <c r="T843" s="50"/>
      <c r="U843" s="52"/>
      <c r="V843" s="53"/>
      <c r="W843" s="60"/>
      <c r="X843" s="56"/>
      <c r="Y843" s="38"/>
      <c r="Z843" s="38"/>
    </row>
    <row r="844" spans="1:26" hidden="1">
      <c r="A844" s="38">
        <v>462</v>
      </c>
      <c r="B844" s="38"/>
      <c r="C844" s="38"/>
      <c r="D844" s="38"/>
      <c r="E844" s="38" t="s">
        <v>1849</v>
      </c>
      <c r="F844" s="43" t="s">
        <v>1851</v>
      </c>
      <c r="G844" s="44"/>
      <c r="H844" s="45"/>
      <c r="I844" s="38"/>
      <c r="J844" s="38">
        <f>1*1000</f>
        <v>1000</v>
      </c>
      <c r="K844" s="46">
        <v>7.6504629629629631E-3</v>
      </c>
      <c r="L844" s="47" t="s">
        <v>1283</v>
      </c>
      <c r="M844" s="307"/>
      <c r="N844" s="307"/>
      <c r="O844" s="307">
        <f t="shared" si="20"/>
        <v>0</v>
      </c>
      <c r="P844" s="92"/>
      <c r="Q844" s="410" t="str">
        <f t="shared" ca="1" si="27"/>
        <v>https://www.youtube.com/watch?v=9VsQzAI5PLo</v>
      </c>
      <c r="R844" s="50"/>
      <c r="S844" s="50"/>
      <c r="T844" s="50"/>
      <c r="U844" s="52"/>
      <c r="V844" s="53"/>
      <c r="W844" s="60"/>
      <c r="X844" s="56"/>
      <c r="Y844" s="38"/>
      <c r="Z844" s="38"/>
    </row>
    <row r="845" spans="1:26" hidden="1">
      <c r="A845" s="38">
        <v>463</v>
      </c>
      <c r="B845" s="38"/>
      <c r="C845" s="38"/>
      <c r="D845" s="38"/>
      <c r="E845" s="38" t="s">
        <v>1855</v>
      </c>
      <c r="F845" s="43" t="s">
        <v>1856</v>
      </c>
      <c r="G845" s="44"/>
      <c r="H845" s="45"/>
      <c r="I845" s="38"/>
      <c r="J845" s="38">
        <f>704</f>
        <v>704</v>
      </c>
      <c r="K845" s="46">
        <v>4.7337962962962958E-3</v>
      </c>
      <c r="L845" s="47" t="s">
        <v>1283</v>
      </c>
      <c r="M845" s="307"/>
      <c r="N845" s="307"/>
      <c r="O845" s="307">
        <f t="shared" si="20"/>
        <v>0</v>
      </c>
      <c r="P845" s="92"/>
      <c r="Q845" s="410" t="str">
        <f t="shared" ca="1" si="27"/>
        <v>https://www.youtube.com/watch?v=ZwiLQGKP--A</v>
      </c>
      <c r="R845" s="50"/>
      <c r="S845" s="50"/>
      <c r="T845" s="50"/>
      <c r="U845" s="52"/>
      <c r="V845" s="53"/>
      <c r="W845" s="60"/>
      <c r="X845" s="56"/>
      <c r="Y845" s="38"/>
      <c r="Z845" s="38"/>
    </row>
    <row r="846" spans="1:26" hidden="1">
      <c r="A846" s="38">
        <v>464</v>
      </c>
      <c r="B846" s="38"/>
      <c r="C846" s="38"/>
      <c r="D846" s="38"/>
      <c r="E846" s="38" t="s">
        <v>1860</v>
      </c>
      <c r="F846" s="43" t="s">
        <v>1861</v>
      </c>
      <c r="G846" s="44"/>
      <c r="H846" s="45"/>
      <c r="I846" s="38"/>
      <c r="J846" s="38">
        <f>396</f>
        <v>396</v>
      </c>
      <c r="K846" s="46">
        <v>2.6041666666666665E-3</v>
      </c>
      <c r="L846" s="47" t="s">
        <v>1283</v>
      </c>
      <c r="M846" s="307"/>
      <c r="N846" s="307"/>
      <c r="O846" s="307">
        <f t="shared" si="20"/>
        <v>0</v>
      </c>
      <c r="P846" s="92"/>
      <c r="Q846" s="410" t="str">
        <f t="shared" ca="1" si="27"/>
        <v>https://www.youtube.com/watch?v=fmVDyQnLFe4</v>
      </c>
      <c r="R846" s="50"/>
      <c r="S846" s="50"/>
      <c r="T846" s="50"/>
      <c r="U846" s="52"/>
      <c r="V846" s="53"/>
      <c r="W846" s="60"/>
      <c r="X846" s="56"/>
      <c r="Y846" s="38"/>
      <c r="Z846" s="38"/>
    </row>
    <row r="847" spans="1:26" hidden="1">
      <c r="A847" s="38">
        <v>465</v>
      </c>
      <c r="B847" s="38"/>
      <c r="C847" s="38"/>
      <c r="D847" s="38"/>
      <c r="E847" s="38" t="s">
        <v>1862</v>
      </c>
      <c r="F847" s="43" t="s">
        <v>1863</v>
      </c>
      <c r="G847" s="44"/>
      <c r="H847" s="45"/>
      <c r="I847" s="38"/>
      <c r="J847" s="38">
        <f>260</f>
        <v>260</v>
      </c>
      <c r="K847" s="46">
        <v>1.5393518518518519E-3</v>
      </c>
      <c r="L847" s="47" t="s">
        <v>1283</v>
      </c>
      <c r="M847" s="307"/>
      <c r="N847" s="307"/>
      <c r="O847" s="307">
        <f t="shared" si="20"/>
        <v>0</v>
      </c>
      <c r="P847" s="92"/>
      <c r="Q847" s="410" t="str">
        <f t="shared" ca="1" si="27"/>
        <v>https://www.youtube.com/watch?v=ohUG8LIy7Cs</v>
      </c>
      <c r="R847" s="50"/>
      <c r="S847" s="50"/>
      <c r="T847" s="50"/>
      <c r="U847" s="52"/>
      <c r="V847" s="53"/>
      <c r="W847" s="60"/>
      <c r="X847" s="56"/>
      <c r="Y847" s="38"/>
      <c r="Z847" s="38"/>
    </row>
    <row r="848" spans="1:26" hidden="1">
      <c r="A848" s="38">
        <v>466</v>
      </c>
      <c r="B848" s="38"/>
      <c r="C848" s="38"/>
      <c r="D848" s="38"/>
      <c r="E848" s="38" t="s">
        <v>1866</v>
      </c>
      <c r="F848" s="43" t="s">
        <v>1867</v>
      </c>
      <c r="G848" s="44"/>
      <c r="H848" s="45"/>
      <c r="I848" s="38"/>
      <c r="J848" s="38">
        <f>366</f>
        <v>366</v>
      </c>
      <c r="K848" s="46">
        <v>1.1342592592592591E-3</v>
      </c>
      <c r="L848" s="47" t="s">
        <v>1283</v>
      </c>
      <c r="M848" s="307"/>
      <c r="N848" s="307"/>
      <c r="O848" s="307">
        <f t="shared" si="20"/>
        <v>0</v>
      </c>
      <c r="P848" s="92"/>
      <c r="Q848" s="410" t="str">
        <f t="shared" ca="1" si="27"/>
        <v>https://www.youtube.com/watch?v=WfJvOgXp9SM</v>
      </c>
      <c r="R848" s="50"/>
      <c r="S848" s="50"/>
      <c r="T848" s="50"/>
      <c r="U848" s="52"/>
      <c r="V848" s="53"/>
      <c r="W848" s="60"/>
      <c r="X848" s="56"/>
      <c r="Y848" s="38"/>
      <c r="Z848" s="38"/>
    </row>
    <row r="849" spans="1:26" hidden="1">
      <c r="A849" s="38">
        <v>467</v>
      </c>
      <c r="B849" s="38"/>
      <c r="C849" s="38"/>
      <c r="D849" s="38"/>
      <c r="E849" s="38" t="s">
        <v>1871</v>
      </c>
      <c r="F849" s="43" t="s">
        <v>1873</v>
      </c>
      <c r="G849" s="44"/>
      <c r="H849" s="45"/>
      <c r="I849" s="38"/>
      <c r="J849" s="38">
        <f>461</f>
        <v>461</v>
      </c>
      <c r="K849" s="46">
        <v>1.8287037037037037E-3</v>
      </c>
      <c r="L849" s="47" t="s">
        <v>1283</v>
      </c>
      <c r="M849" s="307"/>
      <c r="N849" s="307"/>
      <c r="O849" s="307">
        <f t="shared" si="20"/>
        <v>0</v>
      </c>
      <c r="P849" s="92"/>
      <c r="Q849" s="410" t="str">
        <f t="shared" ca="1" si="27"/>
        <v>https://www.youtube.com/watch?v=_vKbwIOfXy0</v>
      </c>
      <c r="R849" s="50"/>
      <c r="S849" s="50"/>
      <c r="T849" s="50"/>
      <c r="U849" s="52"/>
      <c r="V849" s="53"/>
      <c r="W849" s="60"/>
      <c r="X849" s="56"/>
      <c r="Y849" s="38"/>
      <c r="Z849" s="38"/>
    </row>
    <row r="850" spans="1:26" hidden="1">
      <c r="A850" s="38">
        <v>468</v>
      </c>
      <c r="B850" s="38"/>
      <c r="C850" s="38"/>
      <c r="D850" s="38"/>
      <c r="E850" s="38" t="s">
        <v>1878</v>
      </c>
      <c r="F850" s="43" t="s">
        <v>1881</v>
      </c>
      <c r="G850" s="44"/>
      <c r="H850" s="45"/>
      <c r="I850" s="38"/>
      <c r="J850" s="38">
        <f>849</f>
        <v>849</v>
      </c>
      <c r="K850" s="46">
        <v>9.4907407407407408E-4</v>
      </c>
      <c r="L850" s="47" t="s">
        <v>1283</v>
      </c>
      <c r="M850" s="307"/>
      <c r="N850" s="307"/>
      <c r="O850" s="307">
        <f t="shared" si="20"/>
        <v>0</v>
      </c>
      <c r="P850" s="92"/>
      <c r="Q850" s="410" t="str">
        <f t="shared" ca="1" si="27"/>
        <v>https://www.youtube.com/watch?v=NNu6sJz2cPI</v>
      </c>
      <c r="R850" s="50"/>
      <c r="S850" s="50"/>
      <c r="T850" s="50"/>
      <c r="U850" s="52"/>
      <c r="V850" s="53"/>
      <c r="W850" s="60"/>
      <c r="X850" s="56"/>
      <c r="Y850" s="38"/>
      <c r="Z850" s="38"/>
    </row>
    <row r="851" spans="1:26" hidden="1">
      <c r="A851" s="38">
        <v>469</v>
      </c>
      <c r="B851" s="38"/>
      <c r="C851" s="38"/>
      <c r="D851" s="38"/>
      <c r="E851" s="38" t="s">
        <v>1884</v>
      </c>
      <c r="F851" s="43" t="s">
        <v>1886</v>
      </c>
      <c r="G851" s="44"/>
      <c r="H851" s="45"/>
      <c r="I851" s="38"/>
      <c r="J851" s="38">
        <f>248</f>
        <v>248</v>
      </c>
      <c r="K851" s="46">
        <v>1.5046296296296294E-3</v>
      </c>
      <c r="L851" s="47" t="s">
        <v>1283</v>
      </c>
      <c r="M851" s="307"/>
      <c r="N851" s="307"/>
      <c r="O851" s="307">
        <f t="shared" si="20"/>
        <v>0</v>
      </c>
      <c r="P851" s="92"/>
      <c r="Q851" s="410" t="str">
        <f t="shared" ca="1" si="27"/>
        <v>https://www.youtube.com/watch?v=Deab_JE4fv4</v>
      </c>
      <c r="R851" s="50"/>
      <c r="S851" s="50"/>
      <c r="T851" s="50"/>
      <c r="U851" s="52"/>
      <c r="V851" s="53"/>
      <c r="W851" s="60"/>
      <c r="X851" s="56"/>
      <c r="Y851" s="38"/>
      <c r="Z851" s="38"/>
    </row>
    <row r="852" spans="1:26" hidden="1">
      <c r="A852" s="38">
        <v>470</v>
      </c>
      <c r="B852" s="38"/>
      <c r="C852" s="38"/>
      <c r="D852" s="38"/>
      <c r="E852" s="38" t="s">
        <v>1890</v>
      </c>
      <c r="F852" s="43" t="s">
        <v>1891</v>
      </c>
      <c r="G852" s="44"/>
      <c r="H852" s="45"/>
      <c r="I852" s="38"/>
      <c r="J852" s="38">
        <f>671</f>
        <v>671</v>
      </c>
      <c r="K852" s="46">
        <v>1.3078703703703705E-3</v>
      </c>
      <c r="L852" s="47" t="s">
        <v>1283</v>
      </c>
      <c r="M852" s="307"/>
      <c r="N852" s="307"/>
      <c r="O852" s="307">
        <f t="shared" si="20"/>
        <v>0</v>
      </c>
      <c r="P852" s="92"/>
      <c r="Q852" s="410" t="str">
        <f t="shared" ca="1" si="27"/>
        <v>https://www.youtube.com/watch?v=GiNhw1WJNXc</v>
      </c>
      <c r="R852" s="50"/>
      <c r="S852" s="50"/>
      <c r="T852" s="50"/>
      <c r="U852" s="52"/>
      <c r="V852" s="53"/>
      <c r="W852" s="60"/>
      <c r="X852" s="56"/>
      <c r="Y852" s="38"/>
      <c r="Z852" s="38"/>
    </row>
    <row r="853" spans="1:26" hidden="1">
      <c r="A853" s="38">
        <v>471</v>
      </c>
      <c r="B853" s="38"/>
      <c r="C853" s="38"/>
      <c r="D853" s="38"/>
      <c r="E853" s="38" t="s">
        <v>1896</v>
      </c>
      <c r="F853" s="43" t="s">
        <v>1897</v>
      </c>
      <c r="G853" s="44"/>
      <c r="H853" s="45"/>
      <c r="I853" s="38"/>
      <c r="J853" s="38">
        <f>335</f>
        <v>335</v>
      </c>
      <c r="K853" s="46">
        <v>7.0601851851851847E-4</v>
      </c>
      <c r="L853" s="47" t="s">
        <v>1283</v>
      </c>
      <c r="M853" s="307"/>
      <c r="N853" s="307"/>
      <c r="O853" s="307">
        <f t="shared" si="20"/>
        <v>0</v>
      </c>
      <c r="P853" s="92"/>
      <c r="Q853" s="410" t="str">
        <f t="shared" ca="1" si="27"/>
        <v>https://www.youtube.com/watch?v=NRep5rGd_FU</v>
      </c>
      <c r="R853" s="50"/>
      <c r="S853" s="50"/>
      <c r="T853" s="50"/>
      <c r="U853" s="52"/>
      <c r="V853" s="53"/>
      <c r="W853" s="60"/>
      <c r="X853" s="56"/>
      <c r="Y853" s="38"/>
      <c r="Z853" s="38"/>
    </row>
    <row r="854" spans="1:26" hidden="1">
      <c r="A854" s="38">
        <v>472</v>
      </c>
      <c r="B854" s="38"/>
      <c r="C854" s="38"/>
      <c r="D854" s="38"/>
      <c r="E854" s="38" t="s">
        <v>1901</v>
      </c>
      <c r="F854" s="43" t="s">
        <v>1902</v>
      </c>
      <c r="G854" s="44"/>
      <c r="H854" s="45"/>
      <c r="I854" s="38"/>
      <c r="J854" s="38">
        <f>1*1000</f>
        <v>1000</v>
      </c>
      <c r="K854" s="46">
        <v>4.9884259259259265E-3</v>
      </c>
      <c r="L854" s="47" t="s">
        <v>1283</v>
      </c>
      <c r="M854" s="307"/>
      <c r="N854" s="307"/>
      <c r="O854" s="307">
        <f t="shared" si="20"/>
        <v>0</v>
      </c>
      <c r="P854" s="92"/>
      <c r="Q854" s="410" t="str">
        <f t="shared" ca="1" si="27"/>
        <v>https://www.youtube.com/watch?v=gF2CbaL7t6g</v>
      </c>
      <c r="R854" s="50"/>
      <c r="S854" s="50"/>
      <c r="T854" s="50"/>
      <c r="U854" s="52"/>
      <c r="V854" s="53"/>
      <c r="W854" s="60"/>
      <c r="X854" s="56"/>
      <c r="Y854" s="38"/>
      <c r="Z854" s="38"/>
    </row>
    <row r="855" spans="1:26" hidden="1">
      <c r="A855" s="38">
        <v>473</v>
      </c>
      <c r="B855" s="38"/>
      <c r="C855" s="38"/>
      <c r="D855" s="38"/>
      <c r="E855" s="38" t="s">
        <v>1903</v>
      </c>
      <c r="F855" s="43" t="s">
        <v>1904</v>
      </c>
      <c r="G855" s="44"/>
      <c r="H855" s="45"/>
      <c r="I855" s="38"/>
      <c r="J855" s="38">
        <f>704</f>
        <v>704</v>
      </c>
      <c r="K855" s="46">
        <v>8.4259259259259253E-3</v>
      </c>
      <c r="L855" s="47" t="s">
        <v>1283</v>
      </c>
      <c r="M855" s="307"/>
      <c r="N855" s="307"/>
      <c r="O855" s="307">
        <f t="shared" si="20"/>
        <v>0</v>
      </c>
      <c r="P855" s="92"/>
      <c r="Q855" s="410" t="str">
        <f t="shared" ca="1" si="27"/>
        <v>https://www.youtube.com/watch?v=GB9g4sKWR0M</v>
      </c>
      <c r="R855" s="50"/>
      <c r="S855" s="50"/>
      <c r="T855" s="50"/>
      <c r="U855" s="52"/>
      <c r="V855" s="53"/>
      <c r="W855" s="60"/>
      <c r="X855" s="56"/>
      <c r="Y855" s="38"/>
      <c r="Z855" s="38"/>
    </row>
    <row r="856" spans="1:26" hidden="1">
      <c r="A856" s="38">
        <v>474</v>
      </c>
      <c r="B856" s="38"/>
      <c r="C856" s="38"/>
      <c r="D856" s="38"/>
      <c r="E856" s="38" t="s">
        <v>1909</v>
      </c>
      <c r="F856" s="43" t="s">
        <v>1910</v>
      </c>
      <c r="G856" s="44"/>
      <c r="H856" s="45"/>
      <c r="I856" s="38"/>
      <c r="J856" s="38">
        <f>1.1*1000</f>
        <v>1100</v>
      </c>
      <c r="K856" s="46">
        <v>1.1099537037037038E-2</v>
      </c>
      <c r="L856" s="47" t="s">
        <v>1283</v>
      </c>
      <c r="M856" s="307"/>
      <c r="N856" s="307"/>
      <c r="O856" s="307">
        <f t="shared" si="20"/>
        <v>0</v>
      </c>
      <c r="P856" s="92"/>
      <c r="Q856" s="410" t="str">
        <f t="shared" ca="1" si="27"/>
        <v>https://www.youtube.com/watch?v=AB0KeX_0T2I</v>
      </c>
      <c r="R856" s="50"/>
      <c r="S856" s="50"/>
      <c r="T856" s="50"/>
      <c r="U856" s="52"/>
      <c r="V856" s="53"/>
      <c r="W856" s="60"/>
      <c r="X856" s="56"/>
      <c r="Y856" s="38"/>
      <c r="Z856" s="38"/>
    </row>
    <row r="857" spans="1:26" hidden="1">
      <c r="A857" s="38">
        <v>475</v>
      </c>
      <c r="B857" s="38"/>
      <c r="C857" s="38"/>
      <c r="D857" s="38"/>
      <c r="E857" s="38" t="s">
        <v>1914</v>
      </c>
      <c r="F857" s="43" t="s">
        <v>1915</v>
      </c>
      <c r="G857" s="44"/>
      <c r="H857" s="45"/>
      <c r="I857" s="38"/>
      <c r="J857" s="38">
        <f>179</f>
        <v>179</v>
      </c>
      <c r="K857" s="46">
        <v>2.2222222222222222E-3</v>
      </c>
      <c r="L857" s="47" t="s">
        <v>1283</v>
      </c>
      <c r="M857" s="307"/>
      <c r="N857" s="307"/>
      <c r="O857" s="307">
        <f t="shared" si="20"/>
        <v>0</v>
      </c>
      <c r="P857" s="92"/>
      <c r="Q857" s="410" t="str">
        <f t="shared" ca="1" si="27"/>
        <v>https://www.youtube.com/watch?v=VDqAX3plBww</v>
      </c>
      <c r="R857" s="50"/>
      <c r="S857" s="50"/>
      <c r="T857" s="50"/>
      <c r="U857" s="52"/>
      <c r="V857" s="53"/>
      <c r="W857" s="60"/>
      <c r="X857" s="56"/>
      <c r="Y857" s="38"/>
      <c r="Z857" s="38"/>
    </row>
    <row r="858" spans="1:26" hidden="1">
      <c r="A858" s="38">
        <v>476</v>
      </c>
      <c r="B858" s="38"/>
      <c r="C858" s="38"/>
      <c r="D858" s="38"/>
      <c r="E858" s="38" t="s">
        <v>1920</v>
      </c>
      <c r="F858" s="43" t="s">
        <v>1921</v>
      </c>
      <c r="G858" s="44"/>
      <c r="H858" s="45"/>
      <c r="I858" s="38"/>
      <c r="J858" s="38">
        <f>961</f>
        <v>961</v>
      </c>
      <c r="K858" s="46">
        <v>5.6249999999999989E-3</v>
      </c>
      <c r="L858" s="47" t="s">
        <v>1283</v>
      </c>
      <c r="M858" s="307"/>
      <c r="N858" s="307"/>
      <c r="O858" s="307">
        <f t="shared" si="20"/>
        <v>0</v>
      </c>
      <c r="P858" s="92"/>
      <c r="Q858" s="410" t="str">
        <f t="shared" ca="1" si="27"/>
        <v>https://www.youtube.com/watch?v=Hqx5Pfe-4NI</v>
      </c>
      <c r="R858" s="50"/>
      <c r="S858" s="50"/>
      <c r="T858" s="50"/>
      <c r="U858" s="52"/>
      <c r="V858" s="53"/>
      <c r="W858" s="60"/>
      <c r="X858" s="56"/>
      <c r="Y858" s="38"/>
      <c r="Z858" s="38"/>
    </row>
    <row r="859" spans="1:26" hidden="1">
      <c r="A859" s="38">
        <v>477</v>
      </c>
      <c r="B859" s="38"/>
      <c r="C859" s="38"/>
      <c r="D859" s="38"/>
      <c r="E859" s="38" t="s">
        <v>1922</v>
      </c>
      <c r="F859" s="43" t="s">
        <v>1923</v>
      </c>
      <c r="G859" s="44"/>
      <c r="H859" s="45"/>
      <c r="I859" s="38"/>
      <c r="J859" s="38">
        <f>144</f>
        <v>144</v>
      </c>
      <c r="K859" s="46">
        <v>1.8287037037037037E-3</v>
      </c>
      <c r="L859" s="47" t="s">
        <v>1283</v>
      </c>
      <c r="M859" s="307"/>
      <c r="N859" s="307"/>
      <c r="O859" s="307">
        <f t="shared" si="20"/>
        <v>0</v>
      </c>
      <c r="P859" s="92"/>
      <c r="Q859" s="410" t="str">
        <f t="shared" ca="1" si="27"/>
        <v>https://www.youtube.com/watch?v=rAWCL2ENS90</v>
      </c>
      <c r="R859" s="50"/>
      <c r="S859" s="50"/>
      <c r="T859" s="50"/>
      <c r="U859" s="52"/>
      <c r="V859" s="53"/>
      <c r="W859" s="60"/>
      <c r="X859" s="56"/>
      <c r="Y859" s="38"/>
      <c r="Z859" s="38"/>
    </row>
    <row r="860" spans="1:26" hidden="1">
      <c r="A860" s="38">
        <v>478</v>
      </c>
      <c r="B860" s="38"/>
      <c r="C860" s="38"/>
      <c r="D860" s="38"/>
      <c r="E860" s="38" t="s">
        <v>1927</v>
      </c>
      <c r="F860" s="43" t="s">
        <v>1929</v>
      </c>
      <c r="G860" s="44"/>
      <c r="H860" s="45"/>
      <c r="I860" s="38"/>
      <c r="J860" s="38">
        <f>2.4*1000</f>
        <v>2400</v>
      </c>
      <c r="K860" s="46">
        <v>2.6620370370370374E-3</v>
      </c>
      <c r="L860" s="47" t="s">
        <v>1283</v>
      </c>
      <c r="M860" s="307"/>
      <c r="N860" s="307"/>
      <c r="O860" s="307">
        <f t="shared" si="20"/>
        <v>0</v>
      </c>
      <c r="P860" s="92"/>
      <c r="Q860" s="410" t="str">
        <f t="shared" ca="1" si="27"/>
        <v>https://www.youtube.com/watch?v=47hxgUfQ8jo</v>
      </c>
      <c r="R860" s="50"/>
      <c r="S860" s="50"/>
      <c r="T860" s="50"/>
      <c r="U860" s="52"/>
      <c r="V860" s="53"/>
      <c r="W860" s="60"/>
      <c r="X860" s="56"/>
      <c r="Y860" s="38"/>
      <c r="Z860" s="38"/>
    </row>
    <row r="861" spans="1:26" hidden="1">
      <c r="A861" s="38">
        <v>479</v>
      </c>
      <c r="B861" s="38"/>
      <c r="C861" s="38"/>
      <c r="D861" s="38"/>
      <c r="E861" s="38" t="s">
        <v>1933</v>
      </c>
      <c r="F861" s="43" t="s">
        <v>1934</v>
      </c>
      <c r="G861" s="44"/>
      <c r="H861" s="45"/>
      <c r="I861" s="38"/>
      <c r="J861" s="38">
        <f>2.8*1000</f>
        <v>2800</v>
      </c>
      <c r="K861" s="46">
        <v>4.9884259259259265E-3</v>
      </c>
      <c r="L861" s="47" t="s">
        <v>1283</v>
      </c>
      <c r="M861" s="307"/>
      <c r="N861" s="307"/>
      <c r="O861" s="307">
        <f t="shared" si="20"/>
        <v>0</v>
      </c>
      <c r="P861" s="92"/>
      <c r="Q861" s="410" t="str">
        <f t="shared" ca="1" si="27"/>
        <v>https://www.youtube.com/watch?v=EMznloyYysU</v>
      </c>
      <c r="R861" s="50"/>
      <c r="S861" s="50"/>
      <c r="T861" s="50"/>
      <c r="U861" s="52"/>
      <c r="V861" s="53"/>
      <c r="W861" s="60"/>
      <c r="X861" s="56"/>
      <c r="Y861" s="38"/>
      <c r="Z861" s="38"/>
    </row>
    <row r="862" spans="1:26" hidden="1">
      <c r="A862" s="38">
        <v>480</v>
      </c>
      <c r="B862" s="38"/>
      <c r="C862" s="38"/>
      <c r="D862" s="38"/>
      <c r="E862" s="38" t="s">
        <v>1942</v>
      </c>
      <c r="F862" s="43" t="s">
        <v>1943</v>
      </c>
      <c r="G862" s="44"/>
      <c r="H862" s="45"/>
      <c r="I862" s="38"/>
      <c r="J862" s="38">
        <f>14*1000</f>
        <v>14000</v>
      </c>
      <c r="K862" s="46">
        <v>8.5416666666666679E-3</v>
      </c>
      <c r="L862" s="47" t="s">
        <v>1283</v>
      </c>
      <c r="M862" s="307"/>
      <c r="N862" s="307"/>
      <c r="O862" s="307">
        <f t="shared" si="20"/>
        <v>0</v>
      </c>
      <c r="P862" s="92"/>
      <c r="Q862" s="410" t="str">
        <f t="shared" ca="1" si="27"/>
        <v>https://www.youtube.com/watch?v=Xsq9jAEpAY8</v>
      </c>
      <c r="R862" s="50"/>
      <c r="S862" s="50"/>
      <c r="T862" s="50"/>
      <c r="U862" s="52"/>
      <c r="V862" s="53"/>
      <c r="W862" s="60"/>
      <c r="X862" s="56"/>
      <c r="Y862" s="38"/>
      <c r="Z862" s="38"/>
    </row>
    <row r="863" spans="1:26" hidden="1">
      <c r="A863" s="38">
        <v>481</v>
      </c>
      <c r="B863" s="38"/>
      <c r="C863" s="38"/>
      <c r="D863" s="38"/>
      <c r="E863" s="38" t="s">
        <v>1947</v>
      </c>
      <c r="F863" s="43" t="s">
        <v>1948</v>
      </c>
      <c r="G863" s="44"/>
      <c r="H863" s="45"/>
      <c r="I863" s="38"/>
      <c r="J863" s="38">
        <f>3.5*1000</f>
        <v>3500</v>
      </c>
      <c r="K863" s="46">
        <v>7.4884259259259262E-3</v>
      </c>
      <c r="L863" s="47" t="s">
        <v>1283</v>
      </c>
      <c r="M863" s="307"/>
      <c r="N863" s="307"/>
      <c r="O863" s="307">
        <f t="shared" si="20"/>
        <v>0</v>
      </c>
      <c r="P863" s="92"/>
      <c r="Q863" s="410" t="str">
        <f t="shared" ca="1" si="27"/>
        <v>https://www.youtube.com/watch?v=-HWLO-7d98U</v>
      </c>
      <c r="R863" s="50"/>
      <c r="S863" s="50"/>
      <c r="T863" s="50"/>
      <c r="U863" s="52"/>
      <c r="V863" s="53"/>
      <c r="W863" s="60"/>
      <c r="X863" s="56"/>
      <c r="Y863" s="38"/>
      <c r="Z863" s="38"/>
    </row>
    <row r="864" spans="1:26" hidden="1">
      <c r="A864" s="38">
        <v>482</v>
      </c>
      <c r="B864" s="38"/>
      <c r="C864" s="38"/>
      <c r="D864" s="38"/>
      <c r="E864" s="38" t="s">
        <v>1954</v>
      </c>
      <c r="F864" s="43" t="s">
        <v>1955</v>
      </c>
      <c r="G864" s="44"/>
      <c r="H864" s="45"/>
      <c r="I864" s="38"/>
      <c r="J864" s="38">
        <f>118</f>
        <v>118</v>
      </c>
      <c r="K864" s="46">
        <v>1.0763888888888889E-3</v>
      </c>
      <c r="L864" s="47" t="s">
        <v>1283</v>
      </c>
      <c r="M864" s="307"/>
      <c r="N864" s="307"/>
      <c r="O864" s="307">
        <f t="shared" si="20"/>
        <v>0</v>
      </c>
      <c r="P864" s="92"/>
      <c r="Q864" s="410" t="str">
        <f t="shared" ca="1" si="27"/>
        <v>https://www.youtube.com/watch?v=xAx9rKxKjCk</v>
      </c>
      <c r="R864" s="50"/>
      <c r="S864" s="50"/>
      <c r="T864" s="50"/>
      <c r="U864" s="52"/>
      <c r="V864" s="53"/>
      <c r="W864" s="60"/>
      <c r="X864" s="56"/>
      <c r="Y864" s="38"/>
      <c r="Z864" s="38"/>
    </row>
    <row r="865" spans="1:26" hidden="1">
      <c r="A865" s="38">
        <v>483</v>
      </c>
      <c r="B865" s="38"/>
      <c r="C865" s="38"/>
      <c r="D865" s="38"/>
      <c r="E865" s="38" t="s">
        <v>1957</v>
      </c>
      <c r="F865" s="43" t="s">
        <v>1958</v>
      </c>
      <c r="G865" s="44"/>
      <c r="H865" s="45"/>
      <c r="I865" s="38"/>
      <c r="J865" s="38">
        <f>317</f>
        <v>317</v>
      </c>
      <c r="K865" s="46">
        <v>1.6319444444444445E-3</v>
      </c>
      <c r="L865" s="47" t="s">
        <v>1283</v>
      </c>
      <c r="M865" s="307"/>
      <c r="N865" s="307"/>
      <c r="O865" s="307">
        <f t="shared" si="20"/>
        <v>0</v>
      </c>
      <c r="P865" s="92"/>
      <c r="Q865" s="410" t="str">
        <f t="shared" ca="1" si="27"/>
        <v>https://www.youtube.com/watch?v=pIn71L7Kv9Q</v>
      </c>
      <c r="R865" s="50"/>
      <c r="S865" s="50"/>
      <c r="T865" s="50"/>
      <c r="U865" s="52"/>
      <c r="V865" s="53"/>
      <c r="W865" s="60"/>
      <c r="X865" s="56"/>
      <c r="Y865" s="38"/>
      <c r="Z865" s="38"/>
    </row>
    <row r="866" spans="1:26" hidden="1">
      <c r="A866" s="38">
        <v>484</v>
      </c>
      <c r="B866" s="38"/>
      <c r="C866" s="38"/>
      <c r="D866" s="38"/>
      <c r="E866" s="38" t="s">
        <v>1961</v>
      </c>
      <c r="F866" s="43" t="s">
        <v>1962</v>
      </c>
      <c r="G866" s="44"/>
      <c r="H866" s="45"/>
      <c r="I866" s="38"/>
      <c r="J866" s="38">
        <f>3.2*1000</f>
        <v>3200</v>
      </c>
      <c r="K866" s="46">
        <v>4.3749999999999995E-3</v>
      </c>
      <c r="L866" s="47" t="s">
        <v>1283</v>
      </c>
      <c r="M866" s="307"/>
      <c r="N866" s="307"/>
      <c r="O866" s="307">
        <f t="shared" si="20"/>
        <v>0</v>
      </c>
      <c r="P866" s="92"/>
      <c r="Q866" s="410" t="str">
        <f t="shared" ca="1" si="27"/>
        <v>https://www.youtube.com/watch?v=9oRLNbl-DxI</v>
      </c>
      <c r="R866" s="50"/>
      <c r="S866" s="50"/>
      <c r="T866" s="50"/>
      <c r="U866" s="52"/>
      <c r="V866" s="53"/>
      <c r="W866" s="60"/>
      <c r="X866" s="56"/>
      <c r="Y866" s="38"/>
      <c r="Z866" s="38"/>
    </row>
    <row r="867" spans="1:26" hidden="1">
      <c r="A867" s="38">
        <v>485</v>
      </c>
      <c r="B867" s="38"/>
      <c r="C867" s="38"/>
      <c r="D867" s="38"/>
      <c r="E867" s="38" t="s">
        <v>1963</v>
      </c>
      <c r="F867" s="43" t="s">
        <v>1964</v>
      </c>
      <c r="G867" s="44"/>
      <c r="H867" s="45"/>
      <c r="I867" s="38"/>
      <c r="J867" s="38">
        <f>219</f>
        <v>219</v>
      </c>
      <c r="K867" s="46">
        <v>2.1296296296296298E-3</v>
      </c>
      <c r="L867" s="47" t="s">
        <v>1283</v>
      </c>
      <c r="M867" s="307"/>
      <c r="N867" s="307"/>
      <c r="O867" s="307">
        <f t="shared" si="20"/>
        <v>0</v>
      </c>
      <c r="P867" s="92"/>
      <c r="Q867" s="410" t="str">
        <f t="shared" ca="1" si="27"/>
        <v>https://www.youtube.com/watch?v=ZhuUYD3QvB8</v>
      </c>
      <c r="R867" s="50"/>
      <c r="S867" s="50"/>
      <c r="T867" s="50"/>
      <c r="U867" s="52"/>
      <c r="V867" s="53"/>
      <c r="W867" s="60"/>
      <c r="X867" s="56"/>
      <c r="Y867" s="38"/>
      <c r="Z867" s="38"/>
    </row>
    <row r="868" spans="1:26" hidden="1">
      <c r="A868" s="38">
        <v>486</v>
      </c>
      <c r="B868" s="38"/>
      <c r="C868" s="38"/>
      <c r="D868" s="38"/>
      <c r="E868" s="38" t="s">
        <v>1967</v>
      </c>
      <c r="F868" s="43" t="s">
        <v>1968</v>
      </c>
      <c r="G868" s="44"/>
      <c r="H868" s="45"/>
      <c r="I868" s="38"/>
      <c r="J868" s="38">
        <f>22*1000</f>
        <v>22000</v>
      </c>
      <c r="K868" s="46">
        <v>7.2453703703703708E-3</v>
      </c>
      <c r="L868" s="47" t="s">
        <v>1283</v>
      </c>
      <c r="M868" s="307"/>
      <c r="N868" s="307"/>
      <c r="O868" s="307">
        <f t="shared" si="20"/>
        <v>0</v>
      </c>
      <c r="P868" s="92"/>
      <c r="Q868" s="410" t="str">
        <f t="shared" ca="1" si="27"/>
        <v>https://www.youtube.com/watch?v=G2ke7Higm-Y</v>
      </c>
      <c r="R868" s="50"/>
      <c r="S868" s="50"/>
      <c r="T868" s="50"/>
      <c r="U868" s="52"/>
      <c r="V868" s="53"/>
      <c r="W868" s="60"/>
      <c r="X868" s="56"/>
      <c r="Y868" s="38"/>
      <c r="Z868" s="38"/>
    </row>
    <row r="869" spans="1:26" hidden="1">
      <c r="A869" s="38">
        <v>487</v>
      </c>
      <c r="B869" s="38"/>
      <c r="C869" s="38"/>
      <c r="D869" s="38"/>
      <c r="E869" s="38" t="s">
        <v>1972</v>
      </c>
      <c r="F869" s="43" t="s">
        <v>1973</v>
      </c>
      <c r="G869" s="44"/>
      <c r="H869" s="45"/>
      <c r="I869" s="38"/>
      <c r="J869" s="38">
        <f>743</f>
        <v>743</v>
      </c>
      <c r="K869" s="46">
        <v>2.1527777777777778E-3</v>
      </c>
      <c r="L869" s="47" t="s">
        <v>1283</v>
      </c>
      <c r="M869" s="307"/>
      <c r="N869" s="307"/>
      <c r="O869" s="307">
        <f t="shared" si="20"/>
        <v>0</v>
      </c>
      <c r="P869" s="92"/>
      <c r="Q869" s="410" t="str">
        <f t="shared" ca="1" si="27"/>
        <v>https://www.youtube.com/watch?v=FTdLV7hcCvI</v>
      </c>
      <c r="R869" s="50"/>
      <c r="S869" s="50"/>
      <c r="T869" s="50"/>
      <c r="U869" s="52"/>
      <c r="V869" s="53"/>
      <c r="W869" s="60"/>
      <c r="X869" s="56"/>
      <c r="Y869" s="38"/>
      <c r="Z869" s="38"/>
    </row>
    <row r="870" spans="1:26" hidden="1">
      <c r="A870" s="38">
        <v>488</v>
      </c>
      <c r="B870" s="38"/>
      <c r="C870" s="38"/>
      <c r="D870" s="38"/>
      <c r="E870" s="38" t="s">
        <v>1976</v>
      </c>
      <c r="F870" s="43" t="s">
        <v>1977</v>
      </c>
      <c r="G870" s="44"/>
      <c r="H870" s="45"/>
      <c r="I870" s="38"/>
      <c r="J870" s="38">
        <f>408</f>
        <v>408</v>
      </c>
      <c r="K870" s="46">
        <v>1.3773148148148147E-3</v>
      </c>
      <c r="L870" s="47" t="s">
        <v>1283</v>
      </c>
      <c r="M870" s="307"/>
      <c r="N870" s="307"/>
      <c r="O870" s="307">
        <f t="shared" si="20"/>
        <v>0</v>
      </c>
      <c r="P870" s="92"/>
      <c r="Q870" s="410" t="str">
        <f t="shared" ca="1" si="27"/>
        <v>https://www.youtube.com/watch?v=FQ3dpY5j5y8</v>
      </c>
      <c r="R870" s="50"/>
      <c r="S870" s="50"/>
      <c r="T870" s="50"/>
      <c r="U870" s="52"/>
      <c r="V870" s="53"/>
      <c r="W870" s="60"/>
      <c r="X870" s="56"/>
      <c r="Y870" s="38"/>
      <c r="Z870" s="38"/>
    </row>
    <row r="871" spans="1:26" hidden="1">
      <c r="A871" s="38">
        <v>489</v>
      </c>
      <c r="B871" s="38"/>
      <c r="C871" s="38"/>
      <c r="D871" s="38"/>
      <c r="E871" s="38" t="s">
        <v>1982</v>
      </c>
      <c r="F871" s="43" t="s">
        <v>1983</v>
      </c>
      <c r="G871" s="44"/>
      <c r="H871" s="45"/>
      <c r="I871" s="38"/>
      <c r="J871" s="38">
        <f>1.8*1000</f>
        <v>1800</v>
      </c>
      <c r="K871" s="46">
        <v>3.2291666666666666E-3</v>
      </c>
      <c r="L871" s="47" t="s">
        <v>1283</v>
      </c>
      <c r="M871" s="307"/>
      <c r="N871" s="307"/>
      <c r="O871" s="307">
        <f t="shared" si="20"/>
        <v>0</v>
      </c>
      <c r="P871" s="92"/>
      <c r="Q871" s="410" t="str">
        <f t="shared" ca="1" si="27"/>
        <v>https://www.youtube.com/watch?v=iGqKIfGTc-s</v>
      </c>
      <c r="R871" s="50"/>
      <c r="S871" s="50"/>
      <c r="T871" s="50"/>
      <c r="U871" s="52"/>
      <c r="V871" s="53"/>
      <c r="W871" s="60"/>
      <c r="X871" s="56"/>
      <c r="Y871" s="38"/>
      <c r="Z871" s="38"/>
    </row>
    <row r="872" spans="1:26" hidden="1">
      <c r="A872" s="38">
        <v>490</v>
      </c>
      <c r="B872" s="38"/>
      <c r="C872" s="38"/>
      <c r="D872" s="38"/>
      <c r="E872" s="38" t="s">
        <v>1986</v>
      </c>
      <c r="F872" s="43" t="s">
        <v>1987</v>
      </c>
      <c r="G872" s="44"/>
      <c r="H872" s="45"/>
      <c r="I872" s="38"/>
      <c r="J872" s="38">
        <f>577</f>
        <v>577</v>
      </c>
      <c r="K872" s="46">
        <v>2.0370370370370373E-3</v>
      </c>
      <c r="L872" s="47" t="s">
        <v>1283</v>
      </c>
      <c r="M872" s="307"/>
      <c r="N872" s="307"/>
      <c r="O872" s="307">
        <f t="shared" si="20"/>
        <v>0</v>
      </c>
      <c r="P872" s="92"/>
      <c r="Q872" s="410" t="str">
        <f t="shared" ca="1" si="27"/>
        <v>https://www.youtube.com/watch?v=ejkbEib1Otk</v>
      </c>
      <c r="R872" s="50"/>
      <c r="S872" s="50"/>
      <c r="T872" s="50"/>
      <c r="U872" s="52"/>
      <c r="V872" s="53"/>
      <c r="W872" s="60"/>
      <c r="X872" s="56"/>
      <c r="Y872" s="38"/>
      <c r="Z872" s="38"/>
    </row>
    <row r="873" spans="1:26" hidden="1">
      <c r="A873" s="38">
        <v>491</v>
      </c>
      <c r="B873" s="38"/>
      <c r="C873" s="38"/>
      <c r="D873" s="38"/>
      <c r="E873" s="38" t="s">
        <v>1990</v>
      </c>
      <c r="F873" s="43" t="s">
        <v>1991</v>
      </c>
      <c r="G873" s="44"/>
      <c r="H873" s="45"/>
      <c r="I873" s="38"/>
      <c r="J873" s="38">
        <f>1.1*1000</f>
        <v>1100</v>
      </c>
      <c r="K873" s="46">
        <v>2.8587962962962963E-3</v>
      </c>
      <c r="L873" s="47" t="s">
        <v>1283</v>
      </c>
      <c r="M873" s="307"/>
      <c r="N873" s="307"/>
      <c r="O873" s="307">
        <f t="shared" si="20"/>
        <v>0</v>
      </c>
      <c r="P873" s="92"/>
      <c r="Q873" s="410" t="str">
        <f t="shared" ca="1" si="27"/>
        <v>https://www.youtube.com/watch?v=4PxIlOKBbng</v>
      </c>
      <c r="R873" s="50"/>
      <c r="S873" s="50"/>
      <c r="T873" s="50"/>
      <c r="U873" s="52"/>
      <c r="V873" s="53"/>
      <c r="W873" s="60"/>
      <c r="X873" s="56"/>
      <c r="Y873" s="38"/>
      <c r="Z873" s="38"/>
    </row>
    <row r="874" spans="1:26" hidden="1">
      <c r="A874" s="38">
        <v>492</v>
      </c>
      <c r="B874" s="38"/>
      <c r="C874" s="38"/>
      <c r="D874" s="38"/>
      <c r="E874" s="38" t="s">
        <v>1994</v>
      </c>
      <c r="F874" s="43" t="s">
        <v>1995</v>
      </c>
      <c r="G874" s="44"/>
      <c r="H874" s="45"/>
      <c r="I874" s="38"/>
      <c r="J874" s="38">
        <f>225</f>
        <v>225</v>
      </c>
      <c r="K874" s="46">
        <v>1.6319444444444445E-3</v>
      </c>
      <c r="L874" s="47" t="s">
        <v>1283</v>
      </c>
      <c r="M874" s="307"/>
      <c r="N874" s="307"/>
      <c r="O874" s="307">
        <f t="shared" si="20"/>
        <v>0</v>
      </c>
      <c r="P874" s="92"/>
      <c r="Q874" s="410" t="str">
        <f t="shared" ca="1" si="27"/>
        <v>https://www.youtube.com/watch?v=9fu_xDvkBMk</v>
      </c>
      <c r="R874" s="50"/>
      <c r="S874" s="50"/>
      <c r="T874" s="50"/>
      <c r="U874" s="52"/>
      <c r="V874" s="53"/>
      <c r="W874" s="60"/>
      <c r="X874" s="56"/>
      <c r="Y874" s="38"/>
      <c r="Z874" s="38"/>
    </row>
    <row r="875" spans="1:26" hidden="1">
      <c r="A875" s="38">
        <v>493</v>
      </c>
      <c r="B875" s="38"/>
      <c r="C875" s="38"/>
      <c r="D875" s="38"/>
      <c r="E875" s="38" t="s">
        <v>1998</v>
      </c>
      <c r="F875" s="43" t="s">
        <v>1999</v>
      </c>
      <c r="G875" s="44"/>
      <c r="H875" s="45"/>
      <c r="I875" s="38"/>
      <c r="J875" s="38">
        <f>208</f>
        <v>208</v>
      </c>
      <c r="K875" s="46">
        <v>2.8472222222222219E-3</v>
      </c>
      <c r="L875" s="47" t="s">
        <v>1283</v>
      </c>
      <c r="M875" s="307"/>
      <c r="N875" s="307"/>
      <c r="O875" s="307">
        <f t="shared" si="20"/>
        <v>0</v>
      </c>
      <c r="P875" s="92"/>
      <c r="Q875" s="410" t="str">
        <f t="shared" ca="1" si="27"/>
        <v>https://www.youtube.com/watch?v=s_eR4_6kip8</v>
      </c>
      <c r="R875" s="50"/>
      <c r="S875" s="50"/>
      <c r="T875" s="50"/>
      <c r="U875" s="52"/>
      <c r="V875" s="53"/>
      <c r="W875" s="60"/>
      <c r="X875" s="56"/>
      <c r="Y875" s="38"/>
      <c r="Z875" s="38"/>
    </row>
    <row r="876" spans="1:26" hidden="1">
      <c r="A876" s="38">
        <v>494</v>
      </c>
      <c r="B876" s="38"/>
      <c r="C876" s="38"/>
      <c r="D876" s="38"/>
      <c r="E876" s="38" t="s">
        <v>2004</v>
      </c>
      <c r="F876" s="43" t="s">
        <v>2005</v>
      </c>
      <c r="G876" s="44"/>
      <c r="H876" s="45"/>
      <c r="I876" s="38"/>
      <c r="J876" s="38">
        <f>422</f>
        <v>422</v>
      </c>
      <c r="K876" s="46">
        <v>2.685185185185185E-3</v>
      </c>
      <c r="L876" s="47" t="s">
        <v>1283</v>
      </c>
      <c r="M876" s="307"/>
      <c r="N876" s="307"/>
      <c r="O876" s="307">
        <f t="shared" si="20"/>
        <v>0</v>
      </c>
      <c r="P876" s="92"/>
      <c r="Q876" s="410" t="str">
        <f t="shared" ca="1" si="27"/>
        <v>https://www.youtube.com/watch?v=C-AklzjB96w</v>
      </c>
      <c r="R876" s="50"/>
      <c r="S876" s="50"/>
      <c r="T876" s="50"/>
      <c r="U876" s="52"/>
      <c r="V876" s="53"/>
      <c r="W876" s="60"/>
      <c r="X876" s="56"/>
      <c r="Y876" s="38"/>
      <c r="Z876" s="38"/>
    </row>
    <row r="877" spans="1:26" hidden="1">
      <c r="A877" s="38">
        <v>495</v>
      </c>
      <c r="B877" s="38"/>
      <c r="C877" s="38"/>
      <c r="D877" s="38"/>
      <c r="E877" s="38" t="s">
        <v>2008</v>
      </c>
      <c r="F877" s="43" t="s">
        <v>2009</v>
      </c>
      <c r="G877" s="44"/>
      <c r="H877" s="45"/>
      <c r="I877" s="38"/>
      <c r="J877" s="38">
        <f>6.6*1000</f>
        <v>6600</v>
      </c>
      <c r="K877" s="46">
        <v>5.5092592592592589E-3</v>
      </c>
      <c r="L877" s="47" t="s">
        <v>1283</v>
      </c>
      <c r="M877" s="307"/>
      <c r="N877" s="307"/>
      <c r="O877" s="307">
        <f t="shared" si="20"/>
        <v>0</v>
      </c>
      <c r="P877" s="92"/>
      <c r="Q877" s="410" t="str">
        <f t="shared" ca="1" si="27"/>
        <v>https://www.youtube.com/watch?v=CLCX0mlWjw0</v>
      </c>
      <c r="R877" s="50"/>
      <c r="S877" s="50"/>
      <c r="T877" s="50"/>
      <c r="U877" s="52"/>
      <c r="V877" s="53"/>
      <c r="W877" s="60"/>
      <c r="X877" s="56"/>
      <c r="Y877" s="38"/>
      <c r="Z877" s="38"/>
    </row>
    <row r="878" spans="1:26" hidden="1">
      <c r="A878" s="38">
        <v>496</v>
      </c>
      <c r="B878" s="38"/>
      <c r="C878" s="38"/>
      <c r="D878" s="38"/>
      <c r="E878" s="38" t="s">
        <v>2012</v>
      </c>
      <c r="F878" s="43" t="s">
        <v>2013</v>
      </c>
      <c r="G878" s="44"/>
      <c r="H878" s="45"/>
      <c r="I878" s="38"/>
      <c r="J878" s="38">
        <f>1*1000</f>
        <v>1000</v>
      </c>
      <c r="K878" s="46">
        <v>4.0393518518518521E-3</v>
      </c>
      <c r="L878" s="47" t="s">
        <v>1283</v>
      </c>
      <c r="M878" s="307"/>
      <c r="N878" s="307"/>
      <c r="O878" s="307">
        <f t="shared" si="20"/>
        <v>0</v>
      </c>
      <c r="P878" s="92"/>
      <c r="Q878" s="410" t="str">
        <f t="shared" ca="1" si="27"/>
        <v>https://www.youtube.com/watch?v=5XqO9FCH3Xk</v>
      </c>
      <c r="R878" s="50"/>
      <c r="S878" s="50"/>
      <c r="T878" s="50"/>
      <c r="U878" s="52"/>
      <c r="V878" s="53"/>
      <c r="W878" s="60"/>
      <c r="X878" s="56"/>
      <c r="Y878" s="38"/>
      <c r="Z878" s="38"/>
    </row>
    <row r="879" spans="1:26" hidden="1">
      <c r="A879" s="38">
        <v>497</v>
      </c>
      <c r="B879" s="38"/>
      <c r="C879" s="38"/>
      <c r="D879" s="38"/>
      <c r="E879" s="38" t="s">
        <v>2017</v>
      </c>
      <c r="F879" s="43" t="s">
        <v>2018</v>
      </c>
      <c r="G879" s="44"/>
      <c r="H879" s="45"/>
      <c r="I879" s="38"/>
      <c r="J879" s="38">
        <f>2.1*1000</f>
        <v>2100</v>
      </c>
      <c r="K879" s="46">
        <v>4.3946759259259255E-2</v>
      </c>
      <c r="L879" s="47" t="s">
        <v>1283</v>
      </c>
      <c r="M879" s="307"/>
      <c r="N879" s="307"/>
      <c r="O879" s="307">
        <f t="shared" si="20"/>
        <v>0</v>
      </c>
      <c r="P879" s="92"/>
      <c r="Q879" s="410" t="str">
        <f t="shared" ca="1" si="27"/>
        <v>https://www.youtube.com/watch?v=4xWwhXcAjhU</v>
      </c>
      <c r="R879" s="50"/>
      <c r="S879" s="50"/>
      <c r="T879" s="50"/>
      <c r="U879" s="52"/>
      <c r="V879" s="53"/>
      <c r="W879" s="60"/>
      <c r="X879" s="56"/>
      <c r="Y879" s="38"/>
      <c r="Z879" s="38"/>
    </row>
    <row r="880" spans="1:26" hidden="1">
      <c r="A880" s="38">
        <v>498</v>
      </c>
      <c r="B880" s="38"/>
      <c r="C880" s="38"/>
      <c r="D880" s="38"/>
      <c r="E880" s="38" t="s">
        <v>2019</v>
      </c>
      <c r="F880" s="43" t="s">
        <v>2020</v>
      </c>
      <c r="G880" s="44"/>
      <c r="H880" s="45"/>
      <c r="I880" s="38"/>
      <c r="J880" s="38">
        <f>1.9*1000</f>
        <v>1900</v>
      </c>
      <c r="K880" s="46">
        <v>2.5046296296296299E-2</v>
      </c>
      <c r="L880" s="47" t="s">
        <v>1283</v>
      </c>
      <c r="M880" s="307"/>
      <c r="N880" s="307"/>
      <c r="O880" s="307">
        <f t="shared" si="20"/>
        <v>0</v>
      </c>
      <c r="P880" s="92"/>
      <c r="Q880" s="410" t="str">
        <f t="shared" ca="1" si="27"/>
        <v>https://www.youtube.com/watch?v=KStzrk3h76o</v>
      </c>
      <c r="R880" s="50"/>
      <c r="S880" s="50"/>
      <c r="T880" s="50"/>
      <c r="U880" s="52"/>
      <c r="V880" s="53"/>
      <c r="W880" s="60"/>
      <c r="X880" s="56"/>
      <c r="Y880" s="38"/>
      <c r="Z880" s="38"/>
    </row>
    <row r="881" spans="1:26" hidden="1">
      <c r="A881" s="38">
        <v>499</v>
      </c>
      <c r="B881" s="38"/>
      <c r="C881" s="38"/>
      <c r="D881" s="38"/>
      <c r="E881" s="38" t="s">
        <v>2023</v>
      </c>
      <c r="F881" s="43" t="s">
        <v>2024</v>
      </c>
      <c r="G881" s="44"/>
      <c r="H881" s="45"/>
      <c r="I881" s="38"/>
      <c r="J881" s="38">
        <f>234</f>
        <v>234</v>
      </c>
      <c r="K881" s="46">
        <v>1.3888888888888889E-3</v>
      </c>
      <c r="L881" s="47" t="s">
        <v>1283</v>
      </c>
      <c r="M881" s="307"/>
      <c r="N881" s="307"/>
      <c r="O881" s="307">
        <f t="shared" si="20"/>
        <v>0</v>
      </c>
      <c r="P881" s="92"/>
      <c r="Q881" s="410" t="str">
        <f t="shared" ca="1" si="27"/>
        <v>https://www.youtube.com/watch?v=udY03G3fVJQ</v>
      </c>
      <c r="R881" s="50"/>
      <c r="S881" s="50"/>
      <c r="T881" s="50"/>
      <c r="U881" s="52"/>
      <c r="V881" s="53"/>
      <c r="W881" s="60"/>
      <c r="X881" s="56"/>
      <c r="Y881" s="38"/>
      <c r="Z881" s="38"/>
    </row>
    <row r="882" spans="1:26" hidden="1">
      <c r="A882" s="38">
        <v>500</v>
      </c>
      <c r="B882" s="38"/>
      <c r="C882" s="38"/>
      <c r="D882" s="38"/>
      <c r="E882" s="38" t="s">
        <v>2027</v>
      </c>
      <c r="F882" s="43" t="s">
        <v>2028</v>
      </c>
      <c r="G882" s="44"/>
      <c r="H882" s="45"/>
      <c r="I882" s="38"/>
      <c r="J882" s="38">
        <f>205</f>
        <v>205</v>
      </c>
      <c r="K882" s="46">
        <v>2.1874999999999998E-3</v>
      </c>
      <c r="L882" s="47" t="s">
        <v>1283</v>
      </c>
      <c r="M882" s="307"/>
      <c r="N882" s="307"/>
      <c r="O882" s="307">
        <f t="shared" si="20"/>
        <v>0</v>
      </c>
      <c r="P882" s="92"/>
      <c r="Q882" s="410" t="str">
        <f t="shared" ca="1" si="27"/>
        <v>https://www.youtube.com/watch?v=1UT4aCq24wA</v>
      </c>
      <c r="R882" s="50"/>
      <c r="S882" s="50"/>
      <c r="T882" s="50"/>
      <c r="U882" s="52"/>
      <c r="V882" s="53"/>
      <c r="W882" s="60"/>
      <c r="X882" s="56"/>
      <c r="Y882" s="38"/>
      <c r="Z882" s="38"/>
    </row>
    <row r="883" spans="1:26" hidden="1">
      <c r="A883" s="38">
        <v>501</v>
      </c>
      <c r="B883" s="38"/>
      <c r="C883" s="38"/>
      <c r="D883" s="38"/>
      <c r="E883" s="38" t="s">
        <v>2031</v>
      </c>
      <c r="F883" s="43" t="s">
        <v>2032</v>
      </c>
      <c r="G883" s="44"/>
      <c r="H883" s="45"/>
      <c r="I883" s="38"/>
      <c r="J883" s="38">
        <f>3*1000</f>
        <v>3000</v>
      </c>
      <c r="K883" s="46">
        <v>2.3958333333333331E-2</v>
      </c>
      <c r="L883" s="47" t="s">
        <v>1283</v>
      </c>
      <c r="M883" s="307"/>
      <c r="N883" s="307"/>
      <c r="O883" s="307">
        <f t="shared" si="20"/>
        <v>0</v>
      </c>
      <c r="P883" s="92"/>
      <c r="Q883" s="410" t="str">
        <f t="shared" ca="1" si="27"/>
        <v>https://www.youtube.com/watch?v=JkMKDP2BOlw&amp;t=169s</v>
      </c>
      <c r="R883" s="50"/>
      <c r="S883" s="50"/>
      <c r="T883" s="50"/>
      <c r="U883" s="52"/>
      <c r="V883" s="53"/>
      <c r="W883" s="60"/>
      <c r="X883" s="56"/>
      <c r="Y883" s="38"/>
      <c r="Z883" s="38"/>
    </row>
    <row r="884" spans="1:26" hidden="1">
      <c r="A884" s="38">
        <v>502</v>
      </c>
      <c r="B884" s="38"/>
      <c r="C884" s="38"/>
      <c r="D884" s="38"/>
      <c r="E884" s="38" t="s">
        <v>2036</v>
      </c>
      <c r="F884" s="43" t="s">
        <v>2037</v>
      </c>
      <c r="G884" s="44"/>
      <c r="H884" s="45"/>
      <c r="I884" s="38"/>
      <c r="J884" s="38">
        <f>2.4*1000</f>
        <v>2400</v>
      </c>
      <c r="K884" s="46">
        <v>3.7743055555555557E-2</v>
      </c>
      <c r="L884" s="47" t="s">
        <v>1283</v>
      </c>
      <c r="M884" s="307"/>
      <c r="N884" s="307"/>
      <c r="O884" s="307">
        <f t="shared" si="20"/>
        <v>0</v>
      </c>
      <c r="P884" s="92"/>
      <c r="Q884" s="410" t="str">
        <f t="shared" ca="1" si="27"/>
        <v>https://www.youtube.com/watch?v=a6bj2Qddmzk</v>
      </c>
      <c r="R884" s="50"/>
      <c r="S884" s="50"/>
      <c r="T884" s="50"/>
      <c r="U884" s="52"/>
      <c r="V884" s="53"/>
      <c r="W884" s="60"/>
      <c r="X884" s="56"/>
      <c r="Y884" s="38"/>
      <c r="Z884" s="38"/>
    </row>
    <row r="885" spans="1:26" hidden="1">
      <c r="A885" s="38">
        <v>503</v>
      </c>
      <c r="B885" s="38"/>
      <c r="C885" s="38"/>
      <c r="D885" s="38"/>
      <c r="E885" s="38" t="s">
        <v>2041</v>
      </c>
      <c r="F885" s="43" t="s">
        <v>2042</v>
      </c>
      <c r="G885" s="44"/>
      <c r="H885" s="45"/>
      <c r="I885" s="38"/>
      <c r="J885" s="38">
        <f>2.8*1000</f>
        <v>2800</v>
      </c>
      <c r="K885" s="46">
        <v>1.8460648148148146E-2</v>
      </c>
      <c r="L885" s="47" t="s">
        <v>1283</v>
      </c>
      <c r="M885" s="307"/>
      <c r="N885" s="307"/>
      <c r="O885" s="307">
        <f t="shared" si="20"/>
        <v>0</v>
      </c>
      <c r="P885" s="92"/>
      <c r="Q885" s="410" t="str">
        <f t="shared" ca="1" si="27"/>
        <v>https://www.youtube.com/watch?v=qEJJIhs02cI</v>
      </c>
      <c r="R885" s="50"/>
      <c r="S885" s="50"/>
      <c r="T885" s="50"/>
      <c r="U885" s="52"/>
      <c r="V885" s="53"/>
      <c r="W885" s="60"/>
      <c r="X885" s="56"/>
      <c r="Y885" s="38"/>
      <c r="Z885" s="38"/>
    </row>
    <row r="886" spans="1:26" hidden="1">
      <c r="A886" s="38">
        <v>504</v>
      </c>
      <c r="B886" s="38"/>
      <c r="C886" s="38"/>
      <c r="D886" s="38"/>
      <c r="E886" s="38" t="s">
        <v>2045</v>
      </c>
      <c r="F886" s="43" t="s">
        <v>2046</v>
      </c>
      <c r="G886" s="44"/>
      <c r="H886" s="45"/>
      <c r="I886" s="38"/>
      <c r="J886" s="38">
        <f>3.5*1000</f>
        <v>3500</v>
      </c>
      <c r="K886" s="46">
        <v>3.8206018518518521E-2</v>
      </c>
      <c r="L886" s="47" t="s">
        <v>1283</v>
      </c>
      <c r="M886" s="307"/>
      <c r="N886" s="307"/>
      <c r="O886" s="307">
        <f t="shared" si="20"/>
        <v>0</v>
      </c>
      <c r="P886" s="92"/>
      <c r="Q886" s="410" t="str">
        <f t="shared" ca="1" si="27"/>
        <v>https://www.youtube.com/watch?v=v2dy-2T9kRE</v>
      </c>
      <c r="R886" s="50"/>
      <c r="S886" s="50"/>
      <c r="T886" s="50"/>
      <c r="U886" s="52"/>
      <c r="V886" s="53"/>
      <c r="W886" s="60"/>
      <c r="X886" s="56"/>
      <c r="Y886" s="38"/>
      <c r="Z886" s="38"/>
    </row>
    <row r="887" spans="1:26" hidden="1">
      <c r="A887" s="38">
        <v>505</v>
      </c>
      <c r="B887" s="38"/>
      <c r="C887" s="38"/>
      <c r="D887" s="38"/>
      <c r="E887" s="38" t="s">
        <v>2049</v>
      </c>
      <c r="F887" s="43" t="s">
        <v>2050</v>
      </c>
      <c r="G887" s="44"/>
      <c r="H887" s="45"/>
      <c r="I887" s="38"/>
      <c r="J887" s="38">
        <f>1*1000</f>
        <v>1000</v>
      </c>
      <c r="K887" s="46">
        <v>1.1562499999999998E-2</v>
      </c>
      <c r="L887" s="47" t="s">
        <v>1283</v>
      </c>
      <c r="M887" s="307"/>
      <c r="N887" s="307"/>
      <c r="O887" s="307">
        <f t="shared" si="20"/>
        <v>0</v>
      </c>
      <c r="P887" s="92"/>
      <c r="Q887" s="410" t="str">
        <f t="shared" ca="1" si="27"/>
        <v>https://www.youtube.com/watch?v=REfOblHmn6Q</v>
      </c>
      <c r="R887" s="50"/>
      <c r="S887" s="50"/>
      <c r="T887" s="50"/>
      <c r="U887" s="52"/>
      <c r="V887" s="53"/>
      <c r="W887" s="60"/>
      <c r="X887" s="56"/>
      <c r="Y887" s="38"/>
      <c r="Z887" s="38"/>
    </row>
    <row r="888" spans="1:26" hidden="1">
      <c r="A888" s="38">
        <v>506</v>
      </c>
      <c r="B888" s="38"/>
      <c r="C888" s="38"/>
      <c r="D888" s="38"/>
      <c r="E888" s="38" t="s">
        <v>2053</v>
      </c>
      <c r="F888" s="43" t="s">
        <v>2054</v>
      </c>
      <c r="G888" s="44"/>
      <c r="H888" s="45"/>
      <c r="I888" s="38"/>
      <c r="J888" s="38">
        <f>4.3*1000</f>
        <v>4300</v>
      </c>
      <c r="K888" s="46">
        <v>2.4340277777777777E-2</v>
      </c>
      <c r="L888" s="47" t="s">
        <v>1283</v>
      </c>
      <c r="M888" s="307"/>
      <c r="N888" s="307"/>
      <c r="O888" s="307">
        <f t="shared" si="20"/>
        <v>0</v>
      </c>
      <c r="P888" s="92"/>
      <c r="Q888" s="410" t="str">
        <f t="shared" ca="1" si="27"/>
        <v>https://www.youtube.com/watch?v=8Fyp5gw_HGc&amp;t=19s</v>
      </c>
      <c r="R888" s="50"/>
      <c r="S888" s="50"/>
      <c r="T888" s="50"/>
      <c r="U888" s="52"/>
      <c r="V888" s="53"/>
      <c r="W888" s="60"/>
      <c r="X888" s="56"/>
      <c r="Y888" s="38"/>
      <c r="Z888" s="38"/>
    </row>
    <row r="889" spans="1:26" hidden="1">
      <c r="A889" s="38">
        <v>507</v>
      </c>
      <c r="B889" s="38"/>
      <c r="C889" s="38"/>
      <c r="D889" s="38"/>
      <c r="E889" s="38" t="s">
        <v>2057</v>
      </c>
      <c r="F889" s="43" t="s">
        <v>2058</v>
      </c>
      <c r="G889" s="44"/>
      <c r="H889" s="45"/>
      <c r="I889" s="38"/>
      <c r="J889" s="38">
        <f>2.6*1000</f>
        <v>2600</v>
      </c>
      <c r="K889" s="46">
        <v>1.3182870370370371E-2</v>
      </c>
      <c r="L889" s="47" t="s">
        <v>1283</v>
      </c>
      <c r="M889" s="307"/>
      <c r="N889" s="307"/>
      <c r="O889" s="307">
        <f t="shared" si="20"/>
        <v>0</v>
      </c>
      <c r="P889" s="92"/>
      <c r="Q889" s="410" t="str">
        <f t="shared" ca="1" si="27"/>
        <v>https://www.youtube.com/watch?v=xl6nyKVDNCQ</v>
      </c>
      <c r="R889" s="50"/>
      <c r="S889" s="50"/>
      <c r="T889" s="50"/>
      <c r="U889" s="52"/>
      <c r="V889" s="53"/>
      <c r="W889" s="60"/>
      <c r="X889" s="56"/>
      <c r="Y889" s="38"/>
      <c r="Z889" s="38"/>
    </row>
    <row r="890" spans="1:26" hidden="1">
      <c r="A890" s="38">
        <v>508</v>
      </c>
      <c r="B890" s="38"/>
      <c r="C890" s="38"/>
      <c r="D890" s="38"/>
      <c r="E890" s="38" t="s">
        <v>2064</v>
      </c>
      <c r="F890" s="43" t="s">
        <v>2065</v>
      </c>
      <c r="G890" s="44"/>
      <c r="H890" s="45"/>
      <c r="I890" s="38"/>
      <c r="J890" s="38">
        <f>473</f>
        <v>473</v>
      </c>
      <c r="K890" s="46">
        <v>6.5277777777777782E-3</v>
      </c>
      <c r="L890" s="47" t="s">
        <v>1283</v>
      </c>
      <c r="M890" s="307"/>
      <c r="N890" s="307"/>
      <c r="O890" s="307">
        <f t="shared" si="20"/>
        <v>0</v>
      </c>
      <c r="P890" s="92"/>
      <c r="Q890" s="410" t="str">
        <f t="shared" ca="1" si="27"/>
        <v>https://www.youtube.com/watch?v=ll-fhgVbj1I</v>
      </c>
      <c r="R890" s="50"/>
      <c r="S890" s="50"/>
      <c r="T890" s="50"/>
      <c r="U890" s="52"/>
      <c r="V890" s="53"/>
      <c r="W890" s="60"/>
      <c r="X890" s="56"/>
      <c r="Y890" s="38"/>
      <c r="Z890" s="38"/>
    </row>
    <row r="891" spans="1:26" hidden="1">
      <c r="A891" s="38">
        <v>509</v>
      </c>
      <c r="B891" s="38"/>
      <c r="C891" s="38"/>
      <c r="D891" s="38"/>
      <c r="E891" s="38" t="s">
        <v>2072</v>
      </c>
      <c r="F891" s="43" t="s">
        <v>2073</v>
      </c>
      <c r="G891" s="44"/>
      <c r="H891" s="45"/>
      <c r="I891" s="38"/>
      <c r="J891" s="38">
        <f>974</f>
        <v>974</v>
      </c>
      <c r="K891" s="46">
        <v>2.673611111111111E-3</v>
      </c>
      <c r="L891" s="47" t="s">
        <v>1283</v>
      </c>
      <c r="M891" s="307"/>
      <c r="N891" s="307"/>
      <c r="O891" s="307">
        <f t="shared" si="20"/>
        <v>0</v>
      </c>
      <c r="P891" s="92"/>
      <c r="Q891" s="410" t="str">
        <f t="shared" ca="1" si="27"/>
        <v>https://www.youtube.com/watch?v=1uNyxmccf1U</v>
      </c>
      <c r="R891" s="50"/>
      <c r="S891" s="50"/>
      <c r="T891" s="50"/>
      <c r="U891" s="52"/>
      <c r="V891" s="53"/>
      <c r="W891" s="60"/>
      <c r="X891" s="56"/>
      <c r="Y891" s="38"/>
      <c r="Z891" s="38"/>
    </row>
    <row r="892" spans="1:26" hidden="1">
      <c r="A892" s="38">
        <v>510</v>
      </c>
      <c r="B892" s="38"/>
      <c r="C892" s="38"/>
      <c r="D892" s="38"/>
      <c r="E892" s="38" t="s">
        <v>2079</v>
      </c>
      <c r="F892" s="43" t="s">
        <v>2081</v>
      </c>
      <c r="G892" s="44"/>
      <c r="H892" s="45"/>
      <c r="I892" s="38"/>
      <c r="J892" s="38">
        <f>437</f>
        <v>437</v>
      </c>
      <c r="K892" s="46">
        <v>1.3194444444444443E-3</v>
      </c>
      <c r="L892" s="47" t="s">
        <v>1283</v>
      </c>
      <c r="M892" s="307"/>
      <c r="N892" s="307"/>
      <c r="O892" s="307">
        <f t="shared" si="20"/>
        <v>0</v>
      </c>
      <c r="P892" s="92"/>
      <c r="Q892" s="410" t="str">
        <f t="shared" ca="1" si="27"/>
        <v>https://www.youtube.com/watch?v=NMCXHN1fW9k</v>
      </c>
      <c r="R892" s="50"/>
      <c r="S892" s="50"/>
      <c r="T892" s="50"/>
      <c r="U892" s="52"/>
      <c r="V892" s="53"/>
      <c r="W892" s="60"/>
      <c r="X892" s="56"/>
      <c r="Y892" s="38"/>
      <c r="Z892" s="38"/>
    </row>
    <row r="893" spans="1:26" hidden="1">
      <c r="A893" s="38">
        <v>511</v>
      </c>
      <c r="B893" s="38"/>
      <c r="C893" s="38"/>
      <c r="D893" s="38"/>
      <c r="E893" s="38" t="s">
        <v>2091</v>
      </c>
      <c r="F893" s="43" t="s">
        <v>2092</v>
      </c>
      <c r="G893" s="44"/>
      <c r="H893" s="45"/>
      <c r="I893" s="38"/>
      <c r="J893" s="38">
        <f>274</f>
        <v>274</v>
      </c>
      <c r="K893" s="46">
        <v>1.4351851851851854E-3</v>
      </c>
      <c r="L893" s="47" t="s">
        <v>1283</v>
      </c>
      <c r="M893" s="307"/>
      <c r="N893" s="307"/>
      <c r="O893" s="307">
        <f t="shared" si="20"/>
        <v>0</v>
      </c>
      <c r="P893" s="92"/>
      <c r="Q893" s="410" t="str">
        <f t="shared" ca="1" si="27"/>
        <v>https://www.youtube.com/watch?v=NeCQOUox8zc</v>
      </c>
      <c r="R893" s="50"/>
      <c r="S893" s="50"/>
      <c r="T893" s="50"/>
      <c r="U893" s="52"/>
      <c r="V893" s="53"/>
      <c r="W893" s="60"/>
      <c r="X893" s="56"/>
      <c r="Y893" s="38"/>
      <c r="Z893" s="38"/>
    </row>
    <row r="894" spans="1:26" hidden="1">
      <c r="A894" s="38">
        <v>512</v>
      </c>
      <c r="B894" s="38"/>
      <c r="C894" s="38"/>
      <c r="D894" s="38"/>
      <c r="E894" s="38" t="s">
        <v>2095</v>
      </c>
      <c r="F894" s="43" t="s">
        <v>2096</v>
      </c>
      <c r="G894" s="44"/>
      <c r="H894" s="45"/>
      <c r="I894" s="38"/>
      <c r="J894" s="38">
        <f>4.2*1000</f>
        <v>4200</v>
      </c>
      <c r="K894" s="46">
        <v>1.3888888888888889E-3</v>
      </c>
      <c r="L894" s="47" t="s">
        <v>1283</v>
      </c>
      <c r="M894" s="307"/>
      <c r="N894" s="307"/>
      <c r="O894" s="307">
        <f t="shared" si="20"/>
        <v>0</v>
      </c>
      <c r="P894" s="92"/>
      <c r="Q894" s="410" t="str">
        <f t="shared" ca="1" si="27"/>
        <v>https://www.youtube.com/watch?v=3vhgcNKVRgY</v>
      </c>
      <c r="R894" s="50"/>
      <c r="S894" s="50"/>
      <c r="T894" s="50"/>
      <c r="U894" s="52"/>
      <c r="V894" s="53"/>
      <c r="W894" s="60"/>
      <c r="X894" s="56"/>
      <c r="Y894" s="38"/>
      <c r="Z894" s="38"/>
    </row>
    <row r="895" spans="1:26" hidden="1">
      <c r="A895" s="38">
        <v>513</v>
      </c>
      <c r="B895" s="38"/>
      <c r="C895" s="38"/>
      <c r="D895" s="38"/>
      <c r="E895" s="38" t="s">
        <v>2101</v>
      </c>
      <c r="F895" s="43" t="s">
        <v>2102</v>
      </c>
      <c r="G895" s="44"/>
      <c r="H895" s="45"/>
      <c r="I895" s="38"/>
      <c r="J895" s="38">
        <f>366</f>
        <v>366</v>
      </c>
      <c r="K895" s="46">
        <v>2.1874999999999998E-3</v>
      </c>
      <c r="L895" s="47" t="s">
        <v>1283</v>
      </c>
      <c r="M895" s="307"/>
      <c r="N895" s="307"/>
      <c r="O895" s="307">
        <f t="shared" si="20"/>
        <v>0</v>
      </c>
      <c r="P895" s="92"/>
      <c r="Q895" s="410" t="str">
        <f t="shared" ca="1" si="27"/>
        <v>https://www.youtube.com/watch?v=gPdm-EF13GU</v>
      </c>
      <c r="R895" s="50"/>
      <c r="S895" s="50"/>
      <c r="T895" s="50"/>
      <c r="U895" s="52"/>
      <c r="V895" s="53"/>
      <c r="W895" s="60"/>
      <c r="X895" s="56"/>
      <c r="Y895" s="38"/>
      <c r="Z895" s="38"/>
    </row>
    <row r="896" spans="1:26" hidden="1">
      <c r="A896" s="38">
        <v>514</v>
      </c>
      <c r="B896" s="38"/>
      <c r="C896" s="38"/>
      <c r="D896" s="38"/>
      <c r="E896" s="38" t="s">
        <v>2107</v>
      </c>
      <c r="F896" s="43" t="s">
        <v>2108</v>
      </c>
      <c r="G896" s="44"/>
      <c r="H896" s="45"/>
      <c r="I896" s="38"/>
      <c r="J896" s="38">
        <f>277</f>
        <v>277</v>
      </c>
      <c r="K896" s="46">
        <v>2.4189814814814816E-3</v>
      </c>
      <c r="L896" s="47" t="s">
        <v>1283</v>
      </c>
      <c r="M896" s="307"/>
      <c r="N896" s="307"/>
      <c r="O896" s="307">
        <f t="shared" si="20"/>
        <v>0</v>
      </c>
      <c r="P896" s="92"/>
      <c r="Q896" s="410" t="str">
        <f t="shared" ca="1" si="27"/>
        <v>https://www.youtube.com/watch?v=wYCmU0vaKvc</v>
      </c>
      <c r="R896" s="50"/>
      <c r="S896" s="50"/>
      <c r="T896" s="50"/>
      <c r="U896" s="52"/>
      <c r="V896" s="53"/>
      <c r="W896" s="60"/>
      <c r="X896" s="56"/>
      <c r="Y896" s="38"/>
      <c r="Z896" s="38"/>
    </row>
    <row r="897" spans="1:26" hidden="1">
      <c r="A897" s="38">
        <v>515</v>
      </c>
      <c r="B897" s="38"/>
      <c r="C897" s="38"/>
      <c r="D897" s="38"/>
      <c r="E897" s="38" t="s">
        <v>2113</v>
      </c>
      <c r="F897" s="43" t="s">
        <v>2114</v>
      </c>
      <c r="G897" s="44"/>
      <c r="H897" s="45"/>
      <c r="I897" s="38"/>
      <c r="J897" s="38">
        <f>667</f>
        <v>667</v>
      </c>
      <c r="K897" s="46">
        <v>1.5277777777777779E-3</v>
      </c>
      <c r="L897" s="47" t="s">
        <v>1283</v>
      </c>
      <c r="M897" s="307"/>
      <c r="N897" s="307"/>
      <c r="O897" s="307">
        <f t="shared" si="20"/>
        <v>0</v>
      </c>
      <c r="P897" s="92"/>
      <c r="Q897" s="410" t="str">
        <f t="shared" ca="1" si="27"/>
        <v>https://www.youtube.com/watch?v=wu_ONpNjikY</v>
      </c>
      <c r="R897" s="50"/>
      <c r="S897" s="50"/>
      <c r="T897" s="50"/>
      <c r="U897" s="52"/>
      <c r="V897" s="53"/>
      <c r="W897" s="60"/>
      <c r="X897" s="56"/>
      <c r="Y897" s="38"/>
      <c r="Z897" s="38"/>
    </row>
    <row r="898" spans="1:26" hidden="1">
      <c r="A898" s="38">
        <v>516</v>
      </c>
      <c r="B898" s="38"/>
      <c r="C898" s="38"/>
      <c r="D898" s="38"/>
      <c r="E898" s="38" t="s">
        <v>2123</v>
      </c>
      <c r="F898" s="43" t="s">
        <v>2125</v>
      </c>
      <c r="G898" s="44"/>
      <c r="H898" s="45"/>
      <c r="I898" s="38"/>
      <c r="J898" s="38">
        <f>434</f>
        <v>434</v>
      </c>
      <c r="K898" s="46">
        <v>1.3425925925925925E-3</v>
      </c>
      <c r="L898" s="47" t="s">
        <v>1283</v>
      </c>
      <c r="M898" s="307"/>
      <c r="N898" s="307"/>
      <c r="O898" s="307">
        <f t="shared" si="20"/>
        <v>0</v>
      </c>
      <c r="P898" s="92"/>
      <c r="Q898" s="410" t="str">
        <f t="shared" ca="1" si="27"/>
        <v>https://www.youtube.com/watch?v=6ufhk6JL8x8</v>
      </c>
      <c r="R898" s="50"/>
      <c r="S898" s="50"/>
      <c r="T898" s="50"/>
      <c r="U898" s="52"/>
      <c r="V898" s="53"/>
      <c r="W898" s="60"/>
      <c r="X898" s="56"/>
      <c r="Y898" s="38"/>
      <c r="Z898" s="38"/>
    </row>
    <row r="899" spans="1:26" hidden="1">
      <c r="A899" s="38">
        <v>517</v>
      </c>
      <c r="B899" s="38"/>
      <c r="C899" s="38"/>
      <c r="D899" s="38"/>
      <c r="E899" s="38" t="s">
        <v>2133</v>
      </c>
      <c r="F899" s="43" t="s">
        <v>2134</v>
      </c>
      <c r="G899" s="44"/>
      <c r="H899" s="45"/>
      <c r="I899" s="38"/>
      <c r="J899" s="38">
        <f>556</f>
        <v>556</v>
      </c>
      <c r="K899" s="46">
        <v>2.0370370370370373E-3</v>
      </c>
      <c r="L899" s="47" t="s">
        <v>1283</v>
      </c>
      <c r="M899" s="307"/>
      <c r="N899" s="307"/>
      <c r="O899" s="307">
        <f t="shared" si="20"/>
        <v>0</v>
      </c>
      <c r="P899" s="92"/>
      <c r="Q899" s="410" t="str">
        <f t="shared" ref="Q899:Q962" ca="1" si="28">HYPERLINK(IF(INT(A899)-A899=0,E899,REPLACE(INDIRECT("MasterList!e"&amp;INT(A899)+1),25,8,"embed/")&amp;"?start="&amp;HOUR(M899)*3600+MINUTE(M899)*60+SECOND(M899)&amp;"&amp;end="&amp;HOUR(N899)*3600+MINUTE(N899)*60+SECOND(N899)&amp;"&amp;autoplay=1"))</f>
        <v>https://www.youtube.com/watch?v=S9RImbEoWYA</v>
      </c>
      <c r="R899" s="50"/>
      <c r="S899" s="50"/>
      <c r="T899" s="50"/>
      <c r="U899" s="52"/>
      <c r="V899" s="53"/>
      <c r="W899" s="60"/>
      <c r="X899" s="56"/>
      <c r="Y899" s="38"/>
      <c r="Z899" s="38"/>
    </row>
    <row r="900" spans="1:26" hidden="1">
      <c r="A900" s="38">
        <v>518</v>
      </c>
      <c r="B900" s="38"/>
      <c r="C900" s="38"/>
      <c r="D900" s="38"/>
      <c r="E900" s="38" t="s">
        <v>2138</v>
      </c>
      <c r="F900" s="43" t="s">
        <v>2139</v>
      </c>
      <c r="G900" s="44"/>
      <c r="H900" s="45"/>
      <c r="I900" s="38"/>
      <c r="J900" s="38">
        <f>449</f>
        <v>449</v>
      </c>
      <c r="K900" s="46">
        <v>3.5648148148148154E-3</v>
      </c>
      <c r="L900" s="47" t="s">
        <v>1283</v>
      </c>
      <c r="M900" s="307"/>
      <c r="N900" s="307"/>
      <c r="O900" s="307">
        <f t="shared" si="20"/>
        <v>0</v>
      </c>
      <c r="P900" s="92"/>
      <c r="Q900" s="410" t="str">
        <f t="shared" ca="1" si="28"/>
        <v>https://www.youtube.com/watch?v=D7yIybTWmmU</v>
      </c>
      <c r="R900" s="50"/>
      <c r="S900" s="50"/>
      <c r="T900" s="50"/>
      <c r="U900" s="52"/>
      <c r="V900" s="53"/>
      <c r="W900" s="60"/>
      <c r="X900" s="56"/>
      <c r="Y900" s="38"/>
      <c r="Z900" s="38"/>
    </row>
    <row r="901" spans="1:26" hidden="1">
      <c r="A901" s="38">
        <v>519</v>
      </c>
      <c r="B901" s="38"/>
      <c r="C901" s="38"/>
      <c r="D901" s="38"/>
      <c r="E901" s="38" t="s">
        <v>2142</v>
      </c>
      <c r="F901" s="43" t="s">
        <v>2143</v>
      </c>
      <c r="G901" s="44"/>
      <c r="H901" s="45"/>
      <c r="I901" s="38"/>
      <c r="J901" s="38">
        <f>813</f>
        <v>813</v>
      </c>
      <c r="K901" s="46">
        <v>3.1365740740740742E-3</v>
      </c>
      <c r="L901" s="47" t="s">
        <v>1283</v>
      </c>
      <c r="M901" s="307"/>
      <c r="N901" s="307"/>
      <c r="O901" s="307">
        <f t="shared" si="20"/>
        <v>0</v>
      </c>
      <c r="P901" s="92"/>
      <c r="Q901" s="410" t="str">
        <f t="shared" ca="1" si="28"/>
        <v>https://www.youtube.com/watch?v=EfHkupTL5wU</v>
      </c>
      <c r="R901" s="50"/>
      <c r="S901" s="50"/>
      <c r="T901" s="50"/>
      <c r="U901" s="52"/>
      <c r="V901" s="53"/>
      <c r="W901" s="60"/>
      <c r="X901" s="56"/>
      <c r="Y901" s="38"/>
      <c r="Z901" s="38"/>
    </row>
    <row r="902" spans="1:26" hidden="1">
      <c r="A902" s="38">
        <v>520</v>
      </c>
      <c r="B902" s="38"/>
      <c r="C902" s="38"/>
      <c r="D902" s="38"/>
      <c r="E902" s="38" t="s">
        <v>2149</v>
      </c>
      <c r="F902" s="43" t="s">
        <v>2150</v>
      </c>
      <c r="G902" s="44"/>
      <c r="H902" s="45"/>
      <c r="I902" s="38"/>
      <c r="J902" s="38">
        <f>1.4*1000</f>
        <v>1400</v>
      </c>
      <c r="K902" s="46">
        <v>3.4606481481481485E-3</v>
      </c>
      <c r="L902" s="47" t="s">
        <v>1283</v>
      </c>
      <c r="M902" s="307"/>
      <c r="N902" s="307"/>
      <c r="O902" s="307">
        <f t="shared" si="20"/>
        <v>0</v>
      </c>
      <c r="P902" s="92"/>
      <c r="Q902" s="410" t="str">
        <f t="shared" ca="1" si="28"/>
        <v>https://www.youtube.com/watch?v=4pkD8CkJiIQ</v>
      </c>
      <c r="R902" s="50"/>
      <c r="S902" s="50"/>
      <c r="T902" s="50"/>
      <c r="U902" s="52"/>
      <c r="V902" s="53"/>
      <c r="W902" s="60"/>
      <c r="X902" s="56"/>
      <c r="Y902" s="38"/>
      <c r="Z902" s="38"/>
    </row>
    <row r="903" spans="1:26" hidden="1">
      <c r="A903" s="38">
        <v>521</v>
      </c>
      <c r="B903" s="38"/>
      <c r="C903" s="38"/>
      <c r="D903" s="38"/>
      <c r="E903" s="38" t="s">
        <v>2153</v>
      </c>
      <c r="F903" s="43" t="s">
        <v>2154</v>
      </c>
      <c r="G903" s="44"/>
      <c r="H903" s="45"/>
      <c r="I903" s="38"/>
      <c r="J903" s="38">
        <f>343</f>
        <v>343</v>
      </c>
      <c r="K903" s="46">
        <v>7.175925925925927E-4</v>
      </c>
      <c r="L903" s="47" t="s">
        <v>1283</v>
      </c>
      <c r="M903" s="307"/>
      <c r="N903" s="307"/>
      <c r="O903" s="307">
        <f t="shared" si="20"/>
        <v>0</v>
      </c>
      <c r="P903" s="92"/>
      <c r="Q903" s="410" t="str">
        <f t="shared" ca="1" si="28"/>
        <v>https://www.youtube.com/watch?v=uTyoGVNa7FA</v>
      </c>
      <c r="R903" s="50"/>
      <c r="S903" s="50"/>
      <c r="T903" s="50"/>
      <c r="U903" s="52"/>
      <c r="V903" s="53"/>
      <c r="W903" s="60"/>
      <c r="X903" s="56"/>
      <c r="Y903" s="38"/>
      <c r="Z903" s="38"/>
    </row>
    <row r="904" spans="1:26" hidden="1">
      <c r="A904" s="38">
        <v>522</v>
      </c>
      <c r="B904" s="38"/>
      <c r="C904" s="38"/>
      <c r="D904" s="38"/>
      <c r="E904" s="38" t="s">
        <v>2160</v>
      </c>
      <c r="F904" s="43" t="s">
        <v>2161</v>
      </c>
      <c r="G904" s="44"/>
      <c r="H904" s="45"/>
      <c r="I904" s="38"/>
      <c r="J904" s="38">
        <f>736</f>
        <v>736</v>
      </c>
      <c r="K904" s="46">
        <v>2.4189814814814816E-3</v>
      </c>
      <c r="L904" s="47" t="s">
        <v>1283</v>
      </c>
      <c r="M904" s="307"/>
      <c r="N904" s="307"/>
      <c r="O904" s="307">
        <f t="shared" si="20"/>
        <v>0</v>
      </c>
      <c r="P904" s="92"/>
      <c r="Q904" s="410" t="str">
        <f t="shared" ca="1" si="28"/>
        <v>https://www.youtube.com/watch?v=xkyySDtO5HU</v>
      </c>
      <c r="R904" s="50"/>
      <c r="S904" s="50"/>
      <c r="T904" s="50"/>
      <c r="U904" s="52"/>
      <c r="V904" s="53"/>
      <c r="W904" s="60"/>
      <c r="X904" s="56"/>
      <c r="Y904" s="38"/>
      <c r="Z904" s="38"/>
    </row>
    <row r="905" spans="1:26" hidden="1">
      <c r="A905" s="38">
        <v>523</v>
      </c>
      <c r="B905" s="38"/>
      <c r="C905" s="38"/>
      <c r="D905" s="38"/>
      <c r="E905" s="38" t="s">
        <v>2165</v>
      </c>
      <c r="F905" s="43" t="s">
        <v>2166</v>
      </c>
      <c r="G905" s="44"/>
      <c r="H905" s="45"/>
      <c r="I905" s="38"/>
      <c r="J905" s="38">
        <f>2.3*1000</f>
        <v>2300</v>
      </c>
      <c r="K905" s="46">
        <v>2.4189814814814816E-3</v>
      </c>
      <c r="L905" s="47" t="s">
        <v>1283</v>
      </c>
      <c r="M905" s="307"/>
      <c r="N905" s="307"/>
      <c r="O905" s="307">
        <f t="shared" si="20"/>
        <v>0</v>
      </c>
      <c r="P905" s="92"/>
      <c r="Q905" s="410" t="str">
        <f t="shared" ca="1" si="28"/>
        <v>https://www.youtube.com/watch?v=VkyOIj4SQu4</v>
      </c>
      <c r="R905" s="50"/>
      <c r="S905" s="50"/>
      <c r="T905" s="50"/>
      <c r="U905" s="52"/>
      <c r="V905" s="53"/>
      <c r="W905" s="60"/>
      <c r="X905" s="56"/>
      <c r="Y905" s="38"/>
      <c r="Z905" s="38"/>
    </row>
    <row r="906" spans="1:26" hidden="1">
      <c r="A906" s="38">
        <v>524</v>
      </c>
      <c r="B906" s="38"/>
      <c r="C906" s="38"/>
      <c r="D906" s="38"/>
      <c r="E906" s="38" t="s">
        <v>2169</v>
      </c>
      <c r="F906" s="43" t="s">
        <v>2170</v>
      </c>
      <c r="G906" s="44"/>
      <c r="H906" s="45"/>
      <c r="I906" s="38"/>
      <c r="J906" s="38">
        <f>4.8*1000</f>
        <v>4800</v>
      </c>
      <c r="K906" s="46">
        <v>3.1805555555555552E-2</v>
      </c>
      <c r="L906" s="47" t="s">
        <v>1283</v>
      </c>
      <c r="M906" s="307"/>
      <c r="N906" s="307"/>
      <c r="O906" s="307">
        <f t="shared" si="20"/>
        <v>0</v>
      </c>
      <c r="P906" s="92"/>
      <c r="Q906" s="410" t="str">
        <f t="shared" ca="1" si="28"/>
        <v>https://www.youtube.com/watch?v=GCo89ggyUKw</v>
      </c>
      <c r="R906" s="50"/>
      <c r="S906" s="50"/>
      <c r="T906" s="50"/>
      <c r="U906" s="52"/>
      <c r="V906" s="53"/>
      <c r="W906" s="60"/>
      <c r="X906" s="56"/>
      <c r="Y906" s="38"/>
      <c r="Z906" s="38"/>
    </row>
    <row r="907" spans="1:26" hidden="1">
      <c r="A907" s="38">
        <v>525</v>
      </c>
      <c r="B907" s="38"/>
      <c r="C907" s="38"/>
      <c r="D907" s="38"/>
      <c r="E907" s="38" t="s">
        <v>2173</v>
      </c>
      <c r="F907" s="43" t="s">
        <v>2174</v>
      </c>
      <c r="G907" s="44"/>
      <c r="H907" s="45"/>
      <c r="I907" s="38"/>
      <c r="J907" s="38">
        <f>2*1000</f>
        <v>2000</v>
      </c>
      <c r="K907" s="46">
        <v>1.9733796296296298E-2</v>
      </c>
      <c r="L907" s="47" t="s">
        <v>1283</v>
      </c>
      <c r="M907" s="307"/>
      <c r="N907" s="307"/>
      <c r="O907" s="307">
        <f t="shared" si="20"/>
        <v>0</v>
      </c>
      <c r="P907" s="92"/>
      <c r="Q907" s="410" t="str">
        <f t="shared" ca="1" si="28"/>
        <v>https://www.youtube.com/watch?v=vOOkxcKaZEo</v>
      </c>
      <c r="R907" s="50"/>
      <c r="S907" s="50"/>
      <c r="T907" s="50"/>
      <c r="U907" s="52"/>
      <c r="V907" s="53"/>
      <c r="W907" s="60"/>
      <c r="X907" s="56"/>
      <c r="Y907" s="38"/>
      <c r="Z907" s="38"/>
    </row>
    <row r="908" spans="1:26" hidden="1">
      <c r="A908" s="38">
        <v>526</v>
      </c>
      <c r="B908" s="38"/>
      <c r="C908" s="38"/>
      <c r="D908" s="38"/>
      <c r="E908" s="38" t="s">
        <v>2177</v>
      </c>
      <c r="F908" s="43" t="s">
        <v>2178</v>
      </c>
      <c r="G908" s="44"/>
      <c r="H908" s="45"/>
      <c r="I908" s="38"/>
      <c r="J908" s="38">
        <f>1.9*1000</f>
        <v>1900</v>
      </c>
      <c r="K908" s="46">
        <v>5.162037037037037E-3</v>
      </c>
      <c r="L908" s="47" t="s">
        <v>1283</v>
      </c>
      <c r="M908" s="307"/>
      <c r="N908" s="307"/>
      <c r="O908" s="307">
        <f t="shared" si="20"/>
        <v>0</v>
      </c>
      <c r="P908" s="92"/>
      <c r="Q908" s="410" t="str">
        <f t="shared" ca="1" si="28"/>
        <v>https://www.youtube.com/watch?v=aRzq_l_Rmcc</v>
      </c>
      <c r="R908" s="50"/>
      <c r="S908" s="50"/>
      <c r="T908" s="50"/>
      <c r="U908" s="52"/>
      <c r="V908" s="53"/>
      <c r="W908" s="60"/>
      <c r="X908" s="56"/>
      <c r="Y908" s="38"/>
      <c r="Z908" s="38"/>
    </row>
    <row r="909" spans="1:26" hidden="1">
      <c r="A909" s="38">
        <v>527</v>
      </c>
      <c r="B909" s="38"/>
      <c r="C909" s="38"/>
      <c r="D909" s="38"/>
      <c r="E909" s="38" t="s">
        <v>2182</v>
      </c>
      <c r="F909" s="43" t="s">
        <v>2183</v>
      </c>
      <c r="G909" s="44"/>
      <c r="H909" s="45"/>
      <c r="I909" s="38"/>
      <c r="J909" s="38">
        <f>1.4*1000</f>
        <v>1400</v>
      </c>
      <c r="K909" s="46">
        <v>1.7071759259259259E-2</v>
      </c>
      <c r="L909" s="47" t="s">
        <v>1283</v>
      </c>
      <c r="M909" s="307"/>
      <c r="N909" s="307"/>
      <c r="O909" s="307">
        <f t="shared" si="20"/>
        <v>0</v>
      </c>
      <c r="P909" s="92"/>
      <c r="Q909" s="410" t="str">
        <f t="shared" ca="1" si="28"/>
        <v>https://www.youtube.com/watch?v=iZ6Xk9YCaaY</v>
      </c>
      <c r="R909" s="50"/>
      <c r="S909" s="50"/>
      <c r="T909" s="50"/>
      <c r="U909" s="52"/>
      <c r="V909" s="53"/>
      <c r="W909" s="60"/>
      <c r="X909" s="56"/>
      <c r="Y909" s="38"/>
      <c r="Z909" s="38"/>
    </row>
    <row r="910" spans="1:26" hidden="1">
      <c r="A910" s="38">
        <v>528</v>
      </c>
      <c r="B910" s="38"/>
      <c r="C910" s="38"/>
      <c r="D910" s="38"/>
      <c r="E910" s="38" t="s">
        <v>2187</v>
      </c>
      <c r="F910" s="43" t="s">
        <v>2188</v>
      </c>
      <c r="G910" s="44"/>
      <c r="H910" s="45"/>
      <c r="I910" s="38"/>
      <c r="J910" s="38">
        <f>1*1000</f>
        <v>1000</v>
      </c>
      <c r="K910" s="46">
        <v>1.5960648148148151E-2</v>
      </c>
      <c r="L910" s="47" t="s">
        <v>1283</v>
      </c>
      <c r="M910" s="307"/>
      <c r="N910" s="307"/>
      <c r="O910" s="307">
        <f t="shared" si="20"/>
        <v>0</v>
      </c>
      <c r="P910" s="92"/>
      <c r="Q910" s="410" t="str">
        <f t="shared" ca="1" si="28"/>
        <v>https://www.youtube.com/watch?v=ozdJ_kTaZcc</v>
      </c>
      <c r="R910" s="50"/>
      <c r="S910" s="50"/>
      <c r="T910" s="50"/>
      <c r="U910" s="52"/>
      <c r="V910" s="53"/>
      <c r="W910" s="60"/>
      <c r="X910" s="56"/>
      <c r="Y910" s="38"/>
      <c r="Z910" s="38"/>
    </row>
    <row r="911" spans="1:26" hidden="1">
      <c r="A911" s="38">
        <v>529</v>
      </c>
      <c r="B911" s="38"/>
      <c r="C911" s="38"/>
      <c r="D911" s="38"/>
      <c r="E911" s="38" t="s">
        <v>2191</v>
      </c>
      <c r="F911" s="43" t="s">
        <v>2192</v>
      </c>
      <c r="G911" s="44"/>
      <c r="H911" s="45"/>
      <c r="I911" s="38"/>
      <c r="J911" s="38">
        <f>4.9*1000</f>
        <v>4900</v>
      </c>
      <c r="K911" s="46">
        <v>1.8032407407407407E-2</v>
      </c>
      <c r="L911" s="47" t="s">
        <v>1283</v>
      </c>
      <c r="M911" s="307"/>
      <c r="N911" s="307"/>
      <c r="O911" s="307">
        <f t="shared" si="20"/>
        <v>0</v>
      </c>
      <c r="P911" s="92"/>
      <c r="Q911" s="410" t="str">
        <f t="shared" ca="1" si="28"/>
        <v>https://www.youtube.com/watch?v=Q7TqlnXF3cA</v>
      </c>
      <c r="R911" s="50"/>
      <c r="S911" s="50"/>
      <c r="T911" s="50"/>
      <c r="U911" s="52"/>
      <c r="V911" s="53"/>
      <c r="W911" s="60"/>
      <c r="X911" s="56"/>
      <c r="Y911" s="38"/>
      <c r="Z911" s="38"/>
    </row>
    <row r="912" spans="1:26" hidden="1">
      <c r="A912" s="38">
        <v>530</v>
      </c>
      <c r="B912" s="38"/>
      <c r="C912" s="38"/>
      <c r="D912" s="38"/>
      <c r="E912" s="38" t="s">
        <v>2196</v>
      </c>
      <c r="F912" s="43" t="s">
        <v>2197</v>
      </c>
      <c r="G912" s="44"/>
      <c r="H912" s="45"/>
      <c r="I912" s="38"/>
      <c r="J912" s="38">
        <f>5.2*1000</f>
        <v>5200</v>
      </c>
      <c r="K912" s="46">
        <v>1.8055555555555557E-2</v>
      </c>
      <c r="L912" s="47" t="s">
        <v>1283</v>
      </c>
      <c r="M912" s="307"/>
      <c r="N912" s="307"/>
      <c r="O912" s="307">
        <f t="shared" si="20"/>
        <v>0</v>
      </c>
      <c r="P912" s="92"/>
      <c r="Q912" s="410" t="str">
        <f t="shared" ca="1" si="28"/>
        <v>https://www.youtube.com/watch?v=_nyKGkDh6WM</v>
      </c>
      <c r="R912" s="50"/>
      <c r="S912" s="50"/>
      <c r="T912" s="50"/>
      <c r="U912" s="52"/>
      <c r="V912" s="53"/>
      <c r="W912" s="60"/>
      <c r="X912" s="56"/>
      <c r="Y912" s="38"/>
      <c r="Z912" s="38"/>
    </row>
    <row r="913" spans="1:26" hidden="1">
      <c r="A913" s="38">
        <v>531</v>
      </c>
      <c r="B913" s="38"/>
      <c r="C913" s="38"/>
      <c r="D913" s="38"/>
      <c r="E913" s="38" t="s">
        <v>2200</v>
      </c>
      <c r="F913" s="43" t="s">
        <v>2201</v>
      </c>
      <c r="G913" s="44"/>
      <c r="H913" s="45"/>
      <c r="I913" s="38"/>
      <c r="J913" s="38">
        <f>9.2*1000</f>
        <v>9200</v>
      </c>
      <c r="K913" s="46">
        <v>1.8171296296296297E-2</v>
      </c>
      <c r="L913" s="47" t="s">
        <v>1283</v>
      </c>
      <c r="M913" s="307"/>
      <c r="N913" s="307"/>
      <c r="O913" s="307">
        <f t="shared" si="20"/>
        <v>0</v>
      </c>
      <c r="P913" s="92"/>
      <c r="Q913" s="410" t="str">
        <f t="shared" ca="1" si="28"/>
        <v>https://www.youtube.com/watch?v=log0y9fRklc</v>
      </c>
      <c r="R913" s="50"/>
      <c r="S913" s="50"/>
      <c r="T913" s="50"/>
      <c r="U913" s="52"/>
      <c r="V913" s="53"/>
      <c r="W913" s="60"/>
      <c r="X913" s="56"/>
      <c r="Y913" s="38"/>
      <c r="Z913" s="38"/>
    </row>
    <row r="914" spans="1:26" hidden="1">
      <c r="A914" s="38">
        <v>532</v>
      </c>
      <c r="B914" s="38"/>
      <c r="C914" s="38"/>
      <c r="D914" s="38"/>
      <c r="E914" s="38" t="s">
        <v>2205</v>
      </c>
      <c r="F914" s="43" t="s">
        <v>2206</v>
      </c>
      <c r="G914" s="44"/>
      <c r="H914" s="45"/>
      <c r="I914" s="38"/>
      <c r="J914" s="38">
        <f>25*1000</f>
        <v>25000</v>
      </c>
      <c r="K914" s="46">
        <v>2.0787037037037038E-2</v>
      </c>
      <c r="L914" s="47" t="s">
        <v>1283</v>
      </c>
      <c r="M914" s="307"/>
      <c r="N914" s="307"/>
      <c r="O914" s="307">
        <f t="shared" si="20"/>
        <v>0</v>
      </c>
      <c r="P914" s="92"/>
      <c r="Q914" s="410" t="str">
        <f t="shared" ca="1" si="28"/>
        <v>https://www.youtube.com/watch?v=74BW9K7eGtY&amp;t=21s</v>
      </c>
      <c r="R914" s="50"/>
      <c r="S914" s="50"/>
      <c r="T914" s="50"/>
      <c r="U914" s="52"/>
      <c r="V914" s="53"/>
      <c r="W914" s="60"/>
      <c r="X914" s="56"/>
      <c r="Y914" s="38"/>
      <c r="Z914" s="38"/>
    </row>
    <row r="915" spans="1:26" hidden="1">
      <c r="A915" s="38">
        <v>533</v>
      </c>
      <c r="B915" s="38"/>
      <c r="C915" s="38"/>
      <c r="D915" s="38"/>
      <c r="E915" s="38" t="s">
        <v>2212</v>
      </c>
      <c r="F915" s="43" t="s">
        <v>2213</v>
      </c>
      <c r="G915" s="44"/>
      <c r="H915" s="45"/>
      <c r="I915" s="38"/>
      <c r="J915" s="38">
        <f>7.4*1000</f>
        <v>7400</v>
      </c>
      <c r="K915" s="46">
        <v>2.3032407407407407E-3</v>
      </c>
      <c r="L915" s="47" t="s">
        <v>1283</v>
      </c>
      <c r="M915" s="307"/>
      <c r="N915" s="307"/>
      <c r="O915" s="307">
        <f t="shared" si="20"/>
        <v>0</v>
      </c>
      <c r="P915" s="92"/>
      <c r="Q915" s="410" t="str">
        <f t="shared" ca="1" si="28"/>
        <v>https://www.youtube.com/watch?v=gzOZ5Lo3n9Y</v>
      </c>
      <c r="R915" s="50"/>
      <c r="S915" s="50"/>
      <c r="T915" s="50"/>
      <c r="U915" s="52"/>
      <c r="V915" s="53"/>
      <c r="W915" s="60"/>
      <c r="X915" s="56"/>
      <c r="Y915" s="38"/>
      <c r="Z915" s="38"/>
    </row>
    <row r="916" spans="1:26" hidden="1">
      <c r="A916" s="38">
        <v>534</v>
      </c>
      <c r="B916" s="38"/>
      <c r="C916" s="38"/>
      <c r="D916" s="38"/>
      <c r="E916" s="38" t="s">
        <v>2218</v>
      </c>
      <c r="F916" s="43" t="s">
        <v>2219</v>
      </c>
      <c r="G916" s="44"/>
      <c r="H916" s="45"/>
      <c r="I916" s="38"/>
      <c r="J916" s="38">
        <f>716</f>
        <v>716</v>
      </c>
      <c r="K916" s="46">
        <v>2.0243055555555552E-2</v>
      </c>
      <c r="L916" s="47" t="s">
        <v>1283</v>
      </c>
      <c r="M916" s="307"/>
      <c r="N916" s="307"/>
      <c r="O916" s="307">
        <f t="shared" si="20"/>
        <v>0</v>
      </c>
      <c r="P916" s="92"/>
      <c r="Q916" s="410" t="str">
        <f t="shared" ca="1" si="28"/>
        <v>https://www.youtube.com/watch?v=2yRygpW0RYY</v>
      </c>
      <c r="R916" s="50"/>
      <c r="S916" s="50"/>
      <c r="T916" s="50"/>
      <c r="U916" s="52"/>
      <c r="V916" s="53"/>
      <c r="W916" s="60"/>
      <c r="X916" s="56"/>
      <c r="Y916" s="38"/>
      <c r="Z916" s="38"/>
    </row>
    <row r="917" spans="1:26" hidden="1">
      <c r="A917" s="38">
        <v>535</v>
      </c>
      <c r="B917" s="38"/>
      <c r="C917" s="38"/>
      <c r="D917" s="38"/>
      <c r="E917" s="38" t="s">
        <v>2223</v>
      </c>
      <c r="F917" s="43" t="s">
        <v>2225</v>
      </c>
      <c r="G917" s="44"/>
      <c r="H917" s="45"/>
      <c r="I917" s="38"/>
      <c r="J917" s="38">
        <f>629</f>
        <v>629</v>
      </c>
      <c r="K917" s="46">
        <v>2.0509259259259258E-2</v>
      </c>
      <c r="L917" s="47" t="s">
        <v>1283</v>
      </c>
      <c r="M917" s="307"/>
      <c r="N917" s="307"/>
      <c r="O917" s="307">
        <f t="shared" si="20"/>
        <v>0</v>
      </c>
      <c r="P917" s="92"/>
      <c r="Q917" s="410" t="str">
        <f t="shared" ca="1" si="28"/>
        <v>https://www.youtube.com/watch?v=Y3j3g76ggFE</v>
      </c>
      <c r="R917" s="50"/>
      <c r="S917" s="50"/>
      <c r="T917" s="50"/>
      <c r="U917" s="52"/>
      <c r="V917" s="53"/>
      <c r="W917" s="60"/>
      <c r="X917" s="56"/>
      <c r="Y917" s="38"/>
      <c r="Z917" s="38"/>
    </row>
    <row r="918" spans="1:26" hidden="1">
      <c r="A918" s="38">
        <v>536</v>
      </c>
      <c r="B918" s="38"/>
      <c r="C918" s="38"/>
      <c r="D918" s="38"/>
      <c r="E918" s="38" t="s">
        <v>2229</v>
      </c>
      <c r="F918" s="43" t="s">
        <v>2230</v>
      </c>
      <c r="G918" s="44"/>
      <c r="H918" s="45"/>
      <c r="I918" s="38"/>
      <c r="J918" s="38">
        <f>858</f>
        <v>858</v>
      </c>
      <c r="K918" s="46">
        <v>2.2939814814814816E-2</v>
      </c>
      <c r="L918" s="47" t="s">
        <v>1283</v>
      </c>
      <c r="M918" s="307"/>
      <c r="N918" s="307"/>
      <c r="O918" s="307">
        <f t="shared" si="20"/>
        <v>0</v>
      </c>
      <c r="P918" s="92"/>
      <c r="Q918" s="410" t="str">
        <f t="shared" ca="1" si="28"/>
        <v>https://www.youtube.com/watch?v=bMOOUhzJreA</v>
      </c>
      <c r="R918" s="50"/>
      <c r="S918" s="50"/>
      <c r="T918" s="50"/>
      <c r="U918" s="52"/>
      <c r="V918" s="53"/>
      <c r="W918" s="60"/>
      <c r="X918" s="56"/>
      <c r="Y918" s="38"/>
      <c r="Z918" s="38"/>
    </row>
    <row r="919" spans="1:26" hidden="1">
      <c r="A919" s="38">
        <v>537</v>
      </c>
      <c r="B919" s="38"/>
      <c r="C919" s="38"/>
      <c r="D919" s="38"/>
      <c r="E919" s="38" t="s">
        <v>2234</v>
      </c>
      <c r="F919" s="43" t="s">
        <v>2235</v>
      </c>
      <c r="G919" s="44"/>
      <c r="H919" s="45"/>
      <c r="I919" s="38"/>
      <c r="J919" s="38">
        <f>1*1000</f>
        <v>1000</v>
      </c>
      <c r="K919" s="46">
        <v>2.7986111111111111E-2</v>
      </c>
      <c r="L919" s="47" t="s">
        <v>1283</v>
      </c>
      <c r="M919" s="307"/>
      <c r="N919" s="307"/>
      <c r="O919" s="307">
        <f t="shared" si="20"/>
        <v>0</v>
      </c>
      <c r="P919" s="92"/>
      <c r="Q919" s="410" t="str">
        <f t="shared" ca="1" si="28"/>
        <v>https://www.youtube.com/watch?v=WzACbsbv3Mc</v>
      </c>
      <c r="R919" s="50"/>
      <c r="S919" s="50"/>
      <c r="T919" s="50"/>
      <c r="U919" s="52"/>
      <c r="V919" s="53"/>
      <c r="W919" s="60"/>
      <c r="X919" s="56"/>
      <c r="Y919" s="38"/>
      <c r="Z919" s="38"/>
    </row>
    <row r="920" spans="1:26" hidden="1">
      <c r="A920" s="38">
        <v>538</v>
      </c>
      <c r="B920" s="38"/>
      <c r="C920" s="38"/>
      <c r="D920" s="38"/>
      <c r="E920" s="38" t="s">
        <v>2239</v>
      </c>
      <c r="F920" s="43" t="s">
        <v>2240</v>
      </c>
      <c r="G920" s="44"/>
      <c r="H920" s="45"/>
      <c r="I920" s="38"/>
      <c r="J920" s="38">
        <f>2.6*1000</f>
        <v>2600</v>
      </c>
      <c r="K920" s="46">
        <v>1.5011574074074075E-2</v>
      </c>
      <c r="L920" s="47" t="s">
        <v>1283</v>
      </c>
      <c r="M920" s="307"/>
      <c r="N920" s="307"/>
      <c r="O920" s="307">
        <f t="shared" si="20"/>
        <v>0</v>
      </c>
      <c r="P920" s="92"/>
      <c r="Q920" s="410" t="str">
        <f t="shared" ca="1" si="28"/>
        <v>https://www.youtube.com/watch?v=0W0XxcsCH_0</v>
      </c>
      <c r="R920" s="50"/>
      <c r="S920" s="50"/>
      <c r="T920" s="50"/>
      <c r="U920" s="52"/>
      <c r="V920" s="53"/>
      <c r="W920" s="60"/>
      <c r="X920" s="56"/>
      <c r="Y920" s="38"/>
      <c r="Z920" s="38"/>
    </row>
    <row r="921" spans="1:26" hidden="1">
      <c r="A921" s="38">
        <v>539</v>
      </c>
      <c r="B921" s="38"/>
      <c r="C921" s="38"/>
      <c r="D921" s="38"/>
      <c r="E921" s="38" t="s">
        <v>2242</v>
      </c>
      <c r="F921" s="43" t="s">
        <v>2243</v>
      </c>
      <c r="G921" s="44"/>
      <c r="H921" s="45"/>
      <c r="I921" s="38"/>
      <c r="J921" s="38">
        <f>4.6*1000</f>
        <v>4600</v>
      </c>
      <c r="K921" s="46">
        <v>2.1550925925925928E-2</v>
      </c>
      <c r="L921" s="47" t="s">
        <v>1283</v>
      </c>
      <c r="M921" s="307"/>
      <c r="N921" s="307"/>
      <c r="O921" s="307">
        <f t="shared" si="20"/>
        <v>0</v>
      </c>
      <c r="P921" s="92"/>
      <c r="Q921" s="410" t="str">
        <f t="shared" ca="1" si="28"/>
        <v>https://www.youtube.com/watch?v=a30EnICYBUA</v>
      </c>
      <c r="R921" s="50"/>
      <c r="S921" s="50"/>
      <c r="T921" s="50"/>
      <c r="U921" s="52"/>
      <c r="V921" s="53"/>
      <c r="W921" s="60"/>
      <c r="X921" s="56"/>
      <c r="Y921" s="38"/>
      <c r="Z921" s="38"/>
    </row>
    <row r="922" spans="1:26" hidden="1">
      <c r="A922" s="38">
        <v>540</v>
      </c>
      <c r="B922" s="38"/>
      <c r="C922" s="38"/>
      <c r="D922" s="38"/>
      <c r="E922" s="38" t="s">
        <v>2244</v>
      </c>
      <c r="F922" s="43" t="s">
        <v>2245</v>
      </c>
      <c r="G922" s="44"/>
      <c r="H922" s="45"/>
      <c r="I922" s="38"/>
      <c r="J922" s="38">
        <f>1.9*1000</f>
        <v>1900</v>
      </c>
      <c r="K922" s="46">
        <v>2.1331018518518517E-2</v>
      </c>
      <c r="L922" s="47" t="s">
        <v>1283</v>
      </c>
      <c r="M922" s="307"/>
      <c r="N922" s="307"/>
      <c r="O922" s="307">
        <f t="shared" si="20"/>
        <v>0</v>
      </c>
      <c r="P922" s="92"/>
      <c r="Q922" s="410" t="str">
        <f t="shared" ca="1" si="28"/>
        <v>https://www.youtube.com/watch?v=Wr_CIMPuH3I</v>
      </c>
      <c r="R922" s="50"/>
      <c r="S922" s="50"/>
      <c r="T922" s="50"/>
      <c r="U922" s="52"/>
      <c r="V922" s="53"/>
      <c r="W922" s="60"/>
      <c r="X922" s="56"/>
      <c r="Y922" s="38"/>
      <c r="Z922" s="38"/>
    </row>
    <row r="923" spans="1:26" hidden="1">
      <c r="A923" s="38">
        <v>541</v>
      </c>
      <c r="B923" s="38"/>
      <c r="C923" s="38"/>
      <c r="D923" s="38"/>
      <c r="E923" s="38" t="s">
        <v>2249</v>
      </c>
      <c r="F923" s="43" t="s">
        <v>2250</v>
      </c>
      <c r="G923" s="44"/>
      <c r="H923" s="45"/>
      <c r="I923" s="38"/>
      <c r="J923" s="38">
        <f>5.6*1000</f>
        <v>5600</v>
      </c>
      <c r="K923" s="46">
        <v>8.4490740740740741E-3</v>
      </c>
      <c r="L923" s="47" t="s">
        <v>1283</v>
      </c>
      <c r="M923" s="307"/>
      <c r="N923" s="307"/>
      <c r="O923" s="307">
        <f t="shared" si="20"/>
        <v>0</v>
      </c>
      <c r="P923" s="92"/>
      <c r="Q923" s="410" t="str">
        <f t="shared" ca="1" si="28"/>
        <v>https://www.youtube.com/watch?v=w1panKQ58dU</v>
      </c>
      <c r="R923" s="50"/>
      <c r="S923" s="50"/>
      <c r="T923" s="50"/>
      <c r="U923" s="52"/>
      <c r="V923" s="53"/>
      <c r="W923" s="60"/>
      <c r="X923" s="56"/>
      <c r="Y923" s="38"/>
      <c r="Z923" s="38"/>
    </row>
    <row r="924" spans="1:26" hidden="1">
      <c r="A924" s="38">
        <v>542</v>
      </c>
      <c r="B924" s="38"/>
      <c r="C924" s="38"/>
      <c r="D924" s="38"/>
      <c r="E924" s="38" t="s">
        <v>2254</v>
      </c>
      <c r="F924" s="43" t="s">
        <v>2255</v>
      </c>
      <c r="G924" s="44"/>
      <c r="H924" s="45"/>
      <c r="I924" s="38"/>
      <c r="J924" s="38">
        <f>984</f>
        <v>984</v>
      </c>
      <c r="K924" s="46">
        <v>3.4768518518518525E-2</v>
      </c>
      <c r="L924" s="47" t="s">
        <v>1283</v>
      </c>
      <c r="M924" s="307"/>
      <c r="N924" s="307"/>
      <c r="O924" s="307">
        <f t="shared" si="20"/>
        <v>0</v>
      </c>
      <c r="P924" s="92"/>
      <c r="Q924" s="410" t="str">
        <f t="shared" ca="1" si="28"/>
        <v>https://www.youtube.com/watch?v=N20dY0-9Nio</v>
      </c>
      <c r="R924" s="50"/>
      <c r="S924" s="50"/>
      <c r="T924" s="50"/>
      <c r="U924" s="52"/>
      <c r="V924" s="53"/>
      <c r="W924" s="60"/>
      <c r="X924" s="56"/>
      <c r="Y924" s="38"/>
      <c r="Z924" s="38"/>
    </row>
    <row r="925" spans="1:26" hidden="1">
      <c r="A925" s="38">
        <v>543</v>
      </c>
      <c r="B925" s="38"/>
      <c r="C925" s="38"/>
      <c r="D925" s="38"/>
      <c r="E925" s="38" t="s">
        <v>2257</v>
      </c>
      <c r="F925" s="43" t="s">
        <v>2258</v>
      </c>
      <c r="G925" s="44"/>
      <c r="H925" s="45"/>
      <c r="I925" s="38"/>
      <c r="J925" s="38">
        <f>722</f>
        <v>722</v>
      </c>
      <c r="K925" s="46">
        <v>1.5659722222222224E-2</v>
      </c>
      <c r="L925" s="47" t="s">
        <v>1283</v>
      </c>
      <c r="M925" s="307"/>
      <c r="N925" s="307"/>
      <c r="O925" s="307">
        <f t="shared" si="20"/>
        <v>0</v>
      </c>
      <c r="P925" s="92"/>
      <c r="Q925" s="410" t="str">
        <f t="shared" ca="1" si="28"/>
        <v>https://www.youtube.com/watch?v=mxQpJeckKaU</v>
      </c>
      <c r="R925" s="50"/>
      <c r="S925" s="50"/>
      <c r="T925" s="50"/>
      <c r="U925" s="52"/>
      <c r="V925" s="53"/>
      <c r="W925" s="60"/>
      <c r="X925" s="56"/>
      <c r="Y925" s="38"/>
      <c r="Z925" s="38"/>
    </row>
    <row r="926" spans="1:26" hidden="1">
      <c r="A926" s="38">
        <v>544</v>
      </c>
      <c r="B926" s="38"/>
      <c r="C926" s="38"/>
      <c r="D926" s="38"/>
      <c r="E926" s="38" t="s">
        <v>2259</v>
      </c>
      <c r="F926" s="43" t="s">
        <v>2260</v>
      </c>
      <c r="G926" s="44"/>
      <c r="H926" s="45"/>
      <c r="I926" s="38"/>
      <c r="J926" s="38">
        <f>4.9*1000</f>
        <v>4900</v>
      </c>
      <c r="K926" s="46">
        <v>1.0231481481481482E-2</v>
      </c>
      <c r="L926" s="47" t="s">
        <v>1283</v>
      </c>
      <c r="M926" s="307"/>
      <c r="N926" s="307"/>
      <c r="O926" s="307">
        <f t="shared" si="20"/>
        <v>0</v>
      </c>
      <c r="P926" s="92"/>
      <c r="Q926" s="410" t="str">
        <f t="shared" ca="1" si="28"/>
        <v>https://www.youtube.com/watch?v=3dgPn1KOovw</v>
      </c>
      <c r="R926" s="50"/>
      <c r="S926" s="50"/>
      <c r="T926" s="50"/>
      <c r="U926" s="52"/>
      <c r="V926" s="53"/>
      <c r="W926" s="60"/>
      <c r="X926" s="56"/>
      <c r="Y926" s="38"/>
      <c r="Z926" s="38"/>
    </row>
    <row r="927" spans="1:26" hidden="1">
      <c r="A927" s="38">
        <v>545</v>
      </c>
      <c r="B927" s="38"/>
      <c r="C927" s="38"/>
      <c r="D927" s="38"/>
      <c r="E927" s="38" t="s">
        <v>2263</v>
      </c>
      <c r="F927" s="43" t="s">
        <v>2264</v>
      </c>
      <c r="G927" s="44"/>
      <c r="H927" s="45"/>
      <c r="I927" s="38"/>
      <c r="J927" s="38">
        <f>1*1000</f>
        <v>1000</v>
      </c>
      <c r="K927" s="46">
        <v>4.2361111111111106E-3</v>
      </c>
      <c r="L927" s="47" t="s">
        <v>1283</v>
      </c>
      <c r="M927" s="307"/>
      <c r="N927" s="307"/>
      <c r="O927" s="307">
        <f t="shared" si="20"/>
        <v>0</v>
      </c>
      <c r="P927" s="92"/>
      <c r="Q927" s="410" t="str">
        <f t="shared" ca="1" si="28"/>
        <v>https://www.youtube.com/watch?v=Aivw6qVhabo</v>
      </c>
      <c r="R927" s="50"/>
      <c r="S927" s="50"/>
      <c r="T927" s="50"/>
      <c r="U927" s="52"/>
      <c r="V927" s="53"/>
      <c r="W927" s="60"/>
      <c r="X927" s="56"/>
      <c r="Y927" s="38"/>
      <c r="Z927" s="38"/>
    </row>
    <row r="928" spans="1:26" hidden="1">
      <c r="A928" s="38">
        <v>546</v>
      </c>
      <c r="B928" s="38"/>
      <c r="C928" s="38"/>
      <c r="D928" s="38"/>
      <c r="E928" s="38" t="s">
        <v>2267</v>
      </c>
      <c r="F928" s="43" t="s">
        <v>2268</v>
      </c>
      <c r="G928" s="44"/>
      <c r="H928" s="45"/>
      <c r="I928" s="38"/>
      <c r="J928" s="38">
        <f>3.5*1000</f>
        <v>3500</v>
      </c>
      <c r="K928" s="46">
        <v>1.3587962962962963E-2</v>
      </c>
      <c r="L928" s="47" t="s">
        <v>1283</v>
      </c>
      <c r="M928" s="307"/>
      <c r="N928" s="307"/>
      <c r="O928" s="307">
        <f t="shared" si="20"/>
        <v>0</v>
      </c>
      <c r="P928" s="92"/>
      <c r="Q928" s="410" t="str">
        <f t="shared" ca="1" si="28"/>
        <v>https://www.youtube.com/watch?v=av1BWeMbl1Q</v>
      </c>
      <c r="R928" s="50"/>
      <c r="S928" s="50"/>
      <c r="T928" s="50"/>
      <c r="U928" s="52"/>
      <c r="V928" s="53"/>
      <c r="W928" s="60"/>
      <c r="X928" s="56"/>
      <c r="Y928" s="38"/>
      <c r="Z928" s="38"/>
    </row>
    <row r="929" spans="1:26" hidden="1">
      <c r="A929" s="38">
        <v>547</v>
      </c>
      <c r="B929" s="38"/>
      <c r="C929" s="38"/>
      <c r="D929" s="38"/>
      <c r="E929" s="38" t="s">
        <v>2276</v>
      </c>
      <c r="F929" s="43" t="s">
        <v>2277</v>
      </c>
      <c r="G929" s="44"/>
      <c r="H929" s="45"/>
      <c r="I929" s="38"/>
      <c r="J929" s="38">
        <f>1.9*1000</f>
        <v>1900</v>
      </c>
      <c r="K929" s="46">
        <v>5.8796296296296296E-3</v>
      </c>
      <c r="L929" s="47" t="s">
        <v>1283</v>
      </c>
      <c r="M929" s="307"/>
      <c r="N929" s="307"/>
      <c r="O929" s="307">
        <f t="shared" si="20"/>
        <v>0</v>
      </c>
      <c r="P929" s="92"/>
      <c r="Q929" s="410" t="str">
        <f t="shared" ca="1" si="28"/>
        <v>https://www.youtube.com/watch?v=dLQSHM_T-jI</v>
      </c>
      <c r="R929" s="50"/>
      <c r="S929" s="50"/>
      <c r="T929" s="50"/>
      <c r="U929" s="52"/>
      <c r="V929" s="53"/>
      <c r="W929" s="60"/>
      <c r="X929" s="56"/>
      <c r="Y929" s="38"/>
      <c r="Z929" s="38"/>
    </row>
    <row r="930" spans="1:26" hidden="1">
      <c r="A930" s="38">
        <v>548</v>
      </c>
      <c r="B930" s="38"/>
      <c r="C930" s="38"/>
      <c r="D930" s="38"/>
      <c r="E930" s="38" t="s">
        <v>2282</v>
      </c>
      <c r="F930" s="43" t="s">
        <v>2284</v>
      </c>
      <c r="G930" s="44"/>
      <c r="H930" s="45"/>
      <c r="I930" s="38"/>
      <c r="J930" s="38">
        <f>1.3*1000</f>
        <v>1300</v>
      </c>
      <c r="K930" s="46">
        <v>3.9467592592592592E-3</v>
      </c>
      <c r="L930" s="47" t="s">
        <v>1283</v>
      </c>
      <c r="M930" s="307"/>
      <c r="N930" s="307"/>
      <c r="O930" s="307">
        <f t="shared" si="20"/>
        <v>0</v>
      </c>
      <c r="P930" s="92"/>
      <c r="Q930" s="410" t="str">
        <f t="shared" ca="1" si="28"/>
        <v>https://www.youtube.com/watch?v=joPLKP546hk</v>
      </c>
      <c r="R930" s="50"/>
      <c r="S930" s="50"/>
      <c r="T930" s="50"/>
      <c r="U930" s="52"/>
      <c r="V930" s="53"/>
      <c r="W930" s="60"/>
      <c r="X930" s="56"/>
      <c r="Y930" s="38"/>
      <c r="Z930" s="38"/>
    </row>
    <row r="931" spans="1:26" hidden="1">
      <c r="A931" s="38">
        <v>549</v>
      </c>
      <c r="B931" s="38"/>
      <c r="C931" s="38"/>
      <c r="D931" s="38"/>
      <c r="E931" s="38" t="s">
        <v>2289</v>
      </c>
      <c r="F931" s="43" t="s">
        <v>2290</v>
      </c>
      <c r="G931" s="44"/>
      <c r="H931" s="45"/>
      <c r="I931" s="38"/>
      <c r="J931" s="38">
        <f>1.2*1000</f>
        <v>1200</v>
      </c>
      <c r="K931" s="46">
        <v>1.5740740740740741E-3</v>
      </c>
      <c r="L931" s="47" t="s">
        <v>1283</v>
      </c>
      <c r="M931" s="307"/>
      <c r="N931" s="307"/>
      <c r="O931" s="307">
        <f t="shared" si="20"/>
        <v>0</v>
      </c>
      <c r="P931" s="92"/>
      <c r="Q931" s="410" t="str">
        <f t="shared" ca="1" si="28"/>
        <v>https://www.youtube.com/watch?v=0ol6BUtHZu8</v>
      </c>
      <c r="R931" s="50"/>
      <c r="S931" s="50"/>
      <c r="T931" s="50"/>
      <c r="U931" s="52"/>
      <c r="V931" s="53"/>
      <c r="W931" s="60"/>
      <c r="X931" s="56"/>
      <c r="Y931" s="38"/>
      <c r="Z931" s="38"/>
    </row>
    <row r="932" spans="1:26" hidden="1">
      <c r="A932" s="38">
        <v>550</v>
      </c>
      <c r="B932" s="38"/>
      <c r="C932" s="38"/>
      <c r="D932" s="38"/>
      <c r="E932" s="38" t="s">
        <v>2294</v>
      </c>
      <c r="F932" s="43" t="s">
        <v>2295</v>
      </c>
      <c r="G932" s="44"/>
      <c r="H932" s="45"/>
      <c r="I932" s="38"/>
      <c r="J932" s="38">
        <f>4.9*1000</f>
        <v>4900</v>
      </c>
      <c r="K932" s="46">
        <v>1.4074074074074074E-2</v>
      </c>
      <c r="L932" s="47" t="s">
        <v>1283</v>
      </c>
      <c r="M932" s="307"/>
      <c r="N932" s="307"/>
      <c r="O932" s="307">
        <f t="shared" si="20"/>
        <v>0</v>
      </c>
      <c r="P932" s="92"/>
      <c r="Q932" s="410" t="str">
        <f t="shared" ca="1" si="28"/>
        <v>https://www.youtube.com/watch?v=N1wkN3CKqHY</v>
      </c>
      <c r="R932" s="50"/>
      <c r="S932" s="50"/>
      <c r="T932" s="50"/>
      <c r="U932" s="52"/>
      <c r="V932" s="53"/>
      <c r="W932" s="60"/>
      <c r="X932" s="56"/>
      <c r="Y932" s="38"/>
      <c r="Z932" s="38"/>
    </row>
    <row r="933" spans="1:26" hidden="1">
      <c r="A933" s="38">
        <v>551</v>
      </c>
      <c r="B933" s="38"/>
      <c r="C933" s="38"/>
      <c r="D933" s="38"/>
      <c r="E933" s="38" t="s">
        <v>2299</v>
      </c>
      <c r="F933" s="43" t="s">
        <v>2300</v>
      </c>
      <c r="G933" s="44"/>
      <c r="H933" s="45"/>
      <c r="I933" s="38"/>
      <c r="J933" s="38">
        <f>62*1000</f>
        <v>62000</v>
      </c>
      <c r="K933" s="46">
        <v>3.9641203703703706E-2</v>
      </c>
      <c r="L933" s="47" t="s">
        <v>1452</v>
      </c>
      <c r="M933" s="307"/>
      <c r="N933" s="307"/>
      <c r="O933" s="307">
        <f t="shared" si="20"/>
        <v>0</v>
      </c>
      <c r="P933" s="92"/>
      <c r="Q933" s="410" t="str">
        <f t="shared" ca="1" si="28"/>
        <v>https://www.youtube.com/watch?v=Zr29r9gnq6A</v>
      </c>
      <c r="R933" s="50"/>
      <c r="S933" s="50"/>
      <c r="T933" s="50"/>
      <c r="U933" s="52"/>
      <c r="V933" s="53"/>
      <c r="W933" s="60"/>
      <c r="X933" s="56"/>
      <c r="Y933" s="38"/>
      <c r="Z933" s="38"/>
    </row>
    <row r="934" spans="1:26" hidden="1">
      <c r="A934" s="38">
        <v>552</v>
      </c>
      <c r="B934" s="38"/>
      <c r="C934" s="38"/>
      <c r="D934" s="38"/>
      <c r="E934" s="38" t="s">
        <v>2301</v>
      </c>
      <c r="F934" s="43" t="s">
        <v>2302</v>
      </c>
      <c r="G934" s="44"/>
      <c r="H934" s="45"/>
      <c r="I934" s="38"/>
      <c r="J934" s="38">
        <f>7*1000</f>
        <v>7000</v>
      </c>
      <c r="K934" s="46">
        <v>1.9328703703703704E-3</v>
      </c>
      <c r="L934" s="47" t="s">
        <v>1452</v>
      </c>
      <c r="M934" s="307"/>
      <c r="N934" s="307"/>
      <c r="O934" s="307">
        <f t="shared" si="20"/>
        <v>0</v>
      </c>
      <c r="P934" s="92"/>
      <c r="Q934" s="410" t="str">
        <f t="shared" ca="1" si="28"/>
        <v>https://www.youtube.com/watch?v=eVhJjqlSE8s</v>
      </c>
      <c r="R934" s="50"/>
      <c r="S934" s="50"/>
      <c r="T934" s="50"/>
      <c r="U934" s="52"/>
      <c r="V934" s="53"/>
      <c r="W934" s="60"/>
      <c r="X934" s="56"/>
      <c r="Y934" s="38"/>
      <c r="Z934" s="38"/>
    </row>
    <row r="935" spans="1:26" hidden="1">
      <c r="A935" s="38">
        <v>553</v>
      </c>
      <c r="B935" s="38"/>
      <c r="C935" s="38"/>
      <c r="D935" s="38"/>
      <c r="E935" s="38" t="s">
        <v>2303</v>
      </c>
      <c r="F935" s="43" t="s">
        <v>2304</v>
      </c>
      <c r="G935" s="44"/>
      <c r="H935" s="45"/>
      <c r="I935" s="38"/>
      <c r="J935" s="38">
        <f>1.7*1000</f>
        <v>1700</v>
      </c>
      <c r="K935" s="46">
        <v>1.8842592592592591E-2</v>
      </c>
      <c r="L935" s="47" t="s">
        <v>1452</v>
      </c>
      <c r="M935" s="307"/>
      <c r="N935" s="307"/>
      <c r="O935" s="307">
        <f t="shared" si="20"/>
        <v>0</v>
      </c>
      <c r="P935" s="92"/>
      <c r="Q935" s="410" t="str">
        <f t="shared" ca="1" si="28"/>
        <v>https://www.youtube.com/watch?v=R6bvpvI1_uY</v>
      </c>
      <c r="R935" s="50"/>
      <c r="S935" s="50"/>
      <c r="T935" s="50"/>
      <c r="U935" s="52"/>
      <c r="V935" s="53"/>
      <c r="W935" s="60"/>
      <c r="X935" s="56"/>
      <c r="Y935" s="38"/>
      <c r="Z935" s="38"/>
    </row>
    <row r="936" spans="1:26" hidden="1">
      <c r="A936" s="38">
        <v>554</v>
      </c>
      <c r="B936" s="38"/>
      <c r="C936" s="38"/>
      <c r="D936" s="38"/>
      <c r="E936" s="38" t="s">
        <v>2307</v>
      </c>
      <c r="F936" s="43" t="s">
        <v>2308</v>
      </c>
      <c r="G936" s="44"/>
      <c r="H936" s="45"/>
      <c r="I936" s="38"/>
      <c r="J936" s="38">
        <f>2.6*1000</f>
        <v>2600</v>
      </c>
      <c r="K936" s="46">
        <v>2.4108796296296298E-2</v>
      </c>
      <c r="L936" s="47" t="s">
        <v>1452</v>
      </c>
      <c r="M936" s="307"/>
      <c r="N936" s="307"/>
      <c r="O936" s="307">
        <f t="shared" si="20"/>
        <v>0</v>
      </c>
      <c r="P936" s="92"/>
      <c r="Q936" s="410" t="str">
        <f t="shared" ca="1" si="28"/>
        <v>https://www.youtube.com/watch?v=WtWOT6Hj2vM</v>
      </c>
      <c r="R936" s="50"/>
      <c r="S936" s="50"/>
      <c r="T936" s="50"/>
      <c r="U936" s="52"/>
      <c r="V936" s="53"/>
      <c r="W936" s="60"/>
      <c r="X936" s="56"/>
      <c r="Y936" s="38"/>
      <c r="Z936" s="38"/>
    </row>
    <row r="937" spans="1:26" hidden="1">
      <c r="A937" s="38">
        <v>555</v>
      </c>
      <c r="B937" s="38"/>
      <c r="C937" s="38"/>
      <c r="D937" s="38"/>
      <c r="E937" s="38" t="s">
        <v>2310</v>
      </c>
      <c r="F937" s="43" t="s">
        <v>2311</v>
      </c>
      <c r="G937" s="44"/>
      <c r="H937" s="45"/>
      <c r="I937" s="38"/>
      <c r="J937" s="38">
        <f>868</f>
        <v>868</v>
      </c>
      <c r="K937" s="46">
        <v>1.1423611111111112E-2</v>
      </c>
      <c r="L937" s="47" t="s">
        <v>1452</v>
      </c>
      <c r="M937" s="307"/>
      <c r="N937" s="307"/>
      <c r="O937" s="307">
        <f t="shared" si="20"/>
        <v>0</v>
      </c>
      <c r="P937" s="92"/>
      <c r="Q937" s="410" t="str">
        <f t="shared" ca="1" si="28"/>
        <v>https://www.youtube.com/watch?v=3dYP3FhD3Po</v>
      </c>
      <c r="R937" s="50"/>
      <c r="S937" s="50"/>
      <c r="T937" s="50"/>
      <c r="U937" s="52"/>
      <c r="V937" s="53"/>
      <c r="W937" s="60"/>
      <c r="X937" s="56"/>
      <c r="Y937" s="38"/>
      <c r="Z937" s="38"/>
    </row>
    <row r="938" spans="1:26" hidden="1">
      <c r="A938" s="38">
        <v>556</v>
      </c>
      <c r="B938" s="38"/>
      <c r="C938" s="38"/>
      <c r="D938" s="38"/>
      <c r="E938" s="38" t="s">
        <v>1918</v>
      </c>
      <c r="F938" s="43" t="s">
        <v>1919</v>
      </c>
      <c r="G938" s="44"/>
      <c r="H938" s="45"/>
      <c r="I938" s="38"/>
      <c r="J938" s="38">
        <f>3.7*1000</f>
        <v>3700</v>
      </c>
      <c r="K938" s="46">
        <v>6.7870370370370373E-2</v>
      </c>
      <c r="L938" s="47" t="s">
        <v>1452</v>
      </c>
      <c r="M938" s="307"/>
      <c r="N938" s="307"/>
      <c r="O938" s="307">
        <f t="shared" si="20"/>
        <v>0</v>
      </c>
      <c r="P938" s="92"/>
      <c r="Q938" s="410" t="str">
        <f t="shared" ca="1" si="28"/>
        <v>https://www.youtube.com/watch?v=FgVpxhtCQdA</v>
      </c>
      <c r="R938" s="50"/>
      <c r="S938" s="50"/>
      <c r="T938" s="50"/>
      <c r="U938" s="52"/>
      <c r="V938" s="53"/>
      <c r="W938" s="60"/>
      <c r="X938" s="56"/>
      <c r="Y938" s="38"/>
      <c r="Z938" s="38"/>
    </row>
    <row r="939" spans="1:26" hidden="1">
      <c r="A939" s="38">
        <v>557</v>
      </c>
      <c r="B939" s="38"/>
      <c r="C939" s="38"/>
      <c r="D939" s="38"/>
      <c r="E939" s="38" t="s">
        <v>2312</v>
      </c>
      <c r="F939" s="43" t="s">
        <v>2313</v>
      </c>
      <c r="G939" s="44"/>
      <c r="H939" s="45"/>
      <c r="I939" s="38"/>
      <c r="J939" s="38">
        <f>6.4*1000</f>
        <v>6400</v>
      </c>
      <c r="K939" s="46">
        <v>4.1689814814814818E-2</v>
      </c>
      <c r="L939" s="47" t="s">
        <v>1452</v>
      </c>
      <c r="M939" s="307"/>
      <c r="N939" s="307"/>
      <c r="O939" s="307">
        <f t="shared" si="20"/>
        <v>0</v>
      </c>
      <c r="P939" s="92"/>
      <c r="Q939" s="410" t="str">
        <f t="shared" ca="1" si="28"/>
        <v>https://www.youtube.com/watch?v=07rLdtPRbEE</v>
      </c>
      <c r="R939" s="50"/>
      <c r="S939" s="50"/>
      <c r="T939" s="50"/>
      <c r="U939" s="52"/>
      <c r="V939" s="53"/>
      <c r="W939" s="60"/>
      <c r="X939" s="56"/>
      <c r="Y939" s="38"/>
      <c r="Z939" s="38"/>
    </row>
    <row r="940" spans="1:26" hidden="1">
      <c r="A940" s="38">
        <v>558</v>
      </c>
      <c r="B940" s="38"/>
      <c r="C940" s="38"/>
      <c r="D940" s="38"/>
      <c r="E940" s="38" t="s">
        <v>2314</v>
      </c>
      <c r="F940" s="43" t="s">
        <v>2315</v>
      </c>
      <c r="G940" s="44"/>
      <c r="H940" s="45"/>
      <c r="I940" s="38"/>
      <c r="J940" s="38">
        <f>704</f>
        <v>704</v>
      </c>
      <c r="K940" s="46">
        <v>5.0347222222222225E-3</v>
      </c>
      <c r="L940" s="47" t="s">
        <v>1452</v>
      </c>
      <c r="M940" s="307"/>
      <c r="N940" s="307"/>
      <c r="O940" s="307">
        <f t="shared" si="20"/>
        <v>0</v>
      </c>
      <c r="P940" s="92"/>
      <c r="Q940" s="410" t="str">
        <f t="shared" ca="1" si="28"/>
        <v>https://www.youtube.com/watch?v=n0Ekb7yhf18</v>
      </c>
      <c r="R940" s="50"/>
      <c r="S940" s="50"/>
      <c r="T940" s="50"/>
      <c r="U940" s="52"/>
      <c r="V940" s="53"/>
      <c r="W940" s="60"/>
      <c r="X940" s="56"/>
      <c r="Y940" s="38"/>
      <c r="Z940" s="38"/>
    </row>
    <row r="941" spans="1:26" hidden="1">
      <c r="A941" s="38">
        <v>559</v>
      </c>
      <c r="B941" s="38"/>
      <c r="C941" s="38"/>
      <c r="D941" s="38"/>
      <c r="E941" s="38" t="s">
        <v>2316</v>
      </c>
      <c r="F941" s="43" t="s">
        <v>2317</v>
      </c>
      <c r="G941" s="44"/>
      <c r="H941" s="45"/>
      <c r="I941" s="38"/>
      <c r="J941" s="38">
        <f>692</f>
        <v>692</v>
      </c>
      <c r="K941" s="46">
        <v>6.4351851851851861E-3</v>
      </c>
      <c r="L941" s="47" t="s">
        <v>1452</v>
      </c>
      <c r="M941" s="307"/>
      <c r="N941" s="307"/>
      <c r="O941" s="307">
        <f t="shared" si="20"/>
        <v>0</v>
      </c>
      <c r="P941" s="92"/>
      <c r="Q941" s="410" t="str">
        <f t="shared" ca="1" si="28"/>
        <v>https://www.youtube.com/watch?v=Pe53dUS_mHE</v>
      </c>
      <c r="R941" s="50"/>
      <c r="S941" s="50"/>
      <c r="T941" s="50"/>
      <c r="U941" s="52"/>
      <c r="V941" s="53"/>
      <c r="W941" s="60"/>
      <c r="X941" s="56"/>
      <c r="Y941" s="38"/>
      <c r="Z941" s="38"/>
    </row>
    <row r="942" spans="1:26" hidden="1">
      <c r="A942" s="38">
        <v>560</v>
      </c>
      <c r="B942" s="38"/>
      <c r="C942" s="38"/>
      <c r="D942" s="38"/>
      <c r="E942" s="38" t="s">
        <v>2318</v>
      </c>
      <c r="F942" s="43" t="s">
        <v>2319</v>
      </c>
      <c r="G942" s="44"/>
      <c r="H942" s="45"/>
      <c r="I942" s="38"/>
      <c r="J942" s="38">
        <f>3.6*1000</f>
        <v>3600</v>
      </c>
      <c r="K942" s="46">
        <v>4.4004629629629623E-2</v>
      </c>
      <c r="L942" s="47" t="s">
        <v>1452</v>
      </c>
      <c r="M942" s="307"/>
      <c r="N942" s="307"/>
      <c r="O942" s="307">
        <f t="shared" si="20"/>
        <v>0</v>
      </c>
      <c r="P942" s="92"/>
      <c r="Q942" s="410" t="str">
        <f t="shared" ca="1" si="28"/>
        <v>https://www.youtube.com/watch?v=fZLoHeGF4XI</v>
      </c>
      <c r="R942" s="50"/>
      <c r="S942" s="50"/>
      <c r="T942" s="50"/>
      <c r="U942" s="52"/>
      <c r="V942" s="53"/>
      <c r="W942" s="60"/>
      <c r="X942" s="56"/>
      <c r="Y942" s="38"/>
      <c r="Z942" s="38"/>
    </row>
    <row r="943" spans="1:26" hidden="1">
      <c r="A943" s="38">
        <v>561</v>
      </c>
      <c r="B943" s="38"/>
      <c r="C943" s="38"/>
      <c r="D943" s="38"/>
      <c r="E943" s="38" t="s">
        <v>2320</v>
      </c>
      <c r="F943" s="43" t="s">
        <v>2321</v>
      </c>
      <c r="G943" s="44"/>
      <c r="H943" s="45"/>
      <c r="I943" s="38"/>
      <c r="J943" s="38">
        <f>3*1000</f>
        <v>3000</v>
      </c>
      <c r="K943" s="46">
        <v>1.1157407407407408E-2</v>
      </c>
      <c r="L943" s="47" t="s">
        <v>1452</v>
      </c>
      <c r="M943" s="307"/>
      <c r="N943" s="307"/>
      <c r="O943" s="307">
        <f t="shared" si="20"/>
        <v>0</v>
      </c>
      <c r="P943" s="92"/>
      <c r="Q943" s="410" t="str">
        <f t="shared" ca="1" si="28"/>
        <v>https://www.youtube.com/watch?v=NaCx35vC5wg</v>
      </c>
      <c r="R943" s="50"/>
      <c r="S943" s="50"/>
      <c r="T943" s="50"/>
      <c r="U943" s="52"/>
      <c r="V943" s="53"/>
      <c r="W943" s="60"/>
      <c r="X943" s="56"/>
      <c r="Y943" s="38"/>
      <c r="Z943" s="38"/>
    </row>
    <row r="944" spans="1:26" hidden="1">
      <c r="A944" s="38">
        <v>562</v>
      </c>
      <c r="B944" s="38"/>
      <c r="C944" s="38"/>
      <c r="D944" s="38"/>
      <c r="E944" s="38" t="s">
        <v>2322</v>
      </c>
      <c r="F944" s="43" t="s">
        <v>2323</v>
      </c>
      <c r="G944" s="44"/>
      <c r="H944" s="45"/>
      <c r="I944" s="38"/>
      <c r="J944" s="38">
        <f>953</f>
        <v>953</v>
      </c>
      <c r="K944" s="46">
        <v>1.7037037037037038E-2</v>
      </c>
      <c r="L944" s="47" t="s">
        <v>1452</v>
      </c>
      <c r="M944" s="307"/>
      <c r="N944" s="307"/>
      <c r="O944" s="307">
        <f t="shared" si="20"/>
        <v>0</v>
      </c>
      <c r="P944" s="92"/>
      <c r="Q944" s="410" t="str">
        <f t="shared" ca="1" si="28"/>
        <v>https://www.youtube.com/watch?v=8M2LUwJGwHw</v>
      </c>
      <c r="R944" s="50"/>
      <c r="S944" s="50"/>
      <c r="T944" s="50"/>
      <c r="U944" s="52"/>
      <c r="V944" s="53"/>
      <c r="W944" s="60"/>
      <c r="X944" s="56"/>
      <c r="Y944" s="38"/>
      <c r="Z944" s="38"/>
    </row>
    <row r="945" spans="1:26" hidden="1">
      <c r="A945" s="38">
        <v>563</v>
      </c>
      <c r="B945" s="38"/>
      <c r="C945" s="38"/>
      <c r="D945" s="38"/>
      <c r="E945" s="38" t="s">
        <v>2324</v>
      </c>
      <c r="F945" s="43" t="s">
        <v>2325</v>
      </c>
      <c r="G945" s="44"/>
      <c r="H945" s="45"/>
      <c r="I945" s="38"/>
      <c r="J945" s="38">
        <f>851</f>
        <v>851</v>
      </c>
      <c r="K945" s="46">
        <v>8.8541666666666664E-3</v>
      </c>
      <c r="L945" s="47" t="s">
        <v>1452</v>
      </c>
      <c r="M945" s="307"/>
      <c r="N945" s="307"/>
      <c r="O945" s="307">
        <f t="shared" si="20"/>
        <v>0</v>
      </c>
      <c r="P945" s="92"/>
      <c r="Q945" s="410" t="str">
        <f t="shared" ca="1" si="28"/>
        <v>https://www.youtube.com/watch?v=4VaCcFKHkSY</v>
      </c>
      <c r="R945" s="50"/>
      <c r="S945" s="50"/>
      <c r="T945" s="50"/>
      <c r="U945" s="52"/>
      <c r="V945" s="53"/>
      <c r="W945" s="60"/>
      <c r="X945" s="56"/>
      <c r="Y945" s="38"/>
      <c r="Z945" s="38"/>
    </row>
    <row r="946" spans="1:26" hidden="1">
      <c r="A946" s="38">
        <v>564</v>
      </c>
      <c r="B946" s="38"/>
      <c r="C946" s="38"/>
      <c r="D946" s="38"/>
      <c r="E946" s="38" t="s">
        <v>2326</v>
      </c>
      <c r="F946" s="43" t="s">
        <v>2327</v>
      </c>
      <c r="G946" s="44"/>
      <c r="H946" s="45"/>
      <c r="I946" s="38"/>
      <c r="J946" s="38">
        <f>454</f>
        <v>454</v>
      </c>
      <c r="K946" s="46">
        <v>7.0254629629629634E-3</v>
      </c>
      <c r="L946" s="47" t="s">
        <v>1452</v>
      </c>
      <c r="M946" s="307"/>
      <c r="N946" s="307"/>
      <c r="O946" s="307">
        <f t="shared" si="20"/>
        <v>0</v>
      </c>
      <c r="P946" s="92"/>
      <c r="Q946" s="410" t="str">
        <f t="shared" ca="1" si="28"/>
        <v>https://www.youtube.com/watch?v=udkwSpjJnGk</v>
      </c>
      <c r="R946" s="50"/>
      <c r="S946" s="50"/>
      <c r="T946" s="50"/>
      <c r="U946" s="52"/>
      <c r="V946" s="53"/>
      <c r="W946" s="60"/>
      <c r="X946" s="56"/>
      <c r="Y946" s="38"/>
      <c r="Z946" s="38"/>
    </row>
    <row r="947" spans="1:26" hidden="1">
      <c r="A947" s="38">
        <v>565</v>
      </c>
      <c r="B947" s="38"/>
      <c r="C947" s="38"/>
      <c r="D947" s="38"/>
      <c r="E947" s="38" t="s">
        <v>2328</v>
      </c>
      <c r="F947" s="43" t="s">
        <v>2329</v>
      </c>
      <c r="G947" s="44"/>
      <c r="H947" s="45"/>
      <c r="I947" s="38"/>
      <c r="J947" s="38">
        <f>979</f>
        <v>979</v>
      </c>
      <c r="K947" s="46">
        <v>9.8495370370370369E-3</v>
      </c>
      <c r="L947" s="47" t="s">
        <v>1452</v>
      </c>
      <c r="M947" s="307"/>
      <c r="N947" s="307"/>
      <c r="O947" s="307">
        <f t="shared" si="20"/>
        <v>0</v>
      </c>
      <c r="P947" s="92"/>
      <c r="Q947" s="410" t="str">
        <f t="shared" ca="1" si="28"/>
        <v>https://www.youtube.com/watch?v=Z8Wd8i754cU</v>
      </c>
      <c r="R947" s="50"/>
      <c r="S947" s="50"/>
      <c r="T947" s="50"/>
      <c r="U947" s="52"/>
      <c r="V947" s="53"/>
      <c r="W947" s="60"/>
      <c r="X947" s="56"/>
      <c r="Y947" s="38"/>
      <c r="Z947" s="38"/>
    </row>
    <row r="948" spans="1:26" hidden="1">
      <c r="A948" s="38">
        <v>566</v>
      </c>
      <c r="B948" s="38"/>
      <c r="C948" s="38"/>
      <c r="D948" s="38"/>
      <c r="E948" s="38" t="s">
        <v>2330</v>
      </c>
      <c r="F948" s="43" t="s">
        <v>2331</v>
      </c>
      <c r="G948" s="44"/>
      <c r="H948" s="45"/>
      <c r="I948" s="38"/>
      <c r="J948" s="38">
        <f>609</f>
        <v>609</v>
      </c>
      <c r="K948" s="46">
        <v>5.7523148148148143E-3</v>
      </c>
      <c r="L948" s="47" t="s">
        <v>1452</v>
      </c>
      <c r="M948" s="307"/>
      <c r="N948" s="307"/>
      <c r="O948" s="307">
        <f t="shared" si="20"/>
        <v>0</v>
      </c>
      <c r="P948" s="92"/>
      <c r="Q948" s="410" t="str">
        <f t="shared" ca="1" si="28"/>
        <v>https://www.youtube.com/watch?v=tlCqUXsDwDc</v>
      </c>
      <c r="R948" s="50"/>
      <c r="S948" s="50"/>
      <c r="T948" s="50"/>
      <c r="U948" s="52"/>
      <c r="V948" s="53"/>
      <c r="W948" s="60"/>
      <c r="X948" s="56"/>
      <c r="Y948" s="38"/>
      <c r="Z948" s="38"/>
    </row>
    <row r="949" spans="1:26" hidden="1">
      <c r="A949" s="38">
        <v>567</v>
      </c>
      <c r="B949" s="38"/>
      <c r="C949" s="38"/>
      <c r="D949" s="38"/>
      <c r="E949" s="38" t="s">
        <v>2332</v>
      </c>
      <c r="F949" s="43" t="s">
        <v>2333</v>
      </c>
      <c r="G949" s="44"/>
      <c r="H949" s="45"/>
      <c r="I949" s="38"/>
      <c r="J949" s="38">
        <f>1*1000</f>
        <v>1000</v>
      </c>
      <c r="K949" s="46">
        <v>3.5069444444444445E-3</v>
      </c>
      <c r="L949" s="47" t="s">
        <v>1452</v>
      </c>
      <c r="M949" s="307"/>
      <c r="N949" s="307"/>
      <c r="O949" s="307">
        <f t="shared" si="20"/>
        <v>0</v>
      </c>
      <c r="P949" s="92"/>
      <c r="Q949" s="410" t="str">
        <f t="shared" ca="1" si="28"/>
        <v>https://www.youtube.com/watch?v=aEAK6N982oQ</v>
      </c>
      <c r="R949" s="50"/>
      <c r="S949" s="50"/>
      <c r="T949" s="50"/>
      <c r="U949" s="52"/>
      <c r="V949" s="53"/>
      <c r="W949" s="60"/>
      <c r="X949" s="56"/>
      <c r="Y949" s="38"/>
      <c r="Z949" s="38"/>
    </row>
    <row r="950" spans="1:26" hidden="1">
      <c r="A950" s="38">
        <v>568</v>
      </c>
      <c r="B950" s="38"/>
      <c r="C950" s="38"/>
      <c r="D950" s="38"/>
      <c r="E950" s="38" t="s">
        <v>2334</v>
      </c>
      <c r="F950" s="43" t="s">
        <v>2335</v>
      </c>
      <c r="G950" s="44"/>
      <c r="H950" s="45"/>
      <c r="I950" s="38"/>
      <c r="J950" s="38">
        <f>4.8*1000</f>
        <v>4800</v>
      </c>
      <c r="K950" s="46">
        <v>4.5162037037037035E-2</v>
      </c>
      <c r="L950" s="47" t="s">
        <v>1452</v>
      </c>
      <c r="M950" s="307"/>
      <c r="N950" s="307"/>
      <c r="O950" s="307">
        <f t="shared" si="20"/>
        <v>0</v>
      </c>
      <c r="P950" s="92"/>
      <c r="Q950" s="410" t="str">
        <f t="shared" ca="1" si="28"/>
        <v>https://www.youtube.com/watch?v=aBwX_u__31I</v>
      </c>
      <c r="R950" s="50"/>
      <c r="S950" s="50"/>
      <c r="T950" s="50"/>
      <c r="U950" s="52"/>
      <c r="V950" s="53"/>
      <c r="W950" s="60"/>
      <c r="X950" s="56"/>
      <c r="Y950" s="38"/>
      <c r="Z950" s="38"/>
    </row>
    <row r="951" spans="1:26" hidden="1">
      <c r="A951" s="38">
        <v>569</v>
      </c>
      <c r="B951" s="38"/>
      <c r="C951" s="38"/>
      <c r="D951" s="38"/>
      <c r="E951" s="38" t="s">
        <v>2336</v>
      </c>
      <c r="F951" s="43" t="s">
        <v>2337</v>
      </c>
      <c r="G951" s="44"/>
      <c r="H951" s="45"/>
      <c r="I951" s="38"/>
      <c r="J951" s="38">
        <f>3.4*1000</f>
        <v>3400</v>
      </c>
      <c r="K951" s="46">
        <v>1.5694444444444445E-2</v>
      </c>
      <c r="L951" s="47" t="s">
        <v>1452</v>
      </c>
      <c r="M951" s="307"/>
      <c r="N951" s="307"/>
      <c r="O951" s="307">
        <f t="shared" si="20"/>
        <v>0</v>
      </c>
      <c r="P951" s="92"/>
      <c r="Q951" s="410" t="str">
        <f t="shared" ca="1" si="28"/>
        <v>https://www.youtube.com/watch?v=i24adZlRCZk</v>
      </c>
      <c r="R951" s="50"/>
      <c r="S951" s="50"/>
      <c r="T951" s="50"/>
      <c r="U951" s="52"/>
      <c r="V951" s="53"/>
      <c r="W951" s="60"/>
      <c r="X951" s="56"/>
      <c r="Y951" s="38"/>
      <c r="Z951" s="38"/>
    </row>
    <row r="952" spans="1:26" hidden="1">
      <c r="A952" s="38">
        <v>570</v>
      </c>
      <c r="B952" s="38"/>
      <c r="C952" s="38"/>
      <c r="D952" s="38"/>
      <c r="E952" s="38" t="s">
        <v>2338</v>
      </c>
      <c r="F952" s="43" t="s">
        <v>2339</v>
      </c>
      <c r="G952" s="44"/>
      <c r="H952" s="45"/>
      <c r="I952" s="38"/>
      <c r="J952" s="38">
        <f>962</f>
        <v>962</v>
      </c>
      <c r="K952" s="46">
        <v>1.6747685185185185E-2</v>
      </c>
      <c r="L952" s="47" t="s">
        <v>1452</v>
      </c>
      <c r="M952" s="307"/>
      <c r="N952" s="307"/>
      <c r="O952" s="307">
        <f t="shared" si="20"/>
        <v>0</v>
      </c>
      <c r="P952" s="92"/>
      <c r="Q952" s="410" t="str">
        <f t="shared" ca="1" si="28"/>
        <v>https://www.youtube.com/watch?v=KYhdz2LiDLA</v>
      </c>
      <c r="R952" s="50"/>
      <c r="S952" s="50"/>
      <c r="T952" s="50"/>
      <c r="U952" s="52"/>
      <c r="V952" s="53"/>
      <c r="W952" s="60"/>
      <c r="X952" s="56"/>
      <c r="Y952" s="38"/>
      <c r="Z952" s="38"/>
    </row>
    <row r="953" spans="1:26" hidden="1">
      <c r="A953" s="38">
        <v>571</v>
      </c>
      <c r="B953" s="38"/>
      <c r="C953" s="38"/>
      <c r="D953" s="38"/>
      <c r="E953" s="38" t="s">
        <v>2340</v>
      </c>
      <c r="F953" s="43" t="s">
        <v>2341</v>
      </c>
      <c r="G953" s="44"/>
      <c r="H953" s="45"/>
      <c r="I953" s="38"/>
      <c r="J953" s="38">
        <f>2.2*1000</f>
        <v>2200</v>
      </c>
      <c r="K953" s="46">
        <v>3.4351851851851849E-2</v>
      </c>
      <c r="L953" s="47" t="s">
        <v>1452</v>
      </c>
      <c r="M953" s="307"/>
      <c r="N953" s="307"/>
      <c r="O953" s="307">
        <f t="shared" si="20"/>
        <v>0</v>
      </c>
      <c r="P953" s="92"/>
      <c r="Q953" s="410" t="str">
        <f t="shared" ca="1" si="28"/>
        <v>https://www.youtube.com/watch?v=BKG8mWyOvuw</v>
      </c>
      <c r="R953" s="50"/>
      <c r="S953" s="50"/>
      <c r="T953" s="50"/>
      <c r="U953" s="52"/>
      <c r="V953" s="53"/>
      <c r="W953" s="60"/>
      <c r="X953" s="56"/>
      <c r="Y953" s="38"/>
      <c r="Z953" s="38"/>
    </row>
    <row r="954" spans="1:26" hidden="1">
      <c r="A954" s="38">
        <v>572</v>
      </c>
      <c r="B954" s="38"/>
      <c r="C954" s="38"/>
      <c r="D954" s="38"/>
      <c r="E954" s="38" t="s">
        <v>2342</v>
      </c>
      <c r="F954" s="43" t="s">
        <v>2343</v>
      </c>
      <c r="G954" s="44"/>
      <c r="H954" s="45"/>
      <c r="I954" s="38"/>
      <c r="J954" s="38">
        <f>641</f>
        <v>641</v>
      </c>
      <c r="K954" s="46">
        <v>6.4699074074074069E-3</v>
      </c>
      <c r="L954" s="47" t="s">
        <v>1452</v>
      </c>
      <c r="M954" s="307"/>
      <c r="N954" s="307"/>
      <c r="O954" s="307">
        <f t="shared" si="20"/>
        <v>0</v>
      </c>
      <c r="P954" s="92"/>
      <c r="Q954" s="410" t="str">
        <f t="shared" ca="1" si="28"/>
        <v>https://www.youtube.com/watch?v=bGDeGR7DrFw</v>
      </c>
      <c r="R954" s="50"/>
      <c r="S954" s="50"/>
      <c r="T954" s="50"/>
      <c r="U954" s="52"/>
      <c r="V954" s="53"/>
      <c r="W954" s="60"/>
      <c r="X954" s="56"/>
      <c r="Y954" s="38"/>
      <c r="Z954" s="38"/>
    </row>
    <row r="955" spans="1:26" hidden="1">
      <c r="A955" s="38">
        <v>573</v>
      </c>
      <c r="B955" s="38"/>
      <c r="C955" s="38"/>
      <c r="D955" s="38"/>
      <c r="E955" s="38" t="s">
        <v>2344</v>
      </c>
      <c r="F955" s="43" t="s">
        <v>2345</v>
      </c>
      <c r="G955" s="44"/>
      <c r="H955" s="45"/>
      <c r="I955" s="38"/>
      <c r="J955" s="38">
        <f>1.1*1000</f>
        <v>1100</v>
      </c>
      <c r="K955" s="46">
        <v>2.5000000000000001E-3</v>
      </c>
      <c r="L955" s="47" t="s">
        <v>1452</v>
      </c>
      <c r="M955" s="307"/>
      <c r="N955" s="307"/>
      <c r="O955" s="307">
        <f t="shared" si="20"/>
        <v>0</v>
      </c>
      <c r="P955" s="92"/>
      <c r="Q955" s="410" t="str">
        <f t="shared" ca="1" si="28"/>
        <v>https://www.youtube.com/watch?v=BsEY7XJTv70</v>
      </c>
      <c r="R955" s="50"/>
      <c r="S955" s="50"/>
      <c r="T955" s="50"/>
      <c r="U955" s="52"/>
      <c r="V955" s="53"/>
      <c r="W955" s="60"/>
      <c r="X955" s="56"/>
      <c r="Y955" s="38"/>
      <c r="Z955" s="38"/>
    </row>
    <row r="956" spans="1:26" hidden="1">
      <c r="A956" s="38">
        <v>574</v>
      </c>
      <c r="B956" s="38"/>
      <c r="C956" s="38"/>
      <c r="D956" s="38"/>
      <c r="E956" s="38" t="s">
        <v>2346</v>
      </c>
      <c r="F956" s="43" t="s">
        <v>2347</v>
      </c>
      <c r="G956" s="44"/>
      <c r="H956" s="45"/>
      <c r="I956" s="38"/>
      <c r="J956" s="38">
        <f>14*1000</f>
        <v>14000</v>
      </c>
      <c r="K956" s="46">
        <v>2.8460648148148148E-2</v>
      </c>
      <c r="L956" s="47" t="s">
        <v>2348</v>
      </c>
      <c r="M956" s="307"/>
      <c r="N956" s="307"/>
      <c r="O956" s="307">
        <f t="shared" si="20"/>
        <v>0</v>
      </c>
      <c r="P956" s="92"/>
      <c r="Q956" s="410" t="str">
        <f t="shared" ca="1" si="28"/>
        <v>https://www.youtube.com/watch?v=Kfvmj7QyAfQ</v>
      </c>
      <c r="R956" s="50"/>
      <c r="S956" s="50"/>
      <c r="T956" s="50"/>
      <c r="U956" s="52"/>
      <c r="V956" s="53"/>
      <c r="W956" s="60"/>
      <c r="X956" s="56"/>
      <c r="Y956" s="38"/>
      <c r="Z956" s="38"/>
    </row>
    <row r="957" spans="1:26" hidden="1">
      <c r="A957" s="38">
        <v>575</v>
      </c>
      <c r="B957" s="38"/>
      <c r="C957" s="38"/>
      <c r="D957" s="38"/>
      <c r="E957" s="38" t="s">
        <v>2349</v>
      </c>
      <c r="F957" s="43" t="s">
        <v>2350</v>
      </c>
      <c r="G957" s="44"/>
      <c r="H957" s="45"/>
      <c r="I957" s="38"/>
      <c r="J957" s="38">
        <f>2.7*1000</f>
        <v>2700</v>
      </c>
      <c r="K957" s="46">
        <v>1.3287037037037036E-2</v>
      </c>
      <c r="L957" s="47" t="s">
        <v>2348</v>
      </c>
      <c r="M957" s="307"/>
      <c r="N957" s="307"/>
      <c r="O957" s="307">
        <f t="shared" si="20"/>
        <v>0</v>
      </c>
      <c r="P957" s="92"/>
      <c r="Q957" s="410" t="str">
        <f t="shared" ca="1" si="28"/>
        <v>https://www.youtube.com/watch?v=C6XbkLOcyVs</v>
      </c>
      <c r="R957" s="50"/>
      <c r="S957" s="50"/>
      <c r="T957" s="50"/>
      <c r="U957" s="52"/>
      <c r="V957" s="53"/>
      <c r="W957" s="60"/>
      <c r="X957" s="56"/>
      <c r="Y957" s="38"/>
      <c r="Z957" s="38"/>
    </row>
    <row r="958" spans="1:26" hidden="1">
      <c r="A958" s="38">
        <v>576</v>
      </c>
      <c r="B958" s="38"/>
      <c r="C958" s="38"/>
      <c r="D958" s="38"/>
      <c r="E958" s="38" t="s">
        <v>2351</v>
      </c>
      <c r="F958" s="43" t="s">
        <v>2352</v>
      </c>
      <c r="G958" s="44"/>
      <c r="H958" s="45"/>
      <c r="I958" s="38"/>
      <c r="J958" s="38">
        <f>2.4*1000</f>
        <v>2400</v>
      </c>
      <c r="K958" s="46">
        <v>2.1909722222222223E-2</v>
      </c>
      <c r="L958" s="47" t="s">
        <v>2348</v>
      </c>
      <c r="M958" s="307"/>
      <c r="N958" s="307"/>
      <c r="O958" s="307">
        <f t="shared" si="20"/>
        <v>0</v>
      </c>
      <c r="P958" s="92"/>
      <c r="Q958" s="410" t="str">
        <f t="shared" ca="1" si="28"/>
        <v>https://www.youtube.com/watch?v=ANDhhofT1w0</v>
      </c>
      <c r="R958" s="50"/>
      <c r="S958" s="50"/>
      <c r="T958" s="50"/>
      <c r="U958" s="52"/>
      <c r="V958" s="53"/>
      <c r="W958" s="60"/>
      <c r="X958" s="56"/>
      <c r="Y958" s="38"/>
      <c r="Z958" s="38"/>
    </row>
    <row r="959" spans="1:26" hidden="1">
      <c r="A959" s="38">
        <v>577</v>
      </c>
      <c r="B959" s="38"/>
      <c r="C959" s="38"/>
      <c r="D959" s="38"/>
      <c r="E959" s="38" t="s">
        <v>2353</v>
      </c>
      <c r="F959" s="43" t="s">
        <v>2354</v>
      </c>
      <c r="G959" s="44"/>
      <c r="H959" s="45"/>
      <c r="I959" s="38"/>
      <c r="J959" s="38">
        <f>1.3*1000</f>
        <v>1300</v>
      </c>
      <c r="K959" s="46">
        <v>2.4537037037037036E-3</v>
      </c>
      <c r="L959" s="47" t="s">
        <v>2348</v>
      </c>
      <c r="M959" s="307"/>
      <c r="N959" s="307"/>
      <c r="O959" s="307">
        <f t="shared" si="20"/>
        <v>0</v>
      </c>
      <c r="P959" s="92"/>
      <c r="Q959" s="410" t="str">
        <f t="shared" ca="1" si="28"/>
        <v>https://www.youtube.com/watch?v=qiir-ZWT6yI</v>
      </c>
      <c r="R959" s="50"/>
      <c r="S959" s="50"/>
      <c r="T959" s="50"/>
      <c r="U959" s="52"/>
      <c r="V959" s="53"/>
      <c r="W959" s="60"/>
      <c r="X959" s="56"/>
      <c r="Y959" s="38"/>
      <c r="Z959" s="38"/>
    </row>
    <row r="960" spans="1:26" hidden="1">
      <c r="A960" s="38">
        <v>578</v>
      </c>
      <c r="B960" s="38"/>
      <c r="C960" s="38"/>
      <c r="D960" s="38"/>
      <c r="E960" s="38" t="s">
        <v>2357</v>
      </c>
      <c r="F960" s="43" t="s">
        <v>2358</v>
      </c>
      <c r="G960" s="44"/>
      <c r="H960" s="45"/>
      <c r="I960" s="38"/>
      <c r="J960" s="38">
        <f>6.5*1000</f>
        <v>6500</v>
      </c>
      <c r="K960" s="46">
        <v>2.7986111111111111E-2</v>
      </c>
      <c r="L960" s="47" t="s">
        <v>2348</v>
      </c>
      <c r="M960" s="307"/>
      <c r="N960" s="307"/>
      <c r="O960" s="307">
        <f t="shared" si="20"/>
        <v>0</v>
      </c>
      <c r="P960" s="92"/>
      <c r="Q960" s="410" t="str">
        <f t="shared" ca="1" si="28"/>
        <v>https://www.youtube.com/watch?v=wEalKzas5Ig</v>
      </c>
      <c r="R960" s="50"/>
      <c r="S960" s="50"/>
      <c r="T960" s="50"/>
      <c r="U960" s="52"/>
      <c r="V960" s="53"/>
      <c r="W960" s="60"/>
      <c r="X960" s="56"/>
      <c r="Y960" s="38"/>
      <c r="Z960" s="38"/>
    </row>
    <row r="961" spans="1:26" hidden="1">
      <c r="A961" s="38">
        <v>579</v>
      </c>
      <c r="B961" s="38"/>
      <c r="C961" s="38"/>
      <c r="D961" s="38"/>
      <c r="E961" s="38" t="s">
        <v>2359</v>
      </c>
      <c r="F961" s="43" t="s">
        <v>2360</v>
      </c>
      <c r="G961" s="44"/>
      <c r="H961" s="45"/>
      <c r="I961" s="38"/>
      <c r="J961" s="38">
        <f>7.9*1000</f>
        <v>7900</v>
      </c>
      <c r="K961" s="46">
        <v>4.5439814814814815E-2</v>
      </c>
      <c r="L961" s="47" t="s">
        <v>2348</v>
      </c>
      <c r="M961" s="307"/>
      <c r="N961" s="307"/>
      <c r="O961" s="307">
        <f t="shared" si="20"/>
        <v>0</v>
      </c>
      <c r="P961" s="92"/>
      <c r="Q961" s="410" t="str">
        <f t="shared" ca="1" si="28"/>
        <v>https://www.youtube.com/watch?v=6PUBS8MXVzc</v>
      </c>
      <c r="R961" s="50"/>
      <c r="S961" s="50"/>
      <c r="T961" s="50"/>
      <c r="U961" s="52"/>
      <c r="V961" s="53"/>
      <c r="W961" s="60"/>
      <c r="X961" s="56"/>
      <c r="Y961" s="38"/>
      <c r="Z961" s="38"/>
    </row>
    <row r="962" spans="1:26" hidden="1">
      <c r="A962" s="38">
        <v>580</v>
      </c>
      <c r="B962" s="38"/>
      <c r="C962" s="38"/>
      <c r="D962" s="38"/>
      <c r="E962" s="38" t="s">
        <v>2361</v>
      </c>
      <c r="F962" s="43" t="s">
        <v>2362</v>
      </c>
      <c r="G962" s="44"/>
      <c r="H962" s="45"/>
      <c r="I962" s="38"/>
      <c r="J962" s="38">
        <f>520</f>
        <v>520</v>
      </c>
      <c r="K962" s="46">
        <v>1.3541666666666667E-3</v>
      </c>
      <c r="L962" s="47" t="s">
        <v>2348</v>
      </c>
      <c r="M962" s="307"/>
      <c r="N962" s="307"/>
      <c r="O962" s="307">
        <f t="shared" si="20"/>
        <v>0</v>
      </c>
      <c r="P962" s="92"/>
      <c r="Q962" s="410" t="str">
        <f t="shared" ca="1" si="28"/>
        <v>https://www.youtube.com/watch?v=HmKETjjGv0E</v>
      </c>
      <c r="R962" s="50"/>
      <c r="S962" s="50"/>
      <c r="T962" s="50"/>
      <c r="U962" s="52"/>
      <c r="V962" s="53"/>
      <c r="W962" s="60"/>
      <c r="X962" s="56"/>
      <c r="Y962" s="38"/>
      <c r="Z962" s="38"/>
    </row>
    <row r="963" spans="1:26" hidden="1">
      <c r="A963" s="38">
        <v>581</v>
      </c>
      <c r="B963" s="38"/>
      <c r="C963" s="38"/>
      <c r="D963" s="38"/>
      <c r="E963" s="38" t="s">
        <v>2365</v>
      </c>
      <c r="F963" s="43" t="s">
        <v>2366</v>
      </c>
      <c r="G963" s="44"/>
      <c r="H963" s="45"/>
      <c r="I963" s="38"/>
      <c r="J963" s="38">
        <f>658</f>
        <v>658</v>
      </c>
      <c r="K963" s="46">
        <v>3.8657407407407408E-3</v>
      </c>
      <c r="L963" s="47" t="s">
        <v>2348</v>
      </c>
      <c r="M963" s="307"/>
      <c r="N963" s="307"/>
      <c r="O963" s="307">
        <f t="shared" si="20"/>
        <v>0</v>
      </c>
      <c r="P963" s="92"/>
      <c r="Q963" s="410" t="str">
        <f t="shared" ref="Q963:Q1026" ca="1" si="29">HYPERLINK(IF(INT(A963)-A963=0,E963,REPLACE(INDIRECT("MasterList!e"&amp;INT(A963)+1),25,8,"embed/")&amp;"?start="&amp;HOUR(M963)*3600+MINUTE(M963)*60+SECOND(M963)&amp;"&amp;end="&amp;HOUR(N963)*3600+MINUTE(N963)*60+SECOND(N963)&amp;"&amp;autoplay=1"))</f>
        <v>https://www.youtube.com/watch?v=vTz9mFEgYQU</v>
      </c>
      <c r="R963" s="50"/>
      <c r="S963" s="50"/>
      <c r="T963" s="50"/>
      <c r="U963" s="52"/>
      <c r="V963" s="53"/>
      <c r="W963" s="60"/>
      <c r="X963" s="56"/>
      <c r="Y963" s="38"/>
      <c r="Z963" s="38"/>
    </row>
    <row r="964" spans="1:26" hidden="1">
      <c r="A964" s="38">
        <v>582</v>
      </c>
      <c r="B964" s="38"/>
      <c r="C964" s="38"/>
      <c r="D964" s="38"/>
      <c r="E964" s="38" t="s">
        <v>2367</v>
      </c>
      <c r="F964" s="43" t="s">
        <v>2368</v>
      </c>
      <c r="G964" s="44"/>
      <c r="H964" s="45"/>
      <c r="I964" s="38"/>
      <c r="J964" s="38">
        <f>457</f>
        <v>457</v>
      </c>
      <c r="K964" s="46">
        <v>2.685185185185185E-3</v>
      </c>
      <c r="L964" s="47" t="s">
        <v>2348</v>
      </c>
      <c r="M964" s="307"/>
      <c r="N964" s="307"/>
      <c r="O964" s="307">
        <f t="shared" si="20"/>
        <v>0</v>
      </c>
      <c r="P964" s="92"/>
      <c r="Q964" s="410" t="str">
        <f t="shared" ca="1" si="29"/>
        <v>https://www.youtube.com/watch?v=B1KtIwSP4_U</v>
      </c>
      <c r="R964" s="50"/>
      <c r="S964" s="50"/>
      <c r="T964" s="50"/>
      <c r="U964" s="52"/>
      <c r="V964" s="53"/>
      <c r="W964" s="60"/>
      <c r="X964" s="56"/>
      <c r="Y964" s="38"/>
      <c r="Z964" s="38"/>
    </row>
    <row r="965" spans="1:26" hidden="1">
      <c r="A965" s="38">
        <v>583</v>
      </c>
      <c r="B965" s="38"/>
      <c r="C965" s="38"/>
      <c r="D965" s="38"/>
      <c r="E965" s="38" t="s">
        <v>2370</v>
      </c>
      <c r="F965" s="43" t="s">
        <v>2371</v>
      </c>
      <c r="G965" s="44"/>
      <c r="H965" s="45"/>
      <c r="I965" s="38"/>
      <c r="J965" s="38">
        <f>689</f>
        <v>689</v>
      </c>
      <c r="K965" s="46">
        <v>1.4583333333333334E-3</v>
      </c>
      <c r="L965" s="47" t="s">
        <v>2348</v>
      </c>
      <c r="M965" s="307"/>
      <c r="N965" s="307"/>
      <c r="O965" s="307">
        <f t="shared" si="20"/>
        <v>0</v>
      </c>
      <c r="P965" s="92"/>
      <c r="Q965" s="410" t="str">
        <f t="shared" ca="1" si="29"/>
        <v>https://www.youtube.com/watch?v=nUfn2eRsHgo</v>
      </c>
      <c r="R965" s="50"/>
      <c r="S965" s="50"/>
      <c r="T965" s="50"/>
      <c r="U965" s="52"/>
      <c r="V965" s="53"/>
      <c r="W965" s="60"/>
      <c r="X965" s="56"/>
      <c r="Y965" s="38"/>
      <c r="Z965" s="38"/>
    </row>
    <row r="966" spans="1:26" hidden="1">
      <c r="A966" s="38">
        <v>584</v>
      </c>
      <c r="B966" s="38"/>
      <c r="C966" s="38"/>
      <c r="D966" s="38"/>
      <c r="E966" s="38" t="s">
        <v>2375</v>
      </c>
      <c r="F966" s="43" t="s">
        <v>2376</v>
      </c>
      <c r="G966" s="44"/>
      <c r="H966" s="45"/>
      <c r="I966" s="38"/>
      <c r="J966" s="38">
        <f>422</f>
        <v>422</v>
      </c>
      <c r="K966" s="46">
        <v>2.627314814814815E-3</v>
      </c>
      <c r="L966" s="47" t="s">
        <v>2348</v>
      </c>
      <c r="M966" s="307"/>
      <c r="N966" s="307"/>
      <c r="O966" s="307">
        <f t="shared" si="20"/>
        <v>0</v>
      </c>
      <c r="P966" s="92"/>
      <c r="Q966" s="410" t="str">
        <f t="shared" ca="1" si="29"/>
        <v>https://www.youtube.com/watch?v=sGXLoCpynsU</v>
      </c>
      <c r="R966" s="50"/>
      <c r="S966" s="50"/>
      <c r="T966" s="50"/>
      <c r="U966" s="52"/>
      <c r="V966" s="53"/>
      <c r="W966" s="60"/>
      <c r="X966" s="56"/>
      <c r="Y966" s="38"/>
      <c r="Z966" s="38"/>
    </row>
    <row r="967" spans="1:26" hidden="1">
      <c r="A967" s="38">
        <v>585</v>
      </c>
      <c r="B967" s="38"/>
      <c r="C967" s="38"/>
      <c r="D967" s="38"/>
      <c r="E967" s="38" t="s">
        <v>2377</v>
      </c>
      <c r="F967" s="43" t="s">
        <v>2378</v>
      </c>
      <c r="G967" s="44"/>
      <c r="H967" s="45"/>
      <c r="I967" s="38"/>
      <c r="J967" s="38">
        <f>393</f>
        <v>393</v>
      </c>
      <c r="K967" s="46">
        <v>2.0486111111111113E-3</v>
      </c>
      <c r="L967" s="47" t="s">
        <v>2348</v>
      </c>
      <c r="M967" s="307"/>
      <c r="N967" s="307"/>
      <c r="O967" s="307">
        <f t="shared" si="20"/>
        <v>0</v>
      </c>
      <c r="P967" s="92"/>
      <c r="Q967" s="410" t="str">
        <f t="shared" ca="1" si="29"/>
        <v>https://www.youtube.com/watch?v=Nattb-ZPK4g</v>
      </c>
      <c r="R967" s="50"/>
      <c r="S967" s="50"/>
      <c r="T967" s="50"/>
      <c r="U967" s="52"/>
      <c r="V967" s="53"/>
      <c r="W967" s="60"/>
      <c r="X967" s="56"/>
      <c r="Y967" s="38"/>
      <c r="Z967" s="38"/>
    </row>
    <row r="968" spans="1:26" hidden="1">
      <c r="A968" s="38">
        <v>586</v>
      </c>
      <c r="B968" s="38"/>
      <c r="C968" s="38"/>
      <c r="D968" s="38"/>
      <c r="E968" s="38" t="s">
        <v>2379</v>
      </c>
      <c r="F968" s="43" t="s">
        <v>2380</v>
      </c>
      <c r="G968" s="44"/>
      <c r="H968" s="45"/>
      <c r="I968" s="38"/>
      <c r="J968" s="38">
        <f>397</f>
        <v>397</v>
      </c>
      <c r="K968" s="46">
        <v>2.0138888888888888E-3</v>
      </c>
      <c r="L968" s="47" t="s">
        <v>2348</v>
      </c>
      <c r="M968" s="307"/>
      <c r="N968" s="307"/>
      <c r="O968" s="307">
        <f t="shared" si="20"/>
        <v>0</v>
      </c>
      <c r="P968" s="92"/>
      <c r="Q968" s="410" t="str">
        <f t="shared" ca="1" si="29"/>
        <v>https://www.youtube.com/watch?v=EfQbirNpLM8</v>
      </c>
      <c r="R968" s="50"/>
      <c r="S968" s="50"/>
      <c r="T968" s="50"/>
      <c r="U968" s="52"/>
      <c r="V968" s="53"/>
      <c r="W968" s="60"/>
      <c r="X968" s="56"/>
      <c r="Y968" s="38"/>
      <c r="Z968" s="38"/>
    </row>
    <row r="969" spans="1:26" hidden="1">
      <c r="A969" s="38">
        <v>587</v>
      </c>
      <c r="B969" s="38"/>
      <c r="C969" s="38"/>
      <c r="D969" s="38"/>
      <c r="E969" s="38" t="s">
        <v>2385</v>
      </c>
      <c r="F969" s="43" t="s">
        <v>2386</v>
      </c>
      <c r="G969" s="44"/>
      <c r="H969" s="45"/>
      <c r="I969" s="38"/>
      <c r="J969" s="38">
        <f>1*1000</f>
        <v>1000</v>
      </c>
      <c r="K969" s="46">
        <v>1.6666666666666668E-3</v>
      </c>
      <c r="L969" s="47" t="s">
        <v>2348</v>
      </c>
      <c r="M969" s="307"/>
      <c r="N969" s="307"/>
      <c r="O969" s="307">
        <f t="shared" si="20"/>
        <v>0</v>
      </c>
      <c r="P969" s="92"/>
      <c r="Q969" s="410" t="str">
        <f t="shared" ca="1" si="29"/>
        <v>https://www.youtube.com/watch?v=zNgyoAjVDhk</v>
      </c>
      <c r="R969" s="50"/>
      <c r="S969" s="50"/>
      <c r="T969" s="50"/>
      <c r="U969" s="52"/>
      <c r="V969" s="53"/>
      <c r="W969" s="60"/>
      <c r="X969" s="56"/>
      <c r="Y969" s="38"/>
      <c r="Z969" s="38"/>
    </row>
    <row r="970" spans="1:26" hidden="1">
      <c r="A970" s="38">
        <v>588</v>
      </c>
      <c r="B970" s="38"/>
      <c r="C970" s="38"/>
      <c r="D970" s="38"/>
      <c r="E970" s="38" t="s">
        <v>2387</v>
      </c>
      <c r="F970" s="43" t="s">
        <v>2388</v>
      </c>
      <c r="G970" s="44"/>
      <c r="H970" s="45"/>
      <c r="I970" s="38"/>
      <c r="J970" s="38">
        <f>506</f>
        <v>506</v>
      </c>
      <c r="K970" s="46">
        <v>2.9166666666666668E-3</v>
      </c>
      <c r="L970" s="47" t="s">
        <v>2348</v>
      </c>
      <c r="M970" s="307"/>
      <c r="N970" s="307"/>
      <c r="O970" s="307">
        <f t="shared" si="20"/>
        <v>0</v>
      </c>
      <c r="P970" s="92"/>
      <c r="Q970" s="410" t="str">
        <f t="shared" ca="1" si="29"/>
        <v>https://www.youtube.com/watch?v=6WJO3QlTEpg</v>
      </c>
      <c r="R970" s="50"/>
      <c r="S970" s="50"/>
      <c r="T970" s="50"/>
      <c r="U970" s="52"/>
      <c r="V970" s="53"/>
      <c r="W970" s="60"/>
      <c r="X970" s="56"/>
      <c r="Y970" s="38"/>
      <c r="Z970" s="38"/>
    </row>
    <row r="971" spans="1:26" hidden="1">
      <c r="A971" s="38">
        <v>589</v>
      </c>
      <c r="B971" s="38"/>
      <c r="C971" s="38"/>
      <c r="D971" s="38"/>
      <c r="E971" s="38" t="s">
        <v>2390</v>
      </c>
      <c r="F971" s="43" t="s">
        <v>2391</v>
      </c>
      <c r="G971" s="44"/>
      <c r="H971" s="45"/>
      <c r="I971" s="38"/>
      <c r="J971" s="38">
        <f>25*1000</f>
        <v>25000</v>
      </c>
      <c r="K971" s="46">
        <v>6.9039351851851852E-2</v>
      </c>
      <c r="L971" s="47" t="s">
        <v>2348</v>
      </c>
      <c r="M971" s="307"/>
      <c r="N971" s="307"/>
      <c r="O971" s="307">
        <f t="shared" si="20"/>
        <v>0</v>
      </c>
      <c r="P971" s="92"/>
      <c r="Q971" s="410" t="str">
        <f t="shared" ca="1" si="29"/>
        <v>https://www.youtube.com/watch?v=9qgkONu6nbk</v>
      </c>
      <c r="R971" s="50"/>
      <c r="S971" s="50"/>
      <c r="T971" s="50"/>
      <c r="U971" s="52"/>
      <c r="V971" s="53"/>
      <c r="W971" s="60"/>
      <c r="X971" s="56"/>
      <c r="Y971" s="38"/>
      <c r="Z971" s="38"/>
    </row>
    <row r="972" spans="1:26" hidden="1">
      <c r="A972" s="38">
        <v>590</v>
      </c>
      <c r="B972" s="38"/>
      <c r="C972" s="38"/>
      <c r="D972" s="38"/>
      <c r="E972" s="38" t="s">
        <v>2394</v>
      </c>
      <c r="F972" s="43" t="s">
        <v>2395</v>
      </c>
      <c r="G972" s="44"/>
      <c r="H972" s="45"/>
      <c r="I972" s="38"/>
      <c r="J972" s="38">
        <f>922</f>
        <v>922</v>
      </c>
      <c r="K972" s="46">
        <v>3.7962962962962963E-3</v>
      </c>
      <c r="L972" s="47" t="s">
        <v>2348</v>
      </c>
      <c r="M972" s="307"/>
      <c r="N972" s="307"/>
      <c r="O972" s="307">
        <f t="shared" si="20"/>
        <v>0</v>
      </c>
      <c r="P972" s="92"/>
      <c r="Q972" s="410" t="str">
        <f t="shared" ca="1" si="29"/>
        <v>https://www.youtube.com/watch?v=k8zAYJDE01E</v>
      </c>
      <c r="R972" s="50"/>
      <c r="S972" s="50"/>
      <c r="T972" s="50"/>
      <c r="U972" s="52"/>
      <c r="V972" s="53"/>
      <c r="W972" s="60"/>
      <c r="X972" s="56"/>
      <c r="Y972" s="38"/>
      <c r="Z972" s="38"/>
    </row>
    <row r="973" spans="1:26" hidden="1">
      <c r="A973" s="38">
        <v>591</v>
      </c>
      <c r="B973" s="38"/>
      <c r="C973" s="38"/>
      <c r="D973" s="38"/>
      <c r="E973" s="38" t="s">
        <v>2396</v>
      </c>
      <c r="F973" s="43" t="s">
        <v>2397</v>
      </c>
      <c r="G973" s="44"/>
      <c r="H973" s="45"/>
      <c r="I973" s="38"/>
      <c r="J973" s="38">
        <f>931</f>
        <v>931</v>
      </c>
      <c r="K973" s="46">
        <v>3.7152777777777774E-3</v>
      </c>
      <c r="L973" s="47" t="s">
        <v>645</v>
      </c>
      <c r="M973" s="307"/>
      <c r="N973" s="307"/>
      <c r="O973" s="307">
        <f t="shared" si="20"/>
        <v>0</v>
      </c>
      <c r="P973" s="92"/>
      <c r="Q973" s="410" t="str">
        <f t="shared" ca="1" si="29"/>
        <v>https://www.youtube.com/watch?v=Qh0tc43apsI</v>
      </c>
      <c r="R973" s="50"/>
      <c r="S973" s="50"/>
      <c r="T973" s="50"/>
      <c r="U973" s="52"/>
      <c r="V973" s="53"/>
      <c r="W973" s="60"/>
      <c r="X973" s="56"/>
      <c r="Y973" s="38"/>
      <c r="Z973" s="38"/>
    </row>
    <row r="974" spans="1:26" hidden="1">
      <c r="A974" s="38">
        <v>592</v>
      </c>
      <c r="B974" s="38"/>
      <c r="C974" s="38"/>
      <c r="D974" s="38"/>
      <c r="E974" s="38" t="s">
        <v>2400</v>
      </c>
      <c r="F974" s="43" t="s">
        <v>2401</v>
      </c>
      <c r="G974" s="44"/>
      <c r="H974" s="45"/>
      <c r="I974" s="38"/>
      <c r="J974" s="38">
        <f>799</f>
        <v>799</v>
      </c>
      <c r="K974" s="46">
        <v>2.7777777777777779E-3</v>
      </c>
      <c r="L974" s="47" t="s">
        <v>645</v>
      </c>
      <c r="M974" s="307"/>
      <c r="N974" s="307"/>
      <c r="O974" s="307">
        <f t="shared" si="20"/>
        <v>0</v>
      </c>
      <c r="P974" s="92"/>
      <c r="Q974" s="410" t="str">
        <f t="shared" ca="1" si="29"/>
        <v>https://www.youtube.com/watch?v=B3K5KRgT0oE</v>
      </c>
      <c r="R974" s="50"/>
      <c r="S974" s="50"/>
      <c r="T974" s="50"/>
      <c r="U974" s="52"/>
      <c r="V974" s="53"/>
      <c r="W974" s="60"/>
      <c r="X974" s="56"/>
      <c r="Y974" s="38"/>
      <c r="Z974" s="38"/>
    </row>
    <row r="975" spans="1:26" hidden="1">
      <c r="A975" s="38">
        <v>593</v>
      </c>
      <c r="B975" s="38"/>
      <c r="C975" s="38"/>
      <c r="D975" s="38"/>
      <c r="E975" s="38" t="s">
        <v>2402</v>
      </c>
      <c r="F975" s="43" t="s">
        <v>2403</v>
      </c>
      <c r="G975" s="44"/>
      <c r="H975" s="45"/>
      <c r="I975" s="38"/>
      <c r="J975" s="38">
        <f>783</f>
        <v>783</v>
      </c>
      <c r="K975" s="46">
        <v>3.7268518518518514E-3</v>
      </c>
      <c r="L975" s="47" t="s">
        <v>645</v>
      </c>
      <c r="M975" s="307"/>
      <c r="N975" s="307"/>
      <c r="O975" s="307">
        <f t="shared" si="20"/>
        <v>0</v>
      </c>
      <c r="P975" s="92"/>
      <c r="Q975" s="410" t="str">
        <f t="shared" ca="1" si="29"/>
        <v>https://www.youtube.com/watch?v=MqvZxu1TaSQ</v>
      </c>
      <c r="R975" s="50"/>
      <c r="S975" s="50"/>
      <c r="T975" s="50"/>
      <c r="U975" s="52"/>
      <c r="V975" s="53"/>
      <c r="W975" s="60"/>
      <c r="X975" s="56"/>
      <c r="Y975" s="38"/>
      <c r="Z975" s="38"/>
    </row>
    <row r="976" spans="1:26" hidden="1">
      <c r="A976" s="38">
        <v>594</v>
      </c>
      <c r="B976" s="38"/>
      <c r="C976" s="38"/>
      <c r="D976" s="38"/>
      <c r="E976" s="38" t="s">
        <v>2404</v>
      </c>
      <c r="F976" s="43" t="s">
        <v>2406</v>
      </c>
      <c r="G976" s="44"/>
      <c r="H976" s="45"/>
      <c r="I976" s="38"/>
      <c r="J976" s="38">
        <f>1*1000</f>
        <v>1000</v>
      </c>
      <c r="K976" s="46">
        <v>1.0891203703703703E-2</v>
      </c>
      <c r="L976" s="47" t="s">
        <v>645</v>
      </c>
      <c r="M976" s="307"/>
      <c r="N976" s="307"/>
      <c r="O976" s="307">
        <f t="shared" si="20"/>
        <v>0</v>
      </c>
      <c r="P976" s="92"/>
      <c r="Q976" s="410" t="str">
        <f t="shared" ca="1" si="29"/>
        <v>https://www.youtube.com/watch?v=SmB_GUlrfzk</v>
      </c>
      <c r="R976" s="50"/>
      <c r="S976" s="50"/>
      <c r="T976" s="50"/>
      <c r="U976" s="52"/>
      <c r="V976" s="53"/>
      <c r="W976" s="60"/>
      <c r="X976" s="56"/>
      <c r="Y976" s="38"/>
      <c r="Z976" s="38"/>
    </row>
    <row r="977" spans="1:26" hidden="1">
      <c r="A977" s="38">
        <v>595</v>
      </c>
      <c r="B977" s="38"/>
      <c r="C977" s="38"/>
      <c r="D977" s="38"/>
      <c r="E977" s="38" t="s">
        <v>2409</v>
      </c>
      <c r="F977" s="43" t="s">
        <v>2410</v>
      </c>
      <c r="G977" s="44"/>
      <c r="H977" s="45"/>
      <c r="I977" s="38"/>
      <c r="J977" s="38">
        <f>13*1000</f>
        <v>13000</v>
      </c>
      <c r="K977" s="46">
        <v>1.2939814814814814E-2</v>
      </c>
      <c r="L977" s="47" t="s">
        <v>645</v>
      </c>
      <c r="M977" s="307"/>
      <c r="N977" s="307"/>
      <c r="O977" s="307">
        <f t="shared" si="20"/>
        <v>0</v>
      </c>
      <c r="P977" s="92"/>
      <c r="Q977" s="410" t="str">
        <f t="shared" ca="1" si="29"/>
        <v>https://www.youtube.com/watch?v=YtD-Ro9OJRQ</v>
      </c>
      <c r="R977" s="50"/>
      <c r="S977" s="50"/>
      <c r="T977" s="50"/>
      <c r="U977" s="52"/>
      <c r="V977" s="53"/>
      <c r="W977" s="60"/>
      <c r="X977" s="56"/>
      <c r="Y977" s="38"/>
      <c r="Z977" s="38"/>
    </row>
    <row r="978" spans="1:26" hidden="1">
      <c r="A978" s="38">
        <v>596</v>
      </c>
      <c r="B978" s="38"/>
      <c r="C978" s="38"/>
      <c r="D978" s="38"/>
      <c r="E978" s="38" t="s">
        <v>2413</v>
      </c>
      <c r="F978" s="43" t="s">
        <v>2414</v>
      </c>
      <c r="G978" s="44"/>
      <c r="H978" s="45"/>
      <c r="I978" s="38"/>
      <c r="J978" s="38">
        <f>20*1000</f>
        <v>20000</v>
      </c>
      <c r="K978" s="46">
        <v>2.989583333333333E-2</v>
      </c>
      <c r="L978" s="47" t="s">
        <v>645</v>
      </c>
      <c r="M978" s="307"/>
      <c r="N978" s="307"/>
      <c r="O978" s="307">
        <f t="shared" si="20"/>
        <v>0</v>
      </c>
      <c r="P978" s="92"/>
      <c r="Q978" s="410" t="str">
        <f t="shared" ca="1" si="29"/>
        <v>https://www.youtube.com/watch?v=m1RnPcyk_e0</v>
      </c>
      <c r="R978" s="50"/>
      <c r="S978" s="50"/>
      <c r="T978" s="50"/>
      <c r="U978" s="52"/>
      <c r="V978" s="53"/>
      <c r="W978" s="60"/>
      <c r="X978" s="56"/>
      <c r="Y978" s="38"/>
      <c r="Z978" s="38"/>
    </row>
    <row r="979" spans="1:26" hidden="1">
      <c r="A979" s="38">
        <v>597</v>
      </c>
      <c r="B979" s="38"/>
      <c r="C979" s="38"/>
      <c r="D979" s="38"/>
      <c r="E979" s="38" t="s">
        <v>2417</v>
      </c>
      <c r="F979" s="43" t="s">
        <v>2418</v>
      </c>
      <c r="G979" s="44"/>
      <c r="H979" s="45"/>
      <c r="I979" s="38"/>
      <c r="J979" s="38">
        <f>5.6*1000</f>
        <v>5600</v>
      </c>
      <c r="K979" s="46">
        <v>1.7349537037037038E-2</v>
      </c>
      <c r="L979" s="47" t="s">
        <v>645</v>
      </c>
      <c r="M979" s="307"/>
      <c r="N979" s="307"/>
      <c r="O979" s="307">
        <f t="shared" si="20"/>
        <v>0</v>
      </c>
      <c r="P979" s="92"/>
      <c r="Q979" s="410" t="str">
        <f t="shared" ca="1" si="29"/>
        <v>https://www.youtube.com/watch?v=MFeGLeUGf6Q</v>
      </c>
      <c r="R979" s="50"/>
      <c r="S979" s="50"/>
      <c r="T979" s="50"/>
      <c r="U979" s="52"/>
      <c r="V979" s="53"/>
      <c r="W979" s="60"/>
      <c r="X979" s="56"/>
      <c r="Y979" s="38"/>
      <c r="Z979" s="38"/>
    </row>
    <row r="980" spans="1:26" hidden="1">
      <c r="A980" s="38">
        <v>598</v>
      </c>
      <c r="B980" s="38"/>
      <c r="C980" s="38"/>
      <c r="D980" s="38"/>
      <c r="E980" s="38" t="s">
        <v>2421</v>
      </c>
      <c r="F980" s="43" t="s">
        <v>2422</v>
      </c>
      <c r="G980" s="44"/>
      <c r="H980" s="45"/>
      <c r="I980" s="38"/>
      <c r="J980" s="38">
        <f>909</f>
        <v>909</v>
      </c>
      <c r="K980" s="46">
        <v>4.9305555555555552E-3</v>
      </c>
      <c r="L980" s="47" t="s">
        <v>645</v>
      </c>
      <c r="M980" s="307"/>
      <c r="N980" s="307"/>
      <c r="O980" s="307">
        <f t="shared" si="20"/>
        <v>0</v>
      </c>
      <c r="P980" s="92"/>
      <c r="Q980" s="410" t="str">
        <f t="shared" ca="1" si="29"/>
        <v>https://www.youtube.com/watch?v=ZkrWcJXqbGA</v>
      </c>
      <c r="R980" s="50"/>
      <c r="S980" s="50"/>
      <c r="T980" s="50"/>
      <c r="U980" s="52"/>
      <c r="V980" s="53"/>
      <c r="W980" s="60"/>
      <c r="X980" s="56"/>
      <c r="Y980" s="38"/>
      <c r="Z980" s="38"/>
    </row>
    <row r="981" spans="1:26" hidden="1">
      <c r="A981" s="38">
        <v>599</v>
      </c>
      <c r="B981" s="38"/>
      <c r="C981" s="38"/>
      <c r="D981" s="38"/>
      <c r="E981" s="38" t="s">
        <v>2425</v>
      </c>
      <c r="F981" s="43" t="s">
        <v>2426</v>
      </c>
      <c r="G981" s="44"/>
      <c r="H981" s="45"/>
      <c r="I981" s="38"/>
      <c r="J981" s="38">
        <f>366</f>
        <v>366</v>
      </c>
      <c r="K981" s="46">
        <v>3.9699074074074072E-3</v>
      </c>
      <c r="L981" s="47" t="s">
        <v>645</v>
      </c>
      <c r="M981" s="307"/>
      <c r="N981" s="307"/>
      <c r="O981" s="307">
        <f t="shared" si="20"/>
        <v>0</v>
      </c>
      <c r="P981" s="92"/>
      <c r="Q981" s="410" t="str">
        <f t="shared" ca="1" si="29"/>
        <v>https://www.youtube.com/watch?v=ZoDHsv06lNI</v>
      </c>
      <c r="R981" s="50"/>
      <c r="S981" s="50"/>
      <c r="T981" s="50"/>
      <c r="U981" s="52"/>
      <c r="V981" s="53"/>
      <c r="W981" s="60"/>
      <c r="X981" s="56"/>
      <c r="Y981" s="38"/>
      <c r="Z981" s="38"/>
    </row>
    <row r="982" spans="1:26" hidden="1">
      <c r="A982" s="38">
        <v>600</v>
      </c>
      <c r="B982" s="38"/>
      <c r="C982" s="38"/>
      <c r="D982" s="38"/>
      <c r="E982" s="38" t="s">
        <v>2427</v>
      </c>
      <c r="F982" s="43" t="s">
        <v>2428</v>
      </c>
      <c r="G982" s="44"/>
      <c r="H982" s="45"/>
      <c r="I982" s="38"/>
      <c r="J982" s="38">
        <f>559</f>
        <v>559</v>
      </c>
      <c r="K982" s="46">
        <v>1.8287037037037037E-3</v>
      </c>
      <c r="L982" s="47" t="s">
        <v>645</v>
      </c>
      <c r="M982" s="307"/>
      <c r="N982" s="307"/>
      <c r="O982" s="307">
        <f t="shared" si="20"/>
        <v>0</v>
      </c>
      <c r="P982" s="92"/>
      <c r="Q982" s="410" t="str">
        <f t="shared" ca="1" si="29"/>
        <v>https://www.youtube.com/watch?v=j53ZVDx4pYc</v>
      </c>
      <c r="R982" s="50"/>
      <c r="S982" s="50"/>
      <c r="T982" s="50"/>
      <c r="U982" s="52"/>
      <c r="V982" s="53"/>
      <c r="W982" s="60"/>
      <c r="X982" s="56"/>
      <c r="Y982" s="38"/>
      <c r="Z982" s="38"/>
    </row>
    <row r="983" spans="1:26" hidden="1">
      <c r="A983" s="38">
        <v>601</v>
      </c>
      <c r="B983" s="38"/>
      <c r="C983" s="38"/>
      <c r="D983" s="38"/>
      <c r="E983" s="38" t="s">
        <v>2431</v>
      </c>
      <c r="F983" s="43" t="s">
        <v>2432</v>
      </c>
      <c r="G983" s="44"/>
      <c r="H983" s="45"/>
      <c r="I983" s="38"/>
      <c r="J983" s="38">
        <f>511</f>
        <v>511</v>
      </c>
      <c r="K983" s="46">
        <v>1.7824074074074072E-3</v>
      </c>
      <c r="L983" s="47" t="s">
        <v>645</v>
      </c>
      <c r="M983" s="307"/>
      <c r="N983" s="307"/>
      <c r="O983" s="307">
        <f t="shared" si="20"/>
        <v>0</v>
      </c>
      <c r="P983" s="92"/>
      <c r="Q983" s="410" t="str">
        <f t="shared" ca="1" si="29"/>
        <v>https://www.youtube.com/watch?v=ZI3BJk08OWI</v>
      </c>
      <c r="R983" s="50"/>
      <c r="S983" s="50"/>
      <c r="T983" s="50"/>
      <c r="U983" s="52"/>
      <c r="V983" s="53"/>
      <c r="W983" s="60"/>
      <c r="X983" s="56"/>
      <c r="Y983" s="38"/>
      <c r="Z983" s="38"/>
    </row>
    <row r="984" spans="1:26" hidden="1">
      <c r="A984" s="38">
        <v>602</v>
      </c>
      <c r="B984" s="38"/>
      <c r="C984" s="38"/>
      <c r="D984" s="38"/>
      <c r="E984" s="38" t="s">
        <v>2436</v>
      </c>
      <c r="F984" s="43" t="s">
        <v>2438</v>
      </c>
      <c r="G984" s="44"/>
      <c r="H984" s="45"/>
      <c r="I984" s="38"/>
      <c r="J984" s="38">
        <f t="shared" ref="J984:J985" si="30">1*1000</f>
        <v>1000</v>
      </c>
      <c r="K984" s="46">
        <v>5.6481481481481478E-3</v>
      </c>
      <c r="L984" s="47" t="s">
        <v>645</v>
      </c>
      <c r="M984" s="307"/>
      <c r="N984" s="307"/>
      <c r="O984" s="307">
        <f t="shared" si="20"/>
        <v>0</v>
      </c>
      <c r="P984" s="92"/>
      <c r="Q984" s="410" t="str">
        <f t="shared" ca="1" si="29"/>
        <v>https://www.youtube.com/watch?v=84agoVdaycE</v>
      </c>
      <c r="R984" s="50"/>
      <c r="S984" s="50"/>
      <c r="T984" s="50"/>
      <c r="U984" s="52"/>
      <c r="V984" s="53"/>
      <c r="W984" s="60"/>
      <c r="X984" s="56"/>
      <c r="Y984" s="38"/>
      <c r="Z984" s="38"/>
    </row>
    <row r="985" spans="1:26" hidden="1">
      <c r="A985" s="38">
        <v>603</v>
      </c>
      <c r="B985" s="38"/>
      <c r="C985" s="38"/>
      <c r="D985" s="38"/>
      <c r="E985" s="38" t="s">
        <v>2443</v>
      </c>
      <c r="F985" s="43" t="s">
        <v>2444</v>
      </c>
      <c r="G985" s="44"/>
      <c r="H985" s="45"/>
      <c r="I985" s="38"/>
      <c r="J985" s="38">
        <f t="shared" si="30"/>
        <v>1000</v>
      </c>
      <c r="K985" s="46">
        <v>1.9791666666666668E-3</v>
      </c>
      <c r="L985" s="47" t="s">
        <v>645</v>
      </c>
      <c r="M985" s="307"/>
      <c r="N985" s="307"/>
      <c r="O985" s="307">
        <f t="shared" si="20"/>
        <v>0</v>
      </c>
      <c r="P985" s="92"/>
      <c r="Q985" s="410" t="str">
        <f t="shared" ca="1" si="29"/>
        <v>https://www.youtube.com/watch?v=sLe31yV0Fb4</v>
      </c>
      <c r="R985" s="50"/>
      <c r="S985" s="50"/>
      <c r="T985" s="50"/>
      <c r="U985" s="52"/>
      <c r="V985" s="53"/>
      <c r="W985" s="60"/>
      <c r="X985" s="56"/>
      <c r="Y985" s="38"/>
      <c r="Z985" s="38"/>
    </row>
    <row r="986" spans="1:26" hidden="1">
      <c r="A986" s="38">
        <v>604</v>
      </c>
      <c r="B986" s="38"/>
      <c r="C986" s="38"/>
      <c r="D986" s="38"/>
      <c r="E986" s="38" t="s">
        <v>2447</v>
      </c>
      <c r="F986" s="43" t="s">
        <v>2448</v>
      </c>
      <c r="G986" s="44"/>
      <c r="H986" s="45"/>
      <c r="I986" s="38"/>
      <c r="J986" s="38">
        <f>1.7*1000</f>
        <v>1700</v>
      </c>
      <c r="K986" s="46">
        <v>3.9351851851851857E-3</v>
      </c>
      <c r="L986" s="47" t="s">
        <v>645</v>
      </c>
      <c r="M986" s="307"/>
      <c r="N986" s="307"/>
      <c r="O986" s="307">
        <f t="shared" si="20"/>
        <v>0</v>
      </c>
      <c r="P986" s="92"/>
      <c r="Q986" s="410" t="str">
        <f t="shared" ca="1" si="29"/>
        <v>https://www.youtube.com/watch?v=0gtyqapBB3A</v>
      </c>
      <c r="R986" s="50"/>
      <c r="S986" s="50"/>
      <c r="T986" s="50"/>
      <c r="U986" s="52"/>
      <c r="V986" s="53"/>
      <c r="W986" s="60"/>
      <c r="X986" s="56"/>
      <c r="Y986" s="38"/>
      <c r="Z986" s="38"/>
    </row>
    <row r="987" spans="1:26" hidden="1">
      <c r="A987" s="38">
        <v>605</v>
      </c>
      <c r="B987" s="38"/>
      <c r="C987" s="38"/>
      <c r="D987" s="38"/>
      <c r="E987" s="38" t="s">
        <v>2450</v>
      </c>
      <c r="F987" s="43" t="s">
        <v>2451</v>
      </c>
      <c r="G987" s="44"/>
      <c r="H987" s="45"/>
      <c r="I987" s="38"/>
      <c r="J987" s="38">
        <f>429</f>
        <v>429</v>
      </c>
      <c r="K987" s="46">
        <v>1.5972222222222221E-3</v>
      </c>
      <c r="L987" s="47" t="s">
        <v>645</v>
      </c>
      <c r="M987" s="307"/>
      <c r="N987" s="307"/>
      <c r="O987" s="307">
        <f t="shared" si="20"/>
        <v>0</v>
      </c>
      <c r="P987" s="92"/>
      <c r="Q987" s="410" t="str">
        <f t="shared" ca="1" si="29"/>
        <v>https://www.youtube.com/watch?v=EKyX0QsZVJc</v>
      </c>
      <c r="R987" s="50"/>
      <c r="S987" s="50"/>
      <c r="T987" s="50"/>
      <c r="U987" s="52"/>
      <c r="V987" s="53"/>
      <c r="W987" s="60"/>
      <c r="X987" s="56"/>
      <c r="Y987" s="38"/>
      <c r="Z987" s="38"/>
    </row>
    <row r="988" spans="1:26" hidden="1">
      <c r="A988" s="38">
        <v>606</v>
      </c>
      <c r="B988" s="38"/>
      <c r="C988" s="38"/>
      <c r="D988" s="38"/>
      <c r="E988" s="38" t="s">
        <v>2453</v>
      </c>
      <c r="F988" s="43" t="s">
        <v>2454</v>
      </c>
      <c r="G988" s="44"/>
      <c r="H988" s="45"/>
      <c r="I988" s="38"/>
      <c r="J988" s="38">
        <f>2.1*1000</f>
        <v>2100</v>
      </c>
      <c r="K988" s="46">
        <v>1.9791666666666668E-3</v>
      </c>
      <c r="L988" s="47" t="s">
        <v>645</v>
      </c>
      <c r="M988" s="307"/>
      <c r="N988" s="307"/>
      <c r="O988" s="307">
        <f t="shared" si="20"/>
        <v>0</v>
      </c>
      <c r="P988" s="92"/>
      <c r="Q988" s="410" t="str">
        <f t="shared" ca="1" si="29"/>
        <v>https://www.youtube.com/watch?v=DrTFGS7SoCg</v>
      </c>
      <c r="R988" s="50"/>
      <c r="S988" s="50"/>
      <c r="T988" s="50"/>
      <c r="U988" s="52"/>
      <c r="V988" s="53"/>
      <c r="W988" s="60"/>
      <c r="X988" s="56"/>
      <c r="Y988" s="38"/>
      <c r="Z988" s="38"/>
    </row>
    <row r="989" spans="1:26" hidden="1">
      <c r="A989" s="38">
        <v>607</v>
      </c>
      <c r="B989" s="38"/>
      <c r="C989" s="38"/>
      <c r="D989" s="38"/>
      <c r="E989" s="38" t="s">
        <v>2456</v>
      </c>
      <c r="F989" s="43" t="s">
        <v>2457</v>
      </c>
      <c r="G989" s="44"/>
      <c r="H989" s="45"/>
      <c r="I989" s="38"/>
      <c r="J989" s="38">
        <f>468</f>
        <v>468</v>
      </c>
      <c r="K989" s="46">
        <v>8.7962962962962962E-4</v>
      </c>
      <c r="L989" s="47" t="s">
        <v>645</v>
      </c>
      <c r="M989" s="307"/>
      <c r="N989" s="307"/>
      <c r="O989" s="307">
        <f t="shared" si="20"/>
        <v>0</v>
      </c>
      <c r="P989" s="92"/>
      <c r="Q989" s="410" t="str">
        <f t="shared" ca="1" si="29"/>
        <v>https://www.youtube.com/watch?v=J2Z6w1bXfYc</v>
      </c>
      <c r="R989" s="50"/>
      <c r="S989" s="50"/>
      <c r="T989" s="50"/>
      <c r="U989" s="52"/>
      <c r="V989" s="53"/>
      <c r="W989" s="60"/>
      <c r="X989" s="56"/>
      <c r="Y989" s="38"/>
      <c r="Z989" s="38"/>
    </row>
    <row r="990" spans="1:26" hidden="1">
      <c r="A990" s="38">
        <v>608</v>
      </c>
      <c r="B990" s="38"/>
      <c r="C990" s="38"/>
      <c r="D990" s="38"/>
      <c r="E990" s="38" t="s">
        <v>2459</v>
      </c>
      <c r="F990" s="43" t="s">
        <v>2460</v>
      </c>
      <c r="G990" s="44"/>
      <c r="H990" s="45"/>
      <c r="I990" s="38"/>
      <c r="J990" s="38">
        <f>833</f>
        <v>833</v>
      </c>
      <c r="K990" s="46">
        <v>1.9907407407407408E-3</v>
      </c>
      <c r="L990" s="47" t="s">
        <v>645</v>
      </c>
      <c r="M990" s="307"/>
      <c r="N990" s="307"/>
      <c r="O990" s="307">
        <f t="shared" si="20"/>
        <v>0</v>
      </c>
      <c r="P990" s="92"/>
      <c r="Q990" s="410" t="str">
        <f t="shared" ca="1" si="29"/>
        <v>https://www.youtube.com/watch?v=1jVMegap8Ws</v>
      </c>
      <c r="R990" s="50"/>
      <c r="S990" s="50"/>
      <c r="T990" s="50"/>
      <c r="U990" s="52"/>
      <c r="V990" s="53"/>
      <c r="W990" s="60"/>
      <c r="X990" s="56"/>
      <c r="Y990" s="38"/>
      <c r="Z990" s="38"/>
    </row>
    <row r="991" spans="1:26" hidden="1">
      <c r="A991" s="38">
        <v>609</v>
      </c>
      <c r="B991" s="38"/>
      <c r="C991" s="38"/>
      <c r="D991" s="38"/>
      <c r="E991" s="38" t="s">
        <v>643</v>
      </c>
      <c r="F991" s="43" t="s">
        <v>644</v>
      </c>
      <c r="G991" s="44"/>
      <c r="H991" s="45"/>
      <c r="I991" s="38"/>
      <c r="J991" s="38">
        <f>32*1000</f>
        <v>32000</v>
      </c>
      <c r="K991" s="46">
        <v>3.8900462962962963E-2</v>
      </c>
      <c r="L991" s="47" t="s">
        <v>645</v>
      </c>
      <c r="M991" s="307"/>
      <c r="N991" s="307"/>
      <c r="O991" s="307">
        <f t="shared" si="20"/>
        <v>0</v>
      </c>
      <c r="P991" s="92"/>
      <c r="Q991" s="410" t="str">
        <f t="shared" ca="1" si="29"/>
        <v>https://www.youtube.com/watch?v=4W3kmjNG_K8</v>
      </c>
      <c r="R991" s="50"/>
      <c r="S991" s="50"/>
      <c r="T991" s="50"/>
      <c r="U991" s="52"/>
      <c r="V991" s="53"/>
      <c r="W991" s="60"/>
      <c r="X991" s="56"/>
      <c r="Y991" s="38"/>
      <c r="Z991" s="38"/>
    </row>
    <row r="992" spans="1:26" hidden="1">
      <c r="A992" s="38">
        <v>610</v>
      </c>
      <c r="B992" s="38"/>
      <c r="C992" s="38"/>
      <c r="D992" s="38"/>
      <c r="E992" s="38" t="s">
        <v>2461</v>
      </c>
      <c r="F992" s="43" t="s">
        <v>2462</v>
      </c>
      <c r="G992" s="44"/>
      <c r="H992" s="45"/>
      <c r="I992" s="38"/>
      <c r="J992" s="38">
        <f>14*1000</f>
        <v>14000</v>
      </c>
      <c r="K992" s="46">
        <v>1.1423611111111112E-2</v>
      </c>
      <c r="L992" s="47" t="s">
        <v>645</v>
      </c>
      <c r="M992" s="307"/>
      <c r="N992" s="307"/>
      <c r="O992" s="307">
        <f t="shared" si="20"/>
        <v>0</v>
      </c>
      <c r="P992" s="92"/>
      <c r="Q992" s="410" t="str">
        <f t="shared" ca="1" si="29"/>
        <v>https://www.youtube.com/watch?v=8usGAaPq-WY</v>
      </c>
      <c r="R992" s="50"/>
      <c r="S992" s="50"/>
      <c r="T992" s="50"/>
      <c r="U992" s="52"/>
      <c r="V992" s="53"/>
      <c r="W992" s="60"/>
      <c r="X992" s="56"/>
      <c r="Y992" s="38"/>
      <c r="Z992" s="38"/>
    </row>
    <row r="993" spans="1:26" hidden="1">
      <c r="A993" s="38">
        <v>611</v>
      </c>
      <c r="B993" s="38"/>
      <c r="C993" s="38"/>
      <c r="D993" s="38"/>
      <c r="E993" s="38" t="s">
        <v>2463</v>
      </c>
      <c r="F993" s="43" t="s">
        <v>2464</v>
      </c>
      <c r="G993" s="44"/>
      <c r="H993" s="45"/>
      <c r="I993" s="38"/>
      <c r="J993" s="38">
        <f>617</f>
        <v>617</v>
      </c>
      <c r="K993" s="46">
        <v>5.6481481481481478E-3</v>
      </c>
      <c r="L993" s="47" t="s">
        <v>645</v>
      </c>
      <c r="M993" s="307"/>
      <c r="N993" s="307"/>
      <c r="O993" s="307">
        <f t="shared" si="20"/>
        <v>0</v>
      </c>
      <c r="P993" s="92"/>
      <c r="Q993" s="410" t="str">
        <f t="shared" ca="1" si="29"/>
        <v>https://www.youtube.com/watch?v=RfiT3REVHxQ</v>
      </c>
      <c r="R993" s="50"/>
      <c r="S993" s="50"/>
      <c r="T993" s="50"/>
      <c r="U993" s="52"/>
      <c r="V993" s="53"/>
      <c r="W993" s="60"/>
      <c r="X993" s="56"/>
      <c r="Y993" s="38"/>
      <c r="Z993" s="38"/>
    </row>
    <row r="994" spans="1:26" hidden="1">
      <c r="A994" s="38">
        <v>612</v>
      </c>
      <c r="B994" s="38"/>
      <c r="C994" s="38"/>
      <c r="D994" s="38"/>
      <c r="E994" s="38" t="s">
        <v>2465</v>
      </c>
      <c r="F994" s="43" t="s">
        <v>2466</v>
      </c>
      <c r="G994" s="44"/>
      <c r="H994" s="45"/>
      <c r="I994" s="38"/>
      <c r="J994" s="38">
        <f>8.2*1000</f>
        <v>8200</v>
      </c>
      <c r="K994" s="46">
        <v>4.3622685185185188E-2</v>
      </c>
      <c r="L994" s="47" t="s">
        <v>645</v>
      </c>
      <c r="M994" s="307"/>
      <c r="N994" s="307"/>
      <c r="O994" s="307">
        <f t="shared" si="20"/>
        <v>0</v>
      </c>
      <c r="P994" s="92"/>
      <c r="Q994" s="410" t="str">
        <f t="shared" ca="1" si="29"/>
        <v>https://www.youtube.com/watch?v=r0tSX3M-7oM&amp;t=41s</v>
      </c>
      <c r="R994" s="50"/>
      <c r="S994" s="50"/>
      <c r="T994" s="50"/>
      <c r="U994" s="52"/>
      <c r="V994" s="53"/>
      <c r="W994" s="60"/>
      <c r="X994" s="56"/>
      <c r="Y994" s="38"/>
      <c r="Z994" s="38"/>
    </row>
    <row r="995" spans="1:26" hidden="1">
      <c r="A995" s="38">
        <v>613</v>
      </c>
      <c r="B995" s="38"/>
      <c r="C995" s="38"/>
      <c r="D995" s="38"/>
      <c r="E995" s="38" t="s">
        <v>2467</v>
      </c>
      <c r="F995" s="43" t="s">
        <v>2468</v>
      </c>
      <c r="G995" s="44"/>
      <c r="H995" s="45"/>
      <c r="I995" s="38"/>
      <c r="J995" s="38">
        <f>878</f>
        <v>878</v>
      </c>
      <c r="K995" s="46">
        <v>3.2870370370370367E-3</v>
      </c>
      <c r="L995" s="47" t="s">
        <v>645</v>
      </c>
      <c r="M995" s="307"/>
      <c r="N995" s="307"/>
      <c r="O995" s="307">
        <f t="shared" si="20"/>
        <v>0</v>
      </c>
      <c r="P995" s="92"/>
      <c r="Q995" s="410" t="str">
        <f t="shared" ca="1" si="29"/>
        <v>https://www.youtube.com/watch?v=9hi4MG3BU0Y</v>
      </c>
      <c r="R995" s="50"/>
      <c r="S995" s="50"/>
      <c r="T995" s="50"/>
      <c r="U995" s="52"/>
      <c r="V995" s="53"/>
      <c r="W995" s="60"/>
      <c r="X995" s="56"/>
      <c r="Y995" s="38"/>
      <c r="Z995" s="38"/>
    </row>
    <row r="996" spans="1:26" hidden="1">
      <c r="A996" s="38">
        <v>614</v>
      </c>
      <c r="B996" s="38"/>
      <c r="C996" s="38"/>
      <c r="D996" s="38"/>
      <c r="E996" s="38" t="s">
        <v>2469</v>
      </c>
      <c r="F996" s="43" t="s">
        <v>2470</v>
      </c>
      <c r="G996" s="44"/>
      <c r="H996" s="45"/>
      <c r="I996" s="38"/>
      <c r="J996" s="38">
        <f>2.7*1000</f>
        <v>2700</v>
      </c>
      <c r="K996" s="46">
        <v>3.483796296296296E-3</v>
      </c>
      <c r="L996" s="47" t="s">
        <v>645</v>
      </c>
      <c r="M996" s="307"/>
      <c r="N996" s="307"/>
      <c r="O996" s="307">
        <f t="shared" si="20"/>
        <v>0</v>
      </c>
      <c r="P996" s="92"/>
      <c r="Q996" s="410" t="str">
        <f t="shared" ca="1" si="29"/>
        <v>https://www.youtube.com/watch?v=uiJHx80DJcw</v>
      </c>
      <c r="R996" s="50"/>
      <c r="S996" s="50"/>
      <c r="T996" s="50"/>
      <c r="U996" s="52"/>
      <c r="V996" s="53"/>
      <c r="W996" s="60"/>
      <c r="X996" s="56"/>
      <c r="Y996" s="38"/>
      <c r="Z996" s="38"/>
    </row>
    <row r="997" spans="1:26">
      <c r="A997" s="38">
        <v>615</v>
      </c>
      <c r="B997" s="39" t="s">
        <v>54</v>
      </c>
      <c r="C997" s="40"/>
      <c r="D997" s="42" t="s">
        <v>56</v>
      </c>
      <c r="E997" s="38" t="s">
        <v>675</v>
      </c>
      <c r="F997" s="43" t="s">
        <v>676</v>
      </c>
      <c r="G997" s="44"/>
      <c r="H997" s="45"/>
      <c r="I997" s="38"/>
      <c r="J997" s="38">
        <f>4.3*1000</f>
        <v>4300</v>
      </c>
      <c r="K997" s="46">
        <v>5.004629629629629E-2</v>
      </c>
      <c r="L997" s="47" t="s">
        <v>645</v>
      </c>
      <c r="M997" s="48"/>
      <c r="N997" s="48"/>
      <c r="O997" s="48">
        <f t="shared" si="20"/>
        <v>0</v>
      </c>
      <c r="P997" s="65">
        <v>43055</v>
      </c>
      <c r="Q997" s="410" t="str">
        <f t="shared" ca="1" si="29"/>
        <v>https://www.youtube.com/watch?v=XWeFa6jUiPw</v>
      </c>
      <c r="R997" s="67" t="s">
        <v>63</v>
      </c>
      <c r="S997" s="112" t="s">
        <v>131</v>
      </c>
      <c r="T997" s="112" t="s">
        <v>63</v>
      </c>
      <c r="U997" s="52"/>
      <c r="V997" s="53"/>
      <c r="W997" s="57" t="s">
        <v>64</v>
      </c>
      <c r="X997" s="56"/>
      <c r="Y997" s="88"/>
      <c r="Z997" s="88"/>
    </row>
    <row r="998" spans="1:26">
      <c r="A998" s="42">
        <v>615.01</v>
      </c>
      <c r="B998" s="39" t="s">
        <v>54</v>
      </c>
      <c r="C998" s="40"/>
      <c r="D998" s="85" t="s">
        <v>56</v>
      </c>
      <c r="E998" s="38"/>
      <c r="F998" s="43"/>
      <c r="G998" s="63" t="s">
        <v>681</v>
      </c>
      <c r="H998" s="45"/>
      <c r="I998" s="38"/>
      <c r="J998" s="38"/>
      <c r="K998" s="46"/>
      <c r="L998" s="47"/>
      <c r="M998" s="64">
        <v>5.208333333333333E-3</v>
      </c>
      <c r="N998" s="64">
        <v>7.2453703703703708E-3</v>
      </c>
      <c r="O998" s="46">
        <f t="shared" si="20"/>
        <v>2.0370370370370377E-3</v>
      </c>
      <c r="P998" s="65">
        <v>43055</v>
      </c>
      <c r="Q998" s="410" t="str">
        <f t="shared" ca="1" si="29"/>
        <v>https://www.youtube.com/embed/XWeFa6jUiPw?start=450&amp;end=626&amp;autoplay=1</v>
      </c>
      <c r="R998" s="67" t="s">
        <v>63</v>
      </c>
      <c r="S998" s="112" t="s">
        <v>131</v>
      </c>
      <c r="T998" s="112" t="s">
        <v>63</v>
      </c>
      <c r="U998" s="52"/>
      <c r="V998" s="53"/>
      <c r="W998" s="57" t="s">
        <v>64</v>
      </c>
      <c r="X998" s="56"/>
      <c r="Y998" s="38"/>
      <c r="Z998" s="38"/>
    </row>
    <row r="999" spans="1:26">
      <c r="A999" s="42">
        <v>615.02</v>
      </c>
      <c r="B999" s="39" t="s">
        <v>54</v>
      </c>
      <c r="C999" s="40"/>
      <c r="D999" s="85" t="s">
        <v>56</v>
      </c>
      <c r="E999" s="38"/>
      <c r="F999" s="43"/>
      <c r="G999" s="63" t="s">
        <v>682</v>
      </c>
      <c r="H999" s="45"/>
      <c r="I999" s="38"/>
      <c r="J999" s="38"/>
      <c r="K999" s="46"/>
      <c r="L999" s="47"/>
      <c r="M999" s="64">
        <v>8.1944444444444452E-3</v>
      </c>
      <c r="N999" s="64">
        <v>1.3159722222222222E-2</v>
      </c>
      <c r="O999" s="46">
        <f t="shared" si="20"/>
        <v>4.9652777777777768E-3</v>
      </c>
      <c r="P999" s="65">
        <v>43055</v>
      </c>
      <c r="Q999" s="410" t="str">
        <f t="shared" ca="1" si="29"/>
        <v>https://www.youtube.com/embed/XWeFa6jUiPw?start=708&amp;end=1137&amp;autoplay=1</v>
      </c>
      <c r="R999" s="67" t="s">
        <v>63</v>
      </c>
      <c r="S999" s="112" t="s">
        <v>131</v>
      </c>
      <c r="T999" s="112" t="s">
        <v>63</v>
      </c>
      <c r="U999" s="52"/>
      <c r="V999" s="53"/>
      <c r="W999" s="57" t="s">
        <v>64</v>
      </c>
      <c r="X999" s="56"/>
      <c r="Y999" s="38"/>
      <c r="Z999" s="38"/>
    </row>
    <row r="1000" spans="1:26">
      <c r="A1000" s="42">
        <v>615.03</v>
      </c>
      <c r="B1000" s="39" t="s">
        <v>54</v>
      </c>
      <c r="C1000" s="40"/>
      <c r="D1000" s="85" t="s">
        <v>56</v>
      </c>
      <c r="E1000" s="38"/>
      <c r="F1000" s="43"/>
      <c r="G1000" s="63" t="s">
        <v>685</v>
      </c>
      <c r="H1000" s="45"/>
      <c r="I1000" s="38"/>
      <c r="J1000" s="38"/>
      <c r="K1000" s="46"/>
      <c r="L1000" s="47"/>
      <c r="M1000" s="64">
        <v>1.3159722222222222E-2</v>
      </c>
      <c r="N1000" s="64">
        <v>1.6493055555555556E-2</v>
      </c>
      <c r="O1000" s="46">
        <f t="shared" si="20"/>
        <v>3.333333333333334E-3</v>
      </c>
      <c r="P1000" s="65">
        <v>43055</v>
      </c>
      <c r="Q1000" s="410" t="str">
        <f t="shared" ca="1" si="29"/>
        <v>https://www.youtube.com/embed/XWeFa6jUiPw?start=1137&amp;end=1425&amp;autoplay=1</v>
      </c>
      <c r="R1000" s="67" t="s">
        <v>63</v>
      </c>
      <c r="S1000" s="112" t="s">
        <v>131</v>
      </c>
      <c r="T1000" s="112" t="s">
        <v>63</v>
      </c>
      <c r="U1000" s="52"/>
      <c r="V1000" s="53"/>
      <c r="W1000" s="57" t="s">
        <v>64</v>
      </c>
      <c r="X1000" s="56"/>
      <c r="Y1000" s="38"/>
      <c r="Z1000" s="38"/>
    </row>
    <row r="1001" spans="1:26">
      <c r="A1001" s="42">
        <v>615.04</v>
      </c>
      <c r="B1001" s="39" t="s">
        <v>54</v>
      </c>
      <c r="C1001" s="40"/>
      <c r="D1001" s="85" t="s">
        <v>56</v>
      </c>
      <c r="E1001" s="38"/>
      <c r="F1001" s="43"/>
      <c r="G1001" s="63" t="s">
        <v>688</v>
      </c>
      <c r="H1001" s="45"/>
      <c r="I1001" s="38"/>
      <c r="J1001" s="38"/>
      <c r="K1001" s="46"/>
      <c r="L1001" s="47"/>
      <c r="M1001" s="64">
        <v>1.6516203703703703E-2</v>
      </c>
      <c r="N1001" s="64">
        <v>2.1041666666666667E-2</v>
      </c>
      <c r="O1001" s="46">
        <f t="shared" si="20"/>
        <v>4.5254629629629638E-3</v>
      </c>
      <c r="P1001" s="65">
        <v>43055</v>
      </c>
      <c r="Q1001" s="410" t="str">
        <f t="shared" ca="1" si="29"/>
        <v>https://www.youtube.com/embed/XWeFa6jUiPw?start=1427&amp;end=1818&amp;autoplay=1</v>
      </c>
      <c r="R1001" s="67" t="s">
        <v>63</v>
      </c>
      <c r="S1001" s="112" t="s">
        <v>131</v>
      </c>
      <c r="T1001" s="112" t="s">
        <v>63</v>
      </c>
      <c r="U1001" s="52"/>
      <c r="V1001" s="53"/>
      <c r="W1001" s="57" t="s">
        <v>64</v>
      </c>
      <c r="X1001" s="56"/>
      <c r="Y1001" s="38"/>
      <c r="Z1001" s="38"/>
    </row>
    <row r="1002" spans="1:26">
      <c r="A1002" s="42">
        <v>615.04999999999995</v>
      </c>
      <c r="B1002" s="39" t="s">
        <v>54</v>
      </c>
      <c r="C1002" s="40"/>
      <c r="D1002" s="85" t="s">
        <v>56</v>
      </c>
      <c r="E1002" s="38"/>
      <c r="F1002" s="43"/>
      <c r="G1002" s="63" t="s">
        <v>691</v>
      </c>
      <c r="H1002" s="45"/>
      <c r="I1002" s="38"/>
      <c r="J1002" s="38"/>
      <c r="K1002" s="46"/>
      <c r="L1002" s="47"/>
      <c r="M1002" s="64">
        <v>2.105324074074074E-2</v>
      </c>
      <c r="N1002" s="64">
        <v>2.630787037037037E-2</v>
      </c>
      <c r="O1002" s="46">
        <f t="shared" si="20"/>
        <v>5.2546296296296299E-3</v>
      </c>
      <c r="P1002" s="65">
        <v>43055</v>
      </c>
      <c r="Q1002" s="410" t="str">
        <f t="shared" ca="1" si="29"/>
        <v>https://www.youtube.com/embed/XWeFa6jUiPw?start=1819&amp;end=2273&amp;autoplay=1</v>
      </c>
      <c r="R1002" s="67" t="s">
        <v>63</v>
      </c>
      <c r="S1002" s="112" t="s">
        <v>131</v>
      </c>
      <c r="T1002" s="112" t="s">
        <v>63</v>
      </c>
      <c r="U1002" s="52"/>
      <c r="V1002" s="53"/>
      <c r="W1002" s="57" t="s">
        <v>64</v>
      </c>
      <c r="X1002" s="56"/>
      <c r="Y1002" s="38"/>
      <c r="Z1002" s="38"/>
    </row>
    <row r="1003" spans="1:26">
      <c r="A1003" s="42">
        <v>615.05999999999995</v>
      </c>
      <c r="B1003" s="39" t="s">
        <v>54</v>
      </c>
      <c r="C1003" s="40"/>
      <c r="D1003" s="85" t="s">
        <v>56</v>
      </c>
      <c r="E1003" s="38"/>
      <c r="F1003" s="43"/>
      <c r="G1003" s="63" t="s">
        <v>693</v>
      </c>
      <c r="H1003" s="45"/>
      <c r="I1003" s="38"/>
      <c r="J1003" s="38"/>
      <c r="K1003" s="46"/>
      <c r="L1003" s="47"/>
      <c r="M1003" s="64">
        <v>2.6319444444444444E-2</v>
      </c>
      <c r="N1003" s="64">
        <v>3.0347222222222223E-2</v>
      </c>
      <c r="O1003" s="46">
        <f t="shared" si="20"/>
        <v>4.0277777777777794E-3</v>
      </c>
      <c r="P1003" s="65">
        <v>43055</v>
      </c>
      <c r="Q1003" s="410" t="str">
        <f t="shared" ca="1" si="29"/>
        <v>https://www.youtube.com/embed/XWeFa6jUiPw?start=2274&amp;end=2622&amp;autoplay=1</v>
      </c>
      <c r="R1003" s="67" t="s">
        <v>63</v>
      </c>
      <c r="S1003" s="112" t="s">
        <v>131</v>
      </c>
      <c r="T1003" s="112" t="s">
        <v>63</v>
      </c>
      <c r="U1003" s="52"/>
      <c r="V1003" s="53"/>
      <c r="W1003" s="57" t="s">
        <v>64</v>
      </c>
      <c r="X1003" s="56"/>
      <c r="Y1003" s="38"/>
      <c r="Z1003" s="38"/>
    </row>
    <row r="1004" spans="1:26">
      <c r="A1004" s="42">
        <v>615.07000000000005</v>
      </c>
      <c r="B1004" s="39" t="s">
        <v>54</v>
      </c>
      <c r="C1004" s="40"/>
      <c r="D1004" s="85" t="s">
        <v>56</v>
      </c>
      <c r="E1004" s="38"/>
      <c r="F1004" s="43"/>
      <c r="G1004" s="63" t="s">
        <v>695</v>
      </c>
      <c r="H1004" s="45"/>
      <c r="I1004" s="38"/>
      <c r="J1004" s="38"/>
      <c r="K1004" s="46"/>
      <c r="L1004" s="47"/>
      <c r="M1004" s="64">
        <v>3.0208333333333334E-2</v>
      </c>
      <c r="N1004" s="64">
        <v>3.4004629629629628E-2</v>
      </c>
      <c r="O1004" s="46">
        <f t="shared" si="20"/>
        <v>3.7962962962962941E-3</v>
      </c>
      <c r="P1004" s="65">
        <v>43055</v>
      </c>
      <c r="Q1004" s="410" t="str">
        <f t="shared" ca="1" si="29"/>
        <v>https://www.youtube.com/embed/XWeFa6jUiPw?start=2610&amp;end=2938&amp;autoplay=1</v>
      </c>
      <c r="R1004" s="67" t="s">
        <v>63</v>
      </c>
      <c r="S1004" s="112" t="s">
        <v>131</v>
      </c>
      <c r="T1004" s="112" t="s">
        <v>63</v>
      </c>
      <c r="U1004" s="52"/>
      <c r="V1004" s="53"/>
      <c r="W1004" s="57" t="s">
        <v>64</v>
      </c>
      <c r="X1004" s="56"/>
      <c r="Y1004" s="38"/>
      <c r="Z1004" s="38"/>
    </row>
    <row r="1005" spans="1:26">
      <c r="A1005" s="42">
        <v>615.08000000000004</v>
      </c>
      <c r="B1005" s="39" t="s">
        <v>54</v>
      </c>
      <c r="C1005" s="40"/>
      <c r="D1005" s="85" t="s">
        <v>56</v>
      </c>
      <c r="E1005" s="38"/>
      <c r="F1005" s="43"/>
      <c r="G1005" s="63" t="s">
        <v>698</v>
      </c>
      <c r="H1005" s="45"/>
      <c r="I1005" s="38"/>
      <c r="J1005" s="38"/>
      <c r="K1005" s="46"/>
      <c r="L1005" s="47"/>
      <c r="M1005" s="64">
        <v>3.4050925925925929E-2</v>
      </c>
      <c r="N1005" s="64">
        <v>3.6689814814814814E-2</v>
      </c>
      <c r="O1005" s="46">
        <f t="shared" si="20"/>
        <v>2.6388888888888851E-3</v>
      </c>
      <c r="P1005" s="65">
        <v>43055</v>
      </c>
      <c r="Q1005" s="410" t="str">
        <f t="shared" ca="1" si="29"/>
        <v>https://www.youtube.com/embed/XWeFa6jUiPw?start=2942&amp;end=3170&amp;autoplay=1</v>
      </c>
      <c r="R1005" s="67" t="s">
        <v>63</v>
      </c>
      <c r="S1005" s="112" t="s">
        <v>131</v>
      </c>
      <c r="T1005" s="112" t="s">
        <v>63</v>
      </c>
      <c r="U1005" s="52"/>
      <c r="V1005" s="53"/>
      <c r="W1005" s="57" t="s">
        <v>64</v>
      </c>
      <c r="X1005" s="56"/>
      <c r="Y1005" s="38"/>
      <c r="Z1005" s="38"/>
    </row>
    <row r="1006" spans="1:26">
      <c r="A1006" s="42">
        <v>615.09</v>
      </c>
      <c r="B1006" s="39" t="s">
        <v>54</v>
      </c>
      <c r="C1006" s="40"/>
      <c r="D1006" s="85" t="s">
        <v>56</v>
      </c>
      <c r="E1006" s="38"/>
      <c r="F1006" s="43"/>
      <c r="G1006" s="63" t="s">
        <v>701</v>
      </c>
      <c r="H1006" s="45"/>
      <c r="I1006" s="38"/>
      <c r="J1006" s="38"/>
      <c r="K1006" s="46"/>
      <c r="L1006" s="47"/>
      <c r="M1006" s="64">
        <v>3.6712962962962961E-2</v>
      </c>
      <c r="N1006" s="64">
        <v>4.0312500000000001E-2</v>
      </c>
      <c r="O1006" s="46">
        <f t="shared" si="20"/>
        <v>3.59953703703704E-3</v>
      </c>
      <c r="P1006" s="65">
        <v>43057</v>
      </c>
      <c r="Q1006" s="410" t="str">
        <f t="shared" ca="1" si="29"/>
        <v>https://www.youtube.com/embed/XWeFa6jUiPw?start=3172&amp;end=3483&amp;autoplay=1</v>
      </c>
      <c r="R1006" s="67" t="s">
        <v>63</v>
      </c>
      <c r="S1006" s="112" t="s">
        <v>131</v>
      </c>
      <c r="T1006" s="112" t="s">
        <v>63</v>
      </c>
      <c r="U1006" s="52"/>
      <c r="V1006" s="53"/>
      <c r="W1006" s="57" t="s">
        <v>64</v>
      </c>
      <c r="X1006" s="56"/>
      <c r="Y1006" s="38"/>
      <c r="Z1006" s="38"/>
    </row>
    <row r="1007" spans="1:26">
      <c r="A1007" s="85">
        <v>615.1</v>
      </c>
      <c r="B1007" s="39" t="s">
        <v>54</v>
      </c>
      <c r="C1007" s="40"/>
      <c r="D1007" s="85" t="s">
        <v>56</v>
      </c>
      <c r="E1007" s="38"/>
      <c r="F1007" s="43"/>
      <c r="G1007" s="63" t="s">
        <v>702</v>
      </c>
      <c r="H1007" s="45"/>
      <c r="I1007" s="38"/>
      <c r="J1007" s="38"/>
      <c r="K1007" s="46"/>
      <c r="L1007" s="47"/>
      <c r="M1007" s="64">
        <v>4.0358796296296295E-2</v>
      </c>
      <c r="N1007" s="64">
        <v>4.5115740740740741E-2</v>
      </c>
      <c r="O1007" s="46">
        <f t="shared" si="20"/>
        <v>4.7569444444444456E-3</v>
      </c>
      <c r="P1007" s="65">
        <v>43057</v>
      </c>
      <c r="Q1007" s="410" t="str">
        <f t="shared" ca="1" si="29"/>
        <v>https://www.youtube.com/embed/XWeFa6jUiPw?start=3487&amp;end=3898&amp;autoplay=1</v>
      </c>
      <c r="R1007" s="67" t="s">
        <v>63</v>
      </c>
      <c r="S1007" s="112" t="s">
        <v>131</v>
      </c>
      <c r="T1007" s="112" t="s">
        <v>63</v>
      </c>
      <c r="U1007" s="52"/>
      <c r="V1007" s="53"/>
      <c r="W1007" s="57" t="s">
        <v>64</v>
      </c>
      <c r="X1007" s="56"/>
      <c r="Y1007" s="38"/>
      <c r="Z1007" s="38"/>
    </row>
    <row r="1008" spans="1:26">
      <c r="A1008" s="42">
        <v>615.11</v>
      </c>
      <c r="B1008" s="39" t="s">
        <v>54</v>
      </c>
      <c r="C1008" s="40"/>
      <c r="D1008" s="85" t="s">
        <v>56</v>
      </c>
      <c r="E1008" s="38"/>
      <c r="F1008" s="43"/>
      <c r="G1008" s="63" t="s">
        <v>705</v>
      </c>
      <c r="H1008" s="45"/>
      <c r="I1008" s="38"/>
      <c r="J1008" s="38"/>
      <c r="K1008" s="46"/>
      <c r="L1008" s="47"/>
      <c r="M1008" s="64">
        <v>4.5127314814814815E-2</v>
      </c>
      <c r="N1008" s="64">
        <v>0.05</v>
      </c>
      <c r="O1008" s="46">
        <f t="shared" si="20"/>
        <v>4.8726851851851882E-3</v>
      </c>
      <c r="P1008" s="65">
        <v>43057</v>
      </c>
      <c r="Q1008" s="410" t="str">
        <f t="shared" ca="1" si="29"/>
        <v>https://www.youtube.com/embed/XWeFa6jUiPw?start=3899&amp;end=4320&amp;autoplay=1</v>
      </c>
      <c r="R1008" s="67" t="s">
        <v>63</v>
      </c>
      <c r="S1008" s="112" t="s">
        <v>131</v>
      </c>
      <c r="T1008" s="112" t="s">
        <v>63</v>
      </c>
      <c r="U1008" s="52"/>
      <c r="V1008" s="53"/>
      <c r="W1008" s="57" t="s">
        <v>64</v>
      </c>
      <c r="X1008" s="56"/>
      <c r="Y1008" s="38"/>
      <c r="Z1008" s="38"/>
    </row>
    <row r="1009" spans="1:26" hidden="1">
      <c r="A1009" s="38">
        <v>616</v>
      </c>
      <c r="B1009" s="38"/>
      <c r="C1009" s="38"/>
      <c r="D1009" s="38"/>
      <c r="E1009" s="38" t="s">
        <v>2471</v>
      </c>
      <c r="F1009" s="43" t="s">
        <v>2472</v>
      </c>
      <c r="G1009" s="44"/>
      <c r="H1009" s="45"/>
      <c r="I1009" s="38"/>
      <c r="J1009" s="38">
        <f>8.9*1000</f>
        <v>8900</v>
      </c>
      <c r="K1009" s="46">
        <v>3.8819444444444441E-2</v>
      </c>
      <c r="L1009" s="47" t="s">
        <v>1956</v>
      </c>
      <c r="M1009" s="307"/>
      <c r="N1009" s="307"/>
      <c r="O1009" s="307">
        <f t="shared" si="20"/>
        <v>0</v>
      </c>
      <c r="P1009" s="92"/>
      <c r="Q1009" s="410" t="str">
        <f t="shared" ca="1" si="29"/>
        <v>https://www.youtube.com/watch?v=Y5sHrOViVq0</v>
      </c>
      <c r="R1009" s="50"/>
      <c r="S1009" s="50"/>
      <c r="T1009" s="50"/>
      <c r="U1009" s="52"/>
      <c r="V1009" s="53"/>
      <c r="W1009" s="60"/>
      <c r="X1009" s="56"/>
      <c r="Y1009" s="38"/>
      <c r="Z1009" s="38"/>
    </row>
    <row r="1010" spans="1:26" hidden="1">
      <c r="A1010" s="38">
        <v>617</v>
      </c>
      <c r="B1010" s="38"/>
      <c r="C1010" s="38"/>
      <c r="D1010" s="38"/>
      <c r="E1010" s="38" t="s">
        <v>2473</v>
      </c>
      <c r="F1010" s="43" t="s">
        <v>2474</v>
      </c>
      <c r="G1010" s="44"/>
      <c r="H1010" s="45"/>
      <c r="I1010" s="38"/>
      <c r="J1010" s="38">
        <f>72*1000</f>
        <v>72000</v>
      </c>
      <c r="K1010" s="46">
        <v>0.11864583333333334</v>
      </c>
      <c r="L1010" s="47" t="s">
        <v>1956</v>
      </c>
      <c r="M1010" s="307"/>
      <c r="N1010" s="307"/>
      <c r="O1010" s="307">
        <f t="shared" si="20"/>
        <v>0</v>
      </c>
      <c r="P1010" s="92"/>
      <c r="Q1010" s="410" t="str">
        <f t="shared" ca="1" si="29"/>
        <v>https://www.youtube.com/watch?v=SNAHZpRl3go</v>
      </c>
      <c r="R1010" s="50"/>
      <c r="S1010" s="50"/>
      <c r="T1010" s="50"/>
      <c r="U1010" s="52"/>
      <c r="V1010" s="53"/>
      <c r="W1010" s="60"/>
      <c r="X1010" s="56"/>
      <c r="Y1010" s="38"/>
      <c r="Z1010" s="38"/>
    </row>
    <row r="1011" spans="1:26" hidden="1">
      <c r="A1011" s="38">
        <v>618</v>
      </c>
      <c r="B1011" s="38"/>
      <c r="C1011" s="38"/>
      <c r="D1011" s="38"/>
      <c r="E1011" s="38" t="s">
        <v>2475</v>
      </c>
      <c r="F1011" s="43" t="s">
        <v>2476</v>
      </c>
      <c r="G1011" s="44"/>
      <c r="H1011" s="45"/>
      <c r="I1011" s="38"/>
      <c r="J1011" s="38">
        <f>12*1000</f>
        <v>12000</v>
      </c>
      <c r="K1011" s="46">
        <v>3.2708333333333332E-2</v>
      </c>
      <c r="L1011" s="47" t="s">
        <v>1956</v>
      </c>
      <c r="M1011" s="307"/>
      <c r="N1011" s="307"/>
      <c r="O1011" s="307">
        <f t="shared" si="20"/>
        <v>0</v>
      </c>
      <c r="P1011" s="92"/>
      <c r="Q1011" s="410" t="str">
        <f t="shared" ca="1" si="29"/>
        <v>https://www.youtube.com/watch?v=kDDNkLWPpUc</v>
      </c>
      <c r="R1011" s="50"/>
      <c r="S1011" s="50"/>
      <c r="T1011" s="50"/>
      <c r="U1011" s="52"/>
      <c r="V1011" s="53"/>
      <c r="W1011" s="60"/>
      <c r="X1011" s="56"/>
      <c r="Y1011" s="38"/>
      <c r="Z1011" s="38"/>
    </row>
    <row r="1012" spans="1:26" hidden="1">
      <c r="A1012" s="38">
        <v>619</v>
      </c>
      <c r="B1012" s="38"/>
      <c r="C1012" s="38"/>
      <c r="D1012" s="38"/>
      <c r="E1012" s="38" t="s">
        <v>2477</v>
      </c>
      <c r="F1012" s="43" t="s">
        <v>2478</v>
      </c>
      <c r="G1012" s="44"/>
      <c r="H1012" s="45"/>
      <c r="I1012" s="38"/>
      <c r="J1012" s="38">
        <f>657</f>
        <v>657</v>
      </c>
      <c r="K1012" s="46">
        <v>3.7847222222222223E-3</v>
      </c>
      <c r="L1012" s="47" t="s">
        <v>1956</v>
      </c>
      <c r="M1012" s="307"/>
      <c r="N1012" s="307"/>
      <c r="O1012" s="307">
        <f t="shared" si="20"/>
        <v>0</v>
      </c>
      <c r="P1012" s="92"/>
      <c r="Q1012" s="410" t="str">
        <f t="shared" ca="1" si="29"/>
        <v>https://www.youtube.com/watch?v=Vrv16kSoTLQ</v>
      </c>
      <c r="R1012" s="50"/>
      <c r="S1012" s="50"/>
      <c r="T1012" s="50"/>
      <c r="U1012" s="52"/>
      <c r="V1012" s="53"/>
      <c r="W1012" s="60"/>
      <c r="X1012" s="56"/>
      <c r="Y1012" s="38"/>
      <c r="Z1012" s="38"/>
    </row>
    <row r="1013" spans="1:26" hidden="1">
      <c r="A1013" s="38">
        <v>620</v>
      </c>
      <c r="B1013" s="38"/>
      <c r="C1013" s="38"/>
      <c r="D1013" s="38"/>
      <c r="E1013" s="38" t="s">
        <v>2479</v>
      </c>
      <c r="F1013" s="43" t="s">
        <v>2480</v>
      </c>
      <c r="G1013" s="44"/>
      <c r="H1013" s="45"/>
      <c r="I1013" s="38"/>
      <c r="J1013" s="38">
        <f>624</f>
        <v>624</v>
      </c>
      <c r="K1013" s="46">
        <v>6.2500000000000001E-4</v>
      </c>
      <c r="L1013" s="47" t="s">
        <v>1956</v>
      </c>
      <c r="M1013" s="307"/>
      <c r="N1013" s="307"/>
      <c r="O1013" s="307">
        <f t="shared" si="20"/>
        <v>0</v>
      </c>
      <c r="P1013" s="92"/>
      <c r="Q1013" s="410" t="str">
        <f t="shared" ca="1" si="29"/>
        <v>https://www.youtube.com/watch?v=1k_PbRxkEqo</v>
      </c>
      <c r="R1013" s="50"/>
      <c r="S1013" s="50"/>
      <c r="T1013" s="50"/>
      <c r="U1013" s="52"/>
      <c r="V1013" s="53"/>
      <c r="W1013" s="60"/>
      <c r="X1013" s="56"/>
      <c r="Y1013" s="38"/>
      <c r="Z1013" s="38"/>
    </row>
    <row r="1014" spans="1:26" hidden="1">
      <c r="A1014" s="38">
        <v>621</v>
      </c>
      <c r="B1014" s="38"/>
      <c r="C1014" s="38"/>
      <c r="D1014" s="38"/>
      <c r="E1014" s="38" t="s">
        <v>2481</v>
      </c>
      <c r="F1014" s="43" t="s">
        <v>2482</v>
      </c>
      <c r="G1014" s="44"/>
      <c r="H1014" s="45"/>
      <c r="I1014" s="38"/>
      <c r="J1014" s="38">
        <f>461</f>
        <v>461</v>
      </c>
      <c r="K1014" s="46">
        <v>1.3078703703703705E-3</v>
      </c>
      <c r="L1014" s="47" t="s">
        <v>1956</v>
      </c>
      <c r="M1014" s="307"/>
      <c r="N1014" s="307"/>
      <c r="O1014" s="307">
        <f t="shared" si="20"/>
        <v>0</v>
      </c>
      <c r="P1014" s="92"/>
      <c r="Q1014" s="410" t="str">
        <f t="shared" ca="1" si="29"/>
        <v>https://www.youtube.com/watch?v=JZ7LHVZfMwM</v>
      </c>
      <c r="R1014" s="50"/>
      <c r="S1014" s="50"/>
      <c r="T1014" s="50"/>
      <c r="U1014" s="52"/>
      <c r="V1014" s="53"/>
      <c r="W1014" s="60"/>
      <c r="X1014" s="56"/>
      <c r="Y1014" s="38"/>
      <c r="Z1014" s="38"/>
    </row>
    <row r="1015" spans="1:26" hidden="1">
      <c r="A1015" s="38">
        <v>622</v>
      </c>
      <c r="B1015" s="38"/>
      <c r="C1015" s="38"/>
      <c r="D1015" s="38"/>
      <c r="E1015" s="38" t="s">
        <v>2483</v>
      </c>
      <c r="F1015" s="43" t="s">
        <v>2484</v>
      </c>
      <c r="G1015" s="44"/>
      <c r="H1015" s="45"/>
      <c r="I1015" s="38"/>
      <c r="J1015" s="38">
        <f>369</f>
        <v>369</v>
      </c>
      <c r="K1015" s="46">
        <v>2.5462962962962961E-3</v>
      </c>
      <c r="L1015" s="47" t="s">
        <v>1956</v>
      </c>
      <c r="M1015" s="307"/>
      <c r="N1015" s="307"/>
      <c r="O1015" s="307">
        <f t="shared" si="20"/>
        <v>0</v>
      </c>
      <c r="P1015" s="92"/>
      <c r="Q1015" s="410" t="str">
        <f t="shared" ca="1" si="29"/>
        <v>https://www.youtube.com/watch?v=-pTe3fDFF7U</v>
      </c>
      <c r="R1015" s="50"/>
      <c r="S1015" s="50"/>
      <c r="T1015" s="50"/>
      <c r="U1015" s="52"/>
      <c r="V1015" s="53"/>
      <c r="W1015" s="60"/>
      <c r="X1015" s="56"/>
      <c r="Y1015" s="38"/>
      <c r="Z1015" s="38"/>
    </row>
    <row r="1016" spans="1:26" hidden="1">
      <c r="A1016" s="38">
        <v>623</v>
      </c>
      <c r="B1016" s="38"/>
      <c r="C1016" s="38"/>
      <c r="D1016" s="38"/>
      <c r="E1016" s="38" t="s">
        <v>2485</v>
      </c>
      <c r="F1016" s="43" t="s">
        <v>2486</v>
      </c>
      <c r="G1016" s="44"/>
      <c r="H1016" s="45"/>
      <c r="I1016" s="38"/>
      <c r="J1016" s="38">
        <f>554</f>
        <v>554</v>
      </c>
      <c r="K1016" s="46">
        <v>5.3125000000000004E-3</v>
      </c>
      <c r="L1016" s="47" t="s">
        <v>1956</v>
      </c>
      <c r="M1016" s="307"/>
      <c r="N1016" s="307"/>
      <c r="O1016" s="307">
        <f t="shared" si="20"/>
        <v>0</v>
      </c>
      <c r="P1016" s="92"/>
      <c r="Q1016" s="410" t="str">
        <f t="shared" ca="1" si="29"/>
        <v>https://www.youtube.com/watch?v=HzuZ57Y3-VQ</v>
      </c>
      <c r="R1016" s="50"/>
      <c r="S1016" s="50"/>
      <c r="T1016" s="50"/>
      <c r="U1016" s="52"/>
      <c r="V1016" s="53"/>
      <c r="W1016" s="60"/>
      <c r="X1016" s="56"/>
      <c r="Y1016" s="38"/>
      <c r="Z1016" s="38"/>
    </row>
    <row r="1017" spans="1:26" hidden="1">
      <c r="A1017" s="38">
        <v>624</v>
      </c>
      <c r="B1017" s="38"/>
      <c r="C1017" s="38"/>
      <c r="D1017" s="38"/>
      <c r="E1017" s="38" t="s">
        <v>1952</v>
      </c>
      <c r="F1017" s="43" t="s">
        <v>1953</v>
      </c>
      <c r="G1017" s="44"/>
      <c r="H1017" s="45"/>
      <c r="I1017" s="38"/>
      <c r="J1017" s="38">
        <f>8.5*1000</f>
        <v>8500</v>
      </c>
      <c r="K1017" s="46">
        <v>5.7048611111111112E-2</v>
      </c>
      <c r="L1017" s="47" t="s">
        <v>1956</v>
      </c>
      <c r="M1017" s="307"/>
      <c r="N1017" s="307"/>
      <c r="O1017" s="307">
        <f t="shared" si="20"/>
        <v>0</v>
      </c>
      <c r="P1017" s="92"/>
      <c r="Q1017" s="410" t="str">
        <f t="shared" ca="1" si="29"/>
        <v>https://www.youtube.com/watch?v=b96t52xbmO8</v>
      </c>
      <c r="R1017" s="50"/>
      <c r="S1017" s="50"/>
      <c r="T1017" s="50"/>
      <c r="U1017" s="52"/>
      <c r="V1017" s="53"/>
      <c r="W1017" s="60"/>
      <c r="X1017" s="56"/>
      <c r="Y1017" s="38"/>
      <c r="Z1017" s="38"/>
    </row>
    <row r="1018" spans="1:26" hidden="1">
      <c r="A1018" s="38">
        <v>625</v>
      </c>
      <c r="B1018" s="38"/>
      <c r="C1018" s="38"/>
      <c r="D1018" s="38"/>
      <c r="E1018" s="38" t="s">
        <v>2487</v>
      </c>
      <c r="F1018" s="43" t="s">
        <v>2488</v>
      </c>
      <c r="G1018" s="44"/>
      <c r="H1018" s="45"/>
      <c r="I1018" s="38"/>
      <c r="J1018" s="38">
        <f>686</f>
        <v>686</v>
      </c>
      <c r="K1018" s="46">
        <v>8.3333333333333339E-4</v>
      </c>
      <c r="L1018" s="47" t="s">
        <v>1956</v>
      </c>
      <c r="M1018" s="307"/>
      <c r="N1018" s="307"/>
      <c r="O1018" s="307">
        <f t="shared" si="20"/>
        <v>0</v>
      </c>
      <c r="P1018" s="92"/>
      <c r="Q1018" s="410" t="str">
        <f t="shared" ca="1" si="29"/>
        <v>https://www.youtube.com/watch?v=6M1Mp5tvk-E</v>
      </c>
      <c r="R1018" s="50"/>
      <c r="S1018" s="50"/>
      <c r="T1018" s="50"/>
      <c r="U1018" s="52"/>
      <c r="V1018" s="53"/>
      <c r="W1018" s="60"/>
      <c r="X1018" s="56"/>
      <c r="Y1018" s="38"/>
      <c r="Z1018" s="38"/>
    </row>
    <row r="1019" spans="1:26" hidden="1">
      <c r="A1019" s="38">
        <v>626</v>
      </c>
      <c r="B1019" s="38"/>
      <c r="C1019" s="38"/>
      <c r="D1019" s="38"/>
      <c r="E1019" s="38" t="s">
        <v>2055</v>
      </c>
      <c r="F1019" s="43" t="s">
        <v>2056</v>
      </c>
      <c r="G1019" s="44"/>
      <c r="H1019" s="45"/>
      <c r="I1019" s="38"/>
      <c r="J1019" s="38">
        <f>7.1*1000</f>
        <v>7100</v>
      </c>
      <c r="K1019" s="46">
        <v>4.221064814814815E-2</v>
      </c>
      <c r="L1019" s="47" t="s">
        <v>1956</v>
      </c>
      <c r="M1019" s="307"/>
      <c r="N1019" s="307"/>
      <c r="O1019" s="307">
        <f t="shared" si="20"/>
        <v>0</v>
      </c>
      <c r="P1019" s="92"/>
      <c r="Q1019" s="410" t="str">
        <f t="shared" ca="1" si="29"/>
        <v>https://www.youtube.com/watch?v=LAZPY_rTJLU</v>
      </c>
      <c r="R1019" s="50"/>
      <c r="S1019" s="50"/>
      <c r="T1019" s="50"/>
      <c r="U1019" s="52"/>
      <c r="V1019" s="53"/>
      <c r="W1019" s="60"/>
      <c r="X1019" s="56"/>
      <c r="Y1019" s="38"/>
      <c r="Z1019" s="38"/>
    </row>
    <row r="1020" spans="1:26" hidden="1">
      <c r="A1020" s="38">
        <v>627</v>
      </c>
      <c r="B1020" s="38"/>
      <c r="C1020" s="38"/>
      <c r="D1020" s="38"/>
      <c r="E1020" s="38" t="s">
        <v>2489</v>
      </c>
      <c r="F1020" s="43" t="s">
        <v>2490</v>
      </c>
      <c r="G1020" s="44"/>
      <c r="H1020" s="45"/>
      <c r="I1020" s="38"/>
      <c r="J1020" s="38">
        <f>265</f>
        <v>265</v>
      </c>
      <c r="K1020" s="46">
        <v>1.2847222222222223E-3</v>
      </c>
      <c r="L1020" s="47" t="s">
        <v>1956</v>
      </c>
      <c r="M1020" s="307"/>
      <c r="N1020" s="307"/>
      <c r="O1020" s="307">
        <f t="shared" si="20"/>
        <v>0</v>
      </c>
      <c r="P1020" s="92"/>
      <c r="Q1020" s="410" t="str">
        <f t="shared" ca="1" si="29"/>
        <v>https://www.youtube.com/watch?v=13shkRG4RMc</v>
      </c>
      <c r="R1020" s="50"/>
      <c r="S1020" s="50"/>
      <c r="T1020" s="50"/>
      <c r="U1020" s="52"/>
      <c r="V1020" s="53"/>
      <c r="W1020" s="60"/>
      <c r="X1020" s="56"/>
      <c r="Y1020" s="38"/>
      <c r="Z1020" s="38"/>
    </row>
    <row r="1021" spans="1:26" hidden="1">
      <c r="A1021" s="38">
        <v>628</v>
      </c>
      <c r="B1021" s="38"/>
      <c r="C1021" s="38"/>
      <c r="D1021" s="38"/>
      <c r="E1021" s="38" t="s">
        <v>2491</v>
      </c>
      <c r="F1021" s="43" t="s">
        <v>2492</v>
      </c>
      <c r="G1021" s="44"/>
      <c r="H1021" s="45"/>
      <c r="I1021" s="38"/>
      <c r="J1021" s="38">
        <f>476</f>
        <v>476</v>
      </c>
      <c r="K1021" s="46">
        <v>2.1064814814814813E-3</v>
      </c>
      <c r="L1021" s="47" t="s">
        <v>1956</v>
      </c>
      <c r="M1021" s="307"/>
      <c r="N1021" s="307"/>
      <c r="O1021" s="307">
        <f t="shared" si="20"/>
        <v>0</v>
      </c>
      <c r="P1021" s="92"/>
      <c r="Q1021" s="410" t="str">
        <f t="shared" ca="1" si="29"/>
        <v>https://www.youtube.com/watch?v=lnII4AH2rHw</v>
      </c>
      <c r="R1021" s="50"/>
      <c r="S1021" s="50"/>
      <c r="T1021" s="50"/>
      <c r="U1021" s="52"/>
      <c r="V1021" s="53"/>
      <c r="W1021" s="60"/>
      <c r="X1021" s="56"/>
      <c r="Y1021" s="38"/>
      <c r="Z1021" s="38"/>
    </row>
    <row r="1022" spans="1:26" hidden="1">
      <c r="A1022" s="38">
        <v>629</v>
      </c>
      <c r="B1022" s="38"/>
      <c r="C1022" s="38"/>
      <c r="D1022" s="38"/>
      <c r="E1022" s="38" t="s">
        <v>2493</v>
      </c>
      <c r="F1022" s="43" t="s">
        <v>2494</v>
      </c>
      <c r="G1022" s="44"/>
      <c r="H1022" s="45"/>
      <c r="I1022" s="38"/>
      <c r="J1022" s="38">
        <f>359</f>
        <v>359</v>
      </c>
      <c r="K1022" s="46">
        <v>2.5115740740740741E-3</v>
      </c>
      <c r="L1022" s="47" t="s">
        <v>1956</v>
      </c>
      <c r="M1022" s="307"/>
      <c r="N1022" s="307"/>
      <c r="O1022" s="307">
        <f t="shared" si="20"/>
        <v>0</v>
      </c>
      <c r="P1022" s="92"/>
      <c r="Q1022" s="410" t="str">
        <f t="shared" ca="1" si="29"/>
        <v>https://www.youtube.com/watch?v=az7GJp1YAXw</v>
      </c>
      <c r="R1022" s="50"/>
      <c r="S1022" s="50"/>
      <c r="T1022" s="50"/>
      <c r="U1022" s="52"/>
      <c r="V1022" s="53"/>
      <c r="W1022" s="60"/>
      <c r="X1022" s="56"/>
      <c r="Y1022" s="38"/>
      <c r="Z1022" s="38"/>
    </row>
    <row r="1023" spans="1:26" hidden="1">
      <c r="A1023" s="38">
        <v>630</v>
      </c>
      <c r="B1023" s="38"/>
      <c r="C1023" s="38"/>
      <c r="D1023" s="38"/>
      <c r="E1023" s="38" t="s">
        <v>2495</v>
      </c>
      <c r="F1023" s="43" t="s">
        <v>2496</v>
      </c>
      <c r="G1023" s="44"/>
      <c r="H1023" s="45"/>
      <c r="I1023" s="38"/>
      <c r="J1023" s="38">
        <f>522</f>
        <v>522</v>
      </c>
      <c r="K1023" s="46">
        <v>1.8750000000000001E-3</v>
      </c>
      <c r="L1023" s="47" t="s">
        <v>1956</v>
      </c>
      <c r="M1023" s="307"/>
      <c r="N1023" s="307"/>
      <c r="O1023" s="307">
        <f t="shared" si="20"/>
        <v>0</v>
      </c>
      <c r="P1023" s="92"/>
      <c r="Q1023" s="410" t="str">
        <f t="shared" ca="1" si="29"/>
        <v>https://www.youtube.com/watch?v=_zmgXM40afU</v>
      </c>
      <c r="R1023" s="50"/>
      <c r="S1023" s="50"/>
      <c r="T1023" s="50"/>
      <c r="U1023" s="52"/>
      <c r="V1023" s="53"/>
      <c r="W1023" s="60"/>
      <c r="X1023" s="56"/>
      <c r="Y1023" s="38"/>
      <c r="Z1023" s="38"/>
    </row>
    <row r="1024" spans="1:26" hidden="1">
      <c r="A1024" s="38">
        <v>631</v>
      </c>
      <c r="B1024" s="38"/>
      <c r="C1024" s="38"/>
      <c r="D1024" s="38"/>
      <c r="E1024" s="38" t="s">
        <v>2497</v>
      </c>
      <c r="F1024" s="43" t="s">
        <v>2498</v>
      </c>
      <c r="G1024" s="44"/>
      <c r="H1024" s="45"/>
      <c r="I1024" s="38"/>
      <c r="J1024" s="38">
        <f>403</f>
        <v>403</v>
      </c>
      <c r="K1024" s="46">
        <v>1.1805555555555556E-3</v>
      </c>
      <c r="L1024" s="47" t="s">
        <v>1956</v>
      </c>
      <c r="M1024" s="307"/>
      <c r="N1024" s="307"/>
      <c r="O1024" s="307">
        <f t="shared" si="20"/>
        <v>0</v>
      </c>
      <c r="P1024" s="92"/>
      <c r="Q1024" s="410" t="str">
        <f t="shared" ca="1" si="29"/>
        <v>https://www.youtube.com/watch?v=IS6hRiM7WuU</v>
      </c>
      <c r="R1024" s="50"/>
      <c r="S1024" s="50"/>
      <c r="T1024" s="50"/>
      <c r="U1024" s="52"/>
      <c r="V1024" s="53"/>
      <c r="W1024" s="60"/>
      <c r="X1024" s="56"/>
      <c r="Y1024" s="38"/>
      <c r="Z1024" s="38"/>
    </row>
    <row r="1025" spans="1:26" hidden="1">
      <c r="A1025" s="38">
        <v>632</v>
      </c>
      <c r="B1025" s="38"/>
      <c r="C1025" s="38"/>
      <c r="D1025" s="38"/>
      <c r="E1025" s="38" t="s">
        <v>2499</v>
      </c>
      <c r="F1025" s="43" t="s">
        <v>2500</v>
      </c>
      <c r="G1025" s="44"/>
      <c r="H1025" s="45"/>
      <c r="I1025" s="38"/>
      <c r="J1025" s="38">
        <f>499</f>
        <v>499</v>
      </c>
      <c r="K1025" s="46">
        <v>1.4004629629629629E-3</v>
      </c>
      <c r="L1025" s="47" t="s">
        <v>1956</v>
      </c>
      <c r="M1025" s="307"/>
      <c r="N1025" s="307"/>
      <c r="O1025" s="307">
        <f t="shared" si="20"/>
        <v>0</v>
      </c>
      <c r="P1025" s="92"/>
      <c r="Q1025" s="410" t="str">
        <f t="shared" ca="1" si="29"/>
        <v>https://www.youtube.com/watch?v=-c4KLljIDeo</v>
      </c>
      <c r="R1025" s="50"/>
      <c r="S1025" s="50"/>
      <c r="T1025" s="50"/>
      <c r="U1025" s="52"/>
      <c r="V1025" s="53"/>
      <c r="W1025" s="60"/>
      <c r="X1025" s="56"/>
      <c r="Y1025" s="38"/>
      <c r="Z1025" s="38"/>
    </row>
    <row r="1026" spans="1:26" hidden="1">
      <c r="A1026" s="38">
        <v>633</v>
      </c>
      <c r="B1026" s="38"/>
      <c r="C1026" s="38"/>
      <c r="D1026" s="38"/>
      <c r="E1026" s="38" t="s">
        <v>2501</v>
      </c>
      <c r="F1026" s="43" t="s">
        <v>2502</v>
      </c>
      <c r="G1026" s="44"/>
      <c r="H1026" s="45"/>
      <c r="I1026" s="38"/>
      <c r="J1026" s="38">
        <f>390</f>
        <v>390</v>
      </c>
      <c r="K1026" s="46">
        <v>1.6666666666666668E-3</v>
      </c>
      <c r="L1026" s="47" t="s">
        <v>1956</v>
      </c>
      <c r="M1026" s="307"/>
      <c r="N1026" s="307"/>
      <c r="O1026" s="307">
        <f t="shared" si="20"/>
        <v>0</v>
      </c>
      <c r="P1026" s="92"/>
      <c r="Q1026" s="410" t="str">
        <f t="shared" ca="1" si="29"/>
        <v>https://www.youtube.com/watch?v=6KN0GnYv6xQ</v>
      </c>
      <c r="R1026" s="50"/>
      <c r="S1026" s="50"/>
      <c r="T1026" s="50"/>
      <c r="U1026" s="52"/>
      <c r="V1026" s="53"/>
      <c r="W1026" s="60"/>
      <c r="X1026" s="56"/>
      <c r="Y1026" s="38"/>
      <c r="Z1026" s="38"/>
    </row>
    <row r="1027" spans="1:26" hidden="1">
      <c r="A1027" s="38">
        <v>634</v>
      </c>
      <c r="B1027" s="38"/>
      <c r="C1027" s="38"/>
      <c r="D1027" s="38"/>
      <c r="E1027" s="38" t="s">
        <v>2503</v>
      </c>
      <c r="F1027" s="43" t="s">
        <v>2504</v>
      </c>
      <c r="G1027" s="44"/>
      <c r="H1027" s="45"/>
      <c r="I1027" s="38"/>
      <c r="J1027" s="38">
        <f>275</f>
        <v>275</v>
      </c>
      <c r="K1027" s="46">
        <v>1.1458333333333333E-3</v>
      </c>
      <c r="L1027" s="47" t="s">
        <v>1956</v>
      </c>
      <c r="M1027" s="307"/>
      <c r="N1027" s="307"/>
      <c r="O1027" s="307">
        <f t="shared" si="20"/>
        <v>0</v>
      </c>
      <c r="P1027" s="92"/>
      <c r="Q1027" s="410" t="str">
        <f t="shared" ref="Q1027:Q1090" ca="1" si="31">HYPERLINK(IF(INT(A1027)-A1027=0,E1027,REPLACE(INDIRECT("MasterList!e"&amp;INT(A1027)+1),25,8,"embed/")&amp;"?start="&amp;HOUR(M1027)*3600+MINUTE(M1027)*60+SECOND(M1027)&amp;"&amp;end="&amp;HOUR(N1027)*3600+MINUTE(N1027)*60+SECOND(N1027)&amp;"&amp;autoplay=1"))</f>
        <v>https://www.youtube.com/watch?v=GP0JLpTLOWU</v>
      </c>
      <c r="R1027" s="50"/>
      <c r="S1027" s="50"/>
      <c r="T1027" s="50"/>
      <c r="U1027" s="52"/>
      <c r="V1027" s="53"/>
      <c r="W1027" s="60"/>
      <c r="X1027" s="56"/>
      <c r="Y1027" s="38"/>
      <c r="Z1027" s="38"/>
    </row>
    <row r="1028" spans="1:26" hidden="1">
      <c r="A1028" s="38">
        <v>635</v>
      </c>
      <c r="B1028" s="38"/>
      <c r="C1028" s="38"/>
      <c r="D1028" s="38"/>
      <c r="E1028" s="38" t="s">
        <v>2505</v>
      </c>
      <c r="F1028" s="43" t="s">
        <v>2506</v>
      </c>
      <c r="G1028" s="44"/>
      <c r="H1028" s="45"/>
      <c r="I1028" s="38"/>
      <c r="J1028" s="38">
        <f>822</f>
        <v>822</v>
      </c>
      <c r="K1028" s="46">
        <v>1.8055555555555557E-3</v>
      </c>
      <c r="L1028" s="47" t="s">
        <v>1956</v>
      </c>
      <c r="M1028" s="307"/>
      <c r="N1028" s="307"/>
      <c r="O1028" s="307">
        <f t="shared" si="20"/>
        <v>0</v>
      </c>
      <c r="P1028" s="92"/>
      <c r="Q1028" s="410" t="str">
        <f t="shared" ca="1" si="31"/>
        <v>https://www.youtube.com/watch?v=OdRuRzl5pwg</v>
      </c>
      <c r="R1028" s="50"/>
      <c r="S1028" s="50"/>
      <c r="T1028" s="50"/>
      <c r="U1028" s="52"/>
      <c r="V1028" s="53"/>
      <c r="W1028" s="60"/>
      <c r="X1028" s="56"/>
      <c r="Y1028" s="38"/>
      <c r="Z1028" s="38"/>
    </row>
    <row r="1029" spans="1:26" hidden="1">
      <c r="A1029" s="38">
        <v>636</v>
      </c>
      <c r="B1029" s="38"/>
      <c r="C1029" s="38"/>
      <c r="D1029" s="38"/>
      <c r="E1029" s="38" t="s">
        <v>2507</v>
      </c>
      <c r="F1029" s="43" t="s">
        <v>2508</v>
      </c>
      <c r="G1029" s="44"/>
      <c r="H1029" s="45"/>
      <c r="I1029" s="38"/>
      <c r="J1029" s="38">
        <f>2.2*1000</f>
        <v>2200</v>
      </c>
      <c r="K1029" s="46">
        <v>2.255787037037037E-2</v>
      </c>
      <c r="L1029" s="47" t="s">
        <v>1956</v>
      </c>
      <c r="M1029" s="307"/>
      <c r="N1029" s="307"/>
      <c r="O1029" s="307">
        <f t="shared" si="20"/>
        <v>0</v>
      </c>
      <c r="P1029" s="92"/>
      <c r="Q1029" s="410" t="str">
        <f t="shared" ca="1" si="31"/>
        <v>https://www.youtube.com/watch?v=ImpfhngYCCA</v>
      </c>
      <c r="R1029" s="50"/>
      <c r="S1029" s="50"/>
      <c r="T1029" s="50"/>
      <c r="U1029" s="52"/>
      <c r="V1029" s="53"/>
      <c r="W1029" s="60"/>
      <c r="X1029" s="56"/>
      <c r="Y1029" s="38"/>
      <c r="Z1029" s="38"/>
    </row>
    <row r="1030" spans="1:26" hidden="1">
      <c r="A1030" s="38">
        <v>637</v>
      </c>
      <c r="B1030" s="38"/>
      <c r="C1030" s="38"/>
      <c r="D1030" s="38"/>
      <c r="E1030" s="38" t="s">
        <v>2509</v>
      </c>
      <c r="F1030" s="43" t="s">
        <v>2510</v>
      </c>
      <c r="G1030" s="44"/>
      <c r="H1030" s="45"/>
      <c r="I1030" s="38"/>
      <c r="J1030" s="38">
        <f>1.3*1000</f>
        <v>1300</v>
      </c>
      <c r="K1030" s="46">
        <v>4.2129629629629626E-3</v>
      </c>
      <c r="L1030" s="47" t="s">
        <v>1956</v>
      </c>
      <c r="M1030" s="307"/>
      <c r="N1030" s="307"/>
      <c r="O1030" s="307">
        <f t="shared" si="20"/>
        <v>0</v>
      </c>
      <c r="P1030" s="92"/>
      <c r="Q1030" s="410" t="str">
        <f t="shared" ca="1" si="31"/>
        <v>https://www.youtube.com/watch?v=p08RUDejFXs</v>
      </c>
      <c r="R1030" s="50"/>
      <c r="S1030" s="50"/>
      <c r="T1030" s="50"/>
      <c r="U1030" s="52"/>
      <c r="V1030" s="53"/>
      <c r="W1030" s="60"/>
      <c r="X1030" s="56"/>
      <c r="Y1030" s="38"/>
      <c r="Z1030" s="38"/>
    </row>
    <row r="1031" spans="1:26" hidden="1">
      <c r="A1031" s="38">
        <v>638</v>
      </c>
      <c r="B1031" s="38"/>
      <c r="C1031" s="38"/>
      <c r="D1031" s="38"/>
      <c r="E1031" s="38" t="s">
        <v>2511</v>
      </c>
      <c r="F1031" s="43" t="s">
        <v>2512</v>
      </c>
      <c r="G1031" s="44"/>
      <c r="H1031" s="45"/>
      <c r="I1031" s="38"/>
      <c r="J1031" s="38">
        <f>481</f>
        <v>481</v>
      </c>
      <c r="K1031" s="46">
        <v>5.2777777777777771E-3</v>
      </c>
      <c r="L1031" s="47" t="s">
        <v>1956</v>
      </c>
      <c r="M1031" s="307"/>
      <c r="N1031" s="307"/>
      <c r="O1031" s="307">
        <f t="shared" si="20"/>
        <v>0</v>
      </c>
      <c r="P1031" s="92"/>
      <c r="Q1031" s="410" t="str">
        <f t="shared" ca="1" si="31"/>
        <v>https://www.youtube.com/watch?v=NpCmOPhka6g</v>
      </c>
      <c r="R1031" s="50"/>
      <c r="S1031" s="50"/>
      <c r="T1031" s="50"/>
      <c r="U1031" s="52"/>
      <c r="V1031" s="53"/>
      <c r="W1031" s="60"/>
      <c r="X1031" s="56"/>
      <c r="Y1031" s="38"/>
      <c r="Z1031" s="38"/>
    </row>
    <row r="1032" spans="1:26" hidden="1">
      <c r="A1032" s="38">
        <v>639</v>
      </c>
      <c r="B1032" s="38"/>
      <c r="C1032" s="38"/>
      <c r="D1032" s="38"/>
      <c r="E1032" s="38" t="s">
        <v>2513</v>
      </c>
      <c r="F1032" s="43" t="s">
        <v>2514</v>
      </c>
      <c r="G1032" s="44"/>
      <c r="H1032" s="45"/>
      <c r="I1032" s="38"/>
      <c r="J1032" s="38">
        <f>411</f>
        <v>411</v>
      </c>
      <c r="K1032" s="46">
        <v>5.3240740740740744E-4</v>
      </c>
      <c r="L1032" s="47" t="s">
        <v>1956</v>
      </c>
      <c r="M1032" s="307"/>
      <c r="N1032" s="307"/>
      <c r="O1032" s="307">
        <f t="shared" si="20"/>
        <v>0</v>
      </c>
      <c r="P1032" s="92"/>
      <c r="Q1032" s="410" t="str">
        <f t="shared" ca="1" si="31"/>
        <v>https://www.youtube.com/watch?v=Iz3TO-dXkSI</v>
      </c>
      <c r="R1032" s="50"/>
      <c r="S1032" s="50"/>
      <c r="T1032" s="50"/>
      <c r="U1032" s="52"/>
      <c r="V1032" s="53"/>
      <c r="W1032" s="60"/>
      <c r="X1032" s="56"/>
      <c r="Y1032" s="38"/>
      <c r="Z1032" s="38"/>
    </row>
    <row r="1033" spans="1:26" hidden="1">
      <c r="A1033" s="38">
        <v>640</v>
      </c>
      <c r="B1033" s="38"/>
      <c r="C1033" s="38"/>
      <c r="D1033" s="38"/>
      <c r="E1033" s="38" t="s">
        <v>2515</v>
      </c>
      <c r="F1033" s="43" t="s">
        <v>2516</v>
      </c>
      <c r="G1033" s="44"/>
      <c r="H1033" s="45"/>
      <c r="I1033" s="38"/>
      <c r="J1033" s="38">
        <f>301</f>
        <v>301</v>
      </c>
      <c r="K1033" s="46">
        <v>1.1226851851851851E-3</v>
      </c>
      <c r="L1033" s="47" t="s">
        <v>1956</v>
      </c>
      <c r="M1033" s="307"/>
      <c r="N1033" s="307"/>
      <c r="O1033" s="307">
        <f t="shared" si="20"/>
        <v>0</v>
      </c>
      <c r="P1033" s="92"/>
      <c r="Q1033" s="410" t="str">
        <f t="shared" ca="1" si="31"/>
        <v>https://www.youtube.com/watch?v=5Qbkf3waru8</v>
      </c>
      <c r="R1033" s="50"/>
      <c r="S1033" s="50"/>
      <c r="T1033" s="50"/>
      <c r="U1033" s="52"/>
      <c r="V1033" s="53"/>
      <c r="W1033" s="60"/>
      <c r="X1033" s="56"/>
      <c r="Y1033" s="38"/>
      <c r="Z1033" s="38"/>
    </row>
    <row r="1034" spans="1:26" hidden="1">
      <c r="A1034" s="38">
        <v>641</v>
      </c>
      <c r="B1034" s="38"/>
      <c r="C1034" s="38"/>
      <c r="D1034" s="38"/>
      <c r="E1034" s="38" t="s">
        <v>2517</v>
      </c>
      <c r="F1034" s="43" t="s">
        <v>2518</v>
      </c>
      <c r="G1034" s="44"/>
      <c r="H1034" s="45"/>
      <c r="I1034" s="38"/>
      <c r="J1034" s="38">
        <f>343</f>
        <v>343</v>
      </c>
      <c r="K1034" s="46">
        <v>1.736111111111111E-3</v>
      </c>
      <c r="L1034" s="47" t="s">
        <v>1956</v>
      </c>
      <c r="M1034" s="307"/>
      <c r="N1034" s="307"/>
      <c r="O1034" s="307">
        <f t="shared" si="20"/>
        <v>0</v>
      </c>
      <c r="P1034" s="92"/>
      <c r="Q1034" s="410" t="str">
        <f t="shared" ca="1" si="31"/>
        <v>https://www.youtube.com/watch?v=0cvq3rbQ7Dw</v>
      </c>
      <c r="R1034" s="50"/>
      <c r="S1034" s="50"/>
      <c r="T1034" s="50"/>
      <c r="U1034" s="52"/>
      <c r="V1034" s="53"/>
      <c r="W1034" s="60"/>
      <c r="X1034" s="56"/>
      <c r="Y1034" s="38"/>
      <c r="Z1034" s="38"/>
    </row>
    <row r="1035" spans="1:26" hidden="1">
      <c r="A1035" s="38">
        <v>642</v>
      </c>
      <c r="B1035" s="38"/>
      <c r="C1035" s="38"/>
      <c r="D1035" s="38"/>
      <c r="E1035" s="38" t="s">
        <v>2519</v>
      </c>
      <c r="F1035" s="43" t="s">
        <v>2520</v>
      </c>
      <c r="G1035" s="44"/>
      <c r="H1035" s="45"/>
      <c r="I1035" s="38"/>
      <c r="J1035" s="38">
        <f>816</f>
        <v>816</v>
      </c>
      <c r="K1035" s="46">
        <v>8.7962962962962962E-4</v>
      </c>
      <c r="L1035" s="47" t="s">
        <v>1956</v>
      </c>
      <c r="M1035" s="307"/>
      <c r="N1035" s="307"/>
      <c r="O1035" s="307">
        <f t="shared" si="20"/>
        <v>0</v>
      </c>
      <c r="P1035" s="92"/>
      <c r="Q1035" s="410" t="str">
        <f t="shared" ca="1" si="31"/>
        <v>https://www.youtube.com/watch?v=69M5XJQEYX4</v>
      </c>
      <c r="R1035" s="50"/>
      <c r="S1035" s="50"/>
      <c r="T1035" s="50"/>
      <c r="U1035" s="52"/>
      <c r="V1035" s="53"/>
      <c r="W1035" s="60"/>
      <c r="X1035" s="56"/>
      <c r="Y1035" s="38"/>
      <c r="Z1035" s="38"/>
    </row>
    <row r="1036" spans="1:26" hidden="1">
      <c r="A1036" s="38">
        <v>643</v>
      </c>
      <c r="B1036" s="38"/>
      <c r="C1036" s="42"/>
      <c r="D1036" s="38"/>
      <c r="E1036" s="38" t="s">
        <v>2521</v>
      </c>
      <c r="F1036" s="43" t="s">
        <v>2522</v>
      </c>
      <c r="G1036" s="44"/>
      <c r="H1036" s="45"/>
      <c r="I1036" s="38"/>
      <c r="J1036" s="38">
        <f>443</f>
        <v>443</v>
      </c>
      <c r="K1036" s="46">
        <v>2.1643518518518518E-3</v>
      </c>
      <c r="L1036" s="47" t="s">
        <v>1956</v>
      </c>
      <c r="M1036" s="307"/>
      <c r="N1036" s="307"/>
      <c r="O1036" s="307">
        <f t="shared" si="20"/>
        <v>0</v>
      </c>
      <c r="P1036" s="92"/>
      <c r="Q1036" s="410" t="str">
        <f t="shared" ca="1" si="31"/>
        <v>https://www.youtube.com/watch?v=Yb0AWtlb8-g</v>
      </c>
      <c r="R1036" s="50"/>
      <c r="S1036" s="50"/>
      <c r="T1036" s="50"/>
      <c r="U1036" s="52"/>
      <c r="V1036" s="53"/>
      <c r="W1036" s="60"/>
      <c r="X1036" s="56"/>
      <c r="Y1036" s="38"/>
      <c r="Z1036" s="38"/>
    </row>
    <row r="1037" spans="1:26" hidden="1">
      <c r="A1037" s="38">
        <v>644</v>
      </c>
      <c r="B1037" s="38"/>
      <c r="C1037" s="38"/>
      <c r="D1037" s="38"/>
      <c r="E1037" s="38" t="s">
        <v>2523</v>
      </c>
      <c r="F1037" s="43" t="s">
        <v>2524</v>
      </c>
      <c r="G1037" s="44"/>
      <c r="H1037" s="45"/>
      <c r="I1037" s="38"/>
      <c r="J1037" s="38">
        <f>467</f>
        <v>467</v>
      </c>
      <c r="K1037" s="46">
        <v>1.2268518518518518E-3</v>
      </c>
      <c r="L1037" s="47" t="s">
        <v>1956</v>
      </c>
      <c r="M1037" s="307"/>
      <c r="N1037" s="307"/>
      <c r="O1037" s="307">
        <f t="shared" si="20"/>
        <v>0</v>
      </c>
      <c r="P1037" s="92"/>
      <c r="Q1037" s="410" t="str">
        <f t="shared" ca="1" si="31"/>
        <v>https://www.youtube.com/watch?v=1Gop0_4D5pE</v>
      </c>
      <c r="R1037" s="50"/>
      <c r="S1037" s="50"/>
      <c r="T1037" s="50"/>
      <c r="U1037" s="52"/>
      <c r="V1037" s="53"/>
      <c r="W1037" s="60"/>
      <c r="X1037" s="56"/>
      <c r="Y1037" s="38"/>
      <c r="Z1037" s="38"/>
    </row>
    <row r="1038" spans="1:26" hidden="1">
      <c r="A1038" s="38">
        <v>645</v>
      </c>
      <c r="B1038" s="38"/>
      <c r="C1038" s="38"/>
      <c r="D1038" s="38"/>
      <c r="E1038" s="38" t="s">
        <v>2525</v>
      </c>
      <c r="F1038" s="43" t="s">
        <v>2526</v>
      </c>
      <c r="G1038" s="44"/>
      <c r="H1038" s="45"/>
      <c r="I1038" s="38"/>
      <c r="J1038" s="38">
        <f>360</f>
        <v>360</v>
      </c>
      <c r="K1038" s="46">
        <v>2.5462962962962961E-3</v>
      </c>
      <c r="L1038" s="47" t="s">
        <v>1956</v>
      </c>
      <c r="M1038" s="307"/>
      <c r="N1038" s="307"/>
      <c r="O1038" s="307">
        <f t="shared" si="20"/>
        <v>0</v>
      </c>
      <c r="P1038" s="92"/>
      <c r="Q1038" s="410" t="str">
        <f t="shared" ca="1" si="31"/>
        <v>https://www.youtube.com/watch?v=-pDxEjRprYM</v>
      </c>
      <c r="R1038" s="50"/>
      <c r="S1038" s="50"/>
      <c r="T1038" s="50"/>
      <c r="U1038" s="52"/>
      <c r="V1038" s="53"/>
      <c r="W1038" s="60"/>
      <c r="X1038" s="56"/>
      <c r="Y1038" s="38"/>
      <c r="Z1038" s="38"/>
    </row>
    <row r="1039" spans="1:26" hidden="1">
      <c r="A1039" s="38">
        <v>646</v>
      </c>
      <c r="B1039" s="38"/>
      <c r="C1039" s="38"/>
      <c r="D1039" s="38"/>
      <c r="E1039" s="38" t="s">
        <v>2527</v>
      </c>
      <c r="F1039" s="43" t="s">
        <v>2528</v>
      </c>
      <c r="G1039" s="44"/>
      <c r="H1039" s="45"/>
      <c r="I1039" s="38"/>
      <c r="J1039" s="38">
        <f>771</f>
        <v>771</v>
      </c>
      <c r="K1039" s="46">
        <v>4.2476851851851851E-3</v>
      </c>
      <c r="L1039" s="47" t="s">
        <v>1956</v>
      </c>
      <c r="M1039" s="307"/>
      <c r="N1039" s="307"/>
      <c r="O1039" s="307">
        <f t="shared" si="20"/>
        <v>0</v>
      </c>
      <c r="P1039" s="92"/>
      <c r="Q1039" s="410" t="str">
        <f t="shared" ca="1" si="31"/>
        <v>https://www.youtube.com/watch?v=1P_XO3xfTCs</v>
      </c>
      <c r="R1039" s="50"/>
      <c r="S1039" s="50"/>
      <c r="T1039" s="50"/>
      <c r="U1039" s="52"/>
      <c r="V1039" s="53"/>
      <c r="W1039" s="60"/>
      <c r="X1039" s="56"/>
      <c r="Y1039" s="38"/>
      <c r="Z1039" s="38"/>
    </row>
    <row r="1040" spans="1:26" hidden="1">
      <c r="A1040" s="38">
        <v>647</v>
      </c>
      <c r="B1040" s="38"/>
      <c r="C1040" s="38"/>
      <c r="D1040" s="38"/>
      <c r="E1040" s="38" t="s">
        <v>2529</v>
      </c>
      <c r="F1040" s="43" t="s">
        <v>2530</v>
      </c>
      <c r="G1040" s="44"/>
      <c r="H1040" s="45"/>
      <c r="I1040" s="38"/>
      <c r="J1040" s="38">
        <f>546</f>
        <v>546</v>
      </c>
      <c r="K1040" s="46">
        <v>2.1064814814814813E-3</v>
      </c>
      <c r="L1040" s="47" t="s">
        <v>1956</v>
      </c>
      <c r="M1040" s="307"/>
      <c r="N1040" s="307"/>
      <c r="O1040" s="307">
        <f t="shared" si="20"/>
        <v>0</v>
      </c>
      <c r="P1040" s="92"/>
      <c r="Q1040" s="410" t="str">
        <f t="shared" ca="1" si="31"/>
        <v>https://www.youtube.com/watch?v=Voaw-uef3Tw</v>
      </c>
      <c r="R1040" s="50"/>
      <c r="S1040" s="50"/>
      <c r="T1040" s="50"/>
      <c r="U1040" s="52"/>
      <c r="V1040" s="53"/>
      <c r="W1040" s="60"/>
      <c r="X1040" s="56"/>
      <c r="Y1040" s="38"/>
      <c r="Z1040" s="38"/>
    </row>
    <row r="1041" spans="1:26" hidden="1">
      <c r="A1041" s="38">
        <v>648</v>
      </c>
      <c r="B1041" s="38"/>
      <c r="C1041" s="38"/>
      <c r="D1041" s="38"/>
      <c r="E1041" s="38" t="s">
        <v>2531</v>
      </c>
      <c r="F1041" s="43" t="s">
        <v>2532</v>
      </c>
      <c r="G1041" s="44"/>
      <c r="H1041" s="45"/>
      <c r="I1041" s="38"/>
      <c r="J1041" s="38">
        <f>2.5*1000</f>
        <v>2500</v>
      </c>
      <c r="K1041" s="46">
        <v>3.5532407407407405E-3</v>
      </c>
      <c r="L1041" s="47" t="s">
        <v>1956</v>
      </c>
      <c r="M1041" s="307"/>
      <c r="N1041" s="307"/>
      <c r="O1041" s="307">
        <f t="shared" si="20"/>
        <v>0</v>
      </c>
      <c r="P1041" s="92"/>
      <c r="Q1041" s="410" t="str">
        <f t="shared" ca="1" si="31"/>
        <v>https://www.youtube.com/watch?v=F2WG7neA31s</v>
      </c>
      <c r="R1041" s="50"/>
      <c r="S1041" s="50"/>
      <c r="T1041" s="50"/>
      <c r="U1041" s="52"/>
      <c r="V1041" s="53"/>
      <c r="W1041" s="60"/>
      <c r="X1041" s="56"/>
      <c r="Y1041" s="38"/>
      <c r="Z1041" s="38"/>
    </row>
    <row r="1042" spans="1:26" hidden="1">
      <c r="A1042" s="38">
        <v>649</v>
      </c>
      <c r="B1042" s="38"/>
      <c r="C1042" s="38"/>
      <c r="D1042" s="38"/>
      <c r="E1042" s="38" t="s">
        <v>2533</v>
      </c>
      <c r="F1042" s="43" t="s">
        <v>2534</v>
      </c>
      <c r="G1042" s="44"/>
      <c r="H1042" s="45"/>
      <c r="I1042" s="38"/>
      <c r="J1042" s="38">
        <f>570</f>
        <v>570</v>
      </c>
      <c r="K1042" s="46">
        <v>1.3773148148148147E-3</v>
      </c>
      <c r="L1042" s="47" t="s">
        <v>1956</v>
      </c>
      <c r="M1042" s="307"/>
      <c r="N1042" s="307"/>
      <c r="O1042" s="307">
        <f t="shared" si="20"/>
        <v>0</v>
      </c>
      <c r="P1042" s="92"/>
      <c r="Q1042" s="410" t="str">
        <f t="shared" ca="1" si="31"/>
        <v>https://www.youtube.com/watch?v=n5lHU4Qyfbk</v>
      </c>
      <c r="R1042" s="50"/>
      <c r="S1042" s="50"/>
      <c r="T1042" s="50"/>
      <c r="U1042" s="52"/>
      <c r="V1042" s="53"/>
      <c r="W1042" s="60"/>
      <c r="X1042" s="56"/>
      <c r="Y1042" s="38"/>
      <c r="Z1042" s="38"/>
    </row>
    <row r="1043" spans="1:26" hidden="1">
      <c r="A1043" s="38">
        <v>650</v>
      </c>
      <c r="B1043" s="38"/>
      <c r="C1043" s="38"/>
      <c r="D1043" s="38"/>
      <c r="E1043" s="38" t="s">
        <v>2535</v>
      </c>
      <c r="F1043" s="43" t="s">
        <v>2536</v>
      </c>
      <c r="G1043" s="44"/>
      <c r="H1043" s="45"/>
      <c r="I1043" s="38"/>
      <c r="J1043" s="38">
        <f>2.6*1000</f>
        <v>2600</v>
      </c>
      <c r="K1043" s="46">
        <v>1.9212962962962962E-3</v>
      </c>
      <c r="L1043" s="47" t="s">
        <v>1956</v>
      </c>
      <c r="M1043" s="307"/>
      <c r="N1043" s="307"/>
      <c r="O1043" s="307">
        <f t="shared" si="20"/>
        <v>0</v>
      </c>
      <c r="P1043" s="92"/>
      <c r="Q1043" s="410" t="str">
        <f t="shared" ca="1" si="31"/>
        <v>https://www.youtube.com/watch?v=mcxquOK_mY8</v>
      </c>
      <c r="R1043" s="50"/>
      <c r="S1043" s="50"/>
      <c r="T1043" s="50"/>
      <c r="U1043" s="52"/>
      <c r="V1043" s="53"/>
      <c r="W1043" s="60"/>
      <c r="X1043" s="56"/>
      <c r="Y1043" s="38"/>
      <c r="Z1043" s="38"/>
    </row>
    <row r="1044" spans="1:26" hidden="1">
      <c r="A1044" s="38">
        <v>651</v>
      </c>
      <c r="B1044" s="38"/>
      <c r="C1044" s="38"/>
      <c r="D1044" s="38"/>
      <c r="E1044" s="38" t="s">
        <v>2537</v>
      </c>
      <c r="F1044" s="43" t="s">
        <v>2538</v>
      </c>
      <c r="G1044" s="44"/>
      <c r="H1044" s="45"/>
      <c r="I1044" s="38"/>
      <c r="J1044" s="38">
        <f>173</f>
        <v>173</v>
      </c>
      <c r="K1044" s="46">
        <v>8.1018518518518516E-4</v>
      </c>
      <c r="L1044" s="47" t="s">
        <v>1956</v>
      </c>
      <c r="M1044" s="307"/>
      <c r="N1044" s="307"/>
      <c r="O1044" s="307">
        <f t="shared" si="20"/>
        <v>0</v>
      </c>
      <c r="P1044" s="92"/>
      <c r="Q1044" s="410" t="str">
        <f t="shared" ca="1" si="31"/>
        <v>https://www.youtube.com/watch?v=9FgUTz996bs</v>
      </c>
      <c r="R1044" s="50"/>
      <c r="S1044" s="50"/>
      <c r="T1044" s="50"/>
      <c r="U1044" s="52"/>
      <c r="V1044" s="53"/>
      <c r="W1044" s="60"/>
      <c r="X1044" s="56"/>
      <c r="Y1044" s="38"/>
      <c r="Z1044" s="38"/>
    </row>
    <row r="1045" spans="1:26" hidden="1">
      <c r="A1045" s="38">
        <v>652</v>
      </c>
      <c r="B1045" s="38"/>
      <c r="C1045" s="38"/>
      <c r="D1045" s="38"/>
      <c r="E1045" s="38" t="s">
        <v>2539</v>
      </c>
      <c r="F1045" s="43" t="s">
        <v>2540</v>
      </c>
      <c r="G1045" s="44"/>
      <c r="H1045" s="45"/>
      <c r="I1045" s="38"/>
      <c r="J1045" s="38">
        <f>789</f>
        <v>789</v>
      </c>
      <c r="K1045" s="46">
        <v>4.108796296296297E-3</v>
      </c>
      <c r="L1045" s="47" t="s">
        <v>1956</v>
      </c>
      <c r="M1045" s="307"/>
      <c r="N1045" s="307"/>
      <c r="O1045" s="307">
        <f t="shared" si="20"/>
        <v>0</v>
      </c>
      <c r="P1045" s="92"/>
      <c r="Q1045" s="410" t="str">
        <f t="shared" ca="1" si="31"/>
        <v>https://www.youtube.com/watch?v=DVcN5QXGA_w</v>
      </c>
      <c r="R1045" s="50"/>
      <c r="S1045" s="50"/>
      <c r="T1045" s="50"/>
      <c r="U1045" s="52"/>
      <c r="V1045" s="53"/>
      <c r="W1045" s="60"/>
      <c r="X1045" s="56"/>
      <c r="Y1045" s="38"/>
      <c r="Z1045" s="38"/>
    </row>
    <row r="1046" spans="1:26" hidden="1">
      <c r="A1046" s="38">
        <v>653</v>
      </c>
      <c r="B1046" s="38"/>
      <c r="C1046" s="38"/>
      <c r="D1046" s="38"/>
      <c r="E1046" s="38" t="s">
        <v>2541</v>
      </c>
      <c r="F1046" s="43" t="s">
        <v>2542</v>
      </c>
      <c r="G1046" s="44"/>
      <c r="H1046" s="45"/>
      <c r="I1046" s="38"/>
      <c r="J1046" s="38">
        <f>15*1000</f>
        <v>15000</v>
      </c>
      <c r="K1046" s="46">
        <v>9.2048611111111109E-2</v>
      </c>
      <c r="L1046" s="47" t="s">
        <v>1956</v>
      </c>
      <c r="M1046" s="307"/>
      <c r="N1046" s="307"/>
      <c r="O1046" s="307">
        <f t="shared" si="20"/>
        <v>0</v>
      </c>
      <c r="P1046" s="92"/>
      <c r="Q1046" s="410" t="str">
        <f t="shared" ca="1" si="31"/>
        <v>https://www.youtube.com/watch?v=_D2sWZSHDqg&amp;t=834s</v>
      </c>
      <c r="R1046" s="50"/>
      <c r="S1046" s="50"/>
      <c r="T1046" s="50"/>
      <c r="U1046" s="52"/>
      <c r="V1046" s="53"/>
      <c r="W1046" s="60"/>
      <c r="X1046" s="56"/>
      <c r="Y1046" s="38"/>
      <c r="Z1046" s="38"/>
    </row>
    <row r="1047" spans="1:26" hidden="1">
      <c r="A1047" s="38">
        <v>654</v>
      </c>
      <c r="B1047" s="38"/>
      <c r="C1047" s="38"/>
      <c r="D1047" s="38"/>
      <c r="E1047" s="38" t="s">
        <v>2543</v>
      </c>
      <c r="F1047" s="43" t="s">
        <v>2544</v>
      </c>
      <c r="G1047" s="44"/>
      <c r="H1047" s="45"/>
      <c r="I1047" s="38"/>
      <c r="J1047" s="38">
        <f>1.6*1000</f>
        <v>1600</v>
      </c>
      <c r="K1047" s="46">
        <v>1.8171296296296297E-3</v>
      </c>
      <c r="L1047" s="47" t="s">
        <v>1956</v>
      </c>
      <c r="M1047" s="307"/>
      <c r="N1047" s="307"/>
      <c r="O1047" s="307">
        <f t="shared" si="20"/>
        <v>0</v>
      </c>
      <c r="P1047" s="92"/>
      <c r="Q1047" s="410" t="str">
        <f t="shared" ca="1" si="31"/>
        <v>https://www.youtube.com/watch?v=7-JbRtATwHQ</v>
      </c>
      <c r="R1047" s="50"/>
      <c r="S1047" s="50"/>
      <c r="T1047" s="50"/>
      <c r="U1047" s="52"/>
      <c r="V1047" s="53"/>
      <c r="W1047" s="60"/>
      <c r="X1047" s="56"/>
      <c r="Y1047" s="38"/>
      <c r="Z1047" s="38"/>
    </row>
    <row r="1048" spans="1:26" hidden="1">
      <c r="A1048" s="38">
        <v>655</v>
      </c>
      <c r="B1048" s="38"/>
      <c r="C1048" s="38"/>
      <c r="D1048" s="38"/>
      <c r="E1048" s="38" t="s">
        <v>2545</v>
      </c>
      <c r="F1048" s="43" t="s">
        <v>2546</v>
      </c>
      <c r="G1048" s="44"/>
      <c r="H1048" s="45"/>
      <c r="I1048" s="38"/>
      <c r="J1048" s="38">
        <f>1.2*1000</f>
        <v>1200</v>
      </c>
      <c r="K1048" s="46">
        <v>1.2152777777777778E-3</v>
      </c>
      <c r="L1048" s="47" t="s">
        <v>2547</v>
      </c>
      <c r="M1048" s="307"/>
      <c r="N1048" s="307"/>
      <c r="O1048" s="307">
        <f t="shared" si="20"/>
        <v>0</v>
      </c>
      <c r="P1048" s="92"/>
      <c r="Q1048" s="410" t="str">
        <f t="shared" ca="1" si="31"/>
        <v>https://www.youtube.com/watch?v=N6IDjOR1OY0</v>
      </c>
      <c r="R1048" s="50"/>
      <c r="S1048" s="50"/>
      <c r="T1048" s="50"/>
      <c r="U1048" s="52"/>
      <c r="V1048" s="53"/>
      <c r="W1048" s="60"/>
      <c r="X1048" s="56"/>
      <c r="Y1048" s="38"/>
      <c r="Z1048" s="38"/>
    </row>
    <row r="1049" spans="1:26" hidden="1">
      <c r="A1049" s="38">
        <v>656</v>
      </c>
      <c r="B1049" s="38"/>
      <c r="C1049" s="38"/>
      <c r="D1049" s="38"/>
      <c r="E1049" s="38" t="s">
        <v>2548</v>
      </c>
      <c r="F1049" s="43" t="s">
        <v>2549</v>
      </c>
      <c r="G1049" s="44"/>
      <c r="H1049" s="45"/>
      <c r="I1049" s="38"/>
      <c r="J1049" s="38">
        <f>2.3*1000</f>
        <v>2300</v>
      </c>
      <c r="K1049" s="46">
        <v>3.7962962962962963E-3</v>
      </c>
      <c r="L1049" s="47" t="s">
        <v>2547</v>
      </c>
      <c r="M1049" s="307"/>
      <c r="N1049" s="307"/>
      <c r="O1049" s="307">
        <f t="shared" si="20"/>
        <v>0</v>
      </c>
      <c r="P1049" s="92"/>
      <c r="Q1049" s="410" t="str">
        <f t="shared" ca="1" si="31"/>
        <v>https://www.youtube.com/watch?v=mScbp58xwJE</v>
      </c>
      <c r="R1049" s="50"/>
      <c r="S1049" s="50"/>
      <c r="T1049" s="50"/>
      <c r="U1049" s="52"/>
      <c r="V1049" s="53"/>
      <c r="W1049" s="60"/>
      <c r="X1049" s="56"/>
      <c r="Y1049" s="38"/>
      <c r="Z1049" s="38"/>
    </row>
    <row r="1050" spans="1:26" hidden="1">
      <c r="A1050" s="38">
        <v>657</v>
      </c>
      <c r="B1050" s="38"/>
      <c r="C1050" s="38"/>
      <c r="D1050" s="38"/>
      <c r="E1050" s="38" t="s">
        <v>2550</v>
      </c>
      <c r="F1050" s="43" t="s">
        <v>2551</v>
      </c>
      <c r="G1050" s="44"/>
      <c r="H1050" s="45"/>
      <c r="I1050" s="38"/>
      <c r="J1050" s="38">
        <f>2.6*1000</f>
        <v>2600</v>
      </c>
      <c r="K1050" s="46">
        <v>1.2916666666666667E-2</v>
      </c>
      <c r="L1050" s="47" t="s">
        <v>2547</v>
      </c>
      <c r="M1050" s="307"/>
      <c r="N1050" s="307"/>
      <c r="O1050" s="307">
        <f t="shared" si="20"/>
        <v>0</v>
      </c>
      <c r="P1050" s="92"/>
      <c r="Q1050" s="410" t="str">
        <f t="shared" ca="1" si="31"/>
        <v>https://www.youtube.com/watch?v=eQBirhrwc3E</v>
      </c>
      <c r="R1050" s="50"/>
      <c r="S1050" s="50"/>
      <c r="T1050" s="50"/>
      <c r="U1050" s="52"/>
      <c r="V1050" s="53"/>
      <c r="W1050" s="60"/>
      <c r="X1050" s="56"/>
      <c r="Y1050" s="38"/>
      <c r="Z1050" s="38"/>
    </row>
    <row r="1051" spans="1:26" hidden="1">
      <c r="A1051" s="38">
        <v>658</v>
      </c>
      <c r="B1051" s="38"/>
      <c r="C1051" s="38"/>
      <c r="D1051" s="38"/>
      <c r="E1051" s="38" t="s">
        <v>2552</v>
      </c>
      <c r="F1051" s="43" t="s">
        <v>2553</v>
      </c>
      <c r="G1051" s="44"/>
      <c r="H1051" s="45"/>
      <c r="I1051" s="38"/>
      <c r="J1051" s="38">
        <f>5.8*1000</f>
        <v>5800</v>
      </c>
      <c r="K1051" s="46">
        <v>4.0046296296296297E-3</v>
      </c>
      <c r="L1051" s="47" t="s">
        <v>2547</v>
      </c>
      <c r="M1051" s="307"/>
      <c r="N1051" s="307"/>
      <c r="O1051" s="307">
        <f t="shared" si="20"/>
        <v>0</v>
      </c>
      <c r="P1051" s="92"/>
      <c r="Q1051" s="410" t="str">
        <f t="shared" ca="1" si="31"/>
        <v>https://www.youtube.com/watch?v=qzXGb7RIXmc</v>
      </c>
      <c r="R1051" s="50"/>
      <c r="S1051" s="50"/>
      <c r="T1051" s="50"/>
      <c r="U1051" s="52"/>
      <c r="V1051" s="53"/>
      <c r="W1051" s="60"/>
      <c r="X1051" s="56"/>
      <c r="Y1051" s="38"/>
      <c r="Z1051" s="38"/>
    </row>
    <row r="1052" spans="1:26" hidden="1">
      <c r="A1052" s="38">
        <v>659</v>
      </c>
      <c r="B1052" s="38"/>
      <c r="C1052" s="38"/>
      <c r="D1052" s="38"/>
      <c r="E1052" s="38" t="s">
        <v>2554</v>
      </c>
      <c r="F1052" s="43" t="s">
        <v>2555</v>
      </c>
      <c r="G1052" s="44"/>
      <c r="H1052" s="45"/>
      <c r="I1052" s="38"/>
      <c r="J1052" s="38">
        <f>1.4*1000</f>
        <v>1400</v>
      </c>
      <c r="K1052" s="46">
        <v>1.8634259259259261E-3</v>
      </c>
      <c r="L1052" s="47" t="s">
        <v>2547</v>
      </c>
      <c r="M1052" s="307"/>
      <c r="N1052" s="307"/>
      <c r="O1052" s="307">
        <f t="shared" si="20"/>
        <v>0</v>
      </c>
      <c r="P1052" s="92"/>
      <c r="Q1052" s="410" t="str">
        <f t="shared" ca="1" si="31"/>
        <v>https://www.youtube.com/watch?v=JjtvU2xQpaQ</v>
      </c>
      <c r="R1052" s="50"/>
      <c r="S1052" s="50"/>
      <c r="T1052" s="50"/>
      <c r="U1052" s="52"/>
      <c r="V1052" s="53"/>
      <c r="W1052" s="60"/>
      <c r="X1052" s="56"/>
      <c r="Y1052" s="38"/>
      <c r="Z1052" s="38"/>
    </row>
    <row r="1053" spans="1:26" hidden="1">
      <c r="A1053" s="38">
        <v>660</v>
      </c>
      <c r="B1053" s="38"/>
      <c r="C1053" s="38"/>
      <c r="D1053" s="38"/>
      <c r="E1053" s="38" t="s">
        <v>2556</v>
      </c>
      <c r="F1053" s="43" t="s">
        <v>2557</v>
      </c>
      <c r="G1053" s="44"/>
      <c r="H1053" s="45"/>
      <c r="I1053" s="38"/>
      <c r="J1053" s="38">
        <f>773</f>
        <v>773</v>
      </c>
      <c r="K1053" s="46">
        <v>1.5624999999999999E-3</v>
      </c>
      <c r="L1053" s="47" t="s">
        <v>2547</v>
      </c>
      <c r="M1053" s="307"/>
      <c r="N1053" s="307"/>
      <c r="O1053" s="307">
        <f t="shared" si="20"/>
        <v>0</v>
      </c>
      <c r="P1053" s="92"/>
      <c r="Q1053" s="410" t="str">
        <f t="shared" ca="1" si="31"/>
        <v>https://www.youtube.com/watch?v=C6sAuCIhIzA</v>
      </c>
      <c r="R1053" s="50"/>
      <c r="S1053" s="50"/>
      <c r="T1053" s="50"/>
      <c r="U1053" s="52"/>
      <c r="V1053" s="53"/>
      <c r="W1053" s="60"/>
      <c r="X1053" s="56"/>
      <c r="Y1053" s="38"/>
      <c r="Z1053" s="38"/>
    </row>
    <row r="1054" spans="1:26" hidden="1">
      <c r="A1054" s="38">
        <v>661</v>
      </c>
      <c r="B1054" s="38"/>
      <c r="C1054" s="38"/>
      <c r="D1054" s="38"/>
      <c r="E1054" s="38" t="s">
        <v>2558</v>
      </c>
      <c r="F1054" s="43" t="s">
        <v>2559</v>
      </c>
      <c r="G1054" s="44"/>
      <c r="H1054" s="45"/>
      <c r="I1054" s="38"/>
      <c r="J1054" s="38">
        <f>1*1000</f>
        <v>1000</v>
      </c>
      <c r="K1054" s="46">
        <v>8.0324074074074065E-3</v>
      </c>
      <c r="L1054" s="47" t="s">
        <v>2547</v>
      </c>
      <c r="M1054" s="307"/>
      <c r="N1054" s="307"/>
      <c r="O1054" s="307">
        <f t="shared" si="20"/>
        <v>0</v>
      </c>
      <c r="P1054" s="92"/>
      <c r="Q1054" s="410" t="str">
        <f t="shared" ca="1" si="31"/>
        <v>https://www.youtube.com/watch?v=strZVEaixcs</v>
      </c>
      <c r="R1054" s="50"/>
      <c r="S1054" s="50"/>
      <c r="T1054" s="50"/>
      <c r="U1054" s="52"/>
      <c r="V1054" s="53"/>
      <c r="W1054" s="60"/>
      <c r="X1054" s="56"/>
      <c r="Y1054" s="38"/>
      <c r="Z1054" s="38"/>
    </row>
    <row r="1055" spans="1:26" hidden="1">
      <c r="A1055" s="38">
        <v>662</v>
      </c>
      <c r="B1055" s="38"/>
      <c r="C1055" s="38"/>
      <c r="D1055" s="38"/>
      <c r="E1055" s="38" t="s">
        <v>2560</v>
      </c>
      <c r="F1055" s="43" t="s">
        <v>2561</v>
      </c>
      <c r="G1055" s="44"/>
      <c r="H1055" s="45"/>
      <c r="I1055" s="38"/>
      <c r="J1055" s="38">
        <f>536</f>
        <v>536</v>
      </c>
      <c r="K1055" s="46">
        <v>1.0995370370370371E-3</v>
      </c>
      <c r="L1055" s="47" t="s">
        <v>2547</v>
      </c>
      <c r="M1055" s="307"/>
      <c r="N1055" s="307"/>
      <c r="O1055" s="307">
        <f t="shared" si="20"/>
        <v>0</v>
      </c>
      <c r="P1055" s="92"/>
      <c r="Q1055" s="410" t="str">
        <f t="shared" ca="1" si="31"/>
        <v>https://www.youtube.com/watch?v=Ih4StVOa0Qs</v>
      </c>
      <c r="R1055" s="50"/>
      <c r="S1055" s="50"/>
      <c r="T1055" s="50"/>
      <c r="U1055" s="52"/>
      <c r="V1055" s="53"/>
      <c r="W1055" s="60"/>
      <c r="X1055" s="56"/>
      <c r="Y1055" s="38"/>
      <c r="Z1055" s="38"/>
    </row>
    <row r="1056" spans="1:26" hidden="1">
      <c r="A1056" s="38">
        <v>663</v>
      </c>
      <c r="B1056" s="38"/>
      <c r="C1056" s="312"/>
      <c r="D1056" s="38"/>
      <c r="E1056" s="38" t="s">
        <v>2562</v>
      </c>
      <c r="F1056" s="43" t="s">
        <v>2563</v>
      </c>
      <c r="G1056" s="44"/>
      <c r="H1056" s="45"/>
      <c r="I1056" s="38"/>
      <c r="J1056" s="38">
        <f>912</f>
        <v>912</v>
      </c>
      <c r="K1056" s="371">
        <v>1.9444444444444442E-3</v>
      </c>
      <c r="L1056" s="47" t="s">
        <v>2547</v>
      </c>
      <c r="M1056" s="372"/>
      <c r="N1056" s="372"/>
      <c r="O1056" s="307">
        <f t="shared" si="20"/>
        <v>0</v>
      </c>
      <c r="P1056" s="92"/>
      <c r="Q1056" s="410" t="str">
        <f t="shared" ca="1" si="31"/>
        <v>https://www.youtube.com/watch?v=LIl0C87tzGE</v>
      </c>
      <c r="R1056" s="50"/>
      <c r="S1056" s="50"/>
      <c r="T1056" s="50"/>
      <c r="U1056" s="52"/>
      <c r="V1056" s="53"/>
      <c r="W1056" s="60"/>
      <c r="X1056" s="56"/>
      <c r="Y1056" s="38"/>
      <c r="Z1056" s="38"/>
    </row>
    <row r="1057" spans="1:26" hidden="1">
      <c r="A1057" s="38">
        <v>664</v>
      </c>
      <c r="B1057" s="38"/>
      <c r="C1057" s="312"/>
      <c r="D1057" s="38"/>
      <c r="E1057" s="38" t="s">
        <v>2564</v>
      </c>
      <c r="F1057" s="43" t="s">
        <v>2565</v>
      </c>
      <c r="G1057" s="44"/>
      <c r="H1057" s="45"/>
      <c r="I1057" s="38"/>
      <c r="J1057" s="38">
        <f>4.1*1000</f>
        <v>4100</v>
      </c>
      <c r="K1057" s="371">
        <v>4.3020833333333335E-2</v>
      </c>
      <c r="L1057" s="47" t="s">
        <v>2547</v>
      </c>
      <c r="M1057" s="372"/>
      <c r="N1057" s="372"/>
      <c r="O1057" s="307">
        <f t="shared" si="20"/>
        <v>0</v>
      </c>
      <c r="P1057" s="92"/>
      <c r="Q1057" s="410" t="str">
        <f t="shared" ca="1" si="31"/>
        <v>https://www.youtube.com/watch?v=sZGlmV--sG4</v>
      </c>
      <c r="R1057" s="50"/>
      <c r="S1057" s="50"/>
      <c r="T1057" s="50"/>
      <c r="U1057" s="52"/>
      <c r="V1057" s="53"/>
      <c r="W1057" s="60"/>
      <c r="X1057" s="56"/>
      <c r="Y1057" s="38"/>
      <c r="Z1057" s="38"/>
    </row>
    <row r="1058" spans="1:26" hidden="1">
      <c r="A1058" s="38">
        <v>665</v>
      </c>
      <c r="B1058" s="38"/>
      <c r="C1058" s="312"/>
      <c r="D1058" s="38"/>
      <c r="E1058" s="38" t="s">
        <v>2566</v>
      </c>
      <c r="F1058" s="43" t="s">
        <v>2567</v>
      </c>
      <c r="G1058" s="44"/>
      <c r="H1058" s="45"/>
      <c r="I1058" s="38"/>
      <c r="J1058" s="38">
        <f>728</f>
        <v>728</v>
      </c>
      <c r="K1058" s="371">
        <v>1.5740740740740741E-3</v>
      </c>
      <c r="L1058" s="47" t="s">
        <v>2547</v>
      </c>
      <c r="M1058" s="372"/>
      <c r="N1058" s="372"/>
      <c r="O1058" s="307">
        <f t="shared" si="20"/>
        <v>0</v>
      </c>
      <c r="P1058" s="92"/>
      <c r="Q1058" s="410" t="str">
        <f t="shared" ca="1" si="31"/>
        <v>https://www.youtube.com/watch?v=MAt3aD51sUM</v>
      </c>
      <c r="R1058" s="50"/>
      <c r="S1058" s="50"/>
      <c r="T1058" s="50"/>
      <c r="U1058" s="52"/>
      <c r="V1058" s="53"/>
      <c r="W1058" s="60"/>
      <c r="X1058" s="56"/>
      <c r="Y1058" s="38"/>
      <c r="Z1058" s="38"/>
    </row>
    <row r="1059" spans="1:26" hidden="1">
      <c r="A1059" s="38">
        <v>666</v>
      </c>
      <c r="B1059" s="38"/>
      <c r="C1059" s="312"/>
      <c r="D1059" s="38"/>
      <c r="E1059" s="38" t="s">
        <v>2568</v>
      </c>
      <c r="F1059" s="43" t="s">
        <v>2569</v>
      </c>
      <c r="G1059" s="44"/>
      <c r="H1059" s="45"/>
      <c r="I1059" s="38"/>
      <c r="J1059" s="38">
        <f>2.7*1000</f>
        <v>2700</v>
      </c>
      <c r="K1059" s="371">
        <v>2.4074074074074076E-3</v>
      </c>
      <c r="L1059" s="47" t="s">
        <v>2547</v>
      </c>
      <c r="M1059" s="372"/>
      <c r="N1059" s="372"/>
      <c r="O1059" s="307">
        <f t="shared" si="20"/>
        <v>0</v>
      </c>
      <c r="P1059" s="92"/>
      <c r="Q1059" s="410" t="str">
        <f t="shared" ca="1" si="31"/>
        <v>https://www.youtube.com/watch?v=EXkq2inhXiw</v>
      </c>
      <c r="R1059" s="50"/>
      <c r="S1059" s="50"/>
      <c r="T1059" s="50"/>
      <c r="U1059" s="52"/>
      <c r="V1059" s="53"/>
      <c r="W1059" s="60"/>
      <c r="X1059" s="56"/>
      <c r="Y1059" s="38"/>
      <c r="Z1059" s="38"/>
    </row>
    <row r="1060" spans="1:26" hidden="1">
      <c r="A1060" s="38">
        <v>667</v>
      </c>
      <c r="B1060" s="38"/>
      <c r="C1060" s="312"/>
      <c r="D1060" s="38"/>
      <c r="E1060" s="38" t="s">
        <v>2570</v>
      </c>
      <c r="F1060" s="43" t="s">
        <v>2571</v>
      </c>
      <c r="G1060" s="44"/>
      <c r="H1060" s="45"/>
      <c r="I1060" s="38"/>
      <c r="J1060" s="38">
        <f>2.4*1000</f>
        <v>2400</v>
      </c>
      <c r="K1060" s="371">
        <v>2.1180555555555553E-3</v>
      </c>
      <c r="L1060" s="47" t="s">
        <v>2547</v>
      </c>
      <c r="M1060" s="372"/>
      <c r="N1060" s="372"/>
      <c r="O1060" s="307">
        <f t="shared" si="20"/>
        <v>0</v>
      </c>
      <c r="P1060" s="92"/>
      <c r="Q1060" s="410" t="str">
        <f t="shared" ca="1" si="31"/>
        <v>https://www.youtube.com/watch?v=XfaMChybaCc</v>
      </c>
      <c r="R1060" s="50"/>
      <c r="S1060" s="50"/>
      <c r="T1060" s="50"/>
      <c r="U1060" s="52"/>
      <c r="V1060" s="53"/>
      <c r="W1060" s="60"/>
      <c r="X1060" s="56"/>
      <c r="Y1060" s="38"/>
      <c r="Z1060" s="38"/>
    </row>
    <row r="1061" spans="1:26" hidden="1">
      <c r="A1061" s="38">
        <v>668</v>
      </c>
      <c r="B1061" s="38"/>
      <c r="C1061" s="312"/>
      <c r="D1061" s="38"/>
      <c r="E1061" s="38" t="s">
        <v>2572</v>
      </c>
      <c r="F1061" s="43" t="s">
        <v>2573</v>
      </c>
      <c r="G1061" s="44"/>
      <c r="H1061" s="45"/>
      <c r="I1061" s="38"/>
      <c r="J1061" s="38">
        <f>2.8*1000</f>
        <v>2800</v>
      </c>
      <c r="K1061" s="371">
        <v>6.9444444444444441E-3</v>
      </c>
      <c r="L1061" s="47" t="s">
        <v>2547</v>
      </c>
      <c r="M1061" s="372"/>
      <c r="N1061" s="372"/>
      <c r="O1061" s="307">
        <f t="shared" si="20"/>
        <v>0</v>
      </c>
      <c r="P1061" s="92"/>
      <c r="Q1061" s="410" t="str">
        <f t="shared" ca="1" si="31"/>
        <v>https://www.youtube.com/watch?v=D559dD7btfo</v>
      </c>
      <c r="R1061" s="50"/>
      <c r="S1061" s="50"/>
      <c r="T1061" s="50"/>
      <c r="U1061" s="52"/>
      <c r="V1061" s="53"/>
      <c r="W1061" s="60"/>
      <c r="X1061" s="56"/>
      <c r="Y1061" s="38"/>
      <c r="Z1061" s="38"/>
    </row>
    <row r="1062" spans="1:26" hidden="1">
      <c r="A1062" s="38">
        <v>669</v>
      </c>
      <c r="B1062" s="38"/>
      <c r="C1062" s="312"/>
      <c r="D1062" s="38"/>
      <c r="E1062" s="38" t="s">
        <v>2105</v>
      </c>
      <c r="F1062" s="43" t="s">
        <v>2106</v>
      </c>
      <c r="G1062" s="44"/>
      <c r="H1062" s="45"/>
      <c r="I1062" s="38"/>
      <c r="J1062" s="38">
        <f>14*1000</f>
        <v>14000</v>
      </c>
      <c r="K1062" s="371">
        <v>5.6435185185185179E-2</v>
      </c>
      <c r="L1062" s="47" t="s">
        <v>2574</v>
      </c>
      <c r="M1062" s="372"/>
      <c r="N1062" s="372"/>
      <c r="O1062" s="307">
        <f t="shared" si="20"/>
        <v>0</v>
      </c>
      <c r="P1062" s="92"/>
      <c r="Q1062" s="410" t="str">
        <f t="shared" ca="1" si="31"/>
        <v>https://www.youtube.com/watch?v=rt5w2HzSWc0</v>
      </c>
      <c r="R1062" s="50"/>
      <c r="S1062" s="50"/>
      <c r="T1062" s="50"/>
      <c r="U1062" s="52"/>
      <c r="V1062" s="53"/>
      <c r="W1062" s="60"/>
      <c r="X1062" s="56"/>
      <c r="Y1062" s="38"/>
      <c r="Z1062" s="38"/>
    </row>
    <row r="1063" spans="1:26" hidden="1">
      <c r="A1063" s="38">
        <v>670</v>
      </c>
      <c r="B1063" s="38"/>
      <c r="C1063" s="312"/>
      <c r="D1063" s="38"/>
      <c r="E1063" s="38" t="s">
        <v>2575</v>
      </c>
      <c r="F1063" s="43" t="s">
        <v>2576</v>
      </c>
      <c r="G1063" s="44"/>
      <c r="H1063" s="45"/>
      <c r="I1063" s="38"/>
      <c r="J1063" s="38">
        <f>15*1000</f>
        <v>15000</v>
      </c>
      <c r="K1063" s="371">
        <v>6.3055555555555545E-2</v>
      </c>
      <c r="L1063" s="47" t="s">
        <v>2574</v>
      </c>
      <c r="M1063" s="372"/>
      <c r="N1063" s="372"/>
      <c r="O1063" s="307">
        <f t="shared" si="20"/>
        <v>0</v>
      </c>
      <c r="P1063" s="92"/>
      <c r="Q1063" s="410" t="str">
        <f t="shared" ca="1" si="31"/>
        <v>https://www.youtube.com/watch?v=kvEIBfEnwXM</v>
      </c>
      <c r="R1063" s="50"/>
      <c r="S1063" s="50"/>
      <c r="T1063" s="50"/>
      <c r="U1063" s="52"/>
      <c r="V1063" s="53"/>
      <c r="W1063" s="60"/>
      <c r="X1063" s="56"/>
      <c r="Y1063" s="38"/>
      <c r="Z1063" s="38"/>
    </row>
    <row r="1064" spans="1:26" hidden="1">
      <c r="A1064" s="38">
        <v>671</v>
      </c>
      <c r="B1064" s="38"/>
      <c r="C1064" s="312"/>
      <c r="D1064" s="38"/>
      <c r="E1064" s="38" t="s">
        <v>2577</v>
      </c>
      <c r="F1064" s="43" t="s">
        <v>2578</v>
      </c>
      <c r="G1064" s="44"/>
      <c r="H1064" s="45"/>
      <c r="I1064" s="38"/>
      <c r="J1064" s="38">
        <f>6.8*1000</f>
        <v>6800</v>
      </c>
      <c r="K1064" s="371">
        <v>5.9907407407407409E-2</v>
      </c>
      <c r="L1064" s="47" t="s">
        <v>2574</v>
      </c>
      <c r="M1064" s="372"/>
      <c r="N1064" s="372"/>
      <c r="O1064" s="307">
        <f t="shared" si="20"/>
        <v>0</v>
      </c>
      <c r="P1064" s="92"/>
      <c r="Q1064" s="410" t="str">
        <f t="shared" ca="1" si="31"/>
        <v>https://www.youtube.com/watch?v=lkDfIrZy2VY</v>
      </c>
      <c r="R1064" s="50"/>
      <c r="S1064" s="50"/>
      <c r="T1064" s="50"/>
      <c r="U1064" s="52"/>
      <c r="V1064" s="53"/>
      <c r="W1064" s="60"/>
      <c r="X1064" s="56"/>
      <c r="Y1064" s="38"/>
      <c r="Z1064" s="38"/>
    </row>
    <row r="1065" spans="1:26" hidden="1">
      <c r="A1065" s="38">
        <v>672</v>
      </c>
      <c r="B1065" s="38"/>
      <c r="C1065" s="312"/>
      <c r="D1065" s="38"/>
      <c r="E1065" s="38" t="s">
        <v>2579</v>
      </c>
      <c r="F1065" s="43" t="s">
        <v>2580</v>
      </c>
      <c r="G1065" s="44"/>
      <c r="H1065" s="45"/>
      <c r="I1065" s="38"/>
      <c r="J1065" s="38">
        <f>27*1000</f>
        <v>27000</v>
      </c>
      <c r="K1065" s="371">
        <v>2.4826388888888887E-2</v>
      </c>
      <c r="L1065" s="47" t="s">
        <v>2574</v>
      </c>
      <c r="M1065" s="372"/>
      <c r="N1065" s="372"/>
      <c r="O1065" s="307">
        <f t="shared" si="20"/>
        <v>0</v>
      </c>
      <c r="P1065" s="92"/>
      <c r="Q1065" s="410" t="str">
        <f t="shared" ca="1" si="31"/>
        <v>https://www.youtube.com/watch?v=vB9JqlUiYUk</v>
      </c>
      <c r="R1065" s="50"/>
      <c r="S1065" s="50"/>
      <c r="T1065" s="50"/>
      <c r="U1065" s="52"/>
      <c r="V1065" s="53"/>
      <c r="W1065" s="60"/>
      <c r="X1065" s="56"/>
      <c r="Y1065" s="38"/>
      <c r="Z1065" s="38"/>
    </row>
    <row r="1066" spans="1:26" hidden="1">
      <c r="A1066" s="38">
        <v>673</v>
      </c>
      <c r="B1066" s="38"/>
      <c r="C1066" s="312"/>
      <c r="D1066" s="38"/>
      <c r="E1066" s="38" t="s">
        <v>2581</v>
      </c>
      <c r="F1066" s="43" t="s">
        <v>2582</v>
      </c>
      <c r="G1066" s="44"/>
      <c r="H1066" s="45"/>
      <c r="I1066" s="38"/>
      <c r="J1066" s="38">
        <f>10*1000</f>
        <v>10000</v>
      </c>
      <c r="K1066" s="371">
        <v>2.8564814814814817E-2</v>
      </c>
      <c r="L1066" s="47" t="s">
        <v>2583</v>
      </c>
      <c r="M1066" s="372"/>
      <c r="N1066" s="372"/>
      <c r="O1066" s="307">
        <f t="shared" si="20"/>
        <v>0</v>
      </c>
      <c r="P1066" s="92"/>
      <c r="Q1066" s="410" t="str">
        <f t="shared" ca="1" si="31"/>
        <v>https://www.youtube.com/watch?v=vzoIHUTieE0</v>
      </c>
      <c r="R1066" s="50"/>
      <c r="S1066" s="50"/>
      <c r="T1066" s="50"/>
      <c r="U1066" s="52"/>
      <c r="V1066" s="53"/>
      <c r="W1066" s="60"/>
      <c r="X1066" s="56"/>
      <c r="Y1066" s="38"/>
      <c r="Z1066" s="38"/>
    </row>
    <row r="1067" spans="1:26" hidden="1">
      <c r="A1067" s="38">
        <v>674</v>
      </c>
      <c r="B1067" s="38"/>
      <c r="C1067" s="312"/>
      <c r="D1067" s="38"/>
      <c r="E1067" s="38" t="s">
        <v>2584</v>
      </c>
      <c r="F1067" s="43" t="s">
        <v>2585</v>
      </c>
      <c r="G1067" s="44"/>
      <c r="H1067" s="45"/>
      <c r="I1067" s="38"/>
      <c r="J1067" s="38">
        <f>1.8*1000</f>
        <v>1800</v>
      </c>
      <c r="K1067" s="371">
        <v>3.9583333333333337E-3</v>
      </c>
      <c r="L1067" s="47" t="s">
        <v>2583</v>
      </c>
      <c r="M1067" s="372"/>
      <c r="N1067" s="372"/>
      <c r="O1067" s="307">
        <f t="shared" si="20"/>
        <v>0</v>
      </c>
      <c r="P1067" s="92"/>
      <c r="Q1067" s="410" t="str">
        <f t="shared" ca="1" si="31"/>
        <v>https://www.youtube.com/watch?v=eKSuEJqn2NI</v>
      </c>
      <c r="R1067" s="50"/>
      <c r="S1067" s="50"/>
      <c r="T1067" s="50"/>
      <c r="U1067" s="52"/>
      <c r="V1067" s="53"/>
      <c r="W1067" s="60"/>
      <c r="X1067" s="56"/>
      <c r="Y1067" s="38"/>
      <c r="Z1067" s="38"/>
    </row>
    <row r="1068" spans="1:26" hidden="1">
      <c r="A1068" s="38">
        <v>675</v>
      </c>
      <c r="B1068" s="38"/>
      <c r="C1068" s="312"/>
      <c r="D1068" s="38"/>
      <c r="E1068" s="38" t="s">
        <v>2586</v>
      </c>
      <c r="F1068" s="43" t="s">
        <v>2587</v>
      </c>
      <c r="G1068" s="44"/>
      <c r="H1068" s="45"/>
      <c r="I1068" s="38"/>
      <c r="J1068" s="38">
        <f>2.3*1000</f>
        <v>2300</v>
      </c>
      <c r="K1068" s="371">
        <v>6.3078703703703706E-2</v>
      </c>
      <c r="L1068" s="47" t="s">
        <v>2583</v>
      </c>
      <c r="M1068" s="372"/>
      <c r="N1068" s="372"/>
      <c r="O1068" s="307">
        <f t="shared" si="20"/>
        <v>0</v>
      </c>
      <c r="P1068" s="92"/>
      <c r="Q1068" s="410" t="str">
        <f t="shared" ca="1" si="31"/>
        <v>https://www.youtube.com/watch?v=1UnsEQPK3PQ</v>
      </c>
      <c r="R1068" s="50"/>
      <c r="S1068" s="50"/>
      <c r="T1068" s="50"/>
      <c r="U1068" s="52"/>
      <c r="V1068" s="53"/>
      <c r="W1068" s="60"/>
      <c r="X1068" s="56"/>
      <c r="Y1068" s="38"/>
      <c r="Z1068" s="38"/>
    </row>
    <row r="1069" spans="1:26" hidden="1">
      <c r="A1069" s="38">
        <v>676</v>
      </c>
      <c r="B1069" s="38"/>
      <c r="C1069" s="312"/>
      <c r="D1069" s="38"/>
      <c r="E1069" s="38" t="s">
        <v>2588</v>
      </c>
      <c r="F1069" s="43" t="s">
        <v>2589</v>
      </c>
      <c r="G1069" s="44"/>
      <c r="H1069" s="45"/>
      <c r="I1069" s="38"/>
      <c r="J1069" s="38">
        <f>1.2*1000</f>
        <v>1200</v>
      </c>
      <c r="K1069" s="371">
        <v>6.5277777777777782E-2</v>
      </c>
      <c r="L1069" s="47" t="s">
        <v>2583</v>
      </c>
      <c r="M1069" s="372"/>
      <c r="N1069" s="372"/>
      <c r="O1069" s="307">
        <f t="shared" si="20"/>
        <v>0</v>
      </c>
      <c r="P1069" s="92"/>
      <c r="Q1069" s="410" t="str">
        <f t="shared" ca="1" si="31"/>
        <v>https://www.youtube.com/watch?v=bD-uUsBgY-w</v>
      </c>
      <c r="R1069" s="50"/>
      <c r="S1069" s="50"/>
      <c r="T1069" s="50"/>
      <c r="U1069" s="52"/>
      <c r="V1069" s="53"/>
      <c r="W1069" s="60"/>
      <c r="X1069" s="56"/>
      <c r="Y1069" s="38"/>
      <c r="Z1069" s="38"/>
    </row>
    <row r="1070" spans="1:26" hidden="1">
      <c r="A1070" s="38">
        <v>677</v>
      </c>
      <c r="B1070" s="38"/>
      <c r="C1070" s="312"/>
      <c r="D1070" s="38"/>
      <c r="E1070" s="38" t="s">
        <v>2590</v>
      </c>
      <c r="F1070" s="43" t="s">
        <v>2591</v>
      </c>
      <c r="G1070" s="44"/>
      <c r="H1070" s="45"/>
      <c r="I1070" s="38"/>
      <c r="J1070" s="38">
        <f>3.7*1000</f>
        <v>3700</v>
      </c>
      <c r="K1070" s="371">
        <v>3.770833333333333E-2</v>
      </c>
      <c r="L1070" s="47" t="s">
        <v>2583</v>
      </c>
      <c r="M1070" s="372"/>
      <c r="N1070" s="372"/>
      <c r="O1070" s="307">
        <f t="shared" si="20"/>
        <v>0</v>
      </c>
      <c r="P1070" s="92"/>
      <c r="Q1070" s="410" t="str">
        <f t="shared" ca="1" si="31"/>
        <v>https://www.youtube.com/watch?v=Lrh5zQHEIk4</v>
      </c>
      <c r="R1070" s="50"/>
      <c r="S1070" s="50"/>
      <c r="T1070" s="50"/>
      <c r="U1070" s="52"/>
      <c r="V1070" s="53"/>
      <c r="W1070" s="60"/>
      <c r="X1070" s="56"/>
      <c r="Y1070" s="38"/>
      <c r="Z1070" s="38"/>
    </row>
    <row r="1071" spans="1:26" hidden="1">
      <c r="A1071" s="38">
        <v>678</v>
      </c>
      <c r="B1071" s="38"/>
      <c r="C1071" s="312"/>
      <c r="D1071" s="38"/>
      <c r="E1071" s="38" t="s">
        <v>2592</v>
      </c>
      <c r="F1071" s="43" t="s">
        <v>2593</v>
      </c>
      <c r="G1071" s="44"/>
      <c r="H1071" s="45"/>
      <c r="I1071" s="38"/>
      <c r="J1071" s="38">
        <f>6.7*1000</f>
        <v>6700</v>
      </c>
      <c r="K1071" s="371">
        <v>2.7349537037037037E-2</v>
      </c>
      <c r="L1071" s="47" t="s">
        <v>2583</v>
      </c>
      <c r="M1071" s="372"/>
      <c r="N1071" s="372"/>
      <c r="O1071" s="307">
        <f t="shared" si="20"/>
        <v>0</v>
      </c>
      <c r="P1071" s="92"/>
      <c r="Q1071" s="410" t="str">
        <f t="shared" ca="1" si="31"/>
        <v>https://www.youtube.com/watch?v=edQr4IJQuEg</v>
      </c>
      <c r="R1071" s="50"/>
      <c r="S1071" s="50"/>
      <c r="T1071" s="50"/>
      <c r="U1071" s="52"/>
      <c r="V1071" s="53"/>
      <c r="W1071" s="60"/>
      <c r="X1071" s="56"/>
      <c r="Y1071" s="38"/>
      <c r="Z1071" s="38"/>
    </row>
    <row r="1072" spans="1:26" hidden="1">
      <c r="A1072" s="38">
        <v>679</v>
      </c>
      <c r="B1072" s="38"/>
      <c r="C1072" s="312"/>
      <c r="D1072" s="38"/>
      <c r="E1072" s="38" t="s">
        <v>2594</v>
      </c>
      <c r="F1072" s="43" t="s">
        <v>2595</v>
      </c>
      <c r="G1072" s="44"/>
      <c r="H1072" s="45"/>
      <c r="I1072" s="38"/>
      <c r="J1072" s="38">
        <f>3.7*1000</f>
        <v>3700</v>
      </c>
      <c r="K1072" s="371">
        <v>2.8599537037037034E-2</v>
      </c>
      <c r="L1072" s="47" t="s">
        <v>2583</v>
      </c>
      <c r="M1072" s="372"/>
      <c r="N1072" s="372"/>
      <c r="O1072" s="307">
        <f t="shared" si="20"/>
        <v>0</v>
      </c>
      <c r="P1072" s="92"/>
      <c r="Q1072" s="410" t="str">
        <f t="shared" ca="1" si="31"/>
        <v>https://www.youtube.com/watch?v=RJSsEA6fpJE</v>
      </c>
      <c r="R1072" s="50"/>
      <c r="S1072" s="50"/>
      <c r="T1072" s="50"/>
      <c r="U1072" s="52"/>
      <c r="V1072" s="53"/>
      <c r="W1072" s="60"/>
      <c r="X1072" s="56"/>
      <c r="Y1072" s="38"/>
      <c r="Z1072" s="38"/>
    </row>
    <row r="1073" spans="1:26" hidden="1">
      <c r="A1073" s="38">
        <v>680</v>
      </c>
      <c r="B1073" s="38"/>
      <c r="C1073" s="312"/>
      <c r="D1073" s="38"/>
      <c r="E1073" s="38" t="s">
        <v>2596</v>
      </c>
      <c r="F1073" s="43" t="s">
        <v>2597</v>
      </c>
      <c r="G1073" s="44"/>
      <c r="H1073" s="45"/>
      <c r="I1073" s="38"/>
      <c r="J1073" s="38">
        <f>6.5*1000</f>
        <v>6500</v>
      </c>
      <c r="K1073" s="371">
        <v>2.2685185185185183E-2</v>
      </c>
      <c r="L1073" s="47" t="s">
        <v>2583</v>
      </c>
      <c r="M1073" s="372"/>
      <c r="N1073" s="372"/>
      <c r="O1073" s="307">
        <f t="shared" si="20"/>
        <v>0</v>
      </c>
      <c r="P1073" s="92"/>
      <c r="Q1073" s="410" t="str">
        <f t="shared" ca="1" si="31"/>
        <v>https://www.youtube.com/watch?v=BlNY-1vmqvA</v>
      </c>
      <c r="R1073" s="50"/>
      <c r="S1073" s="50"/>
      <c r="T1073" s="50"/>
      <c r="U1073" s="52"/>
      <c r="V1073" s="53"/>
      <c r="W1073" s="60"/>
      <c r="X1073" s="56"/>
      <c r="Y1073" s="38"/>
      <c r="Z1073" s="38"/>
    </row>
    <row r="1074" spans="1:26" hidden="1">
      <c r="A1074" s="38">
        <v>681</v>
      </c>
      <c r="B1074" s="38"/>
      <c r="C1074" s="312"/>
      <c r="D1074" s="38"/>
      <c r="E1074" s="38" t="s">
        <v>2598</v>
      </c>
      <c r="F1074" s="43" t="s">
        <v>2599</v>
      </c>
      <c r="G1074" s="44"/>
      <c r="H1074" s="45"/>
      <c r="I1074" s="38"/>
      <c r="J1074" s="38">
        <f>2.9*1000</f>
        <v>2900</v>
      </c>
      <c r="K1074" s="371">
        <v>2.8888888888888891E-2</v>
      </c>
      <c r="L1074" s="47" t="s">
        <v>2583</v>
      </c>
      <c r="M1074" s="372"/>
      <c r="N1074" s="372"/>
      <c r="O1074" s="307">
        <f t="shared" si="20"/>
        <v>0</v>
      </c>
      <c r="P1074" s="92"/>
      <c r="Q1074" s="410" t="str">
        <f t="shared" ca="1" si="31"/>
        <v>https://www.youtube.com/watch?v=_CKZQa18hcY</v>
      </c>
      <c r="R1074" s="50"/>
      <c r="S1074" s="50"/>
      <c r="T1074" s="50"/>
      <c r="U1074" s="52"/>
      <c r="V1074" s="53"/>
      <c r="W1074" s="60"/>
      <c r="X1074" s="56"/>
      <c r="Y1074" s="38"/>
      <c r="Z1074" s="38"/>
    </row>
    <row r="1075" spans="1:26" hidden="1">
      <c r="A1075" s="38">
        <v>682</v>
      </c>
      <c r="B1075" s="38"/>
      <c r="C1075" s="312"/>
      <c r="D1075" s="38"/>
      <c r="E1075" s="38" t="s">
        <v>2600</v>
      </c>
      <c r="F1075" s="43" t="s">
        <v>2601</v>
      </c>
      <c r="G1075" s="44"/>
      <c r="H1075" s="45"/>
      <c r="I1075" s="38"/>
      <c r="J1075" s="38">
        <f>2.1*1000</f>
        <v>2100</v>
      </c>
      <c r="K1075" s="371">
        <v>2.6261574074074076E-2</v>
      </c>
      <c r="L1075" s="47" t="s">
        <v>2583</v>
      </c>
      <c r="M1075" s="372"/>
      <c r="N1075" s="372"/>
      <c r="O1075" s="307">
        <f t="shared" si="20"/>
        <v>0</v>
      </c>
      <c r="P1075" s="92"/>
      <c r="Q1075" s="410" t="str">
        <f t="shared" ca="1" si="31"/>
        <v>https://www.youtube.com/watch?v=iwaHs0-q9l8</v>
      </c>
      <c r="R1075" s="50"/>
      <c r="S1075" s="50"/>
      <c r="T1075" s="50"/>
      <c r="U1075" s="52"/>
      <c r="V1075" s="53"/>
      <c r="W1075" s="60"/>
      <c r="X1075" s="56"/>
      <c r="Y1075" s="38"/>
      <c r="Z1075" s="38"/>
    </row>
    <row r="1076" spans="1:26" hidden="1">
      <c r="A1076" s="38">
        <v>683</v>
      </c>
      <c r="B1076" s="38"/>
      <c r="C1076" s="312"/>
      <c r="D1076" s="38"/>
      <c r="E1076" s="38" t="s">
        <v>2602</v>
      </c>
      <c r="F1076" s="43" t="s">
        <v>2603</v>
      </c>
      <c r="G1076" s="44"/>
      <c r="H1076" s="45"/>
      <c r="I1076" s="38"/>
      <c r="J1076" s="38">
        <f>3*1000</f>
        <v>3000</v>
      </c>
      <c r="K1076" s="371">
        <v>1.5324074074074073E-2</v>
      </c>
      <c r="L1076" s="47" t="s">
        <v>2583</v>
      </c>
      <c r="M1076" s="372"/>
      <c r="N1076" s="372"/>
      <c r="O1076" s="307">
        <f t="shared" si="20"/>
        <v>0</v>
      </c>
      <c r="P1076" s="92"/>
      <c r="Q1076" s="410" t="str">
        <f t="shared" ca="1" si="31"/>
        <v>https://www.youtube.com/watch?v=lkO1JaN7BoQ</v>
      </c>
      <c r="R1076" s="50"/>
      <c r="S1076" s="50"/>
      <c r="T1076" s="50"/>
      <c r="U1076" s="52"/>
      <c r="V1076" s="53"/>
      <c r="W1076" s="60"/>
      <c r="X1076" s="56"/>
      <c r="Y1076" s="38"/>
      <c r="Z1076" s="38"/>
    </row>
    <row r="1077" spans="1:26" hidden="1">
      <c r="A1077" s="38">
        <v>684</v>
      </c>
      <c r="B1077" s="38"/>
      <c r="C1077" s="312"/>
      <c r="D1077" s="38"/>
      <c r="E1077" s="38" t="s">
        <v>2604</v>
      </c>
      <c r="F1077" s="43" t="s">
        <v>2605</v>
      </c>
      <c r="G1077" s="44"/>
      <c r="H1077" s="45"/>
      <c r="I1077" s="38"/>
      <c r="J1077" s="38">
        <f>5.4*1000</f>
        <v>5400</v>
      </c>
      <c r="K1077" s="371">
        <v>1.9583333333333331E-2</v>
      </c>
      <c r="L1077" s="47" t="s">
        <v>2583</v>
      </c>
      <c r="M1077" s="372"/>
      <c r="N1077" s="372"/>
      <c r="O1077" s="307">
        <f t="shared" si="20"/>
        <v>0</v>
      </c>
      <c r="P1077" s="92"/>
      <c r="Q1077" s="410" t="str">
        <f t="shared" ca="1" si="31"/>
        <v>https://www.youtube.com/watch?v=vaRCmUwpmNk</v>
      </c>
      <c r="R1077" s="50"/>
      <c r="S1077" s="50"/>
      <c r="T1077" s="50"/>
      <c r="U1077" s="52"/>
      <c r="V1077" s="53"/>
      <c r="W1077" s="60"/>
      <c r="X1077" s="56"/>
      <c r="Y1077" s="38"/>
      <c r="Z1077" s="38"/>
    </row>
    <row r="1078" spans="1:26" hidden="1">
      <c r="A1078" s="38">
        <v>685</v>
      </c>
      <c r="B1078" s="38"/>
      <c r="C1078" s="312"/>
      <c r="D1078" s="38"/>
      <c r="E1078" s="38" t="s">
        <v>2606</v>
      </c>
      <c r="F1078" s="43" t="s">
        <v>2607</v>
      </c>
      <c r="G1078" s="44"/>
      <c r="H1078" s="45"/>
      <c r="I1078" s="38"/>
      <c r="J1078" s="38">
        <f>3.3*1000</f>
        <v>3300</v>
      </c>
      <c r="K1078" s="371">
        <v>1.6331018518518519E-2</v>
      </c>
      <c r="L1078" s="47" t="s">
        <v>2583</v>
      </c>
      <c r="M1078" s="372"/>
      <c r="N1078" s="372"/>
      <c r="O1078" s="307">
        <f t="shared" si="20"/>
        <v>0</v>
      </c>
      <c r="P1078" s="92"/>
      <c r="Q1078" s="410" t="str">
        <f t="shared" ca="1" si="31"/>
        <v>https://www.youtube.com/watch?v=qY_yQIrKwRk</v>
      </c>
      <c r="R1078" s="50"/>
      <c r="S1078" s="50"/>
      <c r="T1078" s="50"/>
      <c r="U1078" s="52"/>
      <c r="V1078" s="53"/>
      <c r="W1078" s="60"/>
      <c r="X1078" s="56"/>
      <c r="Y1078" s="38"/>
      <c r="Z1078" s="38"/>
    </row>
    <row r="1079" spans="1:26" hidden="1">
      <c r="A1079" s="38">
        <v>686</v>
      </c>
      <c r="B1079" s="38"/>
      <c r="C1079" s="312"/>
      <c r="D1079" s="38"/>
      <c r="E1079" s="38" t="s">
        <v>2608</v>
      </c>
      <c r="F1079" s="43" t="s">
        <v>2609</v>
      </c>
      <c r="G1079" s="44"/>
      <c r="H1079" s="45"/>
      <c r="I1079" s="38"/>
      <c r="J1079" s="38">
        <f>2.6*1000</f>
        <v>2600</v>
      </c>
      <c r="K1079" s="371">
        <v>2.1944444444444447E-2</v>
      </c>
      <c r="L1079" s="47" t="s">
        <v>2583</v>
      </c>
      <c r="M1079" s="372"/>
      <c r="N1079" s="372"/>
      <c r="O1079" s="307">
        <f t="shared" si="20"/>
        <v>0</v>
      </c>
      <c r="P1079" s="92"/>
      <c r="Q1079" s="410" t="str">
        <f t="shared" ca="1" si="31"/>
        <v>https://www.youtube.com/watch?v=4ZkNnR--tMY</v>
      </c>
      <c r="R1079" s="50"/>
      <c r="S1079" s="50"/>
      <c r="T1079" s="50"/>
      <c r="U1079" s="52"/>
      <c r="V1079" s="53"/>
      <c r="W1079" s="60"/>
      <c r="X1079" s="56"/>
      <c r="Y1079" s="38"/>
      <c r="Z1079" s="38"/>
    </row>
    <row r="1080" spans="1:26" hidden="1">
      <c r="A1080" s="38">
        <v>687</v>
      </c>
      <c r="B1080" s="38"/>
      <c r="C1080" s="312"/>
      <c r="D1080" s="38"/>
      <c r="E1080" s="38" t="s">
        <v>2610</v>
      </c>
      <c r="F1080" s="43" t="s">
        <v>2611</v>
      </c>
      <c r="G1080" s="44"/>
      <c r="H1080" s="45"/>
      <c r="I1080" s="38"/>
      <c r="J1080" s="38">
        <f>5.8*1000</f>
        <v>5800</v>
      </c>
      <c r="K1080" s="371">
        <v>6.122685185185185E-3</v>
      </c>
      <c r="L1080" s="47" t="s">
        <v>2583</v>
      </c>
      <c r="M1080" s="372"/>
      <c r="N1080" s="372"/>
      <c r="O1080" s="307">
        <f t="shared" si="20"/>
        <v>0</v>
      </c>
      <c r="P1080" s="92"/>
      <c r="Q1080" s="410" t="str">
        <f t="shared" ca="1" si="31"/>
        <v>https://www.youtube.com/watch?v=Fb11XAvWeyE</v>
      </c>
      <c r="R1080" s="50"/>
      <c r="S1080" s="50"/>
      <c r="T1080" s="50"/>
      <c r="U1080" s="52"/>
      <c r="V1080" s="53"/>
      <c r="W1080" s="60"/>
      <c r="X1080" s="56"/>
      <c r="Y1080" s="38"/>
      <c r="Z1080" s="38"/>
    </row>
    <row r="1081" spans="1:26" hidden="1">
      <c r="A1081" s="38">
        <v>688</v>
      </c>
      <c r="B1081" s="38"/>
      <c r="C1081" s="312"/>
      <c r="D1081" s="38"/>
      <c r="E1081" s="38" t="s">
        <v>2612</v>
      </c>
      <c r="F1081" s="43" t="s">
        <v>2613</v>
      </c>
      <c r="G1081" s="44"/>
      <c r="H1081" s="45"/>
      <c r="I1081" s="38"/>
      <c r="J1081" s="38">
        <f>12*1000</f>
        <v>12000</v>
      </c>
      <c r="K1081" s="371">
        <v>7.905092592592592E-3</v>
      </c>
      <c r="L1081" s="47" t="s">
        <v>2583</v>
      </c>
      <c r="M1081" s="372"/>
      <c r="N1081" s="372"/>
      <c r="O1081" s="307">
        <f t="shared" si="20"/>
        <v>0</v>
      </c>
      <c r="P1081" s="92"/>
      <c r="Q1081" s="410" t="str">
        <f t="shared" ca="1" si="31"/>
        <v>https://www.youtube.com/watch?v=xAicQnL_abA</v>
      </c>
      <c r="R1081" s="50"/>
      <c r="S1081" s="50"/>
      <c r="T1081" s="50"/>
      <c r="U1081" s="52"/>
      <c r="V1081" s="53"/>
      <c r="W1081" s="60"/>
      <c r="X1081" s="56"/>
      <c r="Y1081" s="38"/>
      <c r="Z1081" s="38"/>
    </row>
    <row r="1082" spans="1:26" hidden="1">
      <c r="A1082" s="38">
        <v>689</v>
      </c>
      <c r="B1082" s="38"/>
      <c r="C1082" s="312"/>
      <c r="D1082" s="38"/>
      <c r="E1082" s="38" t="s">
        <v>2614</v>
      </c>
      <c r="F1082" s="43" t="s">
        <v>2615</v>
      </c>
      <c r="G1082" s="44"/>
      <c r="H1082" s="45"/>
      <c r="I1082" s="38"/>
      <c r="J1082" s="38">
        <f>4.8*1000</f>
        <v>4800</v>
      </c>
      <c r="K1082" s="371">
        <v>3.1134259259259257E-3</v>
      </c>
      <c r="L1082" s="47" t="s">
        <v>2583</v>
      </c>
      <c r="M1082" s="372"/>
      <c r="N1082" s="372"/>
      <c r="O1082" s="307">
        <f t="shared" si="20"/>
        <v>0</v>
      </c>
      <c r="P1082" s="92"/>
      <c r="Q1082" s="410" t="str">
        <f t="shared" ca="1" si="31"/>
        <v>https://www.youtube.com/watch?v=kcbL1wC9PEg</v>
      </c>
      <c r="R1082" s="50"/>
      <c r="S1082" s="50"/>
      <c r="T1082" s="50"/>
      <c r="U1082" s="52"/>
      <c r="V1082" s="53"/>
      <c r="W1082" s="60"/>
      <c r="X1082" s="56"/>
      <c r="Y1082" s="38"/>
      <c r="Z1082" s="38"/>
    </row>
    <row r="1083" spans="1:26" hidden="1">
      <c r="A1083" s="38">
        <v>690</v>
      </c>
      <c r="B1083" s="38"/>
      <c r="C1083" s="312"/>
      <c r="D1083" s="38"/>
      <c r="E1083" s="38" t="s">
        <v>2616</v>
      </c>
      <c r="F1083" s="43" t="s">
        <v>2617</v>
      </c>
      <c r="G1083" s="44"/>
      <c r="H1083" s="45"/>
      <c r="I1083" s="38"/>
      <c r="J1083" s="38">
        <f>9.1*1000</f>
        <v>9100</v>
      </c>
      <c r="K1083" s="371">
        <v>3.2106481481481479E-2</v>
      </c>
      <c r="L1083" s="47" t="s">
        <v>2583</v>
      </c>
      <c r="M1083" s="372"/>
      <c r="N1083" s="372"/>
      <c r="O1083" s="307">
        <f t="shared" si="20"/>
        <v>0</v>
      </c>
      <c r="P1083" s="92"/>
      <c r="Q1083" s="410" t="str">
        <f t="shared" ca="1" si="31"/>
        <v>https://www.youtube.com/watch?v=qqDl6coS7wg</v>
      </c>
      <c r="R1083" s="50"/>
      <c r="S1083" s="50"/>
      <c r="T1083" s="50"/>
      <c r="U1083" s="52"/>
      <c r="V1083" s="53"/>
      <c r="W1083" s="60"/>
      <c r="X1083" s="56"/>
      <c r="Y1083" s="38"/>
      <c r="Z1083" s="38"/>
    </row>
    <row r="1084" spans="1:26" hidden="1">
      <c r="A1084" s="38">
        <v>691</v>
      </c>
      <c r="B1084" s="38"/>
      <c r="C1084" s="312"/>
      <c r="D1084" s="38"/>
      <c r="E1084" s="38" t="s">
        <v>2618</v>
      </c>
      <c r="F1084" s="43" t="s">
        <v>2619</v>
      </c>
      <c r="G1084" s="44"/>
      <c r="H1084" s="45"/>
      <c r="I1084" s="38"/>
      <c r="J1084" s="38">
        <f>24*1000</f>
        <v>24000</v>
      </c>
      <c r="K1084" s="371">
        <v>4.4583333333333336E-2</v>
      </c>
      <c r="L1084" s="47" t="s">
        <v>2583</v>
      </c>
      <c r="M1084" s="372"/>
      <c r="N1084" s="372"/>
      <c r="O1084" s="307">
        <f t="shared" si="20"/>
        <v>0</v>
      </c>
      <c r="P1084" s="92"/>
      <c r="Q1084" s="410" t="str">
        <f t="shared" ca="1" si="31"/>
        <v>https://www.youtube.com/watch?v=0RYS6V76lRQ</v>
      </c>
      <c r="R1084" s="50"/>
      <c r="S1084" s="50"/>
      <c r="T1084" s="50"/>
      <c r="U1084" s="52"/>
      <c r="V1084" s="53"/>
      <c r="W1084" s="60"/>
      <c r="X1084" s="56"/>
      <c r="Y1084" s="38"/>
      <c r="Z1084" s="38"/>
    </row>
    <row r="1085" spans="1:26" hidden="1">
      <c r="A1085" s="38">
        <v>692</v>
      </c>
      <c r="B1085" s="38"/>
      <c r="C1085" s="312"/>
      <c r="D1085" s="38"/>
      <c r="E1085" s="38" t="s">
        <v>2620</v>
      </c>
      <c r="F1085" s="43" t="s">
        <v>2621</v>
      </c>
      <c r="G1085" s="44"/>
      <c r="H1085" s="45"/>
      <c r="I1085" s="38"/>
      <c r="J1085" s="38">
        <f>4.9*1000</f>
        <v>4900</v>
      </c>
      <c r="K1085" s="371">
        <v>2.8055555555555556E-2</v>
      </c>
      <c r="L1085" s="47" t="s">
        <v>2583</v>
      </c>
      <c r="M1085" s="372"/>
      <c r="N1085" s="372"/>
      <c r="O1085" s="307">
        <f t="shared" si="20"/>
        <v>0</v>
      </c>
      <c r="P1085" s="92"/>
      <c r="Q1085" s="410" t="str">
        <f t="shared" ca="1" si="31"/>
        <v>https://www.youtube.com/watch?v=gtJ9OzJIB_c</v>
      </c>
      <c r="R1085" s="50"/>
      <c r="S1085" s="50"/>
      <c r="T1085" s="50"/>
      <c r="U1085" s="52"/>
      <c r="V1085" s="53"/>
      <c r="W1085" s="60"/>
      <c r="X1085" s="56"/>
      <c r="Y1085" s="38"/>
      <c r="Z1085" s="38"/>
    </row>
    <row r="1086" spans="1:26" hidden="1">
      <c r="A1086" s="38">
        <v>693</v>
      </c>
      <c r="B1086" s="38"/>
      <c r="C1086" s="312"/>
      <c r="D1086" s="38"/>
      <c r="E1086" s="38" t="s">
        <v>2622</v>
      </c>
      <c r="F1086" s="43" t="s">
        <v>2623</v>
      </c>
      <c r="G1086" s="44"/>
      <c r="H1086" s="45"/>
      <c r="I1086" s="38"/>
      <c r="J1086" s="38">
        <f>5.3*1000</f>
        <v>5300</v>
      </c>
      <c r="K1086" s="371">
        <v>1.4733796296296295E-2</v>
      </c>
      <c r="L1086" s="47" t="s">
        <v>2583</v>
      </c>
      <c r="M1086" s="372"/>
      <c r="N1086" s="372"/>
      <c r="O1086" s="307">
        <f t="shared" si="20"/>
        <v>0</v>
      </c>
      <c r="P1086" s="92"/>
      <c r="Q1086" s="410" t="str">
        <f t="shared" ca="1" si="31"/>
        <v>https://www.youtube.com/watch?v=7AYmPqY5iF4</v>
      </c>
      <c r="R1086" s="50"/>
      <c r="S1086" s="50"/>
      <c r="T1086" s="50"/>
      <c r="U1086" s="52"/>
      <c r="V1086" s="53"/>
      <c r="W1086" s="60"/>
      <c r="X1086" s="56"/>
      <c r="Y1086" s="38"/>
      <c r="Z1086" s="38"/>
    </row>
    <row r="1087" spans="1:26" hidden="1">
      <c r="A1087" s="38">
        <v>694</v>
      </c>
      <c r="B1087" s="38"/>
      <c r="C1087" s="312"/>
      <c r="D1087" s="38"/>
      <c r="E1087" s="38" t="s">
        <v>2624</v>
      </c>
      <c r="F1087" s="43" t="s">
        <v>2625</v>
      </c>
      <c r="G1087" s="44"/>
      <c r="H1087" s="45"/>
      <c r="I1087" s="38"/>
      <c r="J1087" s="38">
        <f>18*1000</f>
        <v>18000</v>
      </c>
      <c r="K1087" s="371">
        <v>3.3402777777777774E-2</v>
      </c>
      <c r="L1087" s="47" t="s">
        <v>811</v>
      </c>
      <c r="M1087" s="372"/>
      <c r="N1087" s="372"/>
      <c r="O1087" s="307">
        <f t="shared" si="20"/>
        <v>0</v>
      </c>
      <c r="P1087" s="92"/>
      <c r="Q1087" s="410" t="str">
        <f t="shared" ca="1" si="31"/>
        <v>https://www.youtube.com/watch?v=4iGdwJ3nQcs&amp;t=38s</v>
      </c>
      <c r="R1087" s="50"/>
      <c r="S1087" s="50"/>
      <c r="T1087" s="50"/>
      <c r="U1087" s="52"/>
      <c r="V1087" s="53"/>
      <c r="W1087" s="60"/>
      <c r="X1087" s="56"/>
      <c r="Y1087" s="38"/>
      <c r="Z1087" s="38"/>
    </row>
    <row r="1088" spans="1:26" hidden="1">
      <c r="A1088" s="38">
        <v>695</v>
      </c>
      <c r="B1088" s="38"/>
      <c r="C1088" s="312"/>
      <c r="D1088" s="38"/>
      <c r="E1088" s="38" t="s">
        <v>2111</v>
      </c>
      <c r="F1088" s="43" t="s">
        <v>2112</v>
      </c>
      <c r="G1088" s="44"/>
      <c r="H1088" s="45"/>
      <c r="I1088" s="38"/>
      <c r="J1088" s="38">
        <f>9.1*1000</f>
        <v>9100</v>
      </c>
      <c r="K1088" s="371">
        <v>4.2349537037037033E-2</v>
      </c>
      <c r="L1088" s="47" t="s">
        <v>811</v>
      </c>
      <c r="M1088" s="372"/>
      <c r="N1088" s="372"/>
      <c r="O1088" s="307">
        <f t="shared" si="20"/>
        <v>0</v>
      </c>
      <c r="P1088" s="92"/>
      <c r="Q1088" s="410" t="str">
        <f t="shared" ca="1" si="31"/>
        <v>https://www.youtube.com/watch?v=OI3nL5YCIO8</v>
      </c>
      <c r="R1088" s="50"/>
      <c r="S1088" s="50"/>
      <c r="T1088" s="50"/>
      <c r="U1088" s="52"/>
      <c r="V1088" s="53"/>
      <c r="W1088" s="60"/>
      <c r="X1088" s="56"/>
      <c r="Y1088" s="38"/>
      <c r="Z1088" s="38"/>
    </row>
    <row r="1089" spans="1:26" hidden="1">
      <c r="A1089" s="38">
        <v>696</v>
      </c>
      <c r="B1089" s="38"/>
      <c r="C1089" s="312"/>
      <c r="D1089" s="38"/>
      <c r="E1089" s="38" t="s">
        <v>2626</v>
      </c>
      <c r="F1089" s="43" t="s">
        <v>2627</v>
      </c>
      <c r="G1089" s="44"/>
      <c r="H1089" s="45"/>
      <c r="I1089" s="38"/>
      <c r="J1089" s="38">
        <f>10*1000</f>
        <v>10000</v>
      </c>
      <c r="K1089" s="371">
        <v>2.1979166666666664E-2</v>
      </c>
      <c r="L1089" s="47" t="s">
        <v>811</v>
      </c>
      <c r="M1089" s="372"/>
      <c r="N1089" s="372"/>
      <c r="O1089" s="307">
        <f t="shared" si="20"/>
        <v>0</v>
      </c>
      <c r="P1089" s="92"/>
      <c r="Q1089" s="410" t="str">
        <f t="shared" ca="1" si="31"/>
        <v>https://www.youtube.com/watch?v=_xxJKDZyRuE</v>
      </c>
      <c r="R1089" s="50"/>
      <c r="S1089" s="50"/>
      <c r="T1089" s="50"/>
      <c r="U1089" s="52"/>
      <c r="V1089" s="53"/>
      <c r="W1089" s="60"/>
      <c r="X1089" s="56"/>
      <c r="Y1089" s="38"/>
      <c r="Z1089" s="38"/>
    </row>
    <row r="1090" spans="1:26" hidden="1">
      <c r="A1090" s="38">
        <v>697</v>
      </c>
      <c r="B1090" s="38"/>
      <c r="C1090" s="312"/>
      <c r="D1090" s="38"/>
      <c r="E1090" s="38" t="s">
        <v>2628</v>
      </c>
      <c r="F1090" s="43" t="s">
        <v>2629</v>
      </c>
      <c r="G1090" s="44"/>
      <c r="H1090" s="45"/>
      <c r="I1090" s="38"/>
      <c r="J1090" s="38">
        <f>3.7*1000</f>
        <v>3700</v>
      </c>
      <c r="K1090" s="371">
        <v>1.7824074074074072E-3</v>
      </c>
      <c r="L1090" s="47" t="s">
        <v>811</v>
      </c>
      <c r="M1090" s="372"/>
      <c r="N1090" s="372"/>
      <c r="O1090" s="307">
        <f t="shared" si="20"/>
        <v>0</v>
      </c>
      <c r="P1090" s="92"/>
      <c r="Q1090" s="410" t="str">
        <f t="shared" ca="1" si="31"/>
        <v>https://www.youtube.com/watch?v=vhlPSbFlxPI</v>
      </c>
      <c r="R1090" s="50"/>
      <c r="S1090" s="50"/>
      <c r="T1090" s="50"/>
      <c r="U1090" s="52"/>
      <c r="V1090" s="53"/>
      <c r="W1090" s="60"/>
      <c r="X1090" s="56"/>
      <c r="Y1090" s="38"/>
      <c r="Z1090" s="38"/>
    </row>
    <row r="1091" spans="1:26" hidden="1">
      <c r="A1091" s="38">
        <v>698</v>
      </c>
      <c r="B1091" s="38"/>
      <c r="C1091" s="312"/>
      <c r="D1091" s="38"/>
      <c r="E1091" s="38" t="s">
        <v>809</v>
      </c>
      <c r="F1091" s="43" t="s">
        <v>810</v>
      </c>
      <c r="G1091" s="44"/>
      <c r="H1091" s="45"/>
      <c r="I1091" s="38"/>
      <c r="J1091" s="38">
        <f t="shared" ref="J1091:J1092" si="32">16*1000</f>
        <v>16000</v>
      </c>
      <c r="K1091" s="371">
        <v>3.8483796296296294E-2</v>
      </c>
      <c r="L1091" s="47" t="s">
        <v>811</v>
      </c>
      <c r="M1091" s="372"/>
      <c r="N1091" s="372"/>
      <c r="O1091" s="307">
        <f t="shared" si="20"/>
        <v>0</v>
      </c>
      <c r="P1091" s="92"/>
      <c r="Q1091" s="410" t="str">
        <f t="shared" ref="Q1091:Q1154" ca="1" si="33">HYPERLINK(IF(INT(A1091)-A1091=0,E1091,REPLACE(INDIRECT("MasterList!e"&amp;INT(A1091)+1),25,8,"embed/")&amp;"?start="&amp;HOUR(M1091)*3600+MINUTE(M1091)*60+SECOND(M1091)&amp;"&amp;end="&amp;HOUR(N1091)*3600+MINUTE(N1091)*60+SECOND(N1091)&amp;"&amp;autoplay=1"))</f>
        <v>https://www.youtube.com/watch?v=vmOlaD1O5rg</v>
      </c>
      <c r="R1091" s="50"/>
      <c r="S1091" s="50"/>
      <c r="T1091" s="50"/>
      <c r="U1091" s="52"/>
      <c r="V1091" s="53"/>
      <c r="W1091" s="60"/>
      <c r="X1091" s="56"/>
      <c r="Y1091" s="38"/>
      <c r="Z1091" s="38"/>
    </row>
    <row r="1092" spans="1:26" hidden="1">
      <c r="A1092" s="38">
        <v>699</v>
      </c>
      <c r="B1092" s="38"/>
      <c r="C1092" s="312"/>
      <c r="D1092" s="38"/>
      <c r="E1092" s="38" t="s">
        <v>2115</v>
      </c>
      <c r="F1092" s="43" t="s">
        <v>2116</v>
      </c>
      <c r="G1092" s="44"/>
      <c r="H1092" s="45"/>
      <c r="I1092" s="38"/>
      <c r="J1092" s="38">
        <f t="shared" si="32"/>
        <v>16000</v>
      </c>
      <c r="K1092" s="371">
        <v>3.5312500000000004E-2</v>
      </c>
      <c r="L1092" s="47" t="s">
        <v>811</v>
      </c>
      <c r="M1092" s="372"/>
      <c r="N1092" s="372"/>
      <c r="O1092" s="307">
        <f t="shared" si="20"/>
        <v>0</v>
      </c>
      <c r="P1092" s="92"/>
      <c r="Q1092" s="410" t="str">
        <f t="shared" ca="1" si="33"/>
        <v>https://www.youtube.com/watch?v=WzgR7yTQNzY</v>
      </c>
      <c r="R1092" s="50"/>
      <c r="S1092" s="50"/>
      <c r="T1092" s="50"/>
      <c r="U1092" s="52"/>
      <c r="V1092" s="53"/>
      <c r="W1092" s="60"/>
      <c r="X1092" s="56"/>
      <c r="Y1092" s="38"/>
      <c r="Z1092" s="38"/>
    </row>
    <row r="1093" spans="1:26">
      <c r="A1093" s="38">
        <v>700</v>
      </c>
      <c r="B1093" s="39" t="s">
        <v>596</v>
      </c>
      <c r="C1093" s="40"/>
      <c r="D1093" s="42" t="s">
        <v>56</v>
      </c>
      <c r="E1093" s="38" t="s">
        <v>1652</v>
      </c>
      <c r="F1093" s="43" t="s">
        <v>1653</v>
      </c>
      <c r="G1093" s="44"/>
      <c r="H1093" s="45"/>
      <c r="I1093" s="38"/>
      <c r="J1093" s="38">
        <f>12*1000</f>
        <v>12000</v>
      </c>
      <c r="K1093" s="46">
        <v>2.7951388888888887E-2</v>
      </c>
      <c r="L1093" s="47" t="s">
        <v>811</v>
      </c>
      <c r="M1093" s="307"/>
      <c r="N1093" s="307"/>
      <c r="O1093" s="307">
        <f t="shared" si="20"/>
        <v>0</v>
      </c>
      <c r="P1093" s="361">
        <v>43024</v>
      </c>
      <c r="Q1093" s="410" t="str">
        <f t="shared" ca="1" si="33"/>
        <v>https://www.youtube.com/watch?v=SNpVBfgzPmo</v>
      </c>
      <c r="R1093" s="51"/>
      <c r="S1093" s="51"/>
      <c r="T1093" s="51"/>
      <c r="U1093" s="40"/>
      <c r="V1093" s="54"/>
      <c r="W1093" s="55"/>
      <c r="X1093" s="56"/>
      <c r="Y1093" s="311"/>
      <c r="Z1093" s="311"/>
    </row>
    <row r="1094" spans="1:26">
      <c r="A1094" s="83">
        <v>700.01</v>
      </c>
      <c r="B1094" s="39" t="s">
        <v>596</v>
      </c>
      <c r="C1094" s="40"/>
      <c r="D1094" s="42" t="s">
        <v>56</v>
      </c>
      <c r="E1094" s="73"/>
      <c r="F1094" s="73"/>
      <c r="G1094" s="83" t="s">
        <v>1657</v>
      </c>
      <c r="H1094" s="83" t="s">
        <v>1659</v>
      </c>
      <c r="I1094" s="73"/>
      <c r="J1094" s="73"/>
      <c r="K1094" s="73"/>
      <c r="L1094" s="73"/>
      <c r="M1094" s="345">
        <v>1.9675925925925926E-4</v>
      </c>
      <c r="N1094" s="345">
        <v>3.8425925925925928E-3</v>
      </c>
      <c r="O1094" s="307">
        <f t="shared" si="20"/>
        <v>3.6458333333333334E-3</v>
      </c>
      <c r="P1094" s="361">
        <v>43024</v>
      </c>
      <c r="Q1094" s="410" t="str">
        <f t="shared" ca="1" si="33"/>
        <v>https://www.youtube.com/embed/SNpVBfgzPmo?start=17&amp;end=332&amp;autoplay=1</v>
      </c>
      <c r="R1094" s="362" t="s">
        <v>63</v>
      </c>
      <c r="S1094" s="362" t="s">
        <v>63</v>
      </c>
      <c r="T1094" s="362" t="s">
        <v>63</v>
      </c>
      <c r="U1094" s="73"/>
      <c r="V1094" s="73"/>
      <c r="W1094" s="69" t="s">
        <v>64</v>
      </c>
      <c r="X1094" s="73"/>
      <c r="Y1094" s="73"/>
      <c r="Z1094" s="73"/>
    </row>
    <row r="1095" spans="1:26">
      <c r="A1095" s="83">
        <v>700.02</v>
      </c>
      <c r="B1095" s="39" t="s">
        <v>596</v>
      </c>
      <c r="C1095" s="40"/>
      <c r="D1095" s="42" t="s">
        <v>56</v>
      </c>
      <c r="E1095" s="73"/>
      <c r="F1095" s="73"/>
      <c r="G1095" s="83" t="s">
        <v>1660</v>
      </c>
      <c r="H1095" s="83" t="s">
        <v>1661</v>
      </c>
      <c r="I1095" s="73"/>
      <c r="J1095" s="73"/>
      <c r="K1095" s="73"/>
      <c r="L1095" s="73"/>
      <c r="M1095" s="345">
        <v>3.8657407407407408E-3</v>
      </c>
      <c r="N1095" s="345">
        <v>6.0416666666666665E-3</v>
      </c>
      <c r="O1095" s="307">
        <f t="shared" si="20"/>
        <v>2.1759259259259258E-3</v>
      </c>
      <c r="P1095" s="361">
        <v>43024</v>
      </c>
      <c r="Q1095" s="410" t="str">
        <f t="shared" ca="1" si="33"/>
        <v>https://www.youtube.com/embed/SNpVBfgzPmo?start=334&amp;end=522&amp;autoplay=1</v>
      </c>
      <c r="R1095" s="362" t="s">
        <v>63</v>
      </c>
      <c r="S1095" s="362" t="s">
        <v>63</v>
      </c>
      <c r="T1095" s="362" t="s">
        <v>63</v>
      </c>
      <c r="U1095" s="73"/>
      <c r="V1095" s="73"/>
      <c r="W1095" s="69" t="s">
        <v>64</v>
      </c>
      <c r="X1095" s="73"/>
      <c r="Y1095" s="73"/>
      <c r="Z1095" s="73"/>
    </row>
    <row r="1096" spans="1:26">
      <c r="A1096" s="83">
        <v>700.03</v>
      </c>
      <c r="B1096" s="39" t="s">
        <v>596</v>
      </c>
      <c r="C1096" s="40"/>
      <c r="D1096" s="42" t="s">
        <v>56</v>
      </c>
      <c r="E1096" s="73"/>
      <c r="F1096" s="73"/>
      <c r="G1096" s="83" t="s">
        <v>1664</v>
      </c>
      <c r="H1096" s="83" t="s">
        <v>2998</v>
      </c>
      <c r="I1096" s="73"/>
      <c r="J1096" s="73"/>
      <c r="K1096" s="73"/>
      <c r="L1096" s="73"/>
      <c r="M1096" s="345">
        <v>6.053240740740741E-3</v>
      </c>
      <c r="N1096" s="345">
        <v>1.9270833333333334E-2</v>
      </c>
      <c r="O1096" s="307">
        <f t="shared" si="20"/>
        <v>1.3217592592592593E-2</v>
      </c>
      <c r="P1096" s="361">
        <v>43024</v>
      </c>
      <c r="Q1096" s="410" t="str">
        <f t="shared" ca="1" si="33"/>
        <v>https://www.youtube.com/embed/SNpVBfgzPmo?start=523&amp;end=1665&amp;autoplay=1</v>
      </c>
      <c r="R1096" s="362" t="s">
        <v>63</v>
      </c>
      <c r="S1096" s="362" t="s">
        <v>63</v>
      </c>
      <c r="T1096" s="362" t="s">
        <v>63</v>
      </c>
      <c r="U1096" s="73"/>
      <c r="V1096" s="73"/>
      <c r="W1096" s="69" t="s">
        <v>64</v>
      </c>
      <c r="X1096" s="73"/>
      <c r="Y1096" s="73"/>
      <c r="Z1096" s="73"/>
    </row>
    <row r="1097" spans="1:26">
      <c r="A1097" s="83">
        <v>700.04</v>
      </c>
      <c r="B1097" s="39" t="s">
        <v>596</v>
      </c>
      <c r="C1097" s="40"/>
      <c r="D1097" s="42" t="s">
        <v>56</v>
      </c>
      <c r="E1097" s="73"/>
      <c r="F1097" s="73"/>
      <c r="G1097" s="83" t="s">
        <v>1668</v>
      </c>
      <c r="H1097" s="83" t="s">
        <v>2999</v>
      </c>
      <c r="I1097" s="73"/>
      <c r="J1097" s="73"/>
      <c r="K1097" s="73"/>
      <c r="L1097" s="73"/>
      <c r="M1097" s="345">
        <v>1.9270833333333334E-2</v>
      </c>
      <c r="N1097" s="345">
        <v>2.7349537037037037E-2</v>
      </c>
      <c r="O1097" s="307">
        <f t="shared" si="20"/>
        <v>8.0787037037037025E-3</v>
      </c>
      <c r="P1097" s="361">
        <v>43024</v>
      </c>
      <c r="Q1097" s="410" t="str">
        <f t="shared" ca="1" si="33"/>
        <v>https://www.youtube.com/embed/SNpVBfgzPmo?start=1665&amp;end=2363&amp;autoplay=1</v>
      </c>
      <c r="R1097" s="362" t="s">
        <v>63</v>
      </c>
      <c r="S1097" s="362" t="s">
        <v>63</v>
      </c>
      <c r="T1097" s="362" t="s">
        <v>63</v>
      </c>
      <c r="U1097" s="73"/>
      <c r="V1097" s="73"/>
      <c r="W1097" s="69" t="s">
        <v>64</v>
      </c>
      <c r="X1097" s="73"/>
      <c r="Y1097" s="73"/>
      <c r="Z1097" s="73"/>
    </row>
    <row r="1098" spans="1:26" hidden="1">
      <c r="A1098" s="38">
        <v>701</v>
      </c>
      <c r="B1098" s="38"/>
      <c r="C1098" s="312"/>
      <c r="D1098" s="38"/>
      <c r="E1098" s="38" t="s">
        <v>2631</v>
      </c>
      <c r="F1098" s="43" t="s">
        <v>2632</v>
      </c>
      <c r="G1098" s="44"/>
      <c r="H1098" s="45"/>
      <c r="I1098" s="38"/>
      <c r="J1098" s="38">
        <f>895</f>
        <v>895</v>
      </c>
      <c r="K1098" s="371">
        <v>1.5902777777777776E-2</v>
      </c>
      <c r="L1098" s="47" t="s">
        <v>770</v>
      </c>
      <c r="M1098" s="372"/>
      <c r="N1098" s="372"/>
      <c r="O1098" s="307">
        <f t="shared" si="20"/>
        <v>0</v>
      </c>
      <c r="P1098" s="92"/>
      <c r="Q1098" s="410" t="str">
        <f t="shared" ca="1" si="33"/>
        <v>https://www.youtube.com/watch?v=MC9pK4dCHAs</v>
      </c>
      <c r="R1098" s="50"/>
      <c r="S1098" s="50"/>
      <c r="T1098" s="50"/>
      <c r="U1098" s="52"/>
      <c r="V1098" s="53"/>
      <c r="W1098" s="60"/>
      <c r="X1098" s="56"/>
      <c r="Y1098" s="38"/>
      <c r="Z1098" s="38"/>
    </row>
    <row r="1099" spans="1:26" hidden="1">
      <c r="A1099" s="38">
        <v>702</v>
      </c>
      <c r="B1099" s="38"/>
      <c r="C1099" s="312"/>
      <c r="D1099" s="38"/>
      <c r="E1099" s="38" t="s">
        <v>2633</v>
      </c>
      <c r="F1099" s="43" t="s">
        <v>2634</v>
      </c>
      <c r="G1099" s="44"/>
      <c r="H1099" s="45"/>
      <c r="I1099" s="38"/>
      <c r="J1099" s="38">
        <f>214</f>
        <v>214</v>
      </c>
      <c r="K1099" s="371">
        <v>3.0034722222222223E-2</v>
      </c>
      <c r="L1099" s="47" t="s">
        <v>770</v>
      </c>
      <c r="M1099" s="372"/>
      <c r="N1099" s="372"/>
      <c r="O1099" s="307">
        <f t="shared" si="20"/>
        <v>0</v>
      </c>
      <c r="P1099" s="92"/>
      <c r="Q1099" s="410" t="str">
        <f t="shared" ca="1" si="33"/>
        <v>https://www.youtube.com/watch?v=g8GW7DlPr4g</v>
      </c>
      <c r="R1099" s="50"/>
      <c r="S1099" s="50"/>
      <c r="T1099" s="50"/>
      <c r="U1099" s="52"/>
      <c r="V1099" s="53"/>
      <c r="W1099" s="60"/>
      <c r="X1099" s="56"/>
      <c r="Y1099" s="38"/>
      <c r="Z1099" s="38"/>
    </row>
    <row r="1100" spans="1:26" hidden="1">
      <c r="A1100" s="38">
        <v>703</v>
      </c>
      <c r="B1100" s="38"/>
      <c r="C1100" s="312"/>
      <c r="D1100" s="38"/>
      <c r="E1100" s="38" t="s">
        <v>2635</v>
      </c>
      <c r="F1100" s="43" t="s">
        <v>2636</v>
      </c>
      <c r="G1100" s="44"/>
      <c r="H1100" s="45"/>
      <c r="I1100" s="38"/>
      <c r="J1100" s="38">
        <f>1.4*1000</f>
        <v>1400</v>
      </c>
      <c r="K1100" s="371">
        <v>2.5208333333333333E-2</v>
      </c>
      <c r="L1100" s="47" t="s">
        <v>770</v>
      </c>
      <c r="M1100" s="372"/>
      <c r="N1100" s="372"/>
      <c r="O1100" s="307">
        <f t="shared" si="20"/>
        <v>0</v>
      </c>
      <c r="P1100" s="92"/>
      <c r="Q1100" s="410" t="str">
        <f t="shared" ca="1" si="33"/>
        <v>https://www.youtube.com/watch?v=lQph5joRdU8</v>
      </c>
      <c r="R1100" s="50"/>
      <c r="S1100" s="50"/>
      <c r="T1100" s="50"/>
      <c r="U1100" s="52"/>
      <c r="V1100" s="53"/>
      <c r="W1100" s="60"/>
      <c r="X1100" s="56"/>
      <c r="Y1100" s="38"/>
      <c r="Z1100" s="38"/>
    </row>
    <row r="1101" spans="1:26" hidden="1">
      <c r="A1101" s="38">
        <v>704</v>
      </c>
      <c r="B1101" s="38"/>
      <c r="C1101" s="312"/>
      <c r="D1101" s="38"/>
      <c r="E1101" s="38" t="s">
        <v>2637</v>
      </c>
      <c r="F1101" s="43" t="s">
        <v>2638</v>
      </c>
      <c r="G1101" s="44"/>
      <c r="H1101" s="45"/>
      <c r="I1101" s="38"/>
      <c r="J1101" s="38">
        <f>159</f>
        <v>159</v>
      </c>
      <c r="K1101" s="371">
        <v>1.3703703703703704E-2</v>
      </c>
      <c r="L1101" s="47" t="s">
        <v>770</v>
      </c>
      <c r="M1101" s="372"/>
      <c r="N1101" s="372"/>
      <c r="O1101" s="307">
        <f t="shared" si="20"/>
        <v>0</v>
      </c>
      <c r="P1101" s="92"/>
      <c r="Q1101" s="410" t="str">
        <f t="shared" ca="1" si="33"/>
        <v>https://www.youtube.com/watch?v=DMReaVWJGFE</v>
      </c>
      <c r="R1101" s="50"/>
      <c r="S1101" s="50"/>
      <c r="T1101" s="50"/>
      <c r="U1101" s="52"/>
      <c r="V1101" s="53"/>
      <c r="W1101" s="60"/>
      <c r="X1101" s="56"/>
      <c r="Y1101" s="38"/>
      <c r="Z1101" s="38"/>
    </row>
    <row r="1102" spans="1:26" hidden="1">
      <c r="A1102" s="38">
        <v>705</v>
      </c>
      <c r="B1102" s="38"/>
      <c r="C1102" s="312"/>
      <c r="D1102" s="38"/>
      <c r="E1102" s="38" t="s">
        <v>2639</v>
      </c>
      <c r="F1102" s="43" t="s">
        <v>2640</v>
      </c>
      <c r="G1102" s="44"/>
      <c r="H1102" s="45"/>
      <c r="I1102" s="38"/>
      <c r="J1102" s="38">
        <f>1.7*1000</f>
        <v>1700</v>
      </c>
      <c r="K1102" s="371">
        <v>2.1979166666666664E-2</v>
      </c>
      <c r="L1102" s="47" t="s">
        <v>770</v>
      </c>
      <c r="M1102" s="372"/>
      <c r="N1102" s="372"/>
      <c r="O1102" s="307">
        <f t="shared" si="20"/>
        <v>0</v>
      </c>
      <c r="P1102" s="92"/>
      <c r="Q1102" s="410" t="str">
        <f t="shared" ca="1" si="33"/>
        <v>https://www.youtube.com/watch?v=Zused4CGMw4</v>
      </c>
      <c r="R1102" s="50"/>
      <c r="S1102" s="50"/>
      <c r="T1102" s="50"/>
      <c r="U1102" s="52"/>
      <c r="V1102" s="53"/>
      <c r="W1102" s="60"/>
      <c r="X1102" s="56"/>
      <c r="Y1102" s="38"/>
      <c r="Z1102" s="38"/>
    </row>
    <row r="1103" spans="1:26" hidden="1">
      <c r="A1103" s="38">
        <v>706</v>
      </c>
      <c r="B1103" s="38"/>
      <c r="C1103" s="312"/>
      <c r="D1103" s="38"/>
      <c r="E1103" s="38" t="s">
        <v>2641</v>
      </c>
      <c r="F1103" s="43" t="s">
        <v>2642</v>
      </c>
      <c r="G1103" s="44"/>
      <c r="H1103" s="45"/>
      <c r="I1103" s="38"/>
      <c r="J1103" s="38">
        <f>395</f>
        <v>395</v>
      </c>
      <c r="K1103" s="371">
        <v>1.0601851851851854E-2</v>
      </c>
      <c r="L1103" s="47" t="s">
        <v>770</v>
      </c>
      <c r="M1103" s="372"/>
      <c r="N1103" s="372"/>
      <c r="O1103" s="307">
        <f t="shared" si="20"/>
        <v>0</v>
      </c>
      <c r="P1103" s="92"/>
      <c r="Q1103" s="410" t="str">
        <f t="shared" ca="1" si="33"/>
        <v>https://www.youtube.com/watch?v=KCUZ6hBgxc0</v>
      </c>
      <c r="R1103" s="50"/>
      <c r="S1103" s="50"/>
      <c r="T1103" s="50"/>
      <c r="U1103" s="52"/>
      <c r="V1103" s="53"/>
      <c r="W1103" s="60"/>
      <c r="X1103" s="56"/>
      <c r="Y1103" s="38"/>
      <c r="Z1103" s="38"/>
    </row>
    <row r="1104" spans="1:26" hidden="1">
      <c r="A1104" s="38">
        <v>707</v>
      </c>
      <c r="B1104" s="38"/>
      <c r="C1104" s="312"/>
      <c r="D1104" s="38"/>
      <c r="E1104" s="38" t="s">
        <v>2643</v>
      </c>
      <c r="F1104" s="43" t="s">
        <v>2644</v>
      </c>
      <c r="G1104" s="44"/>
      <c r="H1104" s="45"/>
      <c r="I1104" s="38"/>
      <c r="J1104" s="38">
        <f>4.2*1000</f>
        <v>4200</v>
      </c>
      <c r="K1104" s="371">
        <v>2.4050925925925924E-2</v>
      </c>
      <c r="L1104" s="47" t="s">
        <v>770</v>
      </c>
      <c r="M1104" s="372"/>
      <c r="N1104" s="372"/>
      <c r="O1104" s="307">
        <f t="shared" si="20"/>
        <v>0</v>
      </c>
      <c r="P1104" s="92"/>
      <c r="Q1104" s="410" t="str">
        <f t="shared" ca="1" si="33"/>
        <v>https://www.youtube.com/watch?v=k0FNC9LuJoo&amp;t=4s</v>
      </c>
      <c r="R1104" s="50"/>
      <c r="S1104" s="50"/>
      <c r="T1104" s="50"/>
      <c r="U1104" s="52"/>
      <c r="V1104" s="53"/>
      <c r="W1104" s="60"/>
      <c r="X1104" s="56"/>
      <c r="Y1104" s="38"/>
      <c r="Z1104" s="38"/>
    </row>
    <row r="1105" spans="1:26" hidden="1">
      <c r="A1105" s="38">
        <v>708</v>
      </c>
      <c r="B1105" s="38"/>
      <c r="C1105" s="312"/>
      <c r="D1105" s="38"/>
      <c r="E1105" s="38" t="s">
        <v>2645</v>
      </c>
      <c r="F1105" s="43" t="s">
        <v>2646</v>
      </c>
      <c r="G1105" s="44"/>
      <c r="H1105" s="45"/>
      <c r="I1105" s="38"/>
      <c r="J1105" s="38">
        <f>131</f>
        <v>131</v>
      </c>
      <c r="K1105" s="371">
        <v>8.8657407407407417E-3</v>
      </c>
      <c r="L1105" s="47" t="s">
        <v>770</v>
      </c>
      <c r="M1105" s="372"/>
      <c r="N1105" s="372"/>
      <c r="O1105" s="307">
        <f t="shared" si="20"/>
        <v>0</v>
      </c>
      <c r="P1105" s="92"/>
      <c r="Q1105" s="410" t="str">
        <f t="shared" ca="1" si="33"/>
        <v>https://www.youtube.com/watch?v=DBYSIkWsAOI</v>
      </c>
      <c r="R1105" s="50"/>
      <c r="S1105" s="50"/>
      <c r="T1105" s="50"/>
      <c r="U1105" s="52"/>
      <c r="V1105" s="53"/>
      <c r="W1105" s="60"/>
      <c r="X1105" s="56"/>
      <c r="Y1105" s="38"/>
      <c r="Z1105" s="38"/>
    </row>
    <row r="1106" spans="1:26" hidden="1">
      <c r="A1106" s="38">
        <v>709</v>
      </c>
      <c r="B1106" s="38"/>
      <c r="C1106" s="312"/>
      <c r="D1106" s="38"/>
      <c r="E1106" s="38" t="s">
        <v>2647</v>
      </c>
      <c r="F1106" s="43" t="s">
        <v>2648</v>
      </c>
      <c r="G1106" s="44"/>
      <c r="H1106" s="45"/>
      <c r="I1106" s="38"/>
      <c r="J1106" s="38">
        <f>420</f>
        <v>420</v>
      </c>
      <c r="K1106" s="371">
        <v>5.0000000000000001E-3</v>
      </c>
      <c r="L1106" s="47" t="s">
        <v>770</v>
      </c>
      <c r="M1106" s="372"/>
      <c r="N1106" s="372"/>
      <c r="O1106" s="307">
        <f t="shared" si="20"/>
        <v>0</v>
      </c>
      <c r="P1106" s="92"/>
      <c r="Q1106" s="410" t="str">
        <f t="shared" ca="1" si="33"/>
        <v>https://www.youtube.com/watch?v=VKbVHIgKbbo</v>
      </c>
      <c r="R1106" s="50"/>
      <c r="S1106" s="50"/>
      <c r="T1106" s="50"/>
      <c r="U1106" s="52"/>
      <c r="V1106" s="53"/>
      <c r="W1106" s="60"/>
      <c r="X1106" s="56"/>
      <c r="Y1106" s="38"/>
      <c r="Z1106" s="38"/>
    </row>
    <row r="1107" spans="1:26" hidden="1">
      <c r="A1107" s="38">
        <v>710</v>
      </c>
      <c r="B1107" s="38"/>
      <c r="C1107" s="312"/>
      <c r="D1107" s="38"/>
      <c r="E1107" s="38" t="s">
        <v>2649</v>
      </c>
      <c r="F1107" s="43" t="s">
        <v>2650</v>
      </c>
      <c r="G1107" s="44"/>
      <c r="H1107" s="45"/>
      <c r="I1107" s="38"/>
      <c r="J1107" s="38">
        <f>1*1000</f>
        <v>1000</v>
      </c>
      <c r="K1107" s="371">
        <v>2.0324074074074074E-2</v>
      </c>
      <c r="L1107" s="47" t="s">
        <v>770</v>
      </c>
      <c r="M1107" s="372"/>
      <c r="N1107" s="372"/>
      <c r="O1107" s="307">
        <f t="shared" si="20"/>
        <v>0</v>
      </c>
      <c r="P1107" s="92"/>
      <c r="Q1107" s="410" t="str">
        <f t="shared" ca="1" si="33"/>
        <v>https://www.youtube.com/watch?v=uaTb9-4kT2Y</v>
      </c>
      <c r="R1107" s="50"/>
      <c r="S1107" s="50"/>
      <c r="T1107" s="50"/>
      <c r="U1107" s="52"/>
      <c r="V1107" s="53"/>
      <c r="W1107" s="60"/>
      <c r="X1107" s="56"/>
      <c r="Y1107" s="38"/>
      <c r="Z1107" s="38"/>
    </row>
    <row r="1108" spans="1:26" hidden="1">
      <c r="A1108" s="38">
        <v>711</v>
      </c>
      <c r="B1108" s="38"/>
      <c r="C1108" s="312"/>
      <c r="D1108" s="38"/>
      <c r="E1108" s="38" t="s">
        <v>2651</v>
      </c>
      <c r="F1108" s="43" t="s">
        <v>2652</v>
      </c>
      <c r="G1108" s="44"/>
      <c r="H1108" s="45"/>
      <c r="I1108" s="38"/>
      <c r="J1108" s="38">
        <f>508</f>
        <v>508</v>
      </c>
      <c r="K1108" s="371">
        <v>1.9409722222222221E-2</v>
      </c>
      <c r="L1108" s="47" t="s">
        <v>770</v>
      </c>
      <c r="M1108" s="372"/>
      <c r="N1108" s="372"/>
      <c r="O1108" s="307">
        <f t="shared" si="20"/>
        <v>0</v>
      </c>
      <c r="P1108" s="92"/>
      <c r="Q1108" s="410" t="str">
        <f t="shared" ca="1" si="33"/>
        <v>https://www.youtube.com/watch?v=wKoUB00RmE0</v>
      </c>
      <c r="R1108" s="50"/>
      <c r="S1108" s="50"/>
      <c r="T1108" s="50"/>
      <c r="U1108" s="52"/>
      <c r="V1108" s="53"/>
      <c r="W1108" s="60"/>
      <c r="X1108" s="56"/>
      <c r="Y1108" s="38"/>
      <c r="Z1108" s="38"/>
    </row>
    <row r="1109" spans="1:26" hidden="1">
      <c r="A1109" s="38">
        <v>712</v>
      </c>
      <c r="B1109" s="38"/>
      <c r="C1109" s="312"/>
      <c r="D1109" s="38"/>
      <c r="E1109" s="38" t="s">
        <v>2654</v>
      </c>
      <c r="F1109" s="43" t="s">
        <v>2655</v>
      </c>
      <c r="G1109" s="44"/>
      <c r="H1109" s="45"/>
      <c r="I1109" s="38"/>
      <c r="J1109" s="38">
        <f>710</f>
        <v>710</v>
      </c>
      <c r="K1109" s="371">
        <v>1.2604166666666666E-2</v>
      </c>
      <c r="L1109" s="47" t="s">
        <v>770</v>
      </c>
      <c r="M1109" s="372"/>
      <c r="N1109" s="372"/>
      <c r="O1109" s="307">
        <f t="shared" si="20"/>
        <v>0</v>
      </c>
      <c r="P1109" s="92"/>
      <c r="Q1109" s="410" t="str">
        <f t="shared" ca="1" si="33"/>
        <v>https://www.youtube.com/watch?v=sI2xSENomQY</v>
      </c>
      <c r="R1109" s="50"/>
      <c r="S1109" s="50"/>
      <c r="T1109" s="50"/>
      <c r="U1109" s="52"/>
      <c r="V1109" s="53"/>
      <c r="W1109" s="60"/>
      <c r="X1109" s="56"/>
      <c r="Y1109" s="38"/>
      <c r="Z1109" s="38"/>
    </row>
    <row r="1110" spans="1:26">
      <c r="A1110" s="38">
        <v>713</v>
      </c>
      <c r="B1110" s="39" t="s">
        <v>54</v>
      </c>
      <c r="C1110" s="40"/>
      <c r="D1110" s="42" t="s">
        <v>56</v>
      </c>
      <c r="E1110" s="38" t="s">
        <v>796</v>
      </c>
      <c r="F1110" s="43" t="s">
        <v>797</v>
      </c>
      <c r="G1110" s="44"/>
      <c r="H1110" s="45"/>
      <c r="I1110" s="38"/>
      <c r="J1110" s="38">
        <f>1*1000</f>
        <v>1000</v>
      </c>
      <c r="K1110" s="46">
        <v>1.5243055555555557E-2</v>
      </c>
      <c r="L1110" s="47" t="s">
        <v>770</v>
      </c>
      <c r="M1110" s="48"/>
      <c r="N1110" s="48"/>
      <c r="O1110" s="48">
        <f t="shared" si="20"/>
        <v>0</v>
      </c>
      <c r="P1110" s="65">
        <v>43064</v>
      </c>
      <c r="Q1110" s="410" t="str">
        <f t="shared" ca="1" si="33"/>
        <v>https://www.youtube.com/watch?v=Ts09Fp7M53k</v>
      </c>
      <c r="R1110" s="51"/>
      <c r="S1110" s="51"/>
      <c r="T1110" s="51"/>
      <c r="U1110" s="40"/>
      <c r="V1110" s="54"/>
      <c r="W1110" s="55"/>
      <c r="X1110" s="56"/>
      <c r="Y1110" s="88"/>
      <c r="Z1110" s="88"/>
    </row>
    <row r="1111" spans="1:26">
      <c r="A1111" s="85">
        <v>713.01</v>
      </c>
      <c r="B1111" s="39" t="s">
        <v>54</v>
      </c>
      <c r="C1111" s="40"/>
      <c r="D1111" s="85" t="s">
        <v>56</v>
      </c>
      <c r="E1111" s="38"/>
      <c r="F1111" s="43"/>
      <c r="G1111" s="63" t="s">
        <v>800</v>
      </c>
      <c r="H1111" s="45"/>
      <c r="I1111" s="38"/>
      <c r="J1111" s="38"/>
      <c r="K1111" s="46"/>
      <c r="L1111" s="47"/>
      <c r="M1111" s="64">
        <v>1.261574074074074E-3</v>
      </c>
      <c r="N1111" s="64">
        <v>4.2824074074074075E-3</v>
      </c>
      <c r="O1111" s="46">
        <f t="shared" si="20"/>
        <v>3.0208333333333337E-3</v>
      </c>
      <c r="P1111" s="65">
        <v>43064</v>
      </c>
      <c r="Q1111" s="410" t="str">
        <f t="shared" ca="1" si="33"/>
        <v>https://www.youtube.com/embed/Ts09Fp7M53k?start=109&amp;end=370&amp;autoplay=1</v>
      </c>
      <c r="R1111" s="67" t="s">
        <v>63</v>
      </c>
      <c r="S1111" s="112" t="s">
        <v>63</v>
      </c>
      <c r="T1111" s="112" t="s">
        <v>63</v>
      </c>
      <c r="U1111" s="52"/>
      <c r="V1111" s="53"/>
      <c r="W1111" s="57" t="s">
        <v>64</v>
      </c>
      <c r="X1111" s="56"/>
      <c r="Y1111" s="38"/>
      <c r="Z1111" s="38"/>
    </row>
    <row r="1112" spans="1:26">
      <c r="A1112" s="85">
        <v>713.02</v>
      </c>
      <c r="B1112" s="39" t="s">
        <v>54</v>
      </c>
      <c r="C1112" s="40"/>
      <c r="D1112" s="85" t="s">
        <v>56</v>
      </c>
      <c r="E1112" s="38"/>
      <c r="F1112" s="43"/>
      <c r="G1112" s="63" t="s">
        <v>801</v>
      </c>
      <c r="H1112" s="45"/>
      <c r="I1112" s="38"/>
      <c r="J1112" s="38"/>
      <c r="K1112" s="46"/>
      <c r="L1112" s="47"/>
      <c r="M1112" s="64">
        <v>4.340277777777778E-3</v>
      </c>
      <c r="N1112" s="64">
        <v>6.875E-3</v>
      </c>
      <c r="O1112" s="46">
        <f t="shared" si="20"/>
        <v>2.5347222222222221E-3</v>
      </c>
      <c r="P1112" s="65">
        <v>43064</v>
      </c>
      <c r="Q1112" s="410" t="str">
        <f t="shared" ca="1" si="33"/>
        <v>https://www.youtube.com/embed/Ts09Fp7M53k?start=375&amp;end=594&amp;autoplay=1</v>
      </c>
      <c r="R1112" s="67" t="s">
        <v>63</v>
      </c>
      <c r="S1112" s="112" t="s">
        <v>63</v>
      </c>
      <c r="T1112" s="112" t="s">
        <v>63</v>
      </c>
      <c r="U1112" s="52"/>
      <c r="V1112" s="53"/>
      <c r="W1112" s="57" t="s">
        <v>64</v>
      </c>
      <c r="X1112" s="56"/>
      <c r="Y1112" s="38"/>
      <c r="Z1112" s="38"/>
    </row>
    <row r="1113" spans="1:26">
      <c r="A1113" s="85">
        <v>713.03</v>
      </c>
      <c r="B1113" s="39" t="s">
        <v>54</v>
      </c>
      <c r="C1113" s="40"/>
      <c r="D1113" s="85" t="s">
        <v>56</v>
      </c>
      <c r="E1113" s="38"/>
      <c r="F1113" s="43"/>
      <c r="G1113" s="63" t="s">
        <v>803</v>
      </c>
      <c r="H1113" s="45"/>
      <c r="I1113" s="38"/>
      <c r="J1113" s="38"/>
      <c r="K1113" s="46"/>
      <c r="L1113" s="47"/>
      <c r="M1113" s="64">
        <v>6.898148148148148E-3</v>
      </c>
      <c r="N1113" s="64">
        <v>1.0046296296296296E-2</v>
      </c>
      <c r="O1113" s="46">
        <f t="shared" si="20"/>
        <v>3.1481481481481482E-3</v>
      </c>
      <c r="P1113" s="65">
        <v>43064</v>
      </c>
      <c r="Q1113" s="410" t="str">
        <f t="shared" ca="1" si="33"/>
        <v>https://www.youtube.com/embed/Ts09Fp7M53k?start=596&amp;end=868&amp;autoplay=1</v>
      </c>
      <c r="R1113" s="67" t="s">
        <v>63</v>
      </c>
      <c r="S1113" s="112" t="s">
        <v>63</v>
      </c>
      <c r="T1113" s="112" t="s">
        <v>63</v>
      </c>
      <c r="U1113" s="52"/>
      <c r="V1113" s="53"/>
      <c r="W1113" s="57" t="s">
        <v>64</v>
      </c>
      <c r="X1113" s="56"/>
      <c r="Y1113" s="38"/>
      <c r="Z1113" s="38"/>
    </row>
    <row r="1114" spans="1:26">
      <c r="A1114" s="85">
        <v>713.04</v>
      </c>
      <c r="B1114" s="39" t="s">
        <v>54</v>
      </c>
      <c r="C1114" s="40"/>
      <c r="D1114" s="85" t="s">
        <v>56</v>
      </c>
      <c r="E1114" s="38"/>
      <c r="F1114" s="43"/>
      <c r="G1114" s="63" t="s">
        <v>806</v>
      </c>
      <c r="H1114" s="45"/>
      <c r="I1114" s="38"/>
      <c r="J1114" s="38"/>
      <c r="K1114" s="46"/>
      <c r="L1114" s="47"/>
      <c r="M1114" s="64">
        <v>1.005787037037037E-2</v>
      </c>
      <c r="N1114" s="76">
        <v>1.4988425925925926E-2</v>
      </c>
      <c r="O1114" s="77">
        <f t="shared" si="20"/>
        <v>4.9305555555555561E-3</v>
      </c>
      <c r="P1114" s="65">
        <v>43064</v>
      </c>
      <c r="Q1114" s="410" t="str">
        <f t="shared" ca="1" si="33"/>
        <v>https://www.youtube.com/embed/Ts09Fp7M53k?start=869&amp;end=1295&amp;autoplay=1</v>
      </c>
      <c r="R1114" s="67" t="s">
        <v>63</v>
      </c>
      <c r="S1114" s="112" t="s">
        <v>63</v>
      </c>
      <c r="T1114" s="112" t="s">
        <v>63</v>
      </c>
      <c r="U1114" s="52"/>
      <c r="V1114" s="53"/>
      <c r="W1114" s="57" t="s">
        <v>64</v>
      </c>
      <c r="X1114" s="56"/>
      <c r="Y1114" s="38"/>
      <c r="Z1114" s="38"/>
    </row>
    <row r="1115" spans="1:26" hidden="1">
      <c r="A1115" s="38">
        <v>714</v>
      </c>
      <c r="B1115" s="38"/>
      <c r="C1115" s="312"/>
      <c r="D1115" s="38"/>
      <c r="E1115" s="38" t="s">
        <v>2658</v>
      </c>
      <c r="F1115" s="43" t="s">
        <v>2659</v>
      </c>
      <c r="G1115" s="44"/>
      <c r="H1115" s="45"/>
      <c r="I1115" s="38"/>
      <c r="J1115" s="38">
        <f>878</f>
        <v>878</v>
      </c>
      <c r="K1115" s="371">
        <v>1.892361111111111E-2</v>
      </c>
      <c r="L1115" s="47" t="s">
        <v>770</v>
      </c>
      <c r="M1115" s="372"/>
      <c r="N1115" s="372"/>
      <c r="O1115" s="307">
        <f t="shared" si="20"/>
        <v>0</v>
      </c>
      <c r="P1115" s="92"/>
      <c r="Q1115" s="410" t="str">
        <f t="shared" ca="1" si="33"/>
        <v>https://www.youtube.com/watch?v=inDcB8LwlqI</v>
      </c>
      <c r="R1115" s="50"/>
      <c r="S1115" s="50"/>
      <c r="T1115" s="50"/>
      <c r="U1115" s="52"/>
      <c r="V1115" s="53"/>
      <c r="W1115" s="60"/>
      <c r="X1115" s="56"/>
      <c r="Y1115" s="38"/>
      <c r="Z1115" s="38"/>
    </row>
    <row r="1116" spans="1:26" hidden="1">
      <c r="A1116" s="38">
        <v>715</v>
      </c>
      <c r="B1116" s="38"/>
      <c r="C1116" s="312"/>
      <c r="D1116" s="38"/>
      <c r="E1116" s="38" t="s">
        <v>2663</v>
      </c>
      <c r="F1116" s="43" t="s">
        <v>2664</v>
      </c>
      <c r="G1116" s="44"/>
      <c r="H1116" s="45"/>
      <c r="I1116" s="38"/>
      <c r="J1116" s="38">
        <f>1.1*1000</f>
        <v>1100</v>
      </c>
      <c r="K1116" s="371">
        <v>1.4074074074074074E-2</v>
      </c>
      <c r="L1116" s="47" t="s">
        <v>770</v>
      </c>
      <c r="M1116" s="372"/>
      <c r="N1116" s="372"/>
      <c r="O1116" s="307">
        <f t="shared" si="20"/>
        <v>0</v>
      </c>
      <c r="P1116" s="92"/>
      <c r="Q1116" s="410" t="str">
        <f t="shared" ca="1" si="33"/>
        <v>https://www.youtube.com/watch?v=1wYg5d-4aVg</v>
      </c>
      <c r="R1116" s="50"/>
      <c r="S1116" s="50"/>
      <c r="T1116" s="50"/>
      <c r="U1116" s="52"/>
      <c r="V1116" s="53"/>
      <c r="W1116" s="60"/>
      <c r="X1116" s="56"/>
      <c r="Y1116" s="38"/>
      <c r="Z1116" s="38"/>
    </row>
    <row r="1117" spans="1:26" hidden="1">
      <c r="A1117" s="38">
        <v>716</v>
      </c>
      <c r="B1117" s="38"/>
      <c r="C1117" s="312"/>
      <c r="D1117" s="38"/>
      <c r="E1117" s="38" t="s">
        <v>2669</v>
      </c>
      <c r="F1117" s="43" t="s">
        <v>2670</v>
      </c>
      <c r="G1117" s="44"/>
      <c r="H1117" s="45"/>
      <c r="I1117" s="38"/>
      <c r="J1117" s="38">
        <f>347</f>
        <v>347</v>
      </c>
      <c r="K1117" s="371">
        <v>1.9259259259259261E-2</v>
      </c>
      <c r="L1117" s="47" t="s">
        <v>770</v>
      </c>
      <c r="M1117" s="372"/>
      <c r="N1117" s="372"/>
      <c r="O1117" s="307">
        <f t="shared" si="20"/>
        <v>0</v>
      </c>
      <c r="P1117" s="92"/>
      <c r="Q1117" s="410" t="str">
        <f t="shared" ca="1" si="33"/>
        <v>https://www.youtube.com/watch?v=oLCI7vQ7WFk</v>
      </c>
      <c r="R1117" s="50"/>
      <c r="S1117" s="50"/>
      <c r="T1117" s="50"/>
      <c r="U1117" s="52"/>
      <c r="V1117" s="53"/>
      <c r="W1117" s="60"/>
      <c r="X1117" s="56"/>
      <c r="Y1117" s="38"/>
      <c r="Z1117" s="38"/>
    </row>
    <row r="1118" spans="1:26" hidden="1">
      <c r="A1118" s="38">
        <v>717</v>
      </c>
      <c r="B1118" s="38"/>
      <c r="C1118" s="312"/>
      <c r="D1118" s="38"/>
      <c r="E1118" s="38" t="s">
        <v>2673</v>
      </c>
      <c r="F1118" s="43" t="s">
        <v>2674</v>
      </c>
      <c r="G1118" s="44"/>
      <c r="H1118" s="45"/>
      <c r="I1118" s="38"/>
      <c r="J1118" s="38">
        <f>465</f>
        <v>465</v>
      </c>
      <c r="K1118" s="371">
        <v>1.4363425925925925E-2</v>
      </c>
      <c r="L1118" s="47" t="s">
        <v>770</v>
      </c>
      <c r="M1118" s="372"/>
      <c r="N1118" s="372"/>
      <c r="O1118" s="307">
        <f t="shared" si="20"/>
        <v>0</v>
      </c>
      <c r="P1118" s="92"/>
      <c r="Q1118" s="410" t="str">
        <f t="shared" ca="1" si="33"/>
        <v>https://www.youtube.com/watch?v=Owv0FewW5Bo</v>
      </c>
      <c r="R1118" s="50"/>
      <c r="S1118" s="50"/>
      <c r="T1118" s="50"/>
      <c r="U1118" s="52"/>
      <c r="V1118" s="53"/>
      <c r="W1118" s="60"/>
      <c r="X1118" s="56"/>
      <c r="Y1118" s="38"/>
      <c r="Z1118" s="38"/>
    </row>
    <row r="1119" spans="1:26" hidden="1">
      <c r="A1119" s="38">
        <v>718</v>
      </c>
      <c r="B1119" s="38"/>
      <c r="C1119" s="312"/>
      <c r="D1119" s="38"/>
      <c r="E1119" s="38" t="s">
        <v>2677</v>
      </c>
      <c r="F1119" s="43" t="s">
        <v>2678</v>
      </c>
      <c r="G1119" s="44"/>
      <c r="H1119" s="45"/>
      <c r="I1119" s="38"/>
      <c r="J1119" s="38">
        <f>1.1*1000</f>
        <v>1100</v>
      </c>
      <c r="K1119" s="371">
        <v>3.1249999999999997E-3</v>
      </c>
      <c r="L1119" s="47" t="s">
        <v>770</v>
      </c>
      <c r="M1119" s="372"/>
      <c r="N1119" s="372"/>
      <c r="O1119" s="307">
        <f t="shared" si="20"/>
        <v>0</v>
      </c>
      <c r="P1119" s="92"/>
      <c r="Q1119" s="410" t="str">
        <f t="shared" ca="1" si="33"/>
        <v>https://www.youtube.com/watch?v=3ytmTvor21A</v>
      </c>
      <c r="R1119" s="50"/>
      <c r="S1119" s="50"/>
      <c r="T1119" s="50"/>
      <c r="U1119" s="52"/>
      <c r="V1119" s="53"/>
      <c r="W1119" s="60"/>
      <c r="X1119" s="56"/>
      <c r="Y1119" s="38"/>
      <c r="Z1119" s="38"/>
    </row>
    <row r="1120" spans="1:26" hidden="1">
      <c r="A1120" s="38">
        <v>719</v>
      </c>
      <c r="B1120" s="38"/>
      <c r="C1120" s="312"/>
      <c r="D1120" s="38"/>
      <c r="E1120" s="38" t="s">
        <v>2679</v>
      </c>
      <c r="F1120" s="43" t="s">
        <v>2680</v>
      </c>
      <c r="G1120" s="44"/>
      <c r="H1120" s="45"/>
      <c r="I1120" s="38"/>
      <c r="J1120" s="38">
        <f>690</f>
        <v>690</v>
      </c>
      <c r="K1120" s="371">
        <v>5.8217592592592592E-3</v>
      </c>
      <c r="L1120" s="47" t="s">
        <v>770</v>
      </c>
      <c r="M1120" s="372"/>
      <c r="N1120" s="372"/>
      <c r="O1120" s="307">
        <f t="shared" si="20"/>
        <v>0</v>
      </c>
      <c r="P1120" s="92"/>
      <c r="Q1120" s="410" t="str">
        <f t="shared" ca="1" si="33"/>
        <v>https://www.youtube.com/watch?v=tPgOVeqnOcc</v>
      </c>
      <c r="R1120" s="50"/>
      <c r="S1120" s="50"/>
      <c r="T1120" s="50"/>
      <c r="U1120" s="52"/>
      <c r="V1120" s="53"/>
      <c r="W1120" s="60"/>
      <c r="X1120" s="56"/>
      <c r="Y1120" s="38"/>
      <c r="Z1120" s="38"/>
    </row>
    <row r="1121" spans="1:26" hidden="1">
      <c r="A1121" s="38">
        <v>720</v>
      </c>
      <c r="B1121" s="38"/>
      <c r="C1121" s="312"/>
      <c r="D1121" s="38"/>
      <c r="E1121" s="38" t="s">
        <v>2683</v>
      </c>
      <c r="F1121" s="43" t="s">
        <v>2684</v>
      </c>
      <c r="G1121" s="44"/>
      <c r="H1121" s="45"/>
      <c r="I1121" s="38"/>
      <c r="J1121" s="38">
        <f>734</f>
        <v>734</v>
      </c>
      <c r="K1121" s="371">
        <v>2.3784722222222221E-2</v>
      </c>
      <c r="L1121" s="47" t="s">
        <v>770</v>
      </c>
      <c r="M1121" s="372"/>
      <c r="N1121" s="372"/>
      <c r="O1121" s="307">
        <f t="shared" si="20"/>
        <v>0</v>
      </c>
      <c r="P1121" s="92"/>
      <c r="Q1121" s="410" t="str">
        <f t="shared" ca="1" si="33"/>
        <v>https://www.youtube.com/watch?v=sEg8fP2ckhI</v>
      </c>
      <c r="R1121" s="50"/>
      <c r="S1121" s="50"/>
      <c r="T1121" s="50"/>
      <c r="U1121" s="52"/>
      <c r="V1121" s="53"/>
      <c r="W1121" s="60"/>
      <c r="X1121" s="56"/>
      <c r="Y1121" s="38"/>
      <c r="Z1121" s="38"/>
    </row>
    <row r="1122" spans="1:26" hidden="1">
      <c r="A1122" s="38">
        <v>721</v>
      </c>
      <c r="B1122" s="38"/>
      <c r="C1122" s="312"/>
      <c r="D1122" s="38"/>
      <c r="E1122" s="38" t="s">
        <v>2688</v>
      </c>
      <c r="F1122" s="43" t="s">
        <v>2689</v>
      </c>
      <c r="G1122" s="44"/>
      <c r="H1122" s="45"/>
      <c r="I1122" s="38"/>
      <c r="J1122" s="38">
        <f>2.4*1000</f>
        <v>2400</v>
      </c>
      <c r="K1122" s="371">
        <v>2.5509259259259259E-2</v>
      </c>
      <c r="L1122" s="47" t="s">
        <v>770</v>
      </c>
      <c r="M1122" s="372"/>
      <c r="N1122" s="372"/>
      <c r="O1122" s="307">
        <f t="shared" si="20"/>
        <v>0</v>
      </c>
      <c r="P1122" s="92"/>
      <c r="Q1122" s="410" t="str">
        <f t="shared" ca="1" si="33"/>
        <v>https://www.youtube.com/watch?v=tmCFtpj6IZc</v>
      </c>
      <c r="R1122" s="50"/>
      <c r="S1122" s="50"/>
      <c r="T1122" s="50"/>
      <c r="U1122" s="52"/>
      <c r="V1122" s="53"/>
      <c r="W1122" s="60"/>
      <c r="X1122" s="56"/>
      <c r="Y1122" s="38"/>
      <c r="Z1122" s="38"/>
    </row>
    <row r="1123" spans="1:26" hidden="1">
      <c r="A1123" s="38">
        <v>722</v>
      </c>
      <c r="B1123" s="38"/>
      <c r="C1123" s="312"/>
      <c r="D1123" s="38"/>
      <c r="E1123" s="38" t="s">
        <v>2692</v>
      </c>
      <c r="F1123" s="43" t="s">
        <v>2693</v>
      </c>
      <c r="G1123" s="44"/>
      <c r="H1123" s="45"/>
      <c r="I1123" s="38"/>
      <c r="J1123" s="38">
        <f>698</f>
        <v>698</v>
      </c>
      <c r="K1123" s="371">
        <v>1.6608796296296299E-2</v>
      </c>
      <c r="L1123" s="47" t="s">
        <v>770</v>
      </c>
      <c r="M1123" s="372"/>
      <c r="N1123" s="372"/>
      <c r="O1123" s="307">
        <f t="shared" si="20"/>
        <v>0</v>
      </c>
      <c r="P1123" s="92"/>
      <c r="Q1123" s="410" t="str">
        <f t="shared" ca="1" si="33"/>
        <v>https://www.youtube.com/watch?v=Ul-faWS75vA</v>
      </c>
      <c r="R1123" s="50"/>
      <c r="S1123" s="50"/>
      <c r="T1123" s="50"/>
      <c r="U1123" s="52"/>
      <c r="V1123" s="53"/>
      <c r="W1123" s="60"/>
      <c r="X1123" s="56"/>
      <c r="Y1123" s="38"/>
      <c r="Z1123" s="38"/>
    </row>
    <row r="1124" spans="1:26" hidden="1">
      <c r="A1124" s="38">
        <v>723</v>
      </c>
      <c r="B1124" s="38"/>
      <c r="C1124" s="312"/>
      <c r="D1124" s="38"/>
      <c r="E1124" s="38" t="s">
        <v>2694</v>
      </c>
      <c r="F1124" s="43" t="s">
        <v>2695</v>
      </c>
      <c r="G1124" s="44"/>
      <c r="H1124" s="45"/>
      <c r="I1124" s="38"/>
      <c r="J1124" s="38">
        <f>587</f>
        <v>587</v>
      </c>
      <c r="K1124" s="371">
        <v>1.3506944444444445E-2</v>
      </c>
      <c r="L1124" s="47" t="s">
        <v>770</v>
      </c>
      <c r="M1124" s="372"/>
      <c r="N1124" s="372"/>
      <c r="O1124" s="307">
        <f t="shared" si="20"/>
        <v>0</v>
      </c>
      <c r="P1124" s="92"/>
      <c r="Q1124" s="410" t="str">
        <f t="shared" ca="1" si="33"/>
        <v>https://www.youtube.com/watch?v=rP79c8rd-jE</v>
      </c>
      <c r="R1124" s="50"/>
      <c r="S1124" s="50"/>
      <c r="T1124" s="50"/>
      <c r="U1124" s="52"/>
      <c r="V1124" s="53"/>
      <c r="W1124" s="60"/>
      <c r="X1124" s="56"/>
      <c r="Y1124" s="38"/>
      <c r="Z1124" s="38"/>
    </row>
    <row r="1125" spans="1:26">
      <c r="A1125" s="38">
        <v>724</v>
      </c>
      <c r="B1125" s="39" t="s">
        <v>54</v>
      </c>
      <c r="C1125" s="40"/>
      <c r="D1125" s="42" t="s">
        <v>56</v>
      </c>
      <c r="E1125" s="38" t="s">
        <v>768</v>
      </c>
      <c r="F1125" s="43" t="s">
        <v>769</v>
      </c>
      <c r="G1125" s="44"/>
      <c r="H1125" s="45"/>
      <c r="I1125" s="38"/>
      <c r="J1125" s="38">
        <f>304</f>
        <v>304</v>
      </c>
      <c r="K1125" s="46">
        <v>2.2141203703703705E-2</v>
      </c>
      <c r="L1125" s="47" t="s">
        <v>770</v>
      </c>
      <c r="M1125" s="48"/>
      <c r="N1125" s="48"/>
      <c r="O1125" s="48">
        <f t="shared" si="20"/>
        <v>0</v>
      </c>
      <c r="P1125" s="65">
        <v>43064</v>
      </c>
      <c r="Q1125" s="410" t="str">
        <f t="shared" ca="1" si="33"/>
        <v>https://www.youtube.com/watch?v=4ej2lqB-kjM</v>
      </c>
      <c r="R1125" s="51"/>
      <c r="S1125" s="51"/>
      <c r="T1125" s="51"/>
      <c r="U1125" s="40"/>
      <c r="V1125" s="54"/>
      <c r="W1125" s="55"/>
      <c r="X1125" s="56"/>
      <c r="Y1125" s="88"/>
      <c r="Z1125" s="88"/>
    </row>
    <row r="1126" spans="1:26">
      <c r="A1126" s="42">
        <v>724.01</v>
      </c>
      <c r="B1126" s="39" t="s">
        <v>54</v>
      </c>
      <c r="C1126" s="40"/>
      <c r="D1126" s="85" t="s">
        <v>56</v>
      </c>
      <c r="E1126" s="38"/>
      <c r="F1126" s="58"/>
      <c r="G1126" s="63" t="s">
        <v>771</v>
      </c>
      <c r="H1126" s="45"/>
      <c r="I1126" s="38"/>
      <c r="J1126" s="38"/>
      <c r="K1126" s="46"/>
      <c r="L1126" s="47"/>
      <c r="M1126" s="64">
        <v>2.3958333333333331E-3</v>
      </c>
      <c r="N1126" s="64">
        <v>6.875E-3</v>
      </c>
      <c r="O1126" s="46">
        <f t="shared" si="20"/>
        <v>4.4791666666666669E-3</v>
      </c>
      <c r="P1126" s="65">
        <v>43064</v>
      </c>
      <c r="Q1126" s="410" t="str">
        <f t="shared" ca="1" si="33"/>
        <v>https://www.youtube.com/embed/4ej2lqB-kjM?start=207&amp;end=594&amp;autoplay=1</v>
      </c>
      <c r="R1126" s="67" t="s">
        <v>63</v>
      </c>
      <c r="S1126" s="112" t="s">
        <v>63</v>
      </c>
      <c r="T1126" s="112" t="s">
        <v>63</v>
      </c>
      <c r="U1126" s="52"/>
      <c r="V1126" s="53"/>
      <c r="W1126" s="57" t="s">
        <v>64</v>
      </c>
      <c r="X1126" s="56"/>
      <c r="Y1126" s="38"/>
      <c r="Z1126" s="38"/>
    </row>
    <row r="1127" spans="1:26">
      <c r="A1127" s="42">
        <v>724.02</v>
      </c>
      <c r="B1127" s="39" t="s">
        <v>54</v>
      </c>
      <c r="C1127" s="40"/>
      <c r="D1127" s="85" t="s">
        <v>56</v>
      </c>
      <c r="E1127" s="38"/>
      <c r="F1127" s="156"/>
      <c r="G1127" s="63" t="s">
        <v>778</v>
      </c>
      <c r="H1127" s="45"/>
      <c r="I1127" s="38"/>
      <c r="J1127" s="38"/>
      <c r="K1127" s="46"/>
      <c r="L1127" s="47"/>
      <c r="M1127" s="64">
        <v>7.3379629629629628E-3</v>
      </c>
      <c r="N1127" s="64">
        <v>1.1655092592592592E-2</v>
      </c>
      <c r="O1127" s="46">
        <f t="shared" si="20"/>
        <v>4.3171296296296291E-3</v>
      </c>
      <c r="P1127" s="65">
        <v>43064</v>
      </c>
      <c r="Q1127" s="410" t="str">
        <f t="shared" ca="1" si="33"/>
        <v>https://www.youtube.com/embed/4ej2lqB-kjM?start=634&amp;end=1007&amp;autoplay=1</v>
      </c>
      <c r="R1127" s="67" t="s">
        <v>63</v>
      </c>
      <c r="S1127" s="112" t="s">
        <v>63</v>
      </c>
      <c r="T1127" s="112" t="s">
        <v>63</v>
      </c>
      <c r="U1127" s="52"/>
      <c r="V1127" s="53"/>
      <c r="W1127" s="57" t="s">
        <v>64</v>
      </c>
      <c r="X1127" s="56"/>
      <c r="Y1127" s="38"/>
      <c r="Z1127" s="38"/>
    </row>
    <row r="1128" spans="1:26">
      <c r="A1128" s="42">
        <v>724.03</v>
      </c>
      <c r="B1128" s="39" t="s">
        <v>54</v>
      </c>
      <c r="C1128" s="40"/>
      <c r="D1128" s="85" t="s">
        <v>56</v>
      </c>
      <c r="E1128" s="38"/>
      <c r="F1128" s="43"/>
      <c r="G1128" s="63" t="s">
        <v>783</v>
      </c>
      <c r="H1128" s="45"/>
      <c r="I1128" s="38"/>
      <c r="J1128" s="38"/>
      <c r="K1128" s="46"/>
      <c r="L1128" s="47"/>
      <c r="M1128" s="64">
        <v>1.1666666666666667E-2</v>
      </c>
      <c r="N1128" s="64">
        <v>1.4074074074074074E-2</v>
      </c>
      <c r="O1128" s="46">
        <f t="shared" si="20"/>
        <v>2.4074074074074067E-3</v>
      </c>
      <c r="P1128" s="65">
        <v>43064</v>
      </c>
      <c r="Q1128" s="410" t="str">
        <f t="shared" ca="1" si="33"/>
        <v>https://www.youtube.com/embed/4ej2lqB-kjM?start=1008&amp;end=1216&amp;autoplay=1</v>
      </c>
      <c r="R1128" s="67" t="s">
        <v>63</v>
      </c>
      <c r="S1128" s="112" t="s">
        <v>63</v>
      </c>
      <c r="T1128" s="112" t="s">
        <v>63</v>
      </c>
      <c r="U1128" s="52"/>
      <c r="V1128" s="53"/>
      <c r="W1128" s="57" t="s">
        <v>64</v>
      </c>
      <c r="X1128" s="56"/>
      <c r="Y1128" s="38"/>
      <c r="Z1128" s="38"/>
    </row>
    <row r="1129" spans="1:26">
      <c r="A1129" s="42">
        <v>724.04</v>
      </c>
      <c r="B1129" s="39" t="s">
        <v>54</v>
      </c>
      <c r="C1129" s="40"/>
      <c r="D1129" s="85" t="s">
        <v>56</v>
      </c>
      <c r="E1129" s="38"/>
      <c r="F1129" s="43"/>
      <c r="G1129" s="63" t="s">
        <v>787</v>
      </c>
      <c r="H1129" s="45"/>
      <c r="I1129" s="38"/>
      <c r="J1129" s="38"/>
      <c r="K1129" s="46"/>
      <c r="L1129" s="47"/>
      <c r="M1129" s="64">
        <v>1.4085648148148147E-2</v>
      </c>
      <c r="N1129" s="64">
        <v>1.7974537037037035E-2</v>
      </c>
      <c r="O1129" s="46">
        <f t="shared" si="20"/>
        <v>3.8888888888888879E-3</v>
      </c>
      <c r="P1129" s="65">
        <v>43064</v>
      </c>
      <c r="Q1129" s="410" t="str">
        <f t="shared" ca="1" si="33"/>
        <v>https://www.youtube.com/embed/4ej2lqB-kjM?start=1217&amp;end=1553&amp;autoplay=1</v>
      </c>
      <c r="R1129" s="67" t="s">
        <v>63</v>
      </c>
      <c r="S1129" s="112" t="s">
        <v>63</v>
      </c>
      <c r="T1129" s="112" t="s">
        <v>63</v>
      </c>
      <c r="U1129" s="52"/>
      <c r="V1129" s="53"/>
      <c r="W1129" s="57" t="s">
        <v>64</v>
      </c>
      <c r="X1129" s="56"/>
      <c r="Y1129" s="38"/>
      <c r="Z1129" s="38"/>
    </row>
    <row r="1130" spans="1:26">
      <c r="A1130" s="42">
        <v>724.05</v>
      </c>
      <c r="B1130" s="39" t="s">
        <v>54</v>
      </c>
      <c r="C1130" s="40"/>
      <c r="D1130" s="85" t="s">
        <v>56</v>
      </c>
      <c r="E1130" s="38"/>
      <c r="F1130" s="43"/>
      <c r="G1130" s="63" t="s">
        <v>791</v>
      </c>
      <c r="H1130" s="45"/>
      <c r="I1130" s="38"/>
      <c r="J1130" s="38"/>
      <c r="K1130" s="46"/>
      <c r="L1130" s="47"/>
      <c r="M1130" s="64">
        <v>1.7986111111111112E-2</v>
      </c>
      <c r="N1130" s="64">
        <v>2.1550925925925925E-2</v>
      </c>
      <c r="O1130" s="46">
        <f t="shared" si="20"/>
        <v>3.5648148148148123E-3</v>
      </c>
      <c r="P1130" s="65">
        <v>43064</v>
      </c>
      <c r="Q1130" s="410" t="str">
        <f t="shared" ca="1" si="33"/>
        <v>https://www.youtube.com/embed/4ej2lqB-kjM?start=1554&amp;end=1862&amp;autoplay=1</v>
      </c>
      <c r="R1130" s="67" t="s">
        <v>63</v>
      </c>
      <c r="S1130" s="112" t="s">
        <v>63</v>
      </c>
      <c r="T1130" s="112" t="s">
        <v>63</v>
      </c>
      <c r="U1130" s="52"/>
      <c r="V1130" s="53"/>
      <c r="W1130" s="57" t="s">
        <v>64</v>
      </c>
      <c r="X1130" s="56"/>
      <c r="Y1130" s="38"/>
      <c r="Z1130" s="38"/>
    </row>
    <row r="1131" spans="1:26" hidden="1">
      <c r="A1131" s="38">
        <v>725</v>
      </c>
      <c r="B1131" s="38"/>
      <c r="C1131" s="312"/>
      <c r="D1131" s="38"/>
      <c r="E1131" s="38" t="s">
        <v>2700</v>
      </c>
      <c r="F1131" s="43" t="s">
        <v>2701</v>
      </c>
      <c r="G1131" s="44"/>
      <c r="H1131" s="45"/>
      <c r="I1131" s="38"/>
      <c r="J1131" s="38">
        <f>361</f>
        <v>361</v>
      </c>
      <c r="K1131" s="371">
        <v>2.568287037037037E-2</v>
      </c>
      <c r="L1131" s="47" t="s">
        <v>770</v>
      </c>
      <c r="M1131" s="372"/>
      <c r="N1131" s="372"/>
      <c r="O1131" s="307">
        <f t="shared" si="20"/>
        <v>0</v>
      </c>
      <c r="P1131" s="92"/>
      <c r="Q1131" s="410" t="str">
        <f t="shared" ca="1" si="33"/>
        <v>https://www.youtube.com/watch?v=OmWUkxANoEk</v>
      </c>
      <c r="R1131" s="50"/>
      <c r="S1131" s="50"/>
      <c r="T1131" s="50"/>
      <c r="U1131" s="52"/>
      <c r="V1131" s="53"/>
      <c r="W1131" s="60"/>
      <c r="X1131" s="56"/>
      <c r="Y1131" s="38"/>
      <c r="Z1131" s="38"/>
    </row>
    <row r="1132" spans="1:26" hidden="1">
      <c r="A1132" s="38">
        <v>726</v>
      </c>
      <c r="B1132" s="38"/>
      <c r="C1132" s="312"/>
      <c r="D1132" s="38"/>
      <c r="E1132" s="38" t="s">
        <v>2702</v>
      </c>
      <c r="F1132" s="43" t="s">
        <v>2703</v>
      </c>
      <c r="G1132" s="44"/>
      <c r="H1132" s="45"/>
      <c r="I1132" s="38"/>
      <c r="J1132" s="38">
        <f>2.2*1000</f>
        <v>2200</v>
      </c>
      <c r="K1132" s="371">
        <v>1.9722222222222221E-2</v>
      </c>
      <c r="L1132" s="47" t="s">
        <v>770</v>
      </c>
      <c r="M1132" s="372"/>
      <c r="N1132" s="372"/>
      <c r="O1132" s="307">
        <f t="shared" si="20"/>
        <v>0</v>
      </c>
      <c r="P1132" s="92"/>
      <c r="Q1132" s="410" t="str">
        <f t="shared" ca="1" si="33"/>
        <v>https://www.youtube.com/watch?v=5IYA6g6rNW0</v>
      </c>
      <c r="R1132" s="50"/>
      <c r="S1132" s="50"/>
      <c r="T1132" s="50"/>
      <c r="U1132" s="52"/>
      <c r="V1132" s="53"/>
      <c r="W1132" s="60"/>
      <c r="X1132" s="56"/>
      <c r="Y1132" s="38"/>
      <c r="Z1132" s="38"/>
    </row>
    <row r="1133" spans="1:26" hidden="1">
      <c r="A1133" s="38">
        <v>727</v>
      </c>
      <c r="B1133" s="38"/>
      <c r="C1133" s="312"/>
      <c r="D1133" s="38"/>
      <c r="E1133" s="38" t="s">
        <v>2705</v>
      </c>
      <c r="F1133" s="43" t="s">
        <v>2706</v>
      </c>
      <c r="G1133" s="44"/>
      <c r="H1133" s="45"/>
      <c r="I1133" s="38"/>
      <c r="J1133" s="38">
        <f>1.6*1000</f>
        <v>1600</v>
      </c>
      <c r="K1133" s="371">
        <v>3.3888888888888885E-2</v>
      </c>
      <c r="L1133" s="47" t="s">
        <v>770</v>
      </c>
      <c r="M1133" s="372"/>
      <c r="N1133" s="372"/>
      <c r="O1133" s="307">
        <f t="shared" si="20"/>
        <v>0</v>
      </c>
      <c r="P1133" s="92"/>
      <c r="Q1133" s="410" t="str">
        <f t="shared" ca="1" si="33"/>
        <v>https://www.youtube.com/watch?v=zEXu5K5eyCY</v>
      </c>
      <c r="R1133" s="50"/>
      <c r="S1133" s="50"/>
      <c r="T1133" s="50"/>
      <c r="U1133" s="52"/>
      <c r="V1133" s="53"/>
      <c r="W1133" s="60"/>
      <c r="X1133" s="56"/>
      <c r="Y1133" s="38"/>
      <c r="Z1133" s="38"/>
    </row>
    <row r="1134" spans="1:26" hidden="1">
      <c r="A1134" s="38">
        <v>728</v>
      </c>
      <c r="B1134" s="38"/>
      <c r="C1134" s="312"/>
      <c r="D1134" s="38"/>
      <c r="E1134" s="38" t="s">
        <v>2707</v>
      </c>
      <c r="F1134" s="43" t="s">
        <v>2708</v>
      </c>
      <c r="G1134" s="44"/>
      <c r="H1134" s="45"/>
      <c r="I1134" s="38"/>
      <c r="J1134" s="38">
        <f>245</f>
        <v>245</v>
      </c>
      <c r="K1134" s="371">
        <v>2.344907407407407E-2</v>
      </c>
      <c r="L1134" s="47" t="s">
        <v>770</v>
      </c>
      <c r="M1134" s="372"/>
      <c r="N1134" s="372"/>
      <c r="O1134" s="307">
        <f t="shared" si="20"/>
        <v>0</v>
      </c>
      <c r="P1134" s="92"/>
      <c r="Q1134" s="410" t="str">
        <f t="shared" ca="1" si="33"/>
        <v>https://www.youtube.com/watch?v=s9g49kgd9ao</v>
      </c>
      <c r="R1134" s="50"/>
      <c r="S1134" s="50"/>
      <c r="T1134" s="50"/>
      <c r="U1134" s="52"/>
      <c r="V1134" s="53"/>
      <c r="W1134" s="60"/>
      <c r="X1134" s="56"/>
      <c r="Y1134" s="38"/>
      <c r="Z1134" s="38"/>
    </row>
    <row r="1135" spans="1:26" hidden="1">
      <c r="A1135" s="38">
        <v>729</v>
      </c>
      <c r="B1135" s="38"/>
      <c r="C1135" s="312"/>
      <c r="D1135" s="38"/>
      <c r="E1135" s="38" t="s">
        <v>2709</v>
      </c>
      <c r="F1135" s="43" t="s">
        <v>2710</v>
      </c>
      <c r="G1135" s="44"/>
      <c r="H1135" s="45"/>
      <c r="I1135" s="38"/>
      <c r="J1135" s="38">
        <f>479</f>
        <v>479</v>
      </c>
      <c r="K1135" s="371">
        <v>2.9953703703703705E-2</v>
      </c>
      <c r="L1135" s="47" t="s">
        <v>770</v>
      </c>
      <c r="M1135" s="372"/>
      <c r="N1135" s="372"/>
      <c r="O1135" s="307">
        <f t="shared" si="20"/>
        <v>0</v>
      </c>
      <c r="P1135" s="92"/>
      <c r="Q1135" s="410" t="str">
        <f t="shared" ca="1" si="33"/>
        <v>https://www.youtube.com/watch?v=7IXp156RgtQ</v>
      </c>
      <c r="R1135" s="50"/>
      <c r="S1135" s="50"/>
      <c r="T1135" s="50"/>
      <c r="U1135" s="52"/>
      <c r="V1135" s="53"/>
      <c r="W1135" s="60"/>
      <c r="X1135" s="56"/>
      <c r="Y1135" s="38"/>
      <c r="Z1135" s="38"/>
    </row>
    <row r="1136" spans="1:26" hidden="1">
      <c r="A1136" s="38">
        <v>730</v>
      </c>
      <c r="B1136" s="38"/>
      <c r="C1136" s="312"/>
      <c r="D1136" s="38"/>
      <c r="E1136" s="38" t="s">
        <v>2711</v>
      </c>
      <c r="F1136" s="43" t="s">
        <v>2712</v>
      </c>
      <c r="G1136" s="44"/>
      <c r="H1136" s="45"/>
      <c r="I1136" s="38"/>
      <c r="J1136" s="38">
        <f>217</f>
        <v>217</v>
      </c>
      <c r="K1136" s="371">
        <v>1.2881944444444446E-2</v>
      </c>
      <c r="L1136" s="47" t="s">
        <v>770</v>
      </c>
      <c r="M1136" s="372"/>
      <c r="N1136" s="372"/>
      <c r="O1136" s="307">
        <f t="shared" si="20"/>
        <v>0</v>
      </c>
      <c r="P1136" s="92"/>
      <c r="Q1136" s="410" t="str">
        <f t="shared" ca="1" si="33"/>
        <v>https://www.youtube.com/watch?v=1CJb6PuWDqk</v>
      </c>
      <c r="R1136" s="50"/>
      <c r="S1136" s="50"/>
      <c r="T1136" s="50"/>
      <c r="U1136" s="52"/>
      <c r="V1136" s="53"/>
      <c r="W1136" s="60"/>
      <c r="X1136" s="56"/>
      <c r="Y1136" s="38"/>
      <c r="Z1136" s="38"/>
    </row>
    <row r="1137" spans="1:26" hidden="1">
      <c r="A1137" s="38">
        <v>731</v>
      </c>
      <c r="B1137" s="38"/>
      <c r="C1137" s="312"/>
      <c r="D1137" s="38"/>
      <c r="E1137" s="38" t="s">
        <v>2713</v>
      </c>
      <c r="F1137" s="43" t="s">
        <v>2714</v>
      </c>
      <c r="G1137" s="44"/>
      <c r="H1137" s="45"/>
      <c r="I1137" s="38"/>
      <c r="J1137" s="38">
        <f>5.5*1000</f>
        <v>5500</v>
      </c>
      <c r="K1137" s="371">
        <v>1.8912037037037036E-2</v>
      </c>
      <c r="L1137" s="47" t="s">
        <v>770</v>
      </c>
      <c r="M1137" s="372"/>
      <c r="N1137" s="372"/>
      <c r="O1137" s="307">
        <f t="shared" si="20"/>
        <v>0</v>
      </c>
      <c r="P1137" s="92"/>
      <c r="Q1137" s="410" t="str">
        <f t="shared" ca="1" si="33"/>
        <v>https://www.youtube.com/watch?v=3Pat7agSMJU&amp;t=22s</v>
      </c>
      <c r="R1137" s="50"/>
      <c r="S1137" s="50"/>
      <c r="T1137" s="50"/>
      <c r="U1137" s="52"/>
      <c r="V1137" s="53"/>
      <c r="W1137" s="60"/>
      <c r="X1137" s="56"/>
      <c r="Y1137" s="38"/>
      <c r="Z1137" s="38"/>
    </row>
    <row r="1138" spans="1:26" hidden="1">
      <c r="A1138" s="38">
        <v>732</v>
      </c>
      <c r="B1138" s="38"/>
      <c r="C1138" s="312"/>
      <c r="D1138" s="38"/>
      <c r="E1138" s="38" t="s">
        <v>2715</v>
      </c>
      <c r="F1138" s="43" t="s">
        <v>2716</v>
      </c>
      <c r="G1138" s="44"/>
      <c r="H1138" s="45"/>
      <c r="I1138" s="38"/>
      <c r="J1138" s="38">
        <f>335</f>
        <v>335</v>
      </c>
      <c r="K1138" s="371">
        <v>2.3877314814814813E-2</v>
      </c>
      <c r="L1138" s="47" t="s">
        <v>770</v>
      </c>
      <c r="M1138" s="372"/>
      <c r="N1138" s="372"/>
      <c r="O1138" s="307">
        <f t="shared" si="20"/>
        <v>0</v>
      </c>
      <c r="P1138" s="92"/>
      <c r="Q1138" s="410" t="str">
        <f t="shared" ca="1" si="33"/>
        <v>https://www.youtube.com/watch?v=lyiuoR-2E6I</v>
      </c>
      <c r="R1138" s="50"/>
      <c r="S1138" s="50"/>
      <c r="T1138" s="50"/>
      <c r="U1138" s="52"/>
      <c r="V1138" s="53"/>
      <c r="W1138" s="60"/>
      <c r="X1138" s="56"/>
      <c r="Y1138" s="38"/>
      <c r="Z1138" s="38"/>
    </row>
    <row r="1139" spans="1:26" hidden="1">
      <c r="A1139" s="38">
        <v>733</v>
      </c>
      <c r="B1139" s="38"/>
      <c r="C1139" s="312"/>
      <c r="D1139" s="38"/>
      <c r="E1139" s="38" t="s">
        <v>2717</v>
      </c>
      <c r="F1139" s="43" t="s">
        <v>2718</v>
      </c>
      <c r="G1139" s="44"/>
      <c r="H1139" s="45"/>
      <c r="I1139" s="38"/>
      <c r="J1139" s="38">
        <f>4.4*1000</f>
        <v>4400</v>
      </c>
      <c r="K1139" s="371">
        <v>1.7638888888888888E-2</v>
      </c>
      <c r="L1139" s="47" t="s">
        <v>770</v>
      </c>
      <c r="M1139" s="372"/>
      <c r="N1139" s="372"/>
      <c r="O1139" s="307">
        <f t="shared" si="20"/>
        <v>0</v>
      </c>
      <c r="P1139" s="92"/>
      <c r="Q1139" s="410" t="str">
        <f t="shared" ca="1" si="33"/>
        <v>https://www.youtube.com/watch?v=h4ZgKKlmUl0&amp;t=481s</v>
      </c>
      <c r="R1139" s="50"/>
      <c r="S1139" s="50"/>
      <c r="T1139" s="50"/>
      <c r="U1139" s="52"/>
      <c r="V1139" s="53"/>
      <c r="W1139" s="60"/>
      <c r="X1139" s="56"/>
      <c r="Y1139" s="38"/>
      <c r="Z1139" s="38"/>
    </row>
    <row r="1140" spans="1:26" hidden="1">
      <c r="A1140" s="38">
        <v>734</v>
      </c>
      <c r="B1140" s="38"/>
      <c r="C1140" s="312"/>
      <c r="D1140" s="38"/>
      <c r="E1140" s="38" t="s">
        <v>2719</v>
      </c>
      <c r="F1140" s="43" t="s">
        <v>2720</v>
      </c>
      <c r="G1140" s="44"/>
      <c r="H1140" s="45"/>
      <c r="I1140" s="38"/>
      <c r="J1140" s="38">
        <f>1.3*1000</f>
        <v>1300</v>
      </c>
      <c r="K1140" s="371">
        <v>1.2222222222222223E-2</v>
      </c>
      <c r="L1140" s="47" t="s">
        <v>770</v>
      </c>
      <c r="M1140" s="372"/>
      <c r="N1140" s="372"/>
      <c r="O1140" s="307">
        <f t="shared" si="20"/>
        <v>0</v>
      </c>
      <c r="P1140" s="92"/>
      <c r="Q1140" s="410" t="str">
        <f t="shared" ca="1" si="33"/>
        <v>https://www.youtube.com/watch?v=8gCMYZ-alVw</v>
      </c>
      <c r="R1140" s="50"/>
      <c r="S1140" s="50"/>
      <c r="T1140" s="50"/>
      <c r="U1140" s="52"/>
      <c r="V1140" s="53"/>
      <c r="W1140" s="60"/>
      <c r="X1140" s="56"/>
      <c r="Y1140" s="38"/>
      <c r="Z1140" s="38"/>
    </row>
    <row r="1141" spans="1:26" hidden="1">
      <c r="A1141" s="38">
        <v>735</v>
      </c>
      <c r="B1141" s="38"/>
      <c r="C1141" s="312"/>
      <c r="D1141" s="38"/>
      <c r="E1141" s="38" t="s">
        <v>2721</v>
      </c>
      <c r="F1141" s="43" t="s">
        <v>2722</v>
      </c>
      <c r="G1141" s="44"/>
      <c r="H1141" s="45"/>
      <c r="I1141" s="38"/>
      <c r="J1141" s="38">
        <f>684</f>
        <v>684</v>
      </c>
      <c r="K1141" s="371">
        <v>3.0092592592592588E-3</v>
      </c>
      <c r="L1141" s="47" t="s">
        <v>770</v>
      </c>
      <c r="M1141" s="372"/>
      <c r="N1141" s="372"/>
      <c r="O1141" s="307">
        <f t="shared" si="20"/>
        <v>0</v>
      </c>
      <c r="P1141" s="92"/>
      <c r="Q1141" s="410" t="str">
        <f t="shared" ca="1" si="33"/>
        <v>https://www.youtube.com/watch?v=aPfBxS4huSc</v>
      </c>
      <c r="R1141" s="50"/>
      <c r="S1141" s="50"/>
      <c r="T1141" s="50"/>
      <c r="U1141" s="52"/>
      <c r="V1141" s="53"/>
      <c r="W1141" s="60"/>
      <c r="X1141" s="56"/>
      <c r="Y1141" s="38"/>
      <c r="Z1141" s="38"/>
    </row>
    <row r="1142" spans="1:26" hidden="1">
      <c r="A1142" s="38">
        <v>736</v>
      </c>
      <c r="B1142" s="38"/>
      <c r="C1142" s="312"/>
      <c r="D1142" s="38"/>
      <c r="E1142" s="38" t="s">
        <v>2723</v>
      </c>
      <c r="F1142" s="43" t="s">
        <v>2724</v>
      </c>
      <c r="G1142" s="44"/>
      <c r="H1142" s="45"/>
      <c r="I1142" s="38"/>
      <c r="J1142" s="38">
        <f>570</f>
        <v>570</v>
      </c>
      <c r="K1142" s="371">
        <v>5.2893518518518515E-3</v>
      </c>
      <c r="L1142" s="47" t="s">
        <v>770</v>
      </c>
      <c r="M1142" s="372"/>
      <c r="N1142" s="372"/>
      <c r="O1142" s="307">
        <f t="shared" si="20"/>
        <v>0</v>
      </c>
      <c r="P1142" s="92"/>
      <c r="Q1142" s="410" t="str">
        <f t="shared" ca="1" si="33"/>
        <v>https://www.youtube.com/watch?v=HQK8u4lh7y0</v>
      </c>
      <c r="R1142" s="50"/>
      <c r="S1142" s="50"/>
      <c r="T1142" s="50"/>
      <c r="U1142" s="52"/>
      <c r="V1142" s="53"/>
      <c r="W1142" s="60"/>
      <c r="X1142" s="56"/>
      <c r="Y1142" s="38"/>
      <c r="Z1142" s="38"/>
    </row>
    <row r="1143" spans="1:26" hidden="1">
      <c r="A1143" s="38">
        <v>737</v>
      </c>
      <c r="B1143" s="38"/>
      <c r="C1143" s="312"/>
      <c r="D1143" s="38"/>
      <c r="E1143" s="38" t="s">
        <v>2725</v>
      </c>
      <c r="F1143" s="43" t="s">
        <v>2726</v>
      </c>
      <c r="G1143" s="44"/>
      <c r="H1143" s="45"/>
      <c r="I1143" s="38"/>
      <c r="J1143" s="38">
        <f>431</f>
        <v>431</v>
      </c>
      <c r="K1143" s="371">
        <v>5.347222222222222E-3</v>
      </c>
      <c r="L1143" s="47" t="s">
        <v>770</v>
      </c>
      <c r="M1143" s="372"/>
      <c r="N1143" s="372"/>
      <c r="O1143" s="307">
        <f t="shared" si="20"/>
        <v>0</v>
      </c>
      <c r="P1143" s="92"/>
      <c r="Q1143" s="410" t="str">
        <f t="shared" ca="1" si="33"/>
        <v>https://www.youtube.com/watch?v=qIQN0DtO2Z8</v>
      </c>
      <c r="R1143" s="50"/>
      <c r="S1143" s="50"/>
      <c r="T1143" s="50"/>
      <c r="U1143" s="52"/>
      <c r="V1143" s="53"/>
      <c r="W1143" s="60"/>
      <c r="X1143" s="56"/>
      <c r="Y1143" s="38"/>
      <c r="Z1143" s="38"/>
    </row>
    <row r="1144" spans="1:26" hidden="1">
      <c r="A1144" s="38">
        <v>738</v>
      </c>
      <c r="B1144" s="38"/>
      <c r="C1144" s="312"/>
      <c r="D1144" s="38"/>
      <c r="E1144" s="38" t="s">
        <v>818</v>
      </c>
      <c r="F1144" s="43" t="s">
        <v>819</v>
      </c>
      <c r="G1144" s="44"/>
      <c r="H1144" s="45"/>
      <c r="I1144" s="38"/>
      <c r="J1144" s="38">
        <f>1.3*1000</f>
        <v>1300</v>
      </c>
      <c r="K1144" s="371">
        <v>2.2812499999999999E-2</v>
      </c>
      <c r="L1144" s="47" t="s">
        <v>770</v>
      </c>
      <c r="M1144" s="372"/>
      <c r="N1144" s="372"/>
      <c r="O1144" s="307">
        <f t="shared" si="20"/>
        <v>0</v>
      </c>
      <c r="P1144" s="92"/>
      <c r="Q1144" s="410" t="str">
        <f t="shared" ca="1" si="33"/>
        <v>https://www.youtube.com/watch?v=ZErxsCxSQsA</v>
      </c>
      <c r="R1144" s="50"/>
      <c r="S1144" s="50"/>
      <c r="T1144" s="50"/>
      <c r="U1144" s="52"/>
      <c r="V1144" s="53"/>
      <c r="W1144" s="60"/>
      <c r="X1144" s="56"/>
      <c r="Y1144" s="38"/>
      <c r="Z1144" s="38"/>
    </row>
    <row r="1145" spans="1:26" hidden="1">
      <c r="A1145" s="38">
        <v>739</v>
      </c>
      <c r="B1145" s="38"/>
      <c r="C1145" s="312"/>
      <c r="D1145" s="38"/>
      <c r="E1145" s="38" t="s">
        <v>2675</v>
      </c>
      <c r="F1145" s="43" t="s">
        <v>2676</v>
      </c>
      <c r="G1145" s="44"/>
      <c r="H1145" s="45"/>
      <c r="I1145" s="38"/>
      <c r="J1145" s="38">
        <f>14*1000</f>
        <v>14000</v>
      </c>
      <c r="K1145" s="371">
        <v>3.953703703703703E-2</v>
      </c>
      <c r="L1145" s="47" t="s">
        <v>770</v>
      </c>
      <c r="M1145" s="372"/>
      <c r="N1145" s="372"/>
      <c r="O1145" s="307">
        <f t="shared" si="20"/>
        <v>0</v>
      </c>
      <c r="P1145" s="92"/>
      <c r="Q1145" s="410" t="str">
        <f t="shared" ca="1" si="33"/>
        <v>https://www.youtube.com/watch?v=ZyApm_PJ-W8&amp;t=65s</v>
      </c>
      <c r="R1145" s="50"/>
      <c r="S1145" s="50"/>
      <c r="T1145" s="50"/>
      <c r="U1145" s="52"/>
      <c r="V1145" s="53"/>
      <c r="W1145" s="60"/>
      <c r="X1145" s="56"/>
      <c r="Y1145" s="38"/>
      <c r="Z1145" s="38"/>
    </row>
    <row r="1146" spans="1:26">
      <c r="A1146" s="38">
        <v>740</v>
      </c>
      <c r="B1146" s="39" t="s">
        <v>596</v>
      </c>
      <c r="C1146" s="40"/>
      <c r="D1146" s="42" t="s">
        <v>56</v>
      </c>
      <c r="E1146" s="38" t="s">
        <v>1562</v>
      </c>
      <c r="F1146" s="43" t="s">
        <v>1563</v>
      </c>
      <c r="G1146" s="44"/>
      <c r="H1146" s="45"/>
      <c r="I1146" s="38"/>
      <c r="J1146" s="38">
        <f>8.1*1000</f>
        <v>8100</v>
      </c>
      <c r="K1146" s="46">
        <v>7.2326388888888885E-2</v>
      </c>
      <c r="L1146" s="47" t="s">
        <v>770</v>
      </c>
      <c r="M1146" s="307"/>
      <c r="N1146" s="307"/>
      <c r="O1146" s="307">
        <f t="shared" si="20"/>
        <v>0</v>
      </c>
      <c r="P1146" s="361">
        <v>43020</v>
      </c>
      <c r="Q1146" s="410" t="str">
        <f t="shared" ca="1" si="33"/>
        <v>https://www.youtube.com/watch?v=VFJFvcNogFU</v>
      </c>
      <c r="R1146" s="51"/>
      <c r="S1146" s="51"/>
      <c r="T1146" s="51"/>
      <c r="U1146" s="40"/>
      <c r="V1146" s="54"/>
      <c r="W1146" s="55"/>
      <c r="X1146" s="56"/>
      <c r="Y1146" s="311"/>
      <c r="Z1146" s="311"/>
    </row>
    <row r="1147" spans="1:26">
      <c r="A1147" s="83">
        <v>740.01</v>
      </c>
      <c r="B1147" s="39" t="s">
        <v>596</v>
      </c>
      <c r="C1147" s="40"/>
      <c r="D1147" s="42" t="s">
        <v>56</v>
      </c>
      <c r="E1147" s="73"/>
      <c r="F1147" s="73"/>
      <c r="G1147" s="83" t="s">
        <v>1569</v>
      </c>
      <c r="H1147" s="83" t="s">
        <v>1570</v>
      </c>
      <c r="I1147" s="73"/>
      <c r="J1147" s="73"/>
      <c r="K1147" s="73"/>
      <c r="L1147" s="73"/>
      <c r="M1147" s="345">
        <v>2.4421296296296296E-3</v>
      </c>
      <c r="N1147" s="345">
        <v>3.9120370370370368E-3</v>
      </c>
      <c r="O1147" s="307">
        <f t="shared" si="20"/>
        <v>1.4699074074074072E-3</v>
      </c>
      <c r="P1147" s="361">
        <v>43020</v>
      </c>
      <c r="Q1147" s="410" t="str">
        <f t="shared" ca="1" si="33"/>
        <v>https://www.youtube.com/embed/VFJFvcNogFU?start=211&amp;end=338&amp;autoplay=1</v>
      </c>
      <c r="R1147" s="362" t="s">
        <v>63</v>
      </c>
      <c r="S1147" s="362" t="s">
        <v>63</v>
      </c>
      <c r="T1147" s="362" t="s">
        <v>63</v>
      </c>
      <c r="U1147" s="73"/>
      <c r="V1147" s="73"/>
      <c r="W1147" s="83" t="s">
        <v>64</v>
      </c>
      <c r="X1147" s="73"/>
      <c r="Y1147" s="73"/>
      <c r="Z1147" s="73"/>
    </row>
    <row r="1148" spans="1:26">
      <c r="A1148" s="42">
        <v>740.02</v>
      </c>
      <c r="B1148" s="39" t="s">
        <v>596</v>
      </c>
      <c r="C1148" s="40"/>
      <c r="D1148" s="42" t="s">
        <v>56</v>
      </c>
      <c r="E1148" s="38"/>
      <c r="F1148" s="73"/>
      <c r="G1148" s="83" t="s">
        <v>3000</v>
      </c>
      <c r="H1148" s="83" t="s">
        <v>1576</v>
      </c>
      <c r="I1148" s="73"/>
      <c r="J1148" s="73"/>
      <c r="K1148" s="46"/>
      <c r="L1148" s="47"/>
      <c r="M1148" s="342">
        <v>3.9236111111111112E-3</v>
      </c>
      <c r="N1148" s="342">
        <v>5.4861111111111109E-3</v>
      </c>
      <c r="O1148" s="307">
        <f t="shared" si="20"/>
        <v>1.5624999999999997E-3</v>
      </c>
      <c r="P1148" s="361">
        <v>43020</v>
      </c>
      <c r="Q1148" s="410" t="str">
        <f t="shared" ca="1" si="33"/>
        <v>https://www.youtube.com/embed/VFJFvcNogFU?start=339&amp;end=474&amp;autoplay=1</v>
      </c>
      <c r="R1148" s="362" t="s">
        <v>63</v>
      </c>
      <c r="S1148" s="362" t="s">
        <v>63</v>
      </c>
      <c r="T1148" s="362" t="s">
        <v>63</v>
      </c>
      <c r="U1148" s="40"/>
      <c r="V1148" s="54"/>
      <c r="W1148" s="83" t="s">
        <v>64</v>
      </c>
      <c r="X1148" s="56"/>
      <c r="Y1148" s="38"/>
      <c r="Z1148" s="38"/>
    </row>
    <row r="1149" spans="1:26">
      <c r="A1149" s="42">
        <v>740.03</v>
      </c>
      <c r="B1149" s="39" t="s">
        <v>596</v>
      </c>
      <c r="C1149" s="40"/>
      <c r="D1149" s="42" t="s">
        <v>56</v>
      </c>
      <c r="E1149" s="38"/>
      <c r="F1149" s="73"/>
      <c r="G1149" s="83" t="s">
        <v>3001</v>
      </c>
      <c r="H1149" s="83" t="s">
        <v>3002</v>
      </c>
      <c r="I1149" s="73"/>
      <c r="J1149" s="73"/>
      <c r="K1149" s="46"/>
      <c r="L1149" s="47"/>
      <c r="M1149" s="342">
        <v>5.4976851851851853E-3</v>
      </c>
      <c r="N1149" s="342">
        <v>8.1250000000000003E-3</v>
      </c>
      <c r="O1149" s="307">
        <f t="shared" si="20"/>
        <v>2.627314814814815E-3</v>
      </c>
      <c r="P1149" s="361">
        <v>43020</v>
      </c>
      <c r="Q1149" s="410" t="str">
        <f t="shared" ca="1" si="33"/>
        <v>https://www.youtube.com/embed/VFJFvcNogFU?start=475&amp;end=702&amp;autoplay=1</v>
      </c>
      <c r="R1149" s="362" t="s">
        <v>63</v>
      </c>
      <c r="S1149" s="362" t="s">
        <v>63</v>
      </c>
      <c r="T1149" s="362" t="s">
        <v>63</v>
      </c>
      <c r="U1149" s="40"/>
      <c r="V1149" s="54"/>
      <c r="W1149" s="69" t="s">
        <v>64</v>
      </c>
      <c r="X1149" s="56"/>
      <c r="Y1149" s="38"/>
      <c r="Z1149" s="38"/>
    </row>
    <row r="1150" spans="1:26">
      <c r="A1150" s="42">
        <v>740.04</v>
      </c>
      <c r="B1150" s="39" t="s">
        <v>596</v>
      </c>
      <c r="C1150" s="40"/>
      <c r="D1150" s="42" t="s">
        <v>56</v>
      </c>
      <c r="E1150" s="38"/>
      <c r="F1150" s="43"/>
      <c r="G1150" s="63" t="s">
        <v>3003</v>
      </c>
      <c r="H1150" s="58" t="s">
        <v>1586</v>
      </c>
      <c r="I1150" s="38"/>
      <c r="J1150" s="38"/>
      <c r="K1150" s="46"/>
      <c r="L1150" s="47"/>
      <c r="M1150" s="342">
        <v>8.1365740740740738E-3</v>
      </c>
      <c r="N1150" s="342">
        <v>9.0972222222222218E-3</v>
      </c>
      <c r="O1150" s="307">
        <f t="shared" si="20"/>
        <v>9.6064814814814797E-4</v>
      </c>
      <c r="P1150" s="361">
        <v>43020</v>
      </c>
      <c r="Q1150" s="410" t="str">
        <f t="shared" ca="1" si="33"/>
        <v>https://www.youtube.com/embed/VFJFvcNogFU?start=703&amp;end=786&amp;autoplay=1</v>
      </c>
      <c r="R1150" s="362" t="s">
        <v>63</v>
      </c>
      <c r="S1150" s="362" t="s">
        <v>63</v>
      </c>
      <c r="T1150" s="362" t="s">
        <v>63</v>
      </c>
      <c r="U1150" s="40"/>
      <c r="V1150" s="54"/>
      <c r="W1150" s="69" t="s">
        <v>64</v>
      </c>
      <c r="X1150" s="56"/>
      <c r="Y1150" s="38"/>
      <c r="Z1150" s="38"/>
    </row>
    <row r="1151" spans="1:26">
      <c r="A1151" s="42">
        <v>740.05</v>
      </c>
      <c r="B1151" s="39" t="s">
        <v>596</v>
      </c>
      <c r="C1151" s="40"/>
      <c r="D1151" s="42" t="s">
        <v>56</v>
      </c>
      <c r="E1151" s="38"/>
      <c r="F1151" s="43"/>
      <c r="G1151" s="63" t="s">
        <v>3004</v>
      </c>
      <c r="H1151" s="58" t="s">
        <v>3005</v>
      </c>
      <c r="I1151" s="38"/>
      <c r="J1151" s="38"/>
      <c r="K1151" s="46"/>
      <c r="L1151" s="47"/>
      <c r="M1151" s="342">
        <v>9.0972222222222218E-3</v>
      </c>
      <c r="N1151" s="342">
        <v>1.0185185185185186E-2</v>
      </c>
      <c r="O1151" s="307">
        <f t="shared" si="20"/>
        <v>1.0879629629629642E-3</v>
      </c>
      <c r="P1151" s="361">
        <v>43020</v>
      </c>
      <c r="Q1151" s="410" t="str">
        <f t="shared" ca="1" si="33"/>
        <v>https://www.youtube.com/embed/VFJFvcNogFU?start=786&amp;end=880&amp;autoplay=1</v>
      </c>
      <c r="R1151" s="362" t="s">
        <v>63</v>
      </c>
      <c r="S1151" s="362" t="s">
        <v>63</v>
      </c>
      <c r="T1151" s="362" t="s">
        <v>63</v>
      </c>
      <c r="U1151" s="40"/>
      <c r="V1151" s="54"/>
      <c r="W1151" s="69" t="s">
        <v>64</v>
      </c>
      <c r="X1151" s="56"/>
      <c r="Y1151" s="38"/>
      <c r="Z1151" s="38"/>
    </row>
    <row r="1152" spans="1:26">
      <c r="A1152" s="42">
        <v>740.06</v>
      </c>
      <c r="B1152" s="39" t="s">
        <v>596</v>
      </c>
      <c r="C1152" s="40"/>
      <c r="D1152" s="42" t="s">
        <v>56</v>
      </c>
      <c r="E1152" s="38"/>
      <c r="F1152" s="43"/>
      <c r="G1152" s="63" t="s">
        <v>1593</v>
      </c>
      <c r="H1152" s="58" t="s">
        <v>1598</v>
      </c>
      <c r="I1152" s="38"/>
      <c r="J1152" s="38"/>
      <c r="K1152" s="46"/>
      <c r="L1152" s="47"/>
      <c r="M1152" s="342">
        <v>1.0578703703703703E-2</v>
      </c>
      <c r="N1152" s="342">
        <v>1.6898148148148148E-2</v>
      </c>
      <c r="O1152" s="307">
        <f t="shared" si="20"/>
        <v>6.3194444444444452E-3</v>
      </c>
      <c r="P1152" s="361">
        <v>43020</v>
      </c>
      <c r="Q1152" s="410" t="str">
        <f t="shared" ca="1" si="33"/>
        <v>https://www.youtube.com/embed/VFJFvcNogFU?start=914&amp;end=1460&amp;autoplay=1</v>
      </c>
      <c r="R1152" s="362" t="s">
        <v>63</v>
      </c>
      <c r="S1152" s="362" t="s">
        <v>63</v>
      </c>
      <c r="T1152" s="362" t="s">
        <v>63</v>
      </c>
      <c r="U1152" s="40"/>
      <c r="V1152" s="54"/>
      <c r="W1152" s="69" t="s">
        <v>64</v>
      </c>
      <c r="X1152" s="56"/>
      <c r="Y1152" s="38"/>
      <c r="Z1152" s="38"/>
    </row>
    <row r="1153" spans="1:26">
      <c r="A1153" s="42">
        <v>740.07</v>
      </c>
      <c r="B1153" s="39" t="s">
        <v>596</v>
      </c>
      <c r="C1153" s="40"/>
      <c r="D1153" s="42" t="s">
        <v>56</v>
      </c>
      <c r="E1153" s="38"/>
      <c r="F1153" s="38"/>
      <c r="G1153" s="42" t="s">
        <v>3006</v>
      </c>
      <c r="H1153" s="42" t="s">
        <v>1602</v>
      </c>
      <c r="I1153" s="38"/>
      <c r="J1153" s="38"/>
      <c r="K1153" s="38"/>
      <c r="L1153" s="38"/>
      <c r="M1153" s="342">
        <v>1.7141203703703704E-2</v>
      </c>
      <c r="N1153" s="342">
        <v>1.8263888888888889E-2</v>
      </c>
      <c r="O1153" s="307">
        <f t="shared" si="20"/>
        <v>1.1226851851851849E-3</v>
      </c>
      <c r="P1153" s="361">
        <v>43020</v>
      </c>
      <c r="Q1153" s="410" t="str">
        <f t="shared" ca="1" si="33"/>
        <v>https://www.youtube.com/embed/VFJFvcNogFU?start=1481&amp;end=1578&amp;autoplay=1</v>
      </c>
      <c r="R1153" s="362" t="s">
        <v>63</v>
      </c>
      <c r="S1153" s="362" t="s">
        <v>63</v>
      </c>
      <c r="T1153" s="362" t="s">
        <v>63</v>
      </c>
      <c r="U1153" s="40"/>
      <c r="V1153" s="54"/>
      <c r="W1153" s="69" t="s">
        <v>64</v>
      </c>
      <c r="X1153" s="56"/>
      <c r="Y1153" s="38"/>
      <c r="Z1153" s="38"/>
    </row>
    <row r="1154" spans="1:26">
      <c r="A1154" s="42">
        <v>740.08</v>
      </c>
      <c r="B1154" s="39" t="s">
        <v>596</v>
      </c>
      <c r="C1154" s="40"/>
      <c r="D1154" s="42" t="s">
        <v>56</v>
      </c>
      <c r="E1154" s="38"/>
      <c r="F1154" s="38"/>
      <c r="G1154" s="42" t="s">
        <v>1605</v>
      </c>
      <c r="H1154" s="42" t="s">
        <v>3007</v>
      </c>
      <c r="I1154" s="38"/>
      <c r="J1154" s="38"/>
      <c r="K1154" s="38"/>
      <c r="L1154" s="38"/>
      <c r="M1154" s="342">
        <v>1.8275462962962962E-2</v>
      </c>
      <c r="N1154" s="342">
        <v>2.074074074074074E-2</v>
      </c>
      <c r="O1154" s="307">
        <f t="shared" si="20"/>
        <v>2.465277777777778E-3</v>
      </c>
      <c r="P1154" s="361">
        <v>43020</v>
      </c>
      <c r="Q1154" s="410" t="str">
        <f t="shared" ca="1" si="33"/>
        <v>https://www.youtube.com/embed/VFJFvcNogFU?start=1579&amp;end=1792&amp;autoplay=1</v>
      </c>
      <c r="R1154" s="362" t="s">
        <v>63</v>
      </c>
      <c r="S1154" s="362" t="s">
        <v>63</v>
      </c>
      <c r="T1154" s="362" t="s">
        <v>63</v>
      </c>
      <c r="U1154" s="40"/>
      <c r="V1154" s="54"/>
      <c r="W1154" s="69" t="s">
        <v>64</v>
      </c>
      <c r="X1154" s="56"/>
      <c r="Y1154" s="38"/>
      <c r="Z1154" s="38"/>
    </row>
    <row r="1155" spans="1:26">
      <c r="A1155" s="42">
        <v>740.09</v>
      </c>
      <c r="B1155" s="39" t="s">
        <v>596</v>
      </c>
      <c r="C1155" s="40"/>
      <c r="D1155" s="42" t="s">
        <v>56</v>
      </c>
      <c r="E1155" s="38"/>
      <c r="F1155" s="73"/>
      <c r="G1155" s="83" t="s">
        <v>3008</v>
      </c>
      <c r="H1155" s="83" t="s">
        <v>3009</v>
      </c>
      <c r="I1155" s="73"/>
      <c r="J1155" s="73"/>
      <c r="K1155" s="38"/>
      <c r="L1155" s="38"/>
      <c r="M1155" s="342">
        <v>2.0752314814814814E-2</v>
      </c>
      <c r="N1155" s="342">
        <v>2.3067129629629628E-2</v>
      </c>
      <c r="O1155" s="307">
        <f t="shared" si="20"/>
        <v>2.3148148148148147E-3</v>
      </c>
      <c r="P1155" s="361">
        <v>43020</v>
      </c>
      <c r="Q1155" s="410" t="str">
        <f t="shared" ref="Q1155:Q1217" ca="1" si="34">HYPERLINK(IF(INT(A1155)-A1155=0,E1155,REPLACE(INDIRECT("MasterList!e"&amp;INT(A1155)+1),25,8,"embed/")&amp;"?start="&amp;HOUR(M1155)*3600+MINUTE(M1155)*60+SECOND(M1155)&amp;"&amp;end="&amp;HOUR(N1155)*3600+MINUTE(N1155)*60+SECOND(N1155)&amp;"&amp;autoplay=1"))</f>
        <v>https://www.youtube.com/embed/VFJFvcNogFU?start=1793&amp;end=1993&amp;autoplay=1</v>
      </c>
      <c r="R1155" s="362" t="s">
        <v>63</v>
      </c>
      <c r="S1155" s="362" t="s">
        <v>63</v>
      </c>
      <c r="T1155" s="362" t="s">
        <v>63</v>
      </c>
      <c r="U1155" s="40"/>
      <c r="V1155" s="54"/>
      <c r="W1155" s="69" t="s">
        <v>64</v>
      </c>
      <c r="X1155" s="56"/>
      <c r="Y1155" s="38"/>
      <c r="Z1155" s="38"/>
    </row>
    <row r="1156" spans="1:26">
      <c r="A1156" s="85">
        <v>740.1</v>
      </c>
      <c r="B1156" s="39" t="s">
        <v>596</v>
      </c>
      <c r="C1156" s="40"/>
      <c r="D1156" s="42" t="s">
        <v>56</v>
      </c>
      <c r="E1156" s="38"/>
      <c r="F1156" s="73"/>
      <c r="G1156" s="83" t="s">
        <v>3010</v>
      </c>
      <c r="H1156" s="83" t="s">
        <v>3011</v>
      </c>
      <c r="I1156" s="73"/>
      <c r="J1156" s="73"/>
      <c r="K1156" s="46"/>
      <c r="L1156" s="47"/>
      <c r="M1156" s="342">
        <v>2.3078703703703702E-2</v>
      </c>
      <c r="N1156" s="342">
        <v>2.6956018518518518E-2</v>
      </c>
      <c r="O1156" s="307">
        <f t="shared" si="20"/>
        <v>3.8773148148148161E-3</v>
      </c>
      <c r="P1156" s="361">
        <v>43020</v>
      </c>
      <c r="Q1156" s="410" t="str">
        <f t="shared" ca="1" si="34"/>
        <v>https://www.youtube.com/embed/VFJFvcNogFU?start=1994&amp;end=2329&amp;autoplay=1</v>
      </c>
      <c r="R1156" s="362" t="s">
        <v>63</v>
      </c>
      <c r="S1156" s="362" t="s">
        <v>63</v>
      </c>
      <c r="T1156" s="362" t="s">
        <v>63</v>
      </c>
      <c r="U1156" s="40"/>
      <c r="V1156" s="54"/>
      <c r="W1156" s="69" t="s">
        <v>64</v>
      </c>
      <c r="X1156" s="56"/>
      <c r="Y1156" s="38"/>
      <c r="Z1156" s="38"/>
    </row>
    <row r="1157" spans="1:26">
      <c r="A1157" s="42">
        <v>740.11</v>
      </c>
      <c r="B1157" s="39" t="s">
        <v>596</v>
      </c>
      <c r="C1157" s="40"/>
      <c r="D1157" s="42" t="s">
        <v>56</v>
      </c>
      <c r="E1157" s="38"/>
      <c r="F1157" s="43"/>
      <c r="G1157" s="63" t="s">
        <v>1616</v>
      </c>
      <c r="H1157" s="58" t="s">
        <v>3012</v>
      </c>
      <c r="I1157" s="38"/>
      <c r="J1157" s="38"/>
      <c r="K1157" s="46"/>
      <c r="L1157" s="47"/>
      <c r="M1157" s="342">
        <v>2.6967592592592592E-2</v>
      </c>
      <c r="N1157" s="342">
        <v>2.8298611111111111E-2</v>
      </c>
      <c r="O1157" s="307">
        <f t="shared" si="20"/>
        <v>1.3310185185185196E-3</v>
      </c>
      <c r="P1157" s="361">
        <v>43020</v>
      </c>
      <c r="Q1157" s="410" t="str">
        <f t="shared" ca="1" si="34"/>
        <v>https://www.youtube.com/embed/VFJFvcNogFU?start=2330&amp;end=2445&amp;autoplay=1</v>
      </c>
      <c r="R1157" s="362" t="s">
        <v>63</v>
      </c>
      <c r="S1157" s="362" t="s">
        <v>63</v>
      </c>
      <c r="T1157" s="362" t="s">
        <v>63</v>
      </c>
      <c r="U1157" s="40"/>
      <c r="V1157" s="54"/>
      <c r="W1157" s="69" t="s">
        <v>64</v>
      </c>
      <c r="X1157" s="56"/>
      <c r="Y1157" s="38"/>
      <c r="Z1157" s="38"/>
    </row>
    <row r="1158" spans="1:26">
      <c r="A1158" s="42">
        <v>740.12</v>
      </c>
      <c r="B1158" s="39" t="s">
        <v>596</v>
      </c>
      <c r="C1158" s="40"/>
      <c r="D1158" s="42" t="s">
        <v>56</v>
      </c>
      <c r="E1158" s="38"/>
      <c r="F1158" s="43"/>
      <c r="G1158" s="63" t="s">
        <v>3013</v>
      </c>
      <c r="H1158" s="58" t="s">
        <v>3014</v>
      </c>
      <c r="I1158" s="38"/>
      <c r="J1158" s="38"/>
      <c r="K1158" s="46"/>
      <c r="L1158" s="47"/>
      <c r="M1158" s="342">
        <v>2.8310185185185185E-2</v>
      </c>
      <c r="N1158" s="342">
        <v>3.0439814814814815E-2</v>
      </c>
      <c r="O1158" s="307">
        <f t="shared" si="20"/>
        <v>2.1296296296296306E-3</v>
      </c>
      <c r="P1158" s="361">
        <v>43020</v>
      </c>
      <c r="Q1158" s="410" t="str">
        <f t="shared" ca="1" si="34"/>
        <v>https://www.youtube.com/embed/VFJFvcNogFU?start=2446&amp;end=2630&amp;autoplay=1</v>
      </c>
      <c r="R1158" s="39" t="s">
        <v>442</v>
      </c>
      <c r="S1158" s="39" t="s">
        <v>63</v>
      </c>
      <c r="T1158" s="39" t="s">
        <v>63</v>
      </c>
      <c r="U1158" s="40"/>
      <c r="V1158" s="54"/>
      <c r="W1158" s="69" t="s">
        <v>151</v>
      </c>
      <c r="X1158" s="56"/>
      <c r="Y1158" s="38"/>
      <c r="Z1158" s="38"/>
    </row>
    <row r="1159" spans="1:26">
      <c r="A1159" s="42">
        <v>740.13</v>
      </c>
      <c r="B1159" s="39" t="s">
        <v>596</v>
      </c>
      <c r="C1159" s="40"/>
      <c r="D1159" s="42" t="s">
        <v>56</v>
      </c>
      <c r="E1159" s="38"/>
      <c r="F1159" s="43"/>
      <c r="G1159" s="63" t="s">
        <v>3015</v>
      </c>
      <c r="H1159" s="58" t="s">
        <v>1625</v>
      </c>
      <c r="I1159" s="38"/>
      <c r="J1159" s="38"/>
      <c r="K1159" s="46"/>
      <c r="L1159" s="47"/>
      <c r="M1159" s="342">
        <v>3.0451388888888889E-2</v>
      </c>
      <c r="N1159" s="342">
        <v>3.2951388888888891E-2</v>
      </c>
      <c r="O1159" s="307">
        <f t="shared" si="20"/>
        <v>2.5000000000000022E-3</v>
      </c>
      <c r="P1159" s="361">
        <v>43020</v>
      </c>
      <c r="Q1159" s="410" t="str">
        <f t="shared" ca="1" si="34"/>
        <v>https://www.youtube.com/embed/VFJFvcNogFU?start=2631&amp;end=2847&amp;autoplay=1</v>
      </c>
      <c r="R1159" s="39" t="s">
        <v>442</v>
      </c>
      <c r="S1159" s="39" t="s">
        <v>63</v>
      </c>
      <c r="T1159" s="39" t="s">
        <v>63</v>
      </c>
      <c r="U1159" s="40"/>
      <c r="V1159" s="54"/>
      <c r="W1159" s="69" t="s">
        <v>151</v>
      </c>
      <c r="X1159" s="56"/>
      <c r="Y1159" s="38"/>
      <c r="Z1159" s="38"/>
    </row>
    <row r="1160" spans="1:26">
      <c r="A1160" s="42">
        <v>740.14</v>
      </c>
      <c r="B1160" s="39" t="s">
        <v>596</v>
      </c>
      <c r="C1160" s="40"/>
      <c r="D1160" s="42" t="s">
        <v>56</v>
      </c>
      <c r="E1160" s="38"/>
      <c r="F1160" s="43"/>
      <c r="G1160" s="63" t="s">
        <v>1629</v>
      </c>
      <c r="H1160" s="58" t="s">
        <v>3016</v>
      </c>
      <c r="I1160" s="38"/>
      <c r="J1160" s="38"/>
      <c r="K1160" s="46"/>
      <c r="L1160" s="47"/>
      <c r="M1160" s="342">
        <v>3.2986111111111112E-2</v>
      </c>
      <c r="N1160" s="342">
        <v>3.577546296296296E-2</v>
      </c>
      <c r="O1160" s="307">
        <f t="shared" si="20"/>
        <v>2.7893518518518484E-3</v>
      </c>
      <c r="P1160" s="361">
        <v>43020</v>
      </c>
      <c r="Q1160" s="410" t="str">
        <f t="shared" ca="1" si="34"/>
        <v>https://www.youtube.com/embed/VFJFvcNogFU?start=2850&amp;end=3091&amp;autoplay=1</v>
      </c>
      <c r="R1160" s="362" t="s">
        <v>63</v>
      </c>
      <c r="S1160" s="362" t="s">
        <v>63</v>
      </c>
      <c r="T1160" s="362" t="s">
        <v>63</v>
      </c>
      <c r="U1160" s="40"/>
      <c r="V1160" s="54"/>
      <c r="W1160" s="69" t="s">
        <v>64</v>
      </c>
      <c r="X1160" s="56"/>
      <c r="Y1160" s="38"/>
      <c r="Z1160" s="38"/>
    </row>
    <row r="1161" spans="1:26">
      <c r="A1161" s="42">
        <v>740.15</v>
      </c>
      <c r="B1161" s="39" t="s">
        <v>596</v>
      </c>
      <c r="C1161" s="40"/>
      <c r="D1161" s="42" t="s">
        <v>56</v>
      </c>
      <c r="E1161" s="38"/>
      <c r="F1161" s="43"/>
      <c r="G1161" s="63" t="s">
        <v>3017</v>
      </c>
      <c r="H1161" s="58" t="s">
        <v>3018</v>
      </c>
      <c r="I1161" s="38"/>
      <c r="J1161" s="38"/>
      <c r="K1161" s="46"/>
      <c r="L1161" s="47"/>
      <c r="M1161" s="342">
        <v>3.5798611111111114E-2</v>
      </c>
      <c r="N1161" s="342">
        <v>3.9305555555555559E-2</v>
      </c>
      <c r="O1161" s="307">
        <f t="shared" si="20"/>
        <v>3.5069444444444445E-3</v>
      </c>
      <c r="P1161" s="361">
        <v>43020</v>
      </c>
      <c r="Q1161" s="410" t="str">
        <f t="shared" ca="1" si="34"/>
        <v>https://www.youtube.com/embed/VFJFvcNogFU?start=3093&amp;end=3396&amp;autoplay=1</v>
      </c>
      <c r="R1161" s="362" t="s">
        <v>63</v>
      </c>
      <c r="S1161" s="362" t="s">
        <v>63</v>
      </c>
      <c r="T1161" s="362" t="s">
        <v>63</v>
      </c>
      <c r="U1161" s="40"/>
      <c r="V1161" s="54"/>
      <c r="W1161" s="69" t="s">
        <v>64</v>
      </c>
      <c r="X1161" s="56"/>
      <c r="Y1161" s="38"/>
      <c r="Z1161" s="38"/>
    </row>
    <row r="1162" spans="1:26">
      <c r="A1162" s="42">
        <v>740.16</v>
      </c>
      <c r="B1162" s="39" t="s">
        <v>596</v>
      </c>
      <c r="C1162" s="40"/>
      <c r="D1162" s="42" t="s">
        <v>56</v>
      </c>
      <c r="E1162" s="38"/>
      <c r="F1162" s="43"/>
      <c r="G1162" s="63" t="s">
        <v>3019</v>
      </c>
      <c r="H1162" s="58" t="s">
        <v>3020</v>
      </c>
      <c r="I1162" s="38"/>
      <c r="J1162" s="38"/>
      <c r="K1162" s="46"/>
      <c r="L1162" s="47"/>
      <c r="M1162" s="342">
        <v>3.9328703703703706E-2</v>
      </c>
      <c r="N1162" s="342">
        <v>4.5983796296296293E-2</v>
      </c>
      <c r="O1162" s="307">
        <f t="shared" si="20"/>
        <v>6.6550925925925875E-3</v>
      </c>
      <c r="P1162" s="361">
        <v>43020</v>
      </c>
      <c r="Q1162" s="410" t="str">
        <f t="shared" ca="1" si="34"/>
        <v>https://www.youtube.com/embed/VFJFvcNogFU?start=3398&amp;end=3973&amp;autoplay=1</v>
      </c>
      <c r="R1162" s="362" t="s">
        <v>63</v>
      </c>
      <c r="S1162" s="362" t="s">
        <v>63</v>
      </c>
      <c r="T1162" s="362" t="s">
        <v>63</v>
      </c>
      <c r="U1162" s="40"/>
      <c r="V1162" s="54"/>
      <c r="W1162" s="69" t="s">
        <v>64</v>
      </c>
      <c r="X1162" s="56"/>
      <c r="Y1162" s="38"/>
      <c r="Z1162" s="38"/>
    </row>
    <row r="1163" spans="1:26">
      <c r="A1163" s="42">
        <v>740.17</v>
      </c>
      <c r="B1163" s="39" t="s">
        <v>596</v>
      </c>
      <c r="C1163" s="40"/>
      <c r="D1163" s="42" t="s">
        <v>56</v>
      </c>
      <c r="E1163" s="38"/>
      <c r="F1163" s="43"/>
      <c r="G1163" s="63" t="s">
        <v>3021</v>
      </c>
      <c r="H1163" s="58" t="s">
        <v>3022</v>
      </c>
      <c r="I1163" s="38"/>
      <c r="J1163" s="38"/>
      <c r="K1163" s="46"/>
      <c r="L1163" s="47"/>
      <c r="M1163" s="342">
        <v>4.5995370370370367E-2</v>
      </c>
      <c r="N1163" s="342">
        <v>4.9039351851851855E-2</v>
      </c>
      <c r="O1163" s="307">
        <f t="shared" si="20"/>
        <v>3.0439814814814878E-3</v>
      </c>
      <c r="P1163" s="66">
        <v>43021</v>
      </c>
      <c r="Q1163" s="410" t="str">
        <f t="shared" ca="1" si="34"/>
        <v>https://www.youtube.com/embed/VFJFvcNogFU?start=3974&amp;end=4237&amp;autoplay=1</v>
      </c>
      <c r="R1163" s="362" t="s">
        <v>63</v>
      </c>
      <c r="S1163" s="362" t="s">
        <v>63</v>
      </c>
      <c r="T1163" s="362" t="s">
        <v>63</v>
      </c>
      <c r="U1163" s="40"/>
      <c r="V1163" s="54"/>
      <c r="W1163" s="69" t="s">
        <v>64</v>
      </c>
      <c r="X1163" s="56"/>
      <c r="Y1163" s="311"/>
      <c r="Z1163" s="311"/>
    </row>
    <row r="1164" spans="1:26">
      <c r="A1164" s="42">
        <v>740.18</v>
      </c>
      <c r="B1164" s="39" t="s">
        <v>596</v>
      </c>
      <c r="C1164" s="40"/>
      <c r="D1164" s="42" t="s">
        <v>56</v>
      </c>
      <c r="E1164" s="38"/>
      <c r="F1164" s="43"/>
      <c r="G1164" s="63" t="s">
        <v>3023</v>
      </c>
      <c r="H1164" s="58" t="s">
        <v>3024</v>
      </c>
      <c r="I1164" s="38"/>
      <c r="J1164" s="38"/>
      <c r="K1164" s="46"/>
      <c r="L1164" s="47"/>
      <c r="M1164" s="342">
        <v>4.9050925925925928E-2</v>
      </c>
      <c r="N1164" s="342">
        <v>6.2256944444444441E-2</v>
      </c>
      <c r="O1164" s="307">
        <f t="shared" si="20"/>
        <v>1.3206018518518513E-2</v>
      </c>
      <c r="P1164" s="66">
        <v>43023</v>
      </c>
      <c r="Q1164" s="410" t="str">
        <f t="shared" ca="1" si="34"/>
        <v>https://www.youtube.com/embed/VFJFvcNogFU?start=4238&amp;end=5379&amp;autoplay=1</v>
      </c>
      <c r="R1164" s="362" t="s">
        <v>63</v>
      </c>
      <c r="S1164" s="362" t="s">
        <v>63</v>
      </c>
      <c r="T1164" s="362" t="s">
        <v>63</v>
      </c>
      <c r="U1164" s="40"/>
      <c r="V1164" s="54"/>
      <c r="W1164" s="69" t="s">
        <v>64</v>
      </c>
      <c r="X1164" s="56"/>
      <c r="Y1164" s="311"/>
      <c r="Z1164" s="311"/>
    </row>
    <row r="1165" spans="1:26">
      <c r="A1165" s="83">
        <v>740.19</v>
      </c>
      <c r="B1165" s="39" t="s">
        <v>596</v>
      </c>
      <c r="C1165" s="40"/>
      <c r="D1165" s="42" t="s">
        <v>56</v>
      </c>
      <c r="E1165" s="308"/>
      <c r="F1165" s="308"/>
      <c r="G1165" s="83" t="s">
        <v>3025</v>
      </c>
      <c r="H1165" s="83" t="s">
        <v>3026</v>
      </c>
      <c r="I1165" s="73"/>
      <c r="J1165" s="73"/>
      <c r="K1165" s="73"/>
      <c r="L1165" s="73"/>
      <c r="M1165" s="345">
        <v>6.2268518518518522E-2</v>
      </c>
      <c r="N1165" s="345">
        <v>6.7025462962962967E-2</v>
      </c>
      <c r="O1165" s="307">
        <f t="shared" si="20"/>
        <v>4.7569444444444456E-3</v>
      </c>
      <c r="P1165" s="361">
        <v>43023</v>
      </c>
      <c r="Q1165" s="410" t="str">
        <f t="shared" ca="1" si="34"/>
        <v>https://www.youtube.com/embed/VFJFvcNogFU?start=5380&amp;end=5791&amp;autoplay=1</v>
      </c>
      <c r="R1165" s="362" t="s">
        <v>63</v>
      </c>
      <c r="S1165" s="362" t="s">
        <v>63</v>
      </c>
      <c r="T1165" s="362" t="s">
        <v>63</v>
      </c>
      <c r="U1165" s="73"/>
      <c r="V1165" s="73"/>
      <c r="W1165" s="69" t="s">
        <v>64</v>
      </c>
      <c r="X1165" s="308"/>
      <c r="Y1165" s="308"/>
      <c r="Z1165" s="308"/>
    </row>
    <row r="1166" spans="1:26">
      <c r="A1166" s="368">
        <v>740.2</v>
      </c>
      <c r="B1166" s="39" t="s">
        <v>596</v>
      </c>
      <c r="C1166" s="40"/>
      <c r="D1166" s="42" t="s">
        <v>56</v>
      </c>
      <c r="E1166" s="308"/>
      <c r="F1166" s="308"/>
      <c r="G1166" s="83" t="s">
        <v>3027</v>
      </c>
      <c r="H1166" s="83" t="s">
        <v>3028</v>
      </c>
      <c r="I1166" s="73"/>
      <c r="J1166" s="73"/>
      <c r="K1166" s="73"/>
      <c r="L1166" s="73"/>
      <c r="M1166" s="345">
        <v>6.7037037037037034E-2</v>
      </c>
      <c r="N1166" s="345">
        <v>7.0300925925925919E-2</v>
      </c>
      <c r="O1166" s="307">
        <f t="shared" si="20"/>
        <v>3.2638888888888856E-3</v>
      </c>
      <c r="P1166" s="361">
        <v>43023</v>
      </c>
      <c r="Q1166" s="410" t="str">
        <f t="shared" ca="1" si="34"/>
        <v>https://www.youtube.com/embed/VFJFvcNogFU?start=5792&amp;end=6074&amp;autoplay=1</v>
      </c>
      <c r="R1166" s="362" t="s">
        <v>63</v>
      </c>
      <c r="S1166" s="362" t="s">
        <v>63</v>
      </c>
      <c r="T1166" s="362" t="s">
        <v>63</v>
      </c>
      <c r="U1166" s="73"/>
      <c r="V1166" s="73"/>
      <c r="W1166" s="69" t="s">
        <v>64</v>
      </c>
      <c r="X1166" s="308"/>
      <c r="Y1166" s="308"/>
      <c r="Z1166" s="308"/>
    </row>
    <row r="1167" spans="1:26" hidden="1">
      <c r="A1167" s="38">
        <v>741</v>
      </c>
      <c r="B1167" s="38"/>
      <c r="C1167" s="312"/>
      <c r="D1167" s="38"/>
      <c r="E1167" s="38" t="s">
        <v>2727</v>
      </c>
      <c r="F1167" s="43" t="s">
        <v>1563</v>
      </c>
      <c r="G1167" s="44"/>
      <c r="H1167" s="45"/>
      <c r="I1167" s="38"/>
      <c r="J1167" s="38">
        <f>9.4*1000</f>
        <v>9400</v>
      </c>
      <c r="K1167" s="371">
        <v>7.0520833333333324E-2</v>
      </c>
      <c r="L1167" s="47" t="s">
        <v>770</v>
      </c>
      <c r="M1167" s="372"/>
      <c r="N1167" s="372"/>
      <c r="O1167" s="307">
        <f t="shared" si="20"/>
        <v>0</v>
      </c>
      <c r="P1167" s="92"/>
      <c r="Q1167" s="410" t="str">
        <f t="shared" ca="1" si="34"/>
        <v>https://www.youtube.com/watch?v=JlEmX46IYNY</v>
      </c>
      <c r="R1167" s="50"/>
      <c r="S1167" s="50"/>
      <c r="T1167" s="50"/>
      <c r="U1167" s="52"/>
      <c r="V1167" s="53"/>
      <c r="W1167" s="60"/>
      <c r="X1167" s="56"/>
      <c r="Y1167" s="38"/>
      <c r="Z1167" s="38"/>
    </row>
    <row r="1168" spans="1:26" hidden="1">
      <c r="A1168" s="38">
        <v>742</v>
      </c>
      <c r="B1168" s="38"/>
      <c r="C1168" s="312"/>
      <c r="D1168" s="38"/>
      <c r="E1168" s="38" t="s">
        <v>2690</v>
      </c>
      <c r="F1168" s="43" t="s">
        <v>2691</v>
      </c>
      <c r="G1168" s="44"/>
      <c r="H1168" s="45"/>
      <c r="I1168" s="38"/>
      <c r="J1168" s="38">
        <f>18*1000</f>
        <v>18000</v>
      </c>
      <c r="K1168" s="371">
        <v>4.4467592592592593E-2</v>
      </c>
      <c r="L1168" s="47" t="s">
        <v>770</v>
      </c>
      <c r="M1168" s="372"/>
      <c r="N1168" s="372"/>
      <c r="O1168" s="307">
        <f t="shared" si="20"/>
        <v>0</v>
      </c>
      <c r="P1168" s="92"/>
      <c r="Q1168" s="410" t="str">
        <f t="shared" ca="1" si="34"/>
        <v>https://www.youtube.com/watch?v=SPD35eCSgDk</v>
      </c>
      <c r="R1168" s="50"/>
      <c r="S1168" s="50"/>
      <c r="T1168" s="50"/>
      <c r="U1168" s="52"/>
      <c r="V1168" s="53"/>
      <c r="W1168" s="60"/>
      <c r="X1168" s="56"/>
      <c r="Y1168" s="38"/>
      <c r="Z1168" s="38"/>
    </row>
    <row r="1169" spans="1:26" hidden="1">
      <c r="A1169" s="38">
        <v>743</v>
      </c>
      <c r="B1169" s="38"/>
      <c r="C1169" s="312"/>
      <c r="D1169" s="38"/>
      <c r="E1169" s="38" t="s">
        <v>2730</v>
      </c>
      <c r="F1169" s="43" t="s">
        <v>2731</v>
      </c>
      <c r="G1169" s="44"/>
      <c r="H1169" s="45"/>
      <c r="I1169" s="38"/>
      <c r="J1169" s="38">
        <f>10*1000</f>
        <v>10000</v>
      </c>
      <c r="K1169" s="371">
        <v>4.5474537037037042E-2</v>
      </c>
      <c r="L1169" s="47" t="s">
        <v>770</v>
      </c>
      <c r="M1169" s="372"/>
      <c r="N1169" s="372"/>
      <c r="O1169" s="307">
        <f t="shared" si="20"/>
        <v>0</v>
      </c>
      <c r="P1169" s="92"/>
      <c r="Q1169" s="410" t="str">
        <f t="shared" ca="1" si="34"/>
        <v>https://www.youtube.com/watch?v=sy6xQyjX7qg</v>
      </c>
      <c r="R1169" s="50"/>
      <c r="S1169" s="50"/>
      <c r="T1169" s="50"/>
      <c r="U1169" s="52"/>
      <c r="V1169" s="53"/>
      <c r="W1169" s="60"/>
      <c r="X1169" s="56"/>
      <c r="Y1169" s="38"/>
      <c r="Z1169" s="38"/>
    </row>
    <row r="1170" spans="1:26" hidden="1">
      <c r="A1170" s="38">
        <v>744</v>
      </c>
      <c r="B1170" s="38"/>
      <c r="C1170" s="312"/>
      <c r="D1170" s="38"/>
      <c r="E1170" s="38" t="s">
        <v>2127</v>
      </c>
      <c r="F1170" s="43" t="s">
        <v>2128</v>
      </c>
      <c r="G1170" s="44"/>
      <c r="H1170" s="45"/>
      <c r="I1170" s="38"/>
      <c r="J1170" s="38">
        <f>114*1000</f>
        <v>114000</v>
      </c>
      <c r="K1170" s="371">
        <v>4.2650462962962959E-2</v>
      </c>
      <c r="L1170" s="47" t="s">
        <v>2732</v>
      </c>
      <c r="M1170" s="372"/>
      <c r="N1170" s="372"/>
      <c r="O1170" s="307">
        <f t="shared" si="20"/>
        <v>0</v>
      </c>
      <c r="P1170" s="92"/>
      <c r="Q1170" s="410" t="str">
        <f t="shared" ca="1" si="34"/>
        <v>https://www.youtube.com/watch?v=xCLLCYBg7Zc</v>
      </c>
      <c r="R1170" s="50"/>
      <c r="S1170" s="50"/>
      <c r="T1170" s="50"/>
      <c r="U1170" s="52"/>
      <c r="V1170" s="53"/>
      <c r="W1170" s="60"/>
      <c r="X1170" s="56"/>
      <c r="Y1170" s="38"/>
      <c r="Z1170" s="38"/>
    </row>
    <row r="1171" spans="1:26" hidden="1">
      <c r="A1171" s="38">
        <v>745</v>
      </c>
      <c r="B1171" s="38"/>
      <c r="C1171" s="312"/>
      <c r="D1171" s="38"/>
      <c r="E1171" s="38" t="s">
        <v>2733</v>
      </c>
      <c r="F1171" s="43" t="s">
        <v>2734</v>
      </c>
      <c r="G1171" s="44"/>
      <c r="H1171" s="45"/>
      <c r="I1171" s="38"/>
      <c r="J1171" s="38">
        <f>27*1000</f>
        <v>27000</v>
      </c>
      <c r="K1171" s="371">
        <v>4.2083333333333334E-2</v>
      </c>
      <c r="L1171" s="47" t="s">
        <v>2732</v>
      </c>
      <c r="M1171" s="372"/>
      <c r="N1171" s="372"/>
      <c r="O1171" s="307">
        <f t="shared" si="20"/>
        <v>0</v>
      </c>
      <c r="P1171" s="92"/>
      <c r="Q1171" s="410" t="str">
        <f t="shared" ca="1" si="34"/>
        <v>https://www.youtube.com/watch?v=s4vjcCAXvVI</v>
      </c>
      <c r="R1171" s="50"/>
      <c r="S1171" s="50"/>
      <c r="T1171" s="50"/>
      <c r="U1171" s="52"/>
      <c r="V1171" s="53"/>
      <c r="W1171" s="60"/>
      <c r="X1171" s="56"/>
      <c r="Y1171" s="38"/>
      <c r="Z1171" s="38"/>
    </row>
    <row r="1172" spans="1:26" hidden="1">
      <c r="A1172" s="38">
        <v>746</v>
      </c>
      <c r="B1172" s="38"/>
      <c r="C1172" s="312"/>
      <c r="D1172" s="38"/>
      <c r="E1172" s="38" t="s">
        <v>2735</v>
      </c>
      <c r="F1172" s="43" t="s">
        <v>2736</v>
      </c>
      <c r="G1172" s="44"/>
      <c r="H1172" s="45"/>
      <c r="I1172" s="38"/>
      <c r="J1172" s="38">
        <f>17*1000</f>
        <v>17000</v>
      </c>
      <c r="K1172" s="371">
        <v>3.9560185185185184E-2</v>
      </c>
      <c r="L1172" s="47" t="s">
        <v>2732</v>
      </c>
      <c r="M1172" s="372"/>
      <c r="N1172" s="372"/>
      <c r="O1172" s="307">
        <f t="shared" si="20"/>
        <v>0</v>
      </c>
      <c r="P1172" s="92"/>
      <c r="Q1172" s="410" t="str">
        <f t="shared" ca="1" si="34"/>
        <v>https://www.youtube.com/watch?v=wfQX8QWcWgI</v>
      </c>
      <c r="R1172" s="50"/>
      <c r="S1172" s="50"/>
      <c r="T1172" s="50"/>
      <c r="U1172" s="52"/>
      <c r="V1172" s="53"/>
      <c r="W1172" s="60"/>
      <c r="X1172" s="56"/>
      <c r="Y1172" s="38"/>
      <c r="Z1172" s="38"/>
    </row>
    <row r="1173" spans="1:26" hidden="1">
      <c r="A1173" s="38">
        <v>747</v>
      </c>
      <c r="B1173" s="38"/>
      <c r="C1173" s="312"/>
      <c r="D1173" s="38"/>
      <c r="E1173" s="38" t="s">
        <v>2121</v>
      </c>
      <c r="F1173" s="43" t="s">
        <v>2122</v>
      </c>
      <c r="G1173" s="44"/>
      <c r="H1173" s="45"/>
      <c r="I1173" s="38"/>
      <c r="J1173" s="38">
        <f>24*1000</f>
        <v>24000</v>
      </c>
      <c r="K1173" s="371">
        <v>4.5462962962962962E-2</v>
      </c>
      <c r="L1173" s="47" t="s">
        <v>2732</v>
      </c>
      <c r="M1173" s="372"/>
      <c r="N1173" s="372"/>
      <c r="O1173" s="307">
        <f t="shared" si="20"/>
        <v>0</v>
      </c>
      <c r="P1173" s="92"/>
      <c r="Q1173" s="410" t="str">
        <f t="shared" ca="1" si="34"/>
        <v>https://www.youtube.com/watch?v=c50rfZlrNXU</v>
      </c>
      <c r="R1173" s="50"/>
      <c r="S1173" s="50"/>
      <c r="T1173" s="50"/>
      <c r="U1173" s="52"/>
      <c r="V1173" s="53"/>
      <c r="W1173" s="60"/>
      <c r="X1173" s="56"/>
      <c r="Y1173" s="38"/>
      <c r="Z1173" s="38"/>
    </row>
    <row r="1174" spans="1:26" hidden="1">
      <c r="A1174" s="38">
        <v>748</v>
      </c>
      <c r="B1174" s="38"/>
      <c r="C1174" s="312"/>
      <c r="D1174" s="38"/>
      <c r="E1174" s="38" t="s">
        <v>2737</v>
      </c>
      <c r="F1174" s="43" t="s">
        <v>2738</v>
      </c>
      <c r="G1174" s="44"/>
      <c r="H1174" s="45"/>
      <c r="I1174" s="38"/>
      <c r="J1174" s="38">
        <f>22*1000</f>
        <v>22000</v>
      </c>
      <c r="K1174" s="371">
        <v>3.2557870370370369E-2</v>
      </c>
      <c r="L1174" s="47" t="s">
        <v>2732</v>
      </c>
      <c r="M1174" s="372"/>
      <c r="N1174" s="372"/>
      <c r="O1174" s="307">
        <f t="shared" si="20"/>
        <v>0</v>
      </c>
      <c r="P1174" s="92"/>
      <c r="Q1174" s="410" t="str">
        <f t="shared" ca="1" si="34"/>
        <v>https://www.youtube.com/watch?v=Bx9ffGtMMxo</v>
      </c>
      <c r="R1174" s="50"/>
      <c r="S1174" s="50"/>
      <c r="T1174" s="50"/>
      <c r="U1174" s="52"/>
      <c r="V1174" s="53"/>
      <c r="W1174" s="60"/>
      <c r="X1174" s="56"/>
      <c r="Y1174" s="38"/>
      <c r="Z1174" s="38"/>
    </row>
    <row r="1175" spans="1:26" hidden="1">
      <c r="A1175" s="38">
        <v>749</v>
      </c>
      <c r="B1175" s="38"/>
      <c r="C1175" s="312"/>
      <c r="D1175" s="38"/>
      <c r="E1175" s="38" t="s">
        <v>2739</v>
      </c>
      <c r="F1175" s="43" t="s">
        <v>2740</v>
      </c>
      <c r="G1175" s="44"/>
      <c r="H1175" s="45"/>
      <c r="I1175" s="38"/>
      <c r="J1175" s="38">
        <f>27*1000</f>
        <v>27000</v>
      </c>
      <c r="K1175" s="371">
        <v>3.3379629629629634E-2</v>
      </c>
      <c r="L1175" s="47" t="s">
        <v>1525</v>
      </c>
      <c r="M1175" s="372"/>
      <c r="N1175" s="372"/>
      <c r="O1175" s="307">
        <f t="shared" si="20"/>
        <v>0</v>
      </c>
      <c r="P1175" s="92"/>
      <c r="Q1175" s="410" t="str">
        <f t="shared" ca="1" si="34"/>
        <v>https://www.youtube.com/watch?v=DL5cLBZou3I</v>
      </c>
      <c r="R1175" s="50"/>
      <c r="S1175" s="50"/>
      <c r="T1175" s="50"/>
      <c r="U1175" s="52"/>
      <c r="V1175" s="53"/>
      <c r="W1175" s="60"/>
      <c r="X1175" s="56"/>
      <c r="Y1175" s="38"/>
      <c r="Z1175" s="38"/>
    </row>
    <row r="1176" spans="1:26">
      <c r="A1176" s="38">
        <v>750</v>
      </c>
      <c r="B1176" s="39" t="s">
        <v>596</v>
      </c>
      <c r="C1176" s="40"/>
      <c r="D1176" s="42" t="s">
        <v>56</v>
      </c>
      <c r="E1176" s="38" t="s">
        <v>1523</v>
      </c>
      <c r="F1176" s="43" t="s">
        <v>1524</v>
      </c>
      <c r="G1176" s="44"/>
      <c r="H1176" s="45"/>
      <c r="I1176" s="38"/>
      <c r="J1176" s="38">
        <f>14*1000</f>
        <v>14000</v>
      </c>
      <c r="K1176" s="46">
        <v>4.2465277777777775E-2</v>
      </c>
      <c r="L1176" s="47" t="s">
        <v>1525</v>
      </c>
      <c r="M1176" s="307"/>
      <c r="N1176" s="307"/>
      <c r="O1176" s="307">
        <f t="shared" si="20"/>
        <v>0</v>
      </c>
      <c r="P1176" s="361">
        <v>43019</v>
      </c>
      <c r="Q1176" s="410" t="str">
        <f t="shared" ca="1" si="34"/>
        <v>https://www.youtube.com/watch?v=dHQ-HMVdPyE</v>
      </c>
      <c r="R1176" s="51"/>
      <c r="S1176" s="51"/>
      <c r="T1176" s="51"/>
      <c r="U1176" s="40"/>
      <c r="V1176" s="54"/>
      <c r="W1176" s="55"/>
      <c r="X1176" s="56"/>
      <c r="Y1176" s="311"/>
      <c r="Z1176" s="311"/>
    </row>
    <row r="1177" spans="1:26">
      <c r="A1177" s="83">
        <v>750.01</v>
      </c>
      <c r="B1177" s="39" t="s">
        <v>596</v>
      </c>
      <c r="C1177" s="40"/>
      <c r="D1177" s="42" t="s">
        <v>56</v>
      </c>
      <c r="E1177" s="308"/>
      <c r="F1177" s="83"/>
      <c r="G1177" s="83" t="s">
        <v>1528</v>
      </c>
      <c r="H1177" s="83" t="s">
        <v>3029</v>
      </c>
      <c r="I1177" s="73"/>
      <c r="J1177" s="73"/>
      <c r="K1177" s="73"/>
      <c r="L1177" s="73"/>
      <c r="M1177" s="345">
        <v>1.4699074074074074E-3</v>
      </c>
      <c r="N1177" s="345">
        <v>5.9837962962962961E-3</v>
      </c>
      <c r="O1177" s="307">
        <f t="shared" si="20"/>
        <v>4.5138888888888885E-3</v>
      </c>
      <c r="P1177" s="361">
        <v>43019</v>
      </c>
      <c r="Q1177" s="410" t="str">
        <f t="shared" ca="1" si="34"/>
        <v>https://www.youtube.com/embed/dHQ-HMVdPyE?start=127&amp;end=517&amp;autoplay=1</v>
      </c>
      <c r="R1177" s="362" t="s">
        <v>63</v>
      </c>
      <c r="S1177" s="362" t="s">
        <v>63</v>
      </c>
      <c r="T1177" s="362" t="s">
        <v>63</v>
      </c>
      <c r="U1177" s="73"/>
      <c r="V1177" s="73"/>
      <c r="W1177" s="83" t="s">
        <v>64</v>
      </c>
      <c r="X1177" s="308"/>
      <c r="Y1177" s="308"/>
      <c r="Z1177" s="308"/>
    </row>
    <row r="1178" spans="1:26">
      <c r="A1178" s="83">
        <v>750.02</v>
      </c>
      <c r="B1178" s="39" t="s">
        <v>596</v>
      </c>
      <c r="C1178" s="40"/>
      <c r="D1178" s="42" t="s">
        <v>56</v>
      </c>
      <c r="E1178" s="308"/>
      <c r="F1178" s="308"/>
      <c r="G1178" s="83" t="s">
        <v>3030</v>
      </c>
      <c r="H1178" s="83" t="s">
        <v>1534</v>
      </c>
      <c r="I1178" s="73"/>
      <c r="J1178" s="73"/>
      <c r="K1178" s="73"/>
      <c r="L1178" s="73"/>
      <c r="M1178" s="345">
        <v>5.9953703703703705E-3</v>
      </c>
      <c r="N1178" s="345">
        <v>1.074074074074074E-2</v>
      </c>
      <c r="O1178" s="307">
        <f t="shared" si="20"/>
        <v>4.7453703703703694E-3</v>
      </c>
      <c r="P1178" s="361">
        <v>43019</v>
      </c>
      <c r="Q1178" s="410" t="str">
        <f t="shared" ca="1" si="34"/>
        <v>https://www.youtube.com/embed/dHQ-HMVdPyE?start=518&amp;end=928&amp;autoplay=1</v>
      </c>
      <c r="R1178" s="362" t="s">
        <v>63</v>
      </c>
      <c r="S1178" s="362" t="s">
        <v>63</v>
      </c>
      <c r="T1178" s="362" t="s">
        <v>63</v>
      </c>
      <c r="U1178" s="73"/>
      <c r="V1178" s="73"/>
      <c r="W1178" s="83" t="s">
        <v>64</v>
      </c>
      <c r="X1178" s="308"/>
      <c r="Y1178" s="308"/>
      <c r="Z1178" s="308"/>
    </row>
    <row r="1179" spans="1:26">
      <c r="A1179" s="83">
        <v>750.03</v>
      </c>
      <c r="B1179" s="39" t="s">
        <v>596</v>
      </c>
      <c r="C1179" s="40"/>
      <c r="D1179" s="42" t="s">
        <v>56</v>
      </c>
      <c r="E1179" s="308"/>
      <c r="F1179" s="308"/>
      <c r="G1179" s="83" t="s">
        <v>1537</v>
      </c>
      <c r="H1179" s="83" t="s">
        <v>1538</v>
      </c>
      <c r="I1179" s="73"/>
      <c r="J1179" s="73"/>
      <c r="K1179" s="73"/>
      <c r="L1179" s="73"/>
      <c r="M1179" s="345">
        <v>1.0752314814814815E-2</v>
      </c>
      <c r="N1179" s="345">
        <v>1.3368055555555555E-2</v>
      </c>
      <c r="O1179" s="307">
        <f t="shared" si="20"/>
        <v>2.6157407407407397E-3</v>
      </c>
      <c r="P1179" s="361">
        <v>43019</v>
      </c>
      <c r="Q1179" s="410" t="str">
        <f t="shared" ca="1" si="34"/>
        <v>https://www.youtube.com/embed/dHQ-HMVdPyE?start=929&amp;end=1155&amp;autoplay=1</v>
      </c>
      <c r="R1179" s="362" t="s">
        <v>63</v>
      </c>
      <c r="S1179" s="362" t="s">
        <v>63</v>
      </c>
      <c r="T1179" s="362" t="s">
        <v>63</v>
      </c>
      <c r="U1179" s="73"/>
      <c r="V1179" s="73"/>
      <c r="W1179" s="83" t="s">
        <v>64</v>
      </c>
      <c r="X1179" s="308"/>
      <c r="Y1179" s="308"/>
      <c r="Z1179" s="308"/>
    </row>
    <row r="1180" spans="1:26">
      <c r="A1180" s="83">
        <v>750.04</v>
      </c>
      <c r="B1180" s="39" t="s">
        <v>596</v>
      </c>
      <c r="C1180" s="40"/>
      <c r="D1180" s="42" t="s">
        <v>56</v>
      </c>
      <c r="E1180" s="308"/>
      <c r="F1180" s="308"/>
      <c r="G1180" s="83" t="s">
        <v>1541</v>
      </c>
      <c r="H1180" s="83" t="s">
        <v>1542</v>
      </c>
      <c r="I1180" s="73"/>
      <c r="J1180" s="73"/>
      <c r="K1180" s="73"/>
      <c r="L1180" s="73"/>
      <c r="M1180" s="345">
        <v>1.337962962962963E-2</v>
      </c>
      <c r="N1180" s="345">
        <v>1.6828703703703703E-2</v>
      </c>
      <c r="O1180" s="307">
        <f t="shared" si="20"/>
        <v>3.4490740740740732E-3</v>
      </c>
      <c r="P1180" s="361">
        <v>43019</v>
      </c>
      <c r="Q1180" s="410" t="str">
        <f t="shared" ca="1" si="34"/>
        <v>https://www.youtube.com/embed/dHQ-HMVdPyE?start=1156&amp;end=1454&amp;autoplay=1</v>
      </c>
      <c r="R1180" s="362" t="s">
        <v>63</v>
      </c>
      <c r="S1180" s="362" t="s">
        <v>63</v>
      </c>
      <c r="T1180" s="362" t="s">
        <v>63</v>
      </c>
      <c r="U1180" s="73"/>
      <c r="V1180" s="73"/>
      <c r="W1180" s="83" t="s">
        <v>64</v>
      </c>
      <c r="X1180" s="308"/>
      <c r="Y1180" s="308"/>
      <c r="Z1180" s="308"/>
    </row>
    <row r="1181" spans="1:26">
      <c r="A1181" s="83">
        <v>750.05</v>
      </c>
      <c r="B1181" s="39" t="s">
        <v>596</v>
      </c>
      <c r="C1181" s="40"/>
      <c r="D1181" s="42" t="s">
        <v>56</v>
      </c>
      <c r="E1181" s="308"/>
      <c r="F1181" s="308"/>
      <c r="G1181" s="83" t="s">
        <v>3031</v>
      </c>
      <c r="H1181" s="83" t="s">
        <v>1544</v>
      </c>
      <c r="I1181" s="73"/>
      <c r="J1181" s="73"/>
      <c r="K1181" s="73"/>
      <c r="L1181" s="73"/>
      <c r="M1181" s="345">
        <v>1.6840277777777777E-2</v>
      </c>
      <c r="N1181" s="345">
        <v>2.0914351851851851E-2</v>
      </c>
      <c r="O1181" s="307">
        <f t="shared" si="20"/>
        <v>4.0740740740740737E-3</v>
      </c>
      <c r="P1181" s="361">
        <v>43019</v>
      </c>
      <c r="Q1181" s="410" t="str">
        <f t="shared" ca="1" si="34"/>
        <v>https://www.youtube.com/embed/dHQ-HMVdPyE?start=1455&amp;end=1807&amp;autoplay=1</v>
      </c>
      <c r="R1181" s="362" t="s">
        <v>63</v>
      </c>
      <c r="S1181" s="362" t="s">
        <v>63</v>
      </c>
      <c r="T1181" s="362" t="s">
        <v>63</v>
      </c>
      <c r="U1181" s="73"/>
      <c r="V1181" s="73"/>
      <c r="W1181" s="83" t="s">
        <v>64</v>
      </c>
      <c r="X1181" s="308"/>
      <c r="Y1181" s="308"/>
      <c r="Z1181" s="308"/>
    </row>
    <row r="1182" spans="1:26">
      <c r="A1182" s="83">
        <v>750.06</v>
      </c>
      <c r="B1182" s="39" t="s">
        <v>596</v>
      </c>
      <c r="C1182" s="40"/>
      <c r="D1182" s="42" t="s">
        <v>56</v>
      </c>
      <c r="E1182" s="308"/>
      <c r="F1182" s="308"/>
      <c r="G1182" s="83" t="s">
        <v>1547</v>
      </c>
      <c r="H1182" s="83" t="s">
        <v>3032</v>
      </c>
      <c r="I1182" s="73"/>
      <c r="J1182" s="73"/>
      <c r="K1182" s="73"/>
      <c r="L1182" s="73"/>
      <c r="M1182" s="345">
        <v>2.0925925925925924E-2</v>
      </c>
      <c r="N1182" s="345">
        <v>2.2916666666666665E-2</v>
      </c>
      <c r="O1182" s="307">
        <f t="shared" si="20"/>
        <v>1.9907407407407408E-3</v>
      </c>
      <c r="P1182" s="361">
        <v>43019</v>
      </c>
      <c r="Q1182" s="410" t="str">
        <f t="shared" ca="1" si="34"/>
        <v>https://www.youtube.com/embed/dHQ-HMVdPyE?start=1808&amp;end=1980&amp;autoplay=1</v>
      </c>
      <c r="R1182" s="362" t="s">
        <v>63</v>
      </c>
      <c r="S1182" s="362" t="s">
        <v>63</v>
      </c>
      <c r="T1182" s="362" t="s">
        <v>63</v>
      </c>
      <c r="U1182" s="73"/>
      <c r="V1182" s="73"/>
      <c r="W1182" s="83" t="s">
        <v>64</v>
      </c>
      <c r="X1182" s="308"/>
      <c r="Y1182" s="308"/>
      <c r="Z1182" s="308"/>
    </row>
    <row r="1183" spans="1:26">
      <c r="A1183" s="83">
        <v>750.07</v>
      </c>
      <c r="B1183" s="39" t="s">
        <v>596</v>
      </c>
      <c r="C1183" s="40"/>
      <c r="D1183" s="42" t="s">
        <v>56</v>
      </c>
      <c r="E1183" s="308"/>
      <c r="F1183" s="308"/>
      <c r="G1183" s="83" t="s">
        <v>1551</v>
      </c>
      <c r="H1183" s="83" t="s">
        <v>1552</v>
      </c>
      <c r="I1183" s="73"/>
      <c r="J1183" s="73"/>
      <c r="K1183" s="73"/>
      <c r="L1183" s="73"/>
      <c r="M1183" s="345">
        <v>2.2951388888888889E-2</v>
      </c>
      <c r="N1183" s="345">
        <v>2.8773148148148148E-2</v>
      </c>
      <c r="O1183" s="307">
        <f t="shared" si="20"/>
        <v>5.8217592592592592E-3</v>
      </c>
      <c r="P1183" s="361">
        <v>43019</v>
      </c>
      <c r="Q1183" s="410" t="str">
        <f t="shared" ca="1" si="34"/>
        <v>https://www.youtube.com/embed/dHQ-HMVdPyE?start=1983&amp;end=2486&amp;autoplay=1</v>
      </c>
      <c r="R1183" s="362" t="s">
        <v>63</v>
      </c>
      <c r="S1183" s="362" t="s">
        <v>63</v>
      </c>
      <c r="T1183" s="362" t="s">
        <v>63</v>
      </c>
      <c r="U1183" s="73"/>
      <c r="V1183" s="73"/>
      <c r="W1183" s="83" t="s">
        <v>64</v>
      </c>
      <c r="X1183" s="308"/>
      <c r="Y1183" s="308"/>
      <c r="Z1183" s="308"/>
    </row>
    <row r="1184" spans="1:26">
      <c r="A1184" s="83">
        <v>750.08</v>
      </c>
      <c r="B1184" s="39" t="s">
        <v>596</v>
      </c>
      <c r="C1184" s="40"/>
      <c r="D1184" s="42" t="s">
        <v>56</v>
      </c>
      <c r="E1184" s="308"/>
      <c r="F1184" s="308"/>
      <c r="G1184" s="83" t="s">
        <v>1556</v>
      </c>
      <c r="H1184" s="83" t="s">
        <v>3033</v>
      </c>
      <c r="I1184" s="73"/>
      <c r="J1184" s="73"/>
      <c r="K1184" s="73"/>
      <c r="L1184" s="73"/>
      <c r="M1184" s="345">
        <v>2.8807870370370369E-2</v>
      </c>
      <c r="N1184" s="345">
        <v>3.1203703703703702E-2</v>
      </c>
      <c r="O1184" s="307">
        <f t="shared" si="20"/>
        <v>2.3958333333333331E-3</v>
      </c>
      <c r="P1184" s="361">
        <v>43019</v>
      </c>
      <c r="Q1184" s="410" t="str">
        <f t="shared" ca="1" si="34"/>
        <v>https://www.youtube.com/embed/dHQ-HMVdPyE?start=2489&amp;end=2696&amp;autoplay=1</v>
      </c>
      <c r="R1184" s="362" t="s">
        <v>63</v>
      </c>
      <c r="S1184" s="362" t="s">
        <v>63</v>
      </c>
      <c r="T1184" s="362" t="s">
        <v>63</v>
      </c>
      <c r="U1184" s="73"/>
      <c r="V1184" s="73"/>
      <c r="W1184" s="83" t="s">
        <v>64</v>
      </c>
      <c r="X1184" s="308"/>
      <c r="Y1184" s="308"/>
      <c r="Z1184" s="308"/>
    </row>
    <row r="1185" spans="1:26">
      <c r="A1185" s="83">
        <v>750.09</v>
      </c>
      <c r="B1185" s="39" t="s">
        <v>596</v>
      </c>
      <c r="C1185" s="40"/>
      <c r="D1185" s="42" t="s">
        <v>56</v>
      </c>
      <c r="E1185" s="308"/>
      <c r="F1185" s="308"/>
      <c r="G1185" s="83" t="s">
        <v>1560</v>
      </c>
      <c r="H1185" s="83" t="s">
        <v>3034</v>
      </c>
      <c r="I1185" s="73"/>
      <c r="J1185" s="73"/>
      <c r="K1185" s="73"/>
      <c r="L1185" s="73"/>
      <c r="M1185" s="345">
        <v>3.1215277777777779E-2</v>
      </c>
      <c r="N1185" s="345">
        <v>4.2245370370370371E-2</v>
      </c>
      <c r="O1185" s="307">
        <f t="shared" si="20"/>
        <v>1.1030092592592591E-2</v>
      </c>
      <c r="P1185" s="361">
        <v>43019</v>
      </c>
      <c r="Q1185" s="410" t="str">
        <f t="shared" ca="1" si="34"/>
        <v>https://www.youtube.com/embed/dHQ-HMVdPyE?start=2697&amp;end=3650&amp;autoplay=1</v>
      </c>
      <c r="R1185" s="362" t="s">
        <v>63</v>
      </c>
      <c r="S1185" s="362" t="s">
        <v>63</v>
      </c>
      <c r="T1185" s="362" t="s">
        <v>63</v>
      </c>
      <c r="U1185" s="73"/>
      <c r="V1185" s="73"/>
      <c r="W1185" s="83" t="s">
        <v>64</v>
      </c>
      <c r="X1185" s="308"/>
      <c r="Y1185" s="308"/>
      <c r="Z1185" s="308"/>
    </row>
    <row r="1186" spans="1:26" hidden="1">
      <c r="A1186" s="38">
        <v>751</v>
      </c>
      <c r="B1186" s="38"/>
      <c r="C1186" s="312"/>
      <c r="D1186" s="38"/>
      <c r="E1186" s="38" t="s">
        <v>2261</v>
      </c>
      <c r="F1186" s="43" t="s">
        <v>2262</v>
      </c>
      <c r="G1186" s="44"/>
      <c r="H1186" s="45"/>
      <c r="I1186" s="38"/>
      <c r="J1186" s="38">
        <f>6.7*1000</f>
        <v>6700</v>
      </c>
      <c r="K1186" s="371">
        <v>8.1655092592592585E-2</v>
      </c>
      <c r="L1186" s="47" t="s">
        <v>1525</v>
      </c>
      <c r="M1186" s="372"/>
      <c r="N1186" s="372"/>
      <c r="O1186" s="307">
        <f t="shared" si="20"/>
        <v>0</v>
      </c>
      <c r="P1186" s="92"/>
      <c r="Q1186" s="410" t="str">
        <f t="shared" ca="1" si="34"/>
        <v>https://www.youtube.com/watch?v=GtSbmTRia5Y</v>
      </c>
      <c r="R1186" s="50"/>
      <c r="S1186" s="50"/>
      <c r="T1186" s="50"/>
      <c r="U1186" s="52"/>
      <c r="V1186" s="53"/>
      <c r="W1186" s="60"/>
      <c r="X1186" s="56"/>
      <c r="Y1186" s="38"/>
      <c r="Z1186" s="38"/>
    </row>
    <row r="1187" spans="1:26" hidden="1">
      <c r="A1187" s="38">
        <v>752</v>
      </c>
      <c r="B1187" s="38"/>
      <c r="C1187" s="312"/>
      <c r="D1187" s="38"/>
      <c r="E1187" s="38" t="s">
        <v>2741</v>
      </c>
      <c r="F1187" s="43" t="s">
        <v>2742</v>
      </c>
      <c r="G1187" s="44"/>
      <c r="H1187" s="45"/>
      <c r="I1187" s="38"/>
      <c r="J1187" s="38">
        <f>39*1000</f>
        <v>39000</v>
      </c>
      <c r="K1187" s="371">
        <v>2.6944444444444441E-2</v>
      </c>
      <c r="L1187" s="47" t="s">
        <v>1525</v>
      </c>
      <c r="M1187" s="372"/>
      <c r="N1187" s="372"/>
      <c r="O1187" s="307">
        <f t="shared" si="20"/>
        <v>0</v>
      </c>
      <c r="P1187" s="92"/>
      <c r="Q1187" s="410" t="str">
        <f t="shared" ca="1" si="34"/>
        <v>https://www.youtube.com/watch?v=dvcJI5yAd6M&amp;t=122s</v>
      </c>
      <c r="R1187" s="50"/>
      <c r="S1187" s="50"/>
      <c r="T1187" s="50"/>
      <c r="U1187" s="52"/>
      <c r="V1187" s="53"/>
      <c r="W1187" s="60"/>
      <c r="X1187" s="56"/>
      <c r="Y1187" s="38"/>
      <c r="Z1187" s="38"/>
    </row>
    <row r="1188" spans="1:26" hidden="1">
      <c r="A1188" s="38">
        <v>753</v>
      </c>
      <c r="B1188" s="38"/>
      <c r="C1188" s="312"/>
      <c r="D1188" s="38"/>
      <c r="E1188" s="38" t="s">
        <v>2119</v>
      </c>
      <c r="F1188" s="43" t="s">
        <v>2120</v>
      </c>
      <c r="G1188" s="44"/>
      <c r="H1188" s="45"/>
      <c r="I1188" s="38"/>
      <c r="J1188" s="38">
        <f>10*1000</f>
        <v>10000</v>
      </c>
      <c r="K1188" s="371">
        <v>4.3171296296296298E-2</v>
      </c>
      <c r="L1188" s="47" t="s">
        <v>1525</v>
      </c>
      <c r="M1188" s="372"/>
      <c r="N1188" s="372"/>
      <c r="O1188" s="307">
        <f t="shared" si="20"/>
        <v>0</v>
      </c>
      <c r="P1188" s="92"/>
      <c r="Q1188" s="410" t="str">
        <f t="shared" ca="1" si="34"/>
        <v>https://www.youtube.com/watch?v=ahKeSqFT0Nk</v>
      </c>
      <c r="R1188" s="50"/>
      <c r="S1188" s="50"/>
      <c r="T1188" s="50"/>
      <c r="U1188" s="52"/>
      <c r="V1188" s="53"/>
      <c r="W1188" s="60"/>
      <c r="X1188" s="56"/>
      <c r="Y1188" s="38"/>
      <c r="Z1188" s="38"/>
    </row>
    <row r="1189" spans="1:26" ht="16.5" customHeight="1">
      <c r="A1189" s="38">
        <v>754</v>
      </c>
      <c r="B1189" s="39" t="s">
        <v>54</v>
      </c>
      <c r="C1189" s="40"/>
      <c r="D1189" s="85" t="s">
        <v>56</v>
      </c>
      <c r="E1189" s="38" t="s">
        <v>708</v>
      </c>
      <c r="F1189" s="43" t="s">
        <v>709</v>
      </c>
      <c r="G1189" s="44"/>
      <c r="H1189" s="45"/>
      <c r="I1189" s="38"/>
      <c r="J1189" s="38">
        <f>22*1000</f>
        <v>22000</v>
      </c>
      <c r="K1189" s="46">
        <v>5.1331018518518519E-2</v>
      </c>
      <c r="L1189" s="47" t="s">
        <v>711</v>
      </c>
      <c r="M1189" s="48"/>
      <c r="N1189" s="48"/>
      <c r="O1189" s="48">
        <f t="shared" si="20"/>
        <v>0</v>
      </c>
      <c r="P1189" s="65">
        <v>43059</v>
      </c>
      <c r="Q1189" s="410" t="str">
        <f t="shared" ca="1" si="34"/>
        <v>https://www.youtube.com/watch?v=JB_lc00AWIE</v>
      </c>
      <c r="R1189" s="51"/>
      <c r="S1189" s="51"/>
      <c r="T1189" s="51"/>
      <c r="U1189" s="40"/>
      <c r="V1189" s="54"/>
      <c r="W1189" s="55"/>
      <c r="X1189" s="56"/>
      <c r="Y1189" s="88"/>
      <c r="Z1189" s="88"/>
    </row>
    <row r="1190" spans="1:26">
      <c r="A1190" s="42">
        <v>754.01</v>
      </c>
      <c r="B1190" s="39" t="s">
        <v>54</v>
      </c>
      <c r="C1190" s="40"/>
      <c r="D1190" s="85" t="s">
        <v>56</v>
      </c>
      <c r="E1190" s="38"/>
      <c r="F1190" s="43"/>
      <c r="G1190" s="63" t="s">
        <v>713</v>
      </c>
      <c r="H1190" s="45"/>
      <c r="I1190" s="38"/>
      <c r="J1190" s="38"/>
      <c r="K1190" s="46"/>
      <c r="L1190" s="47"/>
      <c r="M1190" s="64">
        <v>1.1574074074074073E-3</v>
      </c>
      <c r="N1190" s="64">
        <v>3.449074074074074E-3</v>
      </c>
      <c r="O1190" s="46">
        <f t="shared" si="20"/>
        <v>2.2916666666666667E-3</v>
      </c>
      <c r="P1190" s="65">
        <v>43059</v>
      </c>
      <c r="Q1190" s="410" t="str">
        <f t="shared" ca="1" si="34"/>
        <v>https://www.youtube.com/embed/JB_lc00AWIE?start=100&amp;end=298&amp;autoplay=1</v>
      </c>
      <c r="R1190" s="67" t="s">
        <v>63</v>
      </c>
      <c r="S1190" s="112" t="s">
        <v>63</v>
      </c>
      <c r="T1190" s="112" t="s">
        <v>63</v>
      </c>
      <c r="U1190" s="52"/>
      <c r="V1190" s="53"/>
      <c r="W1190" s="57" t="s">
        <v>64</v>
      </c>
      <c r="X1190" s="56"/>
      <c r="Y1190" s="38"/>
      <c r="Z1190" s="38"/>
    </row>
    <row r="1191" spans="1:26">
      <c r="A1191" s="42">
        <v>754.02</v>
      </c>
      <c r="B1191" s="39" t="s">
        <v>54</v>
      </c>
      <c r="C1191" s="40"/>
      <c r="D1191" s="85" t="s">
        <v>56</v>
      </c>
      <c r="E1191" s="38"/>
      <c r="F1191" s="43"/>
      <c r="G1191" s="63" t="s">
        <v>716</v>
      </c>
      <c r="H1191" s="45"/>
      <c r="I1191" s="38"/>
      <c r="J1191" s="38"/>
      <c r="K1191" s="46"/>
      <c r="L1191" s="47"/>
      <c r="M1191" s="64">
        <v>3.460648148148148E-3</v>
      </c>
      <c r="N1191" s="64">
        <v>8.3333333333333332E-3</v>
      </c>
      <c r="O1191" s="46">
        <f t="shared" si="20"/>
        <v>4.8726851851851848E-3</v>
      </c>
      <c r="P1191" s="65">
        <v>43059</v>
      </c>
      <c r="Q1191" s="410" t="str">
        <f t="shared" ca="1" si="34"/>
        <v>https://www.youtube.com/embed/JB_lc00AWIE?start=299&amp;end=720&amp;autoplay=1</v>
      </c>
      <c r="R1191" s="67" t="s">
        <v>63</v>
      </c>
      <c r="S1191" s="112" t="s">
        <v>63</v>
      </c>
      <c r="T1191" s="112" t="s">
        <v>63</v>
      </c>
      <c r="U1191" s="52"/>
      <c r="V1191" s="53"/>
      <c r="W1191" s="57" t="s">
        <v>64</v>
      </c>
      <c r="X1191" s="56"/>
      <c r="Y1191" s="38"/>
      <c r="Z1191" s="38"/>
    </row>
    <row r="1192" spans="1:26">
      <c r="A1192" s="42">
        <v>754.03</v>
      </c>
      <c r="B1192" s="39" t="s">
        <v>54</v>
      </c>
      <c r="C1192" s="40"/>
      <c r="D1192" s="85" t="s">
        <v>56</v>
      </c>
      <c r="E1192" s="38"/>
      <c r="F1192" s="43"/>
      <c r="G1192" s="146" t="s">
        <v>719</v>
      </c>
      <c r="H1192" s="45"/>
      <c r="I1192" s="38"/>
      <c r="J1192" s="38"/>
      <c r="K1192" s="46"/>
      <c r="L1192" s="47"/>
      <c r="M1192" s="64">
        <v>8.3564814814814821E-3</v>
      </c>
      <c r="N1192" s="64">
        <v>1.1087962962962963E-2</v>
      </c>
      <c r="O1192" s="46">
        <f t="shared" si="20"/>
        <v>2.7314814814814806E-3</v>
      </c>
      <c r="P1192" s="65">
        <v>43059</v>
      </c>
      <c r="Q1192" s="410" t="str">
        <f t="shared" ca="1" si="34"/>
        <v>https://www.youtube.com/embed/JB_lc00AWIE?start=722&amp;end=958&amp;autoplay=1</v>
      </c>
      <c r="R1192" s="67" t="s">
        <v>63</v>
      </c>
      <c r="S1192" s="112" t="s">
        <v>63</v>
      </c>
      <c r="T1192" s="112" t="s">
        <v>63</v>
      </c>
      <c r="U1192" s="52"/>
      <c r="V1192" s="53"/>
      <c r="W1192" s="57" t="s">
        <v>64</v>
      </c>
      <c r="X1192" s="56"/>
      <c r="Y1192" s="38"/>
      <c r="Z1192" s="38"/>
    </row>
    <row r="1193" spans="1:26">
      <c r="A1193" s="42">
        <v>754.04</v>
      </c>
      <c r="B1193" s="39" t="s">
        <v>54</v>
      </c>
      <c r="C1193" s="40"/>
      <c r="D1193" s="85" t="s">
        <v>56</v>
      </c>
      <c r="E1193" s="38"/>
      <c r="F1193" s="43"/>
      <c r="G1193" s="63" t="s">
        <v>722</v>
      </c>
      <c r="H1193" s="45"/>
      <c r="I1193" s="38"/>
      <c r="J1193" s="38"/>
      <c r="K1193" s="46"/>
      <c r="L1193" s="47"/>
      <c r="M1193" s="64">
        <v>1.1099537037037036E-2</v>
      </c>
      <c r="N1193" s="64">
        <v>1.4131944444444445E-2</v>
      </c>
      <c r="O1193" s="46">
        <f t="shared" si="20"/>
        <v>3.032407407407409E-3</v>
      </c>
      <c r="P1193" s="65">
        <v>43059</v>
      </c>
      <c r="Q1193" s="410" t="str">
        <f t="shared" ca="1" si="34"/>
        <v>https://www.youtube.com/embed/JB_lc00AWIE?start=959&amp;end=1221&amp;autoplay=1</v>
      </c>
      <c r="R1193" s="67" t="s">
        <v>63</v>
      </c>
      <c r="S1193" s="112" t="s">
        <v>63</v>
      </c>
      <c r="T1193" s="112" t="s">
        <v>63</v>
      </c>
      <c r="U1193" s="52"/>
      <c r="V1193" s="53"/>
      <c r="W1193" s="57" t="s">
        <v>64</v>
      </c>
      <c r="X1193" s="56"/>
      <c r="Y1193" s="38"/>
      <c r="Z1193" s="38"/>
    </row>
    <row r="1194" spans="1:26">
      <c r="A1194" s="42">
        <v>754.05</v>
      </c>
      <c r="B1194" s="39" t="s">
        <v>54</v>
      </c>
      <c r="C1194" s="40"/>
      <c r="D1194" s="85" t="s">
        <v>56</v>
      </c>
      <c r="E1194" s="38"/>
      <c r="F1194" s="43"/>
      <c r="G1194" s="63" t="s">
        <v>727</v>
      </c>
      <c r="H1194" s="45"/>
      <c r="I1194" s="38"/>
      <c r="J1194" s="38"/>
      <c r="K1194" s="46"/>
      <c r="L1194" s="47"/>
      <c r="M1194" s="64">
        <v>1.4143518518518519E-2</v>
      </c>
      <c r="N1194" s="64">
        <v>1.7291666666666667E-2</v>
      </c>
      <c r="O1194" s="46">
        <f t="shared" si="20"/>
        <v>3.1481481481481482E-3</v>
      </c>
      <c r="P1194" s="65">
        <v>43059</v>
      </c>
      <c r="Q1194" s="410" t="str">
        <f t="shared" ca="1" si="34"/>
        <v>https://www.youtube.com/embed/JB_lc00AWIE?start=1222&amp;end=1494&amp;autoplay=1</v>
      </c>
      <c r="R1194" s="67" t="s">
        <v>63</v>
      </c>
      <c r="S1194" s="112" t="s">
        <v>63</v>
      </c>
      <c r="T1194" s="112" t="s">
        <v>63</v>
      </c>
      <c r="U1194" s="52"/>
      <c r="V1194" s="53"/>
      <c r="W1194" s="57" t="s">
        <v>64</v>
      </c>
      <c r="X1194" s="56"/>
      <c r="Y1194" s="38"/>
      <c r="Z1194" s="38"/>
    </row>
    <row r="1195" spans="1:26">
      <c r="A1195" s="42">
        <v>754.06</v>
      </c>
      <c r="B1195" s="39" t="s">
        <v>54</v>
      </c>
      <c r="C1195" s="40"/>
      <c r="D1195" s="85" t="s">
        <v>56</v>
      </c>
      <c r="E1195" s="38"/>
      <c r="F1195" s="43"/>
      <c r="G1195" s="63" t="s">
        <v>729</v>
      </c>
      <c r="H1195" s="45"/>
      <c r="I1195" s="38"/>
      <c r="J1195" s="38"/>
      <c r="K1195" s="46"/>
      <c r="L1195" s="47"/>
      <c r="M1195" s="64">
        <v>1.7303240740740741E-2</v>
      </c>
      <c r="N1195" s="64">
        <v>1.9606481481481482E-2</v>
      </c>
      <c r="O1195" s="46">
        <f t="shared" si="20"/>
        <v>2.3032407407407411E-3</v>
      </c>
      <c r="P1195" s="65">
        <v>43059</v>
      </c>
      <c r="Q1195" s="410" t="str">
        <f t="shared" ca="1" si="34"/>
        <v>https://www.youtube.com/embed/JB_lc00AWIE?start=1495&amp;end=1694&amp;autoplay=1</v>
      </c>
      <c r="R1195" s="67" t="s">
        <v>63</v>
      </c>
      <c r="S1195" s="112" t="s">
        <v>63</v>
      </c>
      <c r="T1195" s="112" t="s">
        <v>63</v>
      </c>
      <c r="U1195" s="52"/>
      <c r="V1195" s="53"/>
      <c r="W1195" s="57" t="s">
        <v>64</v>
      </c>
      <c r="X1195" s="56"/>
      <c r="Y1195" s="38"/>
      <c r="Z1195" s="38"/>
    </row>
    <row r="1196" spans="1:26">
      <c r="A1196" s="42">
        <v>754.07</v>
      </c>
      <c r="B1196" s="39" t="s">
        <v>54</v>
      </c>
      <c r="C1196" s="40"/>
      <c r="D1196" s="85" t="s">
        <v>56</v>
      </c>
      <c r="E1196" s="38"/>
      <c r="F1196" s="43"/>
      <c r="G1196" s="63" t="s">
        <v>733</v>
      </c>
      <c r="H1196" s="45"/>
      <c r="I1196" s="38"/>
      <c r="J1196" s="38"/>
      <c r="K1196" s="46"/>
      <c r="L1196" s="47"/>
      <c r="M1196" s="64">
        <v>1.9618055555555555E-2</v>
      </c>
      <c r="N1196" s="64">
        <v>2.3333333333333334E-2</v>
      </c>
      <c r="O1196" s="46">
        <f t="shared" si="20"/>
        <v>3.7152777777777792E-3</v>
      </c>
      <c r="P1196" s="65">
        <v>43059</v>
      </c>
      <c r="Q1196" s="410" t="str">
        <f t="shared" ca="1" si="34"/>
        <v>https://www.youtube.com/embed/JB_lc00AWIE?start=1695&amp;end=2016&amp;autoplay=1</v>
      </c>
      <c r="R1196" s="67" t="s">
        <v>63</v>
      </c>
      <c r="S1196" s="112" t="s">
        <v>63</v>
      </c>
      <c r="T1196" s="112" t="s">
        <v>63</v>
      </c>
      <c r="U1196" s="52"/>
      <c r="V1196" s="53"/>
      <c r="W1196" s="57" t="s">
        <v>64</v>
      </c>
      <c r="X1196" s="56"/>
      <c r="Y1196" s="38"/>
      <c r="Z1196" s="38"/>
    </row>
    <row r="1197" spans="1:26">
      <c r="A1197" s="42">
        <v>754.08</v>
      </c>
      <c r="B1197" s="39" t="s">
        <v>54</v>
      </c>
      <c r="C1197" s="40"/>
      <c r="D1197" s="85" t="s">
        <v>56</v>
      </c>
      <c r="E1197" s="38"/>
      <c r="F1197" s="43"/>
      <c r="G1197" s="63" t="s">
        <v>738</v>
      </c>
      <c r="H1197" s="45"/>
      <c r="I1197" s="38"/>
      <c r="J1197" s="38"/>
      <c r="K1197" s="46"/>
      <c r="L1197" s="47"/>
      <c r="M1197" s="64">
        <v>2.3344907407407408E-2</v>
      </c>
      <c r="N1197" s="64">
        <v>2.9016203703703704E-2</v>
      </c>
      <c r="O1197" s="46">
        <f t="shared" si="20"/>
        <v>5.6712962962962958E-3</v>
      </c>
      <c r="P1197" s="65">
        <v>43059</v>
      </c>
      <c r="Q1197" s="410" t="str">
        <f t="shared" ca="1" si="34"/>
        <v>https://www.youtube.com/embed/JB_lc00AWIE?start=2017&amp;end=2507&amp;autoplay=1</v>
      </c>
      <c r="R1197" s="67" t="s">
        <v>63</v>
      </c>
      <c r="S1197" s="112" t="s">
        <v>63</v>
      </c>
      <c r="T1197" s="112" t="s">
        <v>63</v>
      </c>
      <c r="U1197" s="52"/>
      <c r="V1197" s="53"/>
      <c r="W1197" s="57" t="s">
        <v>64</v>
      </c>
      <c r="X1197" s="56"/>
      <c r="Y1197" s="38"/>
      <c r="Z1197" s="38"/>
    </row>
    <row r="1198" spans="1:26">
      <c r="A1198" s="42">
        <v>754.09</v>
      </c>
      <c r="B1198" s="39" t="s">
        <v>54</v>
      </c>
      <c r="C1198" s="40"/>
      <c r="D1198" s="85" t="s">
        <v>56</v>
      </c>
      <c r="E1198" s="38"/>
      <c r="F1198" s="43"/>
      <c r="G1198" s="63" t="s">
        <v>741</v>
      </c>
      <c r="H1198" s="45"/>
      <c r="I1198" s="38"/>
      <c r="J1198" s="38"/>
      <c r="K1198" s="46"/>
      <c r="L1198" s="47"/>
      <c r="M1198" s="64">
        <v>2.9027777777777777E-2</v>
      </c>
      <c r="N1198" s="64">
        <v>3.2407407407407406E-2</v>
      </c>
      <c r="O1198" s="46">
        <f t="shared" si="20"/>
        <v>3.3796296296296283E-3</v>
      </c>
      <c r="P1198" s="65">
        <v>43059</v>
      </c>
      <c r="Q1198" s="410" t="str">
        <f t="shared" ca="1" si="34"/>
        <v>https://www.youtube.com/embed/JB_lc00AWIE?start=2508&amp;end=2800&amp;autoplay=1</v>
      </c>
      <c r="R1198" s="67" t="s">
        <v>63</v>
      </c>
      <c r="S1198" s="112" t="s">
        <v>63</v>
      </c>
      <c r="T1198" s="112" t="s">
        <v>63</v>
      </c>
      <c r="U1198" s="52"/>
      <c r="V1198" s="53"/>
      <c r="W1198" s="57" t="s">
        <v>64</v>
      </c>
      <c r="X1198" s="56"/>
      <c r="Y1198" s="38"/>
      <c r="Z1198" s="38"/>
    </row>
    <row r="1199" spans="1:26">
      <c r="A1199" s="85">
        <v>754.1</v>
      </c>
      <c r="B1199" s="39" t="s">
        <v>54</v>
      </c>
      <c r="C1199" s="40"/>
      <c r="D1199" s="85" t="s">
        <v>56</v>
      </c>
      <c r="E1199" s="38"/>
      <c r="F1199" s="43"/>
      <c r="G1199" s="63" t="s">
        <v>745</v>
      </c>
      <c r="H1199" s="45"/>
      <c r="I1199" s="38"/>
      <c r="J1199" s="38"/>
      <c r="K1199" s="46"/>
      <c r="L1199" s="47"/>
      <c r="M1199" s="64">
        <v>3.2418981481481479E-2</v>
      </c>
      <c r="N1199" s="64">
        <v>3.4918981481481481E-2</v>
      </c>
      <c r="O1199" s="46">
        <f t="shared" ref="O1199:O1200" si="35">N1199-M1200</f>
        <v>-1.157407407407357E-5</v>
      </c>
      <c r="P1199" s="65">
        <v>43059</v>
      </c>
      <c r="Q1199" s="410" t="str">
        <f t="shared" ca="1" si="34"/>
        <v>https://www.youtube.com/embed/JB_lc00AWIE?start=2801&amp;end=3017&amp;autoplay=1</v>
      </c>
      <c r="R1199" s="67" t="s">
        <v>63</v>
      </c>
      <c r="S1199" s="112" t="s">
        <v>63</v>
      </c>
      <c r="T1199" s="112" t="s">
        <v>63</v>
      </c>
      <c r="U1199" s="52"/>
      <c r="V1199" s="53"/>
      <c r="W1199" s="57" t="s">
        <v>64</v>
      </c>
      <c r="X1199" s="56"/>
      <c r="Y1199" s="38"/>
      <c r="Z1199" s="38"/>
    </row>
    <row r="1200" spans="1:26">
      <c r="A1200" s="42">
        <v>754.11</v>
      </c>
      <c r="B1200" s="39" t="s">
        <v>54</v>
      </c>
      <c r="C1200" s="40"/>
      <c r="D1200" s="85" t="s">
        <v>56</v>
      </c>
      <c r="E1200" s="38"/>
      <c r="F1200" s="43"/>
      <c r="G1200" s="154" t="s">
        <v>751</v>
      </c>
      <c r="H1200" s="45"/>
      <c r="I1200" s="38"/>
      <c r="J1200" s="38"/>
      <c r="K1200" s="46"/>
      <c r="L1200" s="47"/>
      <c r="M1200" s="64">
        <v>3.4930555555555555E-2</v>
      </c>
      <c r="N1200" s="64">
        <v>3.8703703703703705E-2</v>
      </c>
      <c r="O1200" s="46">
        <f t="shared" si="35"/>
        <v>-3.4722222222220711E-5</v>
      </c>
      <c r="P1200" s="65">
        <v>43062</v>
      </c>
      <c r="Q1200" s="410" t="str">
        <f t="shared" ca="1" si="34"/>
        <v>https://www.youtube.com/embed/JB_lc00AWIE?start=3018&amp;end=3344&amp;autoplay=1</v>
      </c>
      <c r="R1200" s="67" t="s">
        <v>63</v>
      </c>
      <c r="S1200" s="112" t="s">
        <v>63</v>
      </c>
      <c r="T1200" s="112" t="s">
        <v>63</v>
      </c>
      <c r="U1200" s="52"/>
      <c r="V1200" s="53"/>
      <c r="W1200" s="57" t="s">
        <v>64</v>
      </c>
      <c r="X1200" s="56"/>
      <c r="Y1200" s="38"/>
      <c r="Z1200" s="38"/>
    </row>
    <row r="1201" spans="1:26">
      <c r="A1201" s="42">
        <v>754.12</v>
      </c>
      <c r="B1201" s="39" t="s">
        <v>54</v>
      </c>
      <c r="C1201" s="40"/>
      <c r="D1201" s="85" t="s">
        <v>56</v>
      </c>
      <c r="E1201" s="38"/>
      <c r="F1201" s="43"/>
      <c r="G1201" s="154" t="s">
        <v>757</v>
      </c>
      <c r="H1201" s="45"/>
      <c r="I1201" s="38"/>
      <c r="J1201" s="38"/>
      <c r="K1201" s="46"/>
      <c r="L1201" s="47"/>
      <c r="M1201" s="64">
        <v>3.8738425925925926E-2</v>
      </c>
      <c r="N1201" s="64">
        <v>4.2222222222222223E-2</v>
      </c>
      <c r="O1201" s="46">
        <f t="shared" ref="O1201:O1217" si="36">N1201-M1201</f>
        <v>3.4837962962962973E-3</v>
      </c>
      <c r="P1201" s="65">
        <v>43062</v>
      </c>
      <c r="Q1201" s="410" t="str">
        <f t="shared" ca="1" si="34"/>
        <v>https://www.youtube.com/embed/JB_lc00AWIE?start=3347&amp;end=3648&amp;autoplay=1</v>
      </c>
      <c r="R1201" s="67" t="s">
        <v>63</v>
      </c>
      <c r="S1201" s="112" t="s">
        <v>63</v>
      </c>
      <c r="T1201" s="112" t="s">
        <v>63</v>
      </c>
      <c r="U1201" s="52"/>
      <c r="V1201" s="53"/>
      <c r="W1201" s="57" t="s">
        <v>64</v>
      </c>
      <c r="X1201" s="56"/>
      <c r="Y1201" s="38"/>
      <c r="Z1201" s="38"/>
    </row>
    <row r="1202" spans="1:26">
      <c r="A1202" s="42">
        <v>754.13</v>
      </c>
      <c r="B1202" s="39" t="s">
        <v>54</v>
      </c>
      <c r="C1202" s="40"/>
      <c r="D1202" s="85" t="s">
        <v>56</v>
      </c>
      <c r="E1202" s="38"/>
      <c r="F1202" s="43"/>
      <c r="G1202" s="63" t="s">
        <v>763</v>
      </c>
      <c r="H1202" s="45"/>
      <c r="I1202" s="38"/>
      <c r="J1202" s="38"/>
      <c r="K1202" s="46"/>
      <c r="L1202" s="47"/>
      <c r="M1202" s="64">
        <v>4.7106481481481478E-2</v>
      </c>
      <c r="N1202" s="64">
        <v>5.1099537037037034E-2</v>
      </c>
      <c r="O1202" s="46">
        <f t="shared" si="36"/>
        <v>3.9930555555555552E-3</v>
      </c>
      <c r="P1202" s="65">
        <v>43062</v>
      </c>
      <c r="Q1202" s="410" t="str">
        <f t="shared" ca="1" si="34"/>
        <v>https://www.youtube.com/embed/JB_lc00AWIE?start=4070&amp;end=4415&amp;autoplay=1</v>
      </c>
      <c r="R1202" s="67" t="s">
        <v>63</v>
      </c>
      <c r="S1202" s="112" t="s">
        <v>63</v>
      </c>
      <c r="T1202" s="112" t="s">
        <v>63</v>
      </c>
      <c r="U1202" s="52"/>
      <c r="V1202" s="53"/>
      <c r="W1202" s="57" t="s">
        <v>64</v>
      </c>
      <c r="X1202" s="56"/>
      <c r="Y1202" s="38"/>
      <c r="Z1202" s="38"/>
    </row>
    <row r="1203" spans="1:26" hidden="1">
      <c r="A1203" s="38">
        <v>755</v>
      </c>
      <c r="B1203" s="38"/>
      <c r="C1203" s="312"/>
      <c r="D1203" s="38"/>
      <c r="E1203" s="38" t="s">
        <v>2130</v>
      </c>
      <c r="F1203" s="43" t="s">
        <v>2131</v>
      </c>
      <c r="G1203" s="44"/>
      <c r="H1203" s="45"/>
      <c r="I1203" s="38"/>
      <c r="J1203" s="38">
        <f>12*1000</f>
        <v>12000</v>
      </c>
      <c r="K1203" s="371">
        <v>6.8020833333333336E-2</v>
      </c>
      <c r="L1203" s="47" t="s">
        <v>2743</v>
      </c>
      <c r="M1203" s="372"/>
      <c r="N1203" s="372"/>
      <c r="O1203" s="307">
        <f t="shared" si="36"/>
        <v>0</v>
      </c>
      <c r="P1203" s="92"/>
      <c r="Q1203" s="410" t="str">
        <f t="shared" ca="1" si="34"/>
        <v>https://www.youtube.com/watch?v=9jjsiAFVdXc</v>
      </c>
      <c r="R1203" s="50"/>
      <c r="S1203" s="50"/>
      <c r="T1203" s="50"/>
      <c r="U1203" s="52"/>
      <c r="V1203" s="53"/>
      <c r="W1203" s="60"/>
      <c r="X1203" s="56"/>
      <c r="Y1203" s="38"/>
      <c r="Z1203" s="38"/>
    </row>
    <row r="1204" spans="1:26" hidden="1">
      <c r="A1204" s="38">
        <v>756</v>
      </c>
      <c r="B1204" s="38"/>
      <c r="C1204" s="312"/>
      <c r="D1204" s="38"/>
      <c r="E1204" s="38" t="s">
        <v>2135</v>
      </c>
      <c r="F1204" s="43" t="s">
        <v>2136</v>
      </c>
      <c r="G1204" s="44"/>
      <c r="H1204" s="45"/>
      <c r="I1204" s="38"/>
      <c r="J1204" s="38">
        <f>17*1000</f>
        <v>17000</v>
      </c>
      <c r="K1204" s="371">
        <v>3.3888888888888885E-2</v>
      </c>
      <c r="L1204" s="47" t="s">
        <v>2744</v>
      </c>
      <c r="M1204" s="372"/>
      <c r="N1204" s="372"/>
      <c r="O1204" s="307">
        <f t="shared" si="36"/>
        <v>0</v>
      </c>
      <c r="P1204" s="92"/>
      <c r="Q1204" s="410" t="str">
        <f t="shared" ca="1" si="34"/>
        <v>https://www.youtube.com/watch?v=9QSUsKZfoQA&amp;t=156s</v>
      </c>
      <c r="R1204" s="50"/>
      <c r="S1204" s="50"/>
      <c r="T1204" s="50"/>
      <c r="U1204" s="52"/>
      <c r="V1204" s="53"/>
      <c r="W1204" s="60"/>
      <c r="X1204" s="56"/>
      <c r="Y1204" s="38"/>
      <c r="Z1204" s="38"/>
    </row>
    <row r="1205" spans="1:26">
      <c r="A1205" s="38">
        <v>757</v>
      </c>
      <c r="B1205" s="42" t="s">
        <v>54</v>
      </c>
      <c r="C1205" s="312"/>
      <c r="D1205" s="42" t="s">
        <v>56</v>
      </c>
      <c r="E1205" s="38" t="s">
        <v>57</v>
      </c>
      <c r="F1205" s="43" t="s">
        <v>59</v>
      </c>
      <c r="G1205" s="44"/>
      <c r="H1205" s="45"/>
      <c r="I1205" s="38"/>
      <c r="J1205" s="38">
        <f>9.5*1000</f>
        <v>9500</v>
      </c>
      <c r="K1205" s="371">
        <v>5.0972222222222224E-2</v>
      </c>
      <c r="L1205" s="144" t="s">
        <v>62</v>
      </c>
      <c r="M1205" s="372"/>
      <c r="N1205" s="372"/>
      <c r="O1205" s="307">
        <f t="shared" si="36"/>
        <v>0</v>
      </c>
      <c r="P1205" s="66">
        <v>43007</v>
      </c>
      <c r="Q1205" s="410" t="str">
        <f t="shared" ca="1" si="34"/>
        <v>https://www.youtube.com/watch?v=79r5KYH0nBI</v>
      </c>
      <c r="R1205" s="50"/>
      <c r="S1205" s="50"/>
      <c r="T1205" s="50"/>
      <c r="U1205" s="52"/>
      <c r="V1205" s="53"/>
      <c r="W1205" s="57" t="s">
        <v>64</v>
      </c>
      <c r="X1205" s="56"/>
      <c r="Y1205" s="38"/>
      <c r="Z1205" s="38"/>
    </row>
    <row r="1206" spans="1:26">
      <c r="A1206" s="42">
        <v>757.01</v>
      </c>
      <c r="B1206" s="42" t="s">
        <v>54</v>
      </c>
      <c r="C1206" s="312"/>
      <c r="D1206" s="42" t="s">
        <v>56</v>
      </c>
      <c r="E1206" s="38"/>
      <c r="F1206" s="188"/>
      <c r="G1206" s="63" t="s">
        <v>68</v>
      </c>
      <c r="H1206" s="58" t="s">
        <v>69</v>
      </c>
      <c r="I1206" s="38"/>
      <c r="J1206" s="38"/>
      <c r="K1206" s="371"/>
      <c r="L1206" s="144"/>
      <c r="M1206" s="372">
        <v>6.134259259259259E-4</v>
      </c>
      <c r="N1206" s="372">
        <v>1.5740740740740741E-3</v>
      </c>
      <c r="O1206" s="307">
        <f t="shared" si="36"/>
        <v>9.6064814814814819E-4</v>
      </c>
      <c r="P1206" s="66">
        <v>43007</v>
      </c>
      <c r="Q1206" s="410" t="str">
        <f t="shared" ca="1" si="34"/>
        <v>https://www.youtube.com/embed/79r5KYH0nBI?start=53&amp;end=136&amp;autoplay=1</v>
      </c>
      <c r="R1206" s="39"/>
      <c r="S1206" s="39"/>
      <c r="T1206" s="39"/>
      <c r="U1206" s="40"/>
      <c r="V1206" s="54"/>
      <c r="W1206" s="69"/>
      <c r="X1206" s="71"/>
      <c r="Y1206" s="42"/>
      <c r="Z1206" s="42"/>
    </row>
    <row r="1207" spans="1:26">
      <c r="A1207" s="42">
        <v>757.02</v>
      </c>
      <c r="B1207" s="42" t="s">
        <v>54</v>
      </c>
      <c r="C1207" s="312"/>
      <c r="D1207" s="42" t="s">
        <v>56</v>
      </c>
      <c r="E1207" s="38"/>
      <c r="F1207" s="188"/>
      <c r="G1207" s="63" t="s">
        <v>72</v>
      </c>
      <c r="H1207" s="58" t="s">
        <v>73</v>
      </c>
      <c r="I1207" s="38"/>
      <c r="J1207" s="38"/>
      <c r="K1207" s="371"/>
      <c r="L1207" s="47"/>
      <c r="M1207" s="372">
        <v>2.8703703703703703E-3</v>
      </c>
      <c r="N1207" s="372">
        <v>4.6296296296296294E-3</v>
      </c>
      <c r="O1207" s="307">
        <f t="shared" si="36"/>
        <v>1.759259259259259E-3</v>
      </c>
      <c r="P1207" s="66">
        <v>43007</v>
      </c>
      <c r="Q1207" s="410" t="str">
        <f t="shared" ca="1" si="34"/>
        <v>https://www.youtube.com/embed/79r5KYH0nBI?start=248&amp;end=400&amp;autoplay=1</v>
      </c>
      <c r="R1207" s="67" t="s">
        <v>63</v>
      </c>
      <c r="S1207" s="67" t="s">
        <v>63</v>
      </c>
      <c r="T1207" s="67" t="s">
        <v>63</v>
      </c>
      <c r="U1207" s="52"/>
      <c r="V1207" s="53"/>
      <c r="W1207" s="60"/>
      <c r="X1207" s="71"/>
      <c r="Y1207" s="42"/>
      <c r="Z1207" s="42" t="s">
        <v>76</v>
      </c>
    </row>
    <row r="1208" spans="1:26">
      <c r="A1208" s="42">
        <v>757.03</v>
      </c>
      <c r="B1208" s="42" t="s">
        <v>54</v>
      </c>
      <c r="C1208" s="312"/>
      <c r="D1208" s="42" t="s">
        <v>56</v>
      </c>
      <c r="E1208" s="38"/>
      <c r="F1208" s="188"/>
      <c r="G1208" s="63" t="s">
        <v>77</v>
      </c>
      <c r="H1208" s="58" t="s">
        <v>78</v>
      </c>
      <c r="I1208" s="38"/>
      <c r="J1208" s="38"/>
      <c r="K1208" s="371"/>
      <c r="L1208" s="47"/>
      <c r="M1208" s="372">
        <v>4.7222222222222223E-3</v>
      </c>
      <c r="N1208" s="372">
        <v>5.7291666666666663E-3</v>
      </c>
      <c r="O1208" s="307">
        <f t="shared" si="36"/>
        <v>1.006944444444444E-3</v>
      </c>
      <c r="P1208" s="66">
        <v>43007</v>
      </c>
      <c r="Q1208" s="410" t="str">
        <f t="shared" ca="1" si="34"/>
        <v>https://www.youtube.com/embed/79r5KYH0nBI?start=408&amp;end=495&amp;autoplay=1</v>
      </c>
      <c r="R1208" s="67" t="s">
        <v>63</v>
      </c>
      <c r="S1208" s="67" t="s">
        <v>63</v>
      </c>
      <c r="T1208" s="67" t="s">
        <v>63</v>
      </c>
      <c r="U1208" s="52"/>
      <c r="V1208" s="53"/>
      <c r="W1208" s="60"/>
      <c r="X1208" s="71"/>
      <c r="Y1208" s="42"/>
      <c r="Z1208" s="42" t="s">
        <v>81</v>
      </c>
    </row>
    <row r="1209" spans="1:26">
      <c r="A1209" s="42">
        <v>757.04</v>
      </c>
      <c r="B1209" s="42" t="s">
        <v>54</v>
      </c>
      <c r="C1209" s="312"/>
      <c r="D1209" s="42" t="s">
        <v>56</v>
      </c>
      <c r="E1209" s="38"/>
      <c r="F1209" s="188"/>
      <c r="G1209" s="63" t="s">
        <v>82</v>
      </c>
      <c r="H1209" s="58" t="s">
        <v>83</v>
      </c>
      <c r="I1209" s="38"/>
      <c r="J1209" s="38"/>
      <c r="K1209" s="371"/>
      <c r="L1209" s="47"/>
      <c r="M1209" s="372">
        <v>5.9606481481481481E-3</v>
      </c>
      <c r="N1209" s="372">
        <v>9.2361111111111116E-3</v>
      </c>
      <c r="O1209" s="307">
        <f t="shared" si="36"/>
        <v>3.2754629629629635E-3</v>
      </c>
      <c r="P1209" s="66">
        <v>43007</v>
      </c>
      <c r="Q1209" s="410" t="str">
        <f t="shared" ca="1" si="34"/>
        <v>https://www.youtube.com/embed/79r5KYH0nBI?start=515&amp;end=798&amp;autoplay=1</v>
      </c>
      <c r="R1209" s="67" t="s">
        <v>63</v>
      </c>
      <c r="S1209" s="67" t="s">
        <v>63</v>
      </c>
      <c r="T1209" s="67" t="s">
        <v>63</v>
      </c>
      <c r="U1209" s="52"/>
      <c r="V1209" s="53"/>
      <c r="W1209" s="60"/>
      <c r="X1209" s="71"/>
      <c r="Y1209" s="42"/>
      <c r="Z1209" s="42" t="s">
        <v>86</v>
      </c>
    </row>
    <row r="1210" spans="1:26">
      <c r="A1210" s="42">
        <v>757.05</v>
      </c>
      <c r="B1210" s="42" t="s">
        <v>54</v>
      </c>
      <c r="C1210" s="312"/>
      <c r="D1210" s="42" t="s">
        <v>56</v>
      </c>
      <c r="E1210" s="38"/>
      <c r="F1210" s="58"/>
      <c r="G1210" s="58" t="s">
        <v>87</v>
      </c>
      <c r="H1210" s="58" t="s">
        <v>88</v>
      </c>
      <c r="I1210" s="38"/>
      <c r="J1210" s="38"/>
      <c r="K1210" s="371"/>
      <c r="L1210" s="47"/>
      <c r="M1210" s="372">
        <v>9.2361111111111116E-3</v>
      </c>
      <c r="N1210" s="372">
        <v>1.0416666666666666E-2</v>
      </c>
      <c r="O1210" s="307">
        <f t="shared" si="36"/>
        <v>1.1805555555555545E-3</v>
      </c>
      <c r="P1210" s="66">
        <v>43007</v>
      </c>
      <c r="Q1210" s="410" t="str">
        <f t="shared" ca="1" si="34"/>
        <v>https://www.youtube.com/embed/79r5KYH0nBI?start=798&amp;end=900&amp;autoplay=1</v>
      </c>
      <c r="R1210" s="67" t="s">
        <v>63</v>
      </c>
      <c r="S1210" s="67" t="s">
        <v>63</v>
      </c>
      <c r="T1210" s="67" t="s">
        <v>63</v>
      </c>
      <c r="U1210" s="52"/>
      <c r="V1210" s="53"/>
      <c r="W1210" s="60"/>
      <c r="X1210" s="71"/>
      <c r="Y1210" s="42"/>
      <c r="Z1210" s="42" t="s">
        <v>89</v>
      </c>
    </row>
    <row r="1211" spans="1:26">
      <c r="A1211" s="42">
        <v>757.06</v>
      </c>
      <c r="B1211" s="42" t="s">
        <v>54</v>
      </c>
      <c r="C1211" s="312"/>
      <c r="D1211" s="42" t="s">
        <v>56</v>
      </c>
      <c r="E1211" s="38"/>
      <c r="F1211" s="188"/>
      <c r="G1211" s="58" t="s">
        <v>92</v>
      </c>
      <c r="H1211" s="58" t="s">
        <v>93</v>
      </c>
      <c r="I1211" s="38"/>
      <c r="J1211" s="38"/>
      <c r="K1211" s="371"/>
      <c r="L1211" s="47"/>
      <c r="M1211" s="372">
        <v>1.0914351851851852E-2</v>
      </c>
      <c r="N1211" s="372">
        <v>1.361111111111111E-2</v>
      </c>
      <c r="O1211" s="307">
        <f t="shared" si="36"/>
        <v>2.6967592592592581E-3</v>
      </c>
      <c r="P1211" s="66">
        <v>43007</v>
      </c>
      <c r="Q1211" s="410" t="str">
        <f t="shared" ca="1" si="34"/>
        <v>https://www.youtube.com/embed/79r5KYH0nBI?start=943&amp;end=1176&amp;autoplay=1</v>
      </c>
      <c r="R1211" s="67" t="s">
        <v>63</v>
      </c>
      <c r="S1211" s="67" t="s">
        <v>63</v>
      </c>
      <c r="T1211" s="67" t="s">
        <v>63</v>
      </c>
      <c r="U1211" s="52"/>
      <c r="V1211" s="53"/>
      <c r="W1211" s="60"/>
      <c r="X1211" s="71"/>
      <c r="Y1211" s="42"/>
      <c r="Z1211" s="42" t="s">
        <v>94</v>
      </c>
    </row>
    <row r="1212" spans="1:26">
      <c r="A1212" s="42">
        <v>757.07</v>
      </c>
      <c r="B1212" s="42" t="s">
        <v>54</v>
      </c>
      <c r="C1212" s="312"/>
      <c r="D1212" s="42" t="s">
        <v>56</v>
      </c>
      <c r="E1212" s="38"/>
      <c r="F1212" s="188"/>
      <c r="G1212" s="63" t="s">
        <v>95</v>
      </c>
      <c r="H1212" s="45"/>
      <c r="I1212" s="38"/>
      <c r="J1212" s="38"/>
      <c r="K1212" s="371"/>
      <c r="L1212" s="47"/>
      <c r="M1212" s="372">
        <v>1.6006944444444445E-2</v>
      </c>
      <c r="N1212" s="372">
        <v>1.9351851851851853E-2</v>
      </c>
      <c r="O1212" s="307">
        <f t="shared" si="36"/>
        <v>3.3449074074074076E-3</v>
      </c>
      <c r="P1212" s="66">
        <v>43007</v>
      </c>
      <c r="Q1212" s="410" t="str">
        <f t="shared" ca="1" si="34"/>
        <v>https://www.youtube.com/embed/79r5KYH0nBI?start=1383&amp;end=1672&amp;autoplay=1</v>
      </c>
      <c r="R1212" s="67" t="s">
        <v>63</v>
      </c>
      <c r="S1212" s="67" t="s">
        <v>63</v>
      </c>
      <c r="T1212" s="67" t="s">
        <v>63</v>
      </c>
      <c r="U1212" s="52"/>
      <c r="V1212" s="53"/>
      <c r="W1212" s="60"/>
      <c r="X1212" s="71"/>
      <c r="Y1212" s="42"/>
      <c r="Z1212" s="42" t="s">
        <v>94</v>
      </c>
    </row>
    <row r="1213" spans="1:26">
      <c r="A1213" s="42">
        <v>757.08</v>
      </c>
      <c r="B1213" s="42" t="s">
        <v>54</v>
      </c>
      <c r="C1213" s="312"/>
      <c r="D1213" s="42" t="s">
        <v>56</v>
      </c>
      <c r="E1213" s="38"/>
      <c r="F1213" s="188"/>
      <c r="G1213" s="63" t="s">
        <v>98</v>
      </c>
      <c r="H1213" s="58" t="s">
        <v>99</v>
      </c>
      <c r="I1213" s="38"/>
      <c r="J1213" s="38"/>
      <c r="K1213" s="371"/>
      <c r="L1213" s="47"/>
      <c r="M1213" s="372">
        <v>2.0196759259259258E-2</v>
      </c>
      <c r="N1213" s="372">
        <v>2.329861111111111E-2</v>
      </c>
      <c r="O1213" s="307">
        <f t="shared" si="36"/>
        <v>3.1018518518518522E-3</v>
      </c>
      <c r="P1213" s="66">
        <v>43007</v>
      </c>
      <c r="Q1213" s="410" t="str">
        <f t="shared" ca="1" si="34"/>
        <v>https://www.youtube.com/embed/79r5KYH0nBI?start=1745&amp;end=2013&amp;autoplay=1</v>
      </c>
      <c r="R1213" s="67" t="s">
        <v>63</v>
      </c>
      <c r="S1213" s="67" t="s">
        <v>63</v>
      </c>
      <c r="T1213" s="67" t="s">
        <v>63</v>
      </c>
      <c r="U1213" s="52"/>
      <c r="V1213" s="53"/>
      <c r="W1213" s="60"/>
      <c r="X1213" s="71"/>
      <c r="Y1213" s="42"/>
      <c r="Z1213" s="42" t="s">
        <v>102</v>
      </c>
    </row>
    <row r="1214" spans="1:26">
      <c r="A1214" s="42">
        <v>757.09</v>
      </c>
      <c r="B1214" s="42" t="s">
        <v>54</v>
      </c>
      <c r="C1214" s="312"/>
      <c r="D1214" s="42" t="s">
        <v>56</v>
      </c>
      <c r="E1214" s="38"/>
      <c r="F1214" s="188"/>
      <c r="G1214" s="63" t="s">
        <v>103</v>
      </c>
      <c r="H1214" s="58" t="s">
        <v>104</v>
      </c>
      <c r="I1214" s="38"/>
      <c r="J1214" s="38"/>
      <c r="K1214" s="371"/>
      <c r="L1214" s="47"/>
      <c r="M1214" s="372">
        <v>2.4305555555555556E-2</v>
      </c>
      <c r="N1214" s="372">
        <v>2.6388888888888889E-2</v>
      </c>
      <c r="O1214" s="307">
        <f t="shared" si="36"/>
        <v>2.0833333333333329E-3</v>
      </c>
      <c r="P1214" s="66">
        <v>43007</v>
      </c>
      <c r="Q1214" s="410" t="str">
        <f t="shared" ca="1" si="34"/>
        <v>https://www.youtube.com/embed/79r5KYH0nBI?start=2100&amp;end=2280&amp;autoplay=1</v>
      </c>
      <c r="R1214" s="67" t="s">
        <v>63</v>
      </c>
      <c r="S1214" s="67" t="s">
        <v>63</v>
      </c>
      <c r="T1214" s="67" t="s">
        <v>63</v>
      </c>
      <c r="U1214" s="52"/>
      <c r="V1214" s="53"/>
      <c r="W1214" s="60"/>
      <c r="X1214" s="71"/>
      <c r="Y1214" s="42"/>
      <c r="Z1214" s="42" t="s">
        <v>107</v>
      </c>
    </row>
    <row r="1215" spans="1:26">
      <c r="A1215" s="85">
        <v>757.1</v>
      </c>
      <c r="B1215" s="42" t="s">
        <v>54</v>
      </c>
      <c r="C1215" s="312"/>
      <c r="D1215" s="42" t="s">
        <v>56</v>
      </c>
      <c r="E1215" s="38"/>
      <c r="F1215" s="188"/>
      <c r="G1215" s="42" t="s">
        <v>108</v>
      </c>
      <c r="H1215" s="45"/>
      <c r="I1215" s="38"/>
      <c r="J1215" s="38"/>
      <c r="K1215" s="371"/>
      <c r="L1215" s="47"/>
      <c r="M1215" s="372">
        <v>2.6412037037037036E-2</v>
      </c>
      <c r="N1215" s="372">
        <v>2.9085648148148149E-2</v>
      </c>
      <c r="O1215" s="307">
        <f t="shared" si="36"/>
        <v>2.6736111111111127E-3</v>
      </c>
      <c r="P1215" s="66">
        <v>43007</v>
      </c>
      <c r="Q1215" s="410" t="str">
        <f t="shared" ca="1" si="34"/>
        <v>https://www.youtube.com/embed/79r5KYH0nBI?start=2282&amp;end=2513&amp;autoplay=1</v>
      </c>
      <c r="R1215" s="67" t="s">
        <v>63</v>
      </c>
      <c r="S1215" s="67" t="s">
        <v>63</v>
      </c>
      <c r="T1215" s="67" t="s">
        <v>63</v>
      </c>
      <c r="U1215" s="52"/>
      <c r="V1215" s="53"/>
      <c r="W1215" s="60"/>
      <c r="X1215" s="373"/>
      <c r="Y1215" s="308"/>
      <c r="Z1215" s="308"/>
    </row>
    <row r="1216" spans="1:26">
      <c r="A1216" s="42">
        <v>757.11</v>
      </c>
      <c r="B1216" s="42" t="s">
        <v>54</v>
      </c>
      <c r="C1216" s="312"/>
      <c r="D1216" s="42" t="s">
        <v>56</v>
      </c>
      <c r="E1216" s="38"/>
      <c r="F1216" s="188"/>
      <c r="G1216" s="42" t="s">
        <v>111</v>
      </c>
      <c r="H1216" s="45"/>
      <c r="I1216" s="38"/>
      <c r="J1216" s="38"/>
      <c r="K1216" s="371"/>
      <c r="L1216" s="47"/>
      <c r="M1216" s="372">
        <v>2.9108796296296296E-2</v>
      </c>
      <c r="N1216" s="372">
        <v>3.1226851851851853E-2</v>
      </c>
      <c r="O1216" s="307">
        <f t="shared" si="36"/>
        <v>2.1180555555555571E-3</v>
      </c>
      <c r="P1216" s="66">
        <v>43007</v>
      </c>
      <c r="Q1216" s="410" t="str">
        <f t="shared" ca="1" si="34"/>
        <v>https://www.youtube.com/embed/79r5KYH0nBI?start=2515&amp;end=2698&amp;autoplay=1</v>
      </c>
      <c r="R1216" s="67" t="s">
        <v>63</v>
      </c>
      <c r="S1216" s="67" t="s">
        <v>63</v>
      </c>
      <c r="T1216" s="67" t="s">
        <v>63</v>
      </c>
      <c r="U1216" s="52"/>
      <c r="V1216" s="53"/>
      <c r="W1216" s="60"/>
      <c r="X1216" s="373"/>
      <c r="Y1216" s="308"/>
      <c r="Z1216" s="308"/>
    </row>
    <row r="1217" spans="1:26">
      <c r="A1217" s="85">
        <v>757.12</v>
      </c>
      <c r="B1217" s="42" t="s">
        <v>54</v>
      </c>
      <c r="C1217" s="312"/>
      <c r="D1217" s="42" t="s">
        <v>56</v>
      </c>
      <c r="E1217" s="38"/>
      <c r="F1217" s="188"/>
      <c r="G1217" s="42" t="s">
        <v>113</v>
      </c>
      <c r="H1217" s="58" t="s">
        <v>115</v>
      </c>
      <c r="I1217" s="38"/>
      <c r="J1217" s="38"/>
      <c r="K1217" s="371"/>
      <c r="L1217" s="47"/>
      <c r="M1217" s="307">
        <v>3.125E-2</v>
      </c>
      <c r="N1217" s="342">
        <v>3.30787037037037E-2</v>
      </c>
      <c r="O1217" s="307">
        <f t="shared" si="36"/>
        <v>1.8287037037037004E-3</v>
      </c>
      <c r="P1217" s="66">
        <v>43007</v>
      </c>
      <c r="Q1217" s="410" t="str">
        <f t="shared" ca="1" si="34"/>
        <v>https://www.youtube.com/embed/79r5KYH0nBI?start=2700&amp;end=2858&amp;autoplay=1</v>
      </c>
      <c r="R1217" s="67" t="s">
        <v>63</v>
      </c>
      <c r="S1217" s="67" t="s">
        <v>63</v>
      </c>
      <c r="T1217" s="67" t="s">
        <v>63</v>
      </c>
      <c r="U1217" s="52"/>
      <c r="V1217" s="53"/>
      <c r="W1217" s="60"/>
      <c r="X1217" s="373"/>
      <c r="Y1217" s="308"/>
      <c r="Z1217" s="308"/>
    </row>
    <row r="1218" spans="1:26">
      <c r="A1218" s="38"/>
      <c r="B1218" s="38"/>
      <c r="C1218" s="312"/>
      <c r="D1218" s="38"/>
      <c r="E1218" s="38"/>
      <c r="F1218" s="44"/>
      <c r="G1218" s="38"/>
      <c r="H1218" s="14"/>
      <c r="I1218" s="38"/>
      <c r="J1218" s="38"/>
      <c r="K1218" s="371"/>
      <c r="L1218" s="47"/>
      <c r="M1218" s="372"/>
      <c r="N1218" s="372"/>
      <c r="O1218" s="307"/>
      <c r="P1218" s="92"/>
      <c r="Q1218" s="14"/>
      <c r="R1218" s="50"/>
      <c r="S1218" s="50"/>
      <c r="T1218" s="50"/>
      <c r="U1218" s="52"/>
      <c r="V1218" s="53"/>
      <c r="W1218" s="60"/>
      <c r="X1218" s="56"/>
      <c r="Y1218" s="38"/>
      <c r="Z1218" s="38"/>
    </row>
    <row r="1219" spans="1:26">
      <c r="A1219" s="38"/>
      <c r="B1219" s="38"/>
      <c r="C1219" s="312"/>
      <c r="D1219" s="38"/>
      <c r="E1219" s="38"/>
      <c r="F1219" s="44"/>
      <c r="G1219" s="38"/>
      <c r="H1219" s="14"/>
      <c r="I1219" s="38"/>
      <c r="J1219" s="38"/>
      <c r="K1219" s="371"/>
      <c r="L1219" s="47"/>
      <c r="M1219" s="372"/>
      <c r="N1219" s="372"/>
      <c r="O1219" s="307"/>
      <c r="P1219" s="92"/>
      <c r="Q1219" s="14"/>
      <c r="R1219" s="50"/>
      <c r="S1219" s="50"/>
      <c r="T1219" s="50"/>
      <c r="U1219" s="52"/>
      <c r="V1219" s="53"/>
      <c r="W1219" s="60"/>
      <c r="X1219" s="56"/>
      <c r="Y1219" s="38"/>
      <c r="Z1219" s="38"/>
    </row>
    <row r="1220" spans="1:26">
      <c r="A1220" s="38"/>
      <c r="B1220" s="38"/>
      <c r="C1220" s="312"/>
      <c r="D1220" s="38"/>
      <c r="E1220" s="38"/>
      <c r="F1220" s="44"/>
      <c r="G1220" s="38"/>
      <c r="H1220" s="14"/>
      <c r="I1220" s="38"/>
      <c r="J1220" s="38"/>
      <c r="K1220" s="371"/>
      <c r="L1220" s="47"/>
      <c r="M1220" s="372"/>
      <c r="N1220" s="372"/>
      <c r="O1220" s="307"/>
      <c r="P1220" s="92"/>
      <c r="Q1220" s="14"/>
      <c r="R1220" s="50"/>
      <c r="S1220" s="50"/>
      <c r="T1220" s="50"/>
      <c r="U1220" s="52"/>
      <c r="V1220" s="53"/>
      <c r="W1220" s="60"/>
      <c r="X1220" s="56"/>
      <c r="Y1220" s="38"/>
      <c r="Z1220" s="38"/>
    </row>
    <row r="1221" spans="1:26">
      <c r="A1221" s="38"/>
      <c r="B1221" s="38"/>
      <c r="C1221" s="312"/>
      <c r="D1221" s="38"/>
      <c r="E1221" s="38"/>
      <c r="F1221" s="44"/>
      <c r="G1221" s="38"/>
      <c r="H1221" s="14"/>
      <c r="I1221" s="38"/>
      <c r="J1221" s="38"/>
      <c r="K1221" s="371"/>
      <c r="L1221" s="47"/>
      <c r="M1221" s="372"/>
      <c r="N1221" s="372"/>
      <c r="O1221" s="307"/>
      <c r="P1221" s="92"/>
      <c r="Q1221" s="14"/>
      <c r="R1221" s="50"/>
      <c r="S1221" s="50"/>
      <c r="T1221" s="50"/>
      <c r="U1221" s="52"/>
      <c r="V1221" s="53"/>
      <c r="W1221" s="60"/>
      <c r="X1221" s="56"/>
      <c r="Y1221" s="38"/>
      <c r="Z1221" s="38"/>
    </row>
    <row r="1222" spans="1:26">
      <c r="A1222" s="38"/>
      <c r="B1222" s="38"/>
      <c r="C1222" s="312"/>
      <c r="D1222" s="38"/>
      <c r="E1222" s="38"/>
      <c r="F1222" s="44"/>
      <c r="G1222" s="38"/>
      <c r="H1222" s="14"/>
      <c r="I1222" s="38"/>
      <c r="J1222" s="38"/>
      <c r="K1222" s="371"/>
      <c r="L1222" s="47"/>
      <c r="M1222" s="372"/>
      <c r="N1222" s="372"/>
      <c r="O1222" s="307"/>
      <c r="P1222" s="92"/>
      <c r="Q1222" s="14"/>
      <c r="R1222" s="50"/>
      <c r="S1222" s="50"/>
      <c r="T1222" s="50"/>
      <c r="U1222" s="52"/>
      <c r="V1222" s="53"/>
      <c r="W1222" s="60"/>
      <c r="X1222" s="56"/>
      <c r="Y1222" s="38"/>
      <c r="Z1222" s="38"/>
    </row>
    <row r="1223" spans="1:26">
      <c r="A1223" s="38"/>
      <c r="B1223" s="38"/>
      <c r="C1223" s="312"/>
      <c r="D1223" s="38"/>
      <c r="E1223" s="38"/>
      <c r="F1223" s="44"/>
      <c r="G1223" s="38"/>
      <c r="H1223" s="14"/>
      <c r="I1223" s="38"/>
      <c r="J1223" s="38"/>
      <c r="K1223" s="371"/>
      <c r="L1223" s="47"/>
      <c r="M1223" s="372"/>
      <c r="N1223" s="372"/>
      <c r="O1223" s="307"/>
      <c r="P1223" s="92"/>
      <c r="Q1223" s="14"/>
      <c r="R1223" s="50"/>
      <c r="S1223" s="50"/>
      <c r="T1223" s="50"/>
      <c r="U1223" s="52"/>
      <c r="V1223" s="53"/>
      <c r="W1223" s="60"/>
      <c r="X1223" s="56"/>
      <c r="Y1223" s="38"/>
      <c r="Z1223" s="38"/>
    </row>
    <row r="1224" spans="1:26">
      <c r="A1224" s="38"/>
      <c r="B1224" s="38"/>
      <c r="C1224" s="312"/>
      <c r="D1224" s="38"/>
      <c r="E1224" s="38"/>
      <c r="F1224" s="38"/>
      <c r="G1224" s="38"/>
      <c r="H1224" s="14"/>
      <c r="I1224" s="38"/>
      <c r="J1224" s="38"/>
      <c r="K1224" s="371"/>
      <c r="L1224" s="47"/>
      <c r="M1224" s="372"/>
      <c r="N1224" s="372"/>
      <c r="O1224" s="307"/>
      <c r="P1224" s="92"/>
      <c r="Q1224" s="14"/>
      <c r="R1224" s="50"/>
      <c r="S1224" s="50"/>
      <c r="T1224" s="50"/>
      <c r="U1224" s="52"/>
      <c r="V1224" s="53"/>
      <c r="W1224" s="60"/>
      <c r="X1224" s="56"/>
      <c r="Y1224" s="38"/>
      <c r="Z1224" s="38"/>
    </row>
    <row r="1225" spans="1:26">
      <c r="A1225" s="38"/>
      <c r="B1225" s="38"/>
      <c r="C1225" s="312"/>
      <c r="D1225" s="38"/>
      <c r="E1225" s="38"/>
      <c r="F1225" s="38"/>
      <c r="G1225" s="38"/>
      <c r="H1225" s="38"/>
      <c r="I1225" s="38"/>
      <c r="J1225" s="38"/>
      <c r="K1225" s="371"/>
      <c r="L1225" s="38"/>
      <c r="M1225" s="372"/>
      <c r="N1225" s="372"/>
      <c r="O1225" s="307"/>
      <c r="P1225" s="92"/>
      <c r="Q1225" s="14"/>
      <c r="R1225" s="50"/>
      <c r="S1225" s="50"/>
      <c r="T1225" s="50"/>
      <c r="U1225" s="52"/>
      <c r="V1225" s="53"/>
      <c r="W1225" s="60"/>
      <c r="X1225" s="56"/>
      <c r="Y1225" s="38"/>
      <c r="Z1225" s="38"/>
    </row>
    <row r="1226" spans="1:26">
      <c r="A1226" s="38"/>
      <c r="B1226" s="38"/>
      <c r="C1226" s="312"/>
      <c r="D1226" s="38"/>
      <c r="E1226" s="38"/>
      <c r="F1226" s="38"/>
      <c r="G1226" s="38"/>
      <c r="H1226" s="38"/>
      <c r="I1226" s="38"/>
      <c r="J1226" s="38"/>
      <c r="K1226" s="371"/>
      <c r="L1226" s="38"/>
      <c r="M1226" s="372"/>
      <c r="N1226" s="372"/>
      <c r="O1226" s="307"/>
      <c r="P1226" s="92"/>
      <c r="Q1226" s="14"/>
      <c r="R1226" s="50"/>
      <c r="S1226" s="50"/>
      <c r="T1226" s="50"/>
      <c r="U1226" s="52"/>
      <c r="V1226" s="53"/>
      <c r="W1226" s="60"/>
      <c r="X1226" s="56"/>
      <c r="Y1226" s="38"/>
      <c r="Z1226" s="38"/>
    </row>
    <row r="1227" spans="1:26">
      <c r="A1227" s="38"/>
      <c r="B1227" s="38"/>
      <c r="C1227" s="312"/>
      <c r="D1227" s="38"/>
      <c r="E1227" s="38"/>
      <c r="F1227" s="38"/>
      <c r="G1227" s="38"/>
      <c r="H1227" s="38"/>
      <c r="I1227" s="38"/>
      <c r="J1227" s="38"/>
      <c r="K1227" s="371"/>
      <c r="L1227" s="38"/>
      <c r="M1227" s="372"/>
      <c r="N1227" s="372"/>
      <c r="O1227" s="307"/>
      <c r="P1227" s="92"/>
      <c r="Q1227" s="14"/>
      <c r="R1227" s="50"/>
      <c r="S1227" s="50"/>
      <c r="T1227" s="50"/>
      <c r="U1227" s="52"/>
      <c r="V1227" s="53"/>
      <c r="W1227" s="60"/>
      <c r="X1227" s="56"/>
      <c r="Y1227" s="38"/>
      <c r="Z1227" s="38"/>
    </row>
    <row r="1228" spans="1:26">
      <c r="A1228" s="38"/>
      <c r="B1228" s="38"/>
      <c r="C1228" s="312"/>
      <c r="D1228" s="38"/>
      <c r="E1228" s="38"/>
      <c r="F1228" s="38"/>
      <c r="G1228" s="38"/>
      <c r="H1228" s="38"/>
      <c r="I1228" s="38"/>
      <c r="J1228" s="38"/>
      <c r="K1228" s="371"/>
      <c r="L1228" s="38"/>
      <c r="M1228" s="372"/>
      <c r="N1228" s="372"/>
      <c r="O1228" s="307"/>
      <c r="P1228" s="92"/>
      <c r="Q1228" s="14"/>
      <c r="R1228" s="50"/>
      <c r="S1228" s="50"/>
      <c r="T1228" s="50"/>
      <c r="U1228" s="52"/>
      <c r="V1228" s="53"/>
      <c r="W1228" s="60"/>
      <c r="X1228" s="56"/>
      <c r="Y1228" s="38"/>
      <c r="Z1228" s="38"/>
    </row>
    <row r="1229" spans="1:26">
      <c r="A1229" s="38"/>
      <c r="B1229" s="38"/>
      <c r="C1229" s="312"/>
      <c r="D1229" s="38"/>
      <c r="E1229" s="38"/>
      <c r="F1229" s="38"/>
      <c r="G1229" s="38"/>
      <c r="H1229" s="38"/>
      <c r="I1229" s="38"/>
      <c r="J1229" s="38"/>
      <c r="K1229" s="371"/>
      <c r="L1229" s="38"/>
      <c r="M1229" s="372"/>
      <c r="N1229" s="372"/>
      <c r="O1229" s="307"/>
      <c r="P1229" s="92"/>
      <c r="Q1229" s="14"/>
      <c r="R1229" s="50"/>
      <c r="S1229" s="50"/>
      <c r="T1229" s="50"/>
      <c r="U1229" s="52"/>
      <c r="V1229" s="53"/>
      <c r="W1229" s="60"/>
      <c r="X1229" s="56"/>
      <c r="Y1229" s="38"/>
      <c r="Z1229" s="38"/>
    </row>
    <row r="1230" spans="1:26">
      <c r="A1230" s="38"/>
      <c r="B1230" s="38"/>
      <c r="C1230" s="312"/>
      <c r="D1230" s="38"/>
      <c r="E1230" s="38"/>
      <c r="F1230" s="38"/>
      <c r="G1230" s="38"/>
      <c r="H1230" s="38"/>
      <c r="I1230" s="38"/>
      <c r="J1230" s="38"/>
      <c r="K1230" s="371"/>
      <c r="L1230" s="38"/>
      <c r="M1230" s="372"/>
      <c r="N1230" s="372"/>
      <c r="O1230" s="307"/>
      <c r="P1230" s="92"/>
      <c r="Q1230" s="14"/>
      <c r="R1230" s="50"/>
      <c r="S1230" s="50"/>
      <c r="T1230" s="50"/>
      <c r="U1230" s="52"/>
      <c r="V1230" s="53"/>
      <c r="W1230" s="60"/>
      <c r="X1230" s="56"/>
      <c r="Y1230" s="38"/>
      <c r="Z1230" s="38"/>
    </row>
    <row r="1231" spans="1:26">
      <c r="A1231" s="38"/>
      <c r="B1231" s="38"/>
      <c r="C1231" s="312"/>
      <c r="D1231" s="38"/>
      <c r="E1231" s="38"/>
      <c r="F1231" s="38"/>
      <c r="G1231" s="38"/>
      <c r="H1231" s="38"/>
      <c r="I1231" s="38"/>
      <c r="J1231" s="38"/>
      <c r="K1231" s="371"/>
      <c r="L1231" s="38"/>
      <c r="M1231" s="372"/>
      <c r="N1231" s="372"/>
      <c r="O1231" s="307"/>
      <c r="P1231" s="92"/>
      <c r="Q1231" s="14"/>
      <c r="R1231" s="50"/>
      <c r="S1231" s="50"/>
      <c r="T1231" s="50"/>
      <c r="U1231" s="52"/>
      <c r="V1231" s="53"/>
      <c r="W1231" s="60"/>
      <c r="X1231" s="56"/>
      <c r="Y1231" s="38"/>
      <c r="Z1231" s="38"/>
    </row>
    <row r="1232" spans="1:26">
      <c r="A1232" s="38"/>
      <c r="B1232" s="38"/>
      <c r="C1232" s="312"/>
      <c r="D1232" s="38"/>
      <c r="E1232" s="38"/>
      <c r="F1232" s="38"/>
      <c r="G1232" s="38"/>
      <c r="H1232" s="38"/>
      <c r="I1232" s="38"/>
      <c r="J1232" s="38"/>
      <c r="K1232" s="371"/>
      <c r="L1232" s="38"/>
      <c r="M1232" s="372"/>
      <c r="N1232" s="372"/>
      <c r="O1232" s="307"/>
      <c r="P1232" s="92"/>
      <c r="Q1232" s="14"/>
      <c r="R1232" s="50"/>
      <c r="S1232" s="50"/>
      <c r="T1232" s="50"/>
      <c r="U1232" s="52"/>
      <c r="V1232" s="53"/>
      <c r="W1232" s="60"/>
      <c r="X1232" s="56"/>
      <c r="Y1232" s="38"/>
      <c r="Z1232" s="38"/>
    </row>
    <row r="1233" spans="1:26">
      <c r="A1233" s="38"/>
      <c r="B1233" s="38"/>
      <c r="C1233" s="312"/>
      <c r="D1233" s="38"/>
      <c r="E1233" s="38"/>
      <c r="F1233" s="38"/>
      <c r="G1233" s="38"/>
      <c r="H1233" s="38"/>
      <c r="I1233" s="38"/>
      <c r="J1233" s="38"/>
      <c r="K1233" s="371"/>
      <c r="L1233" s="38"/>
      <c r="M1233" s="372"/>
      <c r="N1233" s="372"/>
      <c r="O1233" s="307"/>
      <c r="P1233" s="92"/>
      <c r="Q1233" s="14"/>
      <c r="R1233" s="50"/>
      <c r="S1233" s="50"/>
      <c r="T1233" s="50"/>
      <c r="U1233" s="52"/>
      <c r="V1233" s="53"/>
      <c r="W1233" s="60"/>
      <c r="X1233" s="56"/>
      <c r="Y1233" s="38"/>
      <c r="Z1233" s="38"/>
    </row>
    <row r="1234" spans="1:26">
      <c r="A1234" s="38"/>
      <c r="B1234" s="38"/>
      <c r="C1234" s="312"/>
      <c r="D1234" s="38"/>
      <c r="E1234" s="38"/>
      <c r="F1234" s="38"/>
      <c r="G1234" s="38"/>
      <c r="H1234" s="38"/>
      <c r="I1234" s="38"/>
      <c r="J1234" s="38"/>
      <c r="K1234" s="371"/>
      <c r="L1234" s="38"/>
      <c r="M1234" s="372"/>
      <c r="N1234" s="372"/>
      <c r="O1234" s="307"/>
      <c r="P1234" s="92"/>
      <c r="Q1234" s="14"/>
      <c r="R1234" s="50"/>
      <c r="S1234" s="50"/>
      <c r="T1234" s="50"/>
      <c r="U1234" s="52"/>
      <c r="V1234" s="53"/>
      <c r="W1234" s="60"/>
      <c r="X1234" s="56"/>
      <c r="Y1234" s="38"/>
      <c r="Z1234" s="38"/>
    </row>
    <row r="1235" spans="1:26">
      <c r="A1235" s="38"/>
      <c r="B1235" s="38"/>
      <c r="C1235" s="312"/>
      <c r="D1235" s="38"/>
      <c r="E1235" s="38"/>
      <c r="F1235" s="38"/>
      <c r="G1235" s="38"/>
      <c r="H1235" s="38"/>
      <c r="I1235" s="38"/>
      <c r="J1235" s="38"/>
      <c r="K1235" s="371"/>
      <c r="L1235" s="38"/>
      <c r="M1235" s="372"/>
      <c r="N1235" s="372"/>
      <c r="O1235" s="307"/>
      <c r="P1235" s="92"/>
      <c r="Q1235" s="14"/>
      <c r="R1235" s="50"/>
      <c r="S1235" s="50"/>
      <c r="T1235" s="50"/>
      <c r="U1235" s="52"/>
      <c r="V1235" s="53"/>
      <c r="W1235" s="60"/>
      <c r="X1235" s="56"/>
      <c r="Y1235" s="38"/>
      <c r="Z1235" s="38"/>
    </row>
    <row r="1236" spans="1:26">
      <c r="A1236" s="38"/>
      <c r="B1236" s="38"/>
      <c r="C1236" s="312"/>
      <c r="D1236" s="38"/>
      <c r="E1236" s="38"/>
      <c r="F1236" s="38"/>
      <c r="G1236" s="38"/>
      <c r="H1236" s="38"/>
      <c r="I1236" s="38"/>
      <c r="J1236" s="38"/>
      <c r="K1236" s="371"/>
      <c r="L1236" s="38"/>
      <c r="M1236" s="372"/>
      <c r="N1236" s="372"/>
      <c r="O1236" s="307"/>
      <c r="P1236" s="92"/>
      <c r="Q1236" s="14"/>
      <c r="R1236" s="50"/>
      <c r="S1236" s="50"/>
      <c r="T1236" s="50"/>
      <c r="U1236" s="52"/>
      <c r="V1236" s="53"/>
      <c r="W1236" s="60"/>
      <c r="X1236" s="56"/>
      <c r="Y1236" s="38"/>
      <c r="Z1236" s="38"/>
    </row>
    <row r="1237" spans="1:26">
      <c r="A1237" s="38"/>
      <c r="B1237" s="38"/>
      <c r="C1237" s="312"/>
      <c r="D1237" s="38"/>
      <c r="E1237" s="38"/>
      <c r="F1237" s="38"/>
      <c r="G1237" s="38"/>
      <c r="H1237" s="38"/>
      <c r="I1237" s="38"/>
      <c r="J1237" s="38"/>
      <c r="K1237" s="371"/>
      <c r="L1237" s="38"/>
      <c r="M1237" s="372"/>
      <c r="N1237" s="372"/>
      <c r="O1237" s="307"/>
      <c r="P1237" s="92"/>
      <c r="Q1237" s="14"/>
      <c r="R1237" s="50"/>
      <c r="S1237" s="50"/>
      <c r="T1237" s="50"/>
      <c r="U1237" s="52"/>
      <c r="V1237" s="53"/>
      <c r="W1237" s="60"/>
      <c r="X1237" s="56"/>
      <c r="Y1237" s="38"/>
      <c r="Z1237" s="38"/>
    </row>
    <row r="1238" spans="1:26">
      <c r="A1238" s="38"/>
      <c r="B1238" s="38"/>
      <c r="C1238" s="312"/>
      <c r="D1238" s="38"/>
      <c r="E1238" s="38"/>
      <c r="F1238" s="38"/>
      <c r="G1238" s="38"/>
      <c r="H1238" s="38"/>
      <c r="I1238" s="38"/>
      <c r="J1238" s="38"/>
      <c r="K1238" s="371"/>
      <c r="L1238" s="38"/>
      <c r="M1238" s="372"/>
      <c r="N1238" s="372"/>
      <c r="O1238" s="307"/>
      <c r="P1238" s="92"/>
      <c r="Q1238" s="14"/>
      <c r="R1238" s="50"/>
      <c r="S1238" s="50"/>
      <c r="T1238" s="50"/>
      <c r="U1238" s="52"/>
      <c r="V1238" s="53"/>
      <c r="W1238" s="60"/>
      <c r="X1238" s="56"/>
      <c r="Y1238" s="38"/>
      <c r="Z1238" s="38"/>
    </row>
    <row r="1239" spans="1:26">
      <c r="A1239" s="38"/>
      <c r="B1239" s="38"/>
      <c r="C1239" s="312"/>
      <c r="D1239" s="38"/>
      <c r="E1239" s="38"/>
      <c r="F1239" s="38"/>
      <c r="G1239" s="38"/>
      <c r="H1239" s="38"/>
      <c r="I1239" s="38"/>
      <c r="J1239" s="38"/>
      <c r="K1239" s="371"/>
      <c r="L1239" s="38"/>
      <c r="M1239" s="372"/>
      <c r="N1239" s="372"/>
      <c r="O1239" s="307"/>
      <c r="P1239" s="92"/>
      <c r="Q1239" s="14"/>
      <c r="R1239" s="50"/>
      <c r="S1239" s="50"/>
      <c r="T1239" s="50"/>
      <c r="U1239" s="52"/>
      <c r="V1239" s="53"/>
      <c r="W1239" s="60"/>
      <c r="X1239" s="56"/>
      <c r="Y1239" s="38"/>
      <c r="Z1239" s="38"/>
    </row>
    <row r="1240" spans="1:26">
      <c r="A1240" s="38"/>
      <c r="B1240" s="38"/>
      <c r="C1240" s="312"/>
      <c r="D1240" s="38"/>
      <c r="E1240" s="38"/>
      <c r="F1240" s="38"/>
      <c r="G1240" s="38"/>
      <c r="H1240" s="38"/>
      <c r="I1240" s="38"/>
      <c r="J1240" s="38"/>
      <c r="K1240" s="371"/>
      <c r="L1240" s="38"/>
      <c r="M1240" s="372"/>
      <c r="N1240" s="372"/>
      <c r="O1240" s="307"/>
      <c r="P1240" s="92"/>
      <c r="Q1240" s="14"/>
      <c r="R1240" s="50"/>
      <c r="S1240" s="50"/>
      <c r="T1240" s="50"/>
      <c r="U1240" s="52"/>
      <c r="V1240" s="53"/>
      <c r="W1240" s="60"/>
      <c r="X1240" s="56"/>
      <c r="Y1240" s="38"/>
      <c r="Z1240" s="38"/>
    </row>
    <row r="1241" spans="1:26">
      <c r="A1241" s="38"/>
      <c r="B1241" s="38"/>
      <c r="C1241" s="312"/>
      <c r="D1241" s="38"/>
      <c r="E1241" s="38"/>
      <c r="F1241" s="38"/>
      <c r="G1241" s="38"/>
      <c r="H1241" s="38"/>
      <c r="I1241" s="38"/>
      <c r="J1241" s="38"/>
      <c r="K1241" s="371"/>
      <c r="L1241" s="38"/>
      <c r="M1241" s="372"/>
      <c r="N1241" s="372"/>
      <c r="O1241" s="307"/>
      <c r="P1241" s="92"/>
      <c r="Q1241" s="14"/>
      <c r="R1241" s="50"/>
      <c r="S1241" s="50"/>
      <c r="T1241" s="50"/>
      <c r="U1241" s="52"/>
      <c r="V1241" s="53"/>
      <c r="W1241" s="60"/>
      <c r="X1241" s="56"/>
      <c r="Y1241" s="38"/>
      <c r="Z1241" s="38"/>
    </row>
    <row r="1242" spans="1:26">
      <c r="A1242" s="38"/>
      <c r="B1242" s="38"/>
      <c r="C1242" s="312"/>
      <c r="D1242" s="38"/>
      <c r="E1242" s="38"/>
      <c r="F1242" s="38"/>
      <c r="G1242" s="38"/>
      <c r="H1242" s="38"/>
      <c r="I1242" s="38"/>
      <c r="J1242" s="38"/>
      <c r="K1242" s="371"/>
      <c r="L1242" s="38"/>
      <c r="M1242" s="372"/>
      <c r="N1242" s="372"/>
      <c r="O1242" s="307"/>
      <c r="P1242" s="92"/>
      <c r="Q1242" s="14"/>
      <c r="R1242" s="50"/>
      <c r="S1242" s="50"/>
      <c r="T1242" s="50"/>
      <c r="U1242" s="52"/>
      <c r="V1242" s="53"/>
      <c r="W1242" s="60"/>
      <c r="X1242" s="56"/>
      <c r="Y1242" s="38"/>
      <c r="Z1242" s="38"/>
    </row>
    <row r="1243" spans="1:26">
      <c r="A1243" s="38"/>
      <c r="B1243" s="38"/>
      <c r="C1243" s="312"/>
      <c r="D1243" s="38"/>
      <c r="E1243" s="38"/>
      <c r="F1243" s="38"/>
      <c r="G1243" s="38"/>
      <c r="H1243" s="38"/>
      <c r="I1243" s="38"/>
      <c r="J1243" s="38"/>
      <c r="K1243" s="371"/>
      <c r="L1243" s="38"/>
      <c r="M1243" s="372"/>
      <c r="N1243" s="372"/>
      <c r="O1243" s="307"/>
      <c r="P1243" s="92"/>
      <c r="Q1243" s="14"/>
      <c r="R1243" s="50"/>
      <c r="S1243" s="50"/>
      <c r="T1243" s="50"/>
      <c r="U1243" s="52"/>
      <c r="V1243" s="53"/>
      <c r="W1243" s="60"/>
      <c r="X1243" s="56"/>
      <c r="Y1243" s="38"/>
      <c r="Z1243" s="38"/>
    </row>
    <row r="1244" spans="1:26">
      <c r="A1244" s="38"/>
      <c r="B1244" s="38"/>
      <c r="C1244" s="312"/>
      <c r="D1244" s="38"/>
      <c r="E1244" s="38"/>
      <c r="F1244" s="38"/>
      <c r="G1244" s="38"/>
      <c r="H1244" s="38"/>
      <c r="I1244" s="38"/>
      <c r="J1244" s="38"/>
      <c r="K1244" s="371"/>
      <c r="L1244" s="38"/>
      <c r="M1244" s="372"/>
      <c r="N1244" s="372"/>
      <c r="O1244" s="307"/>
      <c r="P1244" s="92"/>
      <c r="Q1244" s="14"/>
      <c r="R1244" s="50"/>
      <c r="S1244" s="50"/>
      <c r="T1244" s="50"/>
      <c r="U1244" s="52"/>
      <c r="V1244" s="53"/>
      <c r="W1244" s="60"/>
      <c r="X1244" s="56"/>
      <c r="Y1244" s="38"/>
      <c r="Z1244" s="38"/>
    </row>
    <row r="1245" spans="1:26">
      <c r="A1245" s="38"/>
      <c r="B1245" s="38"/>
      <c r="C1245" s="312"/>
      <c r="D1245" s="38"/>
      <c r="E1245" s="38"/>
      <c r="F1245" s="38"/>
      <c r="G1245" s="38"/>
      <c r="H1245" s="38"/>
      <c r="I1245" s="38"/>
      <c r="J1245" s="38"/>
      <c r="K1245" s="371"/>
      <c r="L1245" s="38"/>
      <c r="M1245" s="372"/>
      <c r="N1245" s="372"/>
      <c r="O1245" s="307"/>
      <c r="P1245" s="92"/>
      <c r="Q1245" s="14"/>
      <c r="R1245" s="50"/>
      <c r="S1245" s="50"/>
      <c r="T1245" s="50"/>
      <c r="U1245" s="52"/>
      <c r="V1245" s="53"/>
      <c r="W1245" s="60"/>
      <c r="X1245" s="56"/>
      <c r="Y1245" s="38"/>
      <c r="Z1245" s="38"/>
    </row>
    <row r="1246" spans="1:26">
      <c r="A1246" s="38"/>
      <c r="B1246" s="38"/>
      <c r="C1246" s="312"/>
      <c r="D1246" s="38"/>
      <c r="E1246" s="38"/>
      <c r="F1246" s="38"/>
      <c r="G1246" s="38"/>
      <c r="H1246" s="38"/>
      <c r="I1246" s="38"/>
      <c r="J1246" s="38"/>
      <c r="K1246" s="371"/>
      <c r="L1246" s="38"/>
      <c r="M1246" s="372"/>
      <c r="N1246" s="372"/>
      <c r="O1246" s="307"/>
      <c r="P1246" s="92"/>
      <c r="Q1246" s="14"/>
      <c r="R1246" s="50"/>
      <c r="S1246" s="50"/>
      <c r="T1246" s="50"/>
      <c r="U1246" s="52"/>
      <c r="V1246" s="53"/>
      <c r="W1246" s="60"/>
      <c r="X1246" s="56"/>
      <c r="Y1246" s="38"/>
      <c r="Z1246" s="38"/>
    </row>
    <row r="1247" spans="1:26">
      <c r="A1247" s="38"/>
      <c r="B1247" s="38"/>
      <c r="C1247" s="312"/>
      <c r="D1247" s="38"/>
      <c r="E1247" s="38"/>
      <c r="F1247" s="38"/>
      <c r="G1247" s="38"/>
      <c r="H1247" s="38"/>
      <c r="I1247" s="38"/>
      <c r="J1247" s="38"/>
      <c r="K1247" s="371"/>
      <c r="L1247" s="38"/>
      <c r="M1247" s="372"/>
      <c r="N1247" s="372"/>
      <c r="O1247" s="307"/>
      <c r="P1247" s="92"/>
      <c r="Q1247" s="14"/>
      <c r="R1247" s="50"/>
      <c r="S1247" s="50"/>
      <c r="T1247" s="50"/>
      <c r="U1247" s="52"/>
      <c r="V1247" s="53"/>
      <c r="W1247" s="60"/>
      <c r="X1247" s="56"/>
      <c r="Y1247" s="38"/>
      <c r="Z1247" s="38"/>
    </row>
    <row r="1248" spans="1:26">
      <c r="A1248" s="38"/>
      <c r="B1248" s="38"/>
      <c r="C1248" s="312"/>
      <c r="D1248" s="38"/>
      <c r="E1248" s="38"/>
      <c r="F1248" s="38"/>
      <c r="G1248" s="38"/>
      <c r="H1248" s="38"/>
      <c r="I1248" s="38"/>
      <c r="J1248" s="38"/>
      <c r="K1248" s="371"/>
      <c r="L1248" s="38"/>
      <c r="M1248" s="372"/>
      <c r="N1248" s="372"/>
      <c r="O1248" s="307"/>
      <c r="P1248" s="92"/>
      <c r="Q1248" s="14"/>
      <c r="R1248" s="50"/>
      <c r="S1248" s="50"/>
      <c r="T1248" s="50"/>
      <c r="U1248" s="52"/>
      <c r="V1248" s="53"/>
      <c r="W1248" s="60"/>
      <c r="X1248" s="56"/>
      <c r="Y1248" s="38"/>
      <c r="Z1248" s="38"/>
    </row>
    <row r="1249" spans="1:26">
      <c r="A1249" s="38"/>
      <c r="B1249" s="38"/>
      <c r="C1249" s="312"/>
      <c r="D1249" s="38"/>
      <c r="E1249" s="38"/>
      <c r="F1249" s="38"/>
      <c r="G1249" s="38"/>
      <c r="H1249" s="38"/>
      <c r="I1249" s="38"/>
      <c r="J1249" s="38"/>
      <c r="K1249" s="371"/>
      <c r="L1249" s="38"/>
      <c r="M1249" s="372"/>
      <c r="N1249" s="372"/>
      <c r="O1249" s="307"/>
      <c r="P1249" s="92"/>
      <c r="Q1249" s="14"/>
      <c r="R1249" s="50"/>
      <c r="S1249" s="50"/>
      <c r="T1249" s="50"/>
      <c r="U1249" s="52"/>
      <c r="V1249" s="53"/>
      <c r="W1249" s="60"/>
      <c r="X1249" s="56"/>
      <c r="Y1249" s="38"/>
      <c r="Z1249" s="38"/>
    </row>
    <row r="1250" spans="1:26">
      <c r="A1250" s="38"/>
      <c r="B1250" s="38"/>
      <c r="C1250" s="312"/>
      <c r="D1250" s="38"/>
      <c r="E1250" s="38"/>
      <c r="F1250" s="38"/>
      <c r="G1250" s="38"/>
      <c r="H1250" s="38"/>
      <c r="I1250" s="38"/>
      <c r="J1250" s="38"/>
      <c r="K1250" s="371"/>
      <c r="L1250" s="38"/>
      <c r="M1250" s="372"/>
      <c r="N1250" s="372"/>
      <c r="O1250" s="307"/>
      <c r="P1250" s="92"/>
      <c r="Q1250" s="14"/>
      <c r="R1250" s="50"/>
      <c r="S1250" s="50"/>
      <c r="T1250" s="50"/>
      <c r="U1250" s="52"/>
      <c r="V1250" s="53"/>
      <c r="W1250" s="60"/>
      <c r="X1250" s="56"/>
      <c r="Y1250" s="38"/>
      <c r="Z1250" s="38"/>
    </row>
    <row r="1251" spans="1:26">
      <c r="A1251" s="38"/>
      <c r="B1251" s="38"/>
      <c r="C1251" s="312"/>
      <c r="D1251" s="38"/>
      <c r="E1251" s="38"/>
      <c r="F1251" s="38"/>
      <c r="G1251" s="38"/>
      <c r="H1251" s="38"/>
      <c r="I1251" s="38"/>
      <c r="J1251" s="38"/>
      <c r="K1251" s="371"/>
      <c r="L1251" s="38"/>
      <c r="M1251" s="372"/>
      <c r="N1251" s="372"/>
      <c r="O1251" s="307"/>
      <c r="P1251" s="92"/>
      <c r="Q1251" s="14"/>
      <c r="R1251" s="50"/>
      <c r="S1251" s="50"/>
      <c r="T1251" s="50"/>
      <c r="U1251" s="52"/>
      <c r="V1251" s="53"/>
      <c r="W1251" s="60"/>
      <c r="X1251" s="56"/>
      <c r="Y1251" s="38"/>
      <c r="Z1251" s="38"/>
    </row>
    <row r="1252" spans="1:26">
      <c r="A1252" s="38"/>
      <c r="B1252" s="38"/>
      <c r="C1252" s="312"/>
      <c r="D1252" s="38"/>
      <c r="E1252" s="38"/>
      <c r="F1252" s="38"/>
      <c r="G1252" s="38"/>
      <c r="H1252" s="38"/>
      <c r="I1252" s="38"/>
      <c r="J1252" s="38"/>
      <c r="K1252" s="371"/>
      <c r="L1252" s="38"/>
      <c r="M1252" s="372"/>
      <c r="N1252" s="372"/>
      <c r="O1252" s="307"/>
      <c r="P1252" s="92"/>
      <c r="Q1252" s="14"/>
      <c r="R1252" s="50"/>
      <c r="S1252" s="50"/>
      <c r="T1252" s="50"/>
      <c r="U1252" s="52"/>
      <c r="V1252" s="53"/>
      <c r="W1252" s="60"/>
      <c r="X1252" s="56"/>
      <c r="Y1252" s="38"/>
      <c r="Z1252" s="38"/>
    </row>
    <row r="1253" spans="1:26">
      <c r="A1253" s="38"/>
      <c r="B1253" s="38"/>
      <c r="C1253" s="312"/>
      <c r="D1253" s="38"/>
      <c r="E1253" s="38"/>
      <c r="F1253" s="38"/>
      <c r="G1253" s="38"/>
      <c r="H1253" s="38"/>
      <c r="I1253" s="38"/>
      <c r="J1253" s="38"/>
      <c r="K1253" s="371"/>
      <c r="L1253" s="38"/>
      <c r="M1253" s="372"/>
      <c r="N1253" s="372"/>
      <c r="O1253" s="307"/>
      <c r="P1253" s="92"/>
      <c r="Q1253" s="14"/>
      <c r="R1253" s="50"/>
      <c r="S1253" s="50"/>
      <c r="T1253" s="50"/>
      <c r="U1253" s="52"/>
      <c r="V1253" s="53"/>
      <c r="W1253" s="60"/>
      <c r="X1253" s="56"/>
      <c r="Y1253" s="38"/>
      <c r="Z1253" s="38"/>
    </row>
    <row r="1254" spans="1:26">
      <c r="A1254" s="38"/>
      <c r="B1254" s="38"/>
      <c r="C1254" s="312"/>
      <c r="D1254" s="38"/>
      <c r="E1254" s="38"/>
      <c r="F1254" s="38"/>
      <c r="G1254" s="38"/>
      <c r="H1254" s="38"/>
      <c r="I1254" s="38"/>
      <c r="J1254" s="38"/>
      <c r="K1254" s="371"/>
      <c r="L1254" s="38"/>
      <c r="M1254" s="372"/>
      <c r="N1254" s="372"/>
      <c r="O1254" s="307"/>
      <c r="P1254" s="92"/>
      <c r="Q1254" s="14"/>
      <c r="R1254" s="50"/>
      <c r="S1254" s="50"/>
      <c r="T1254" s="50"/>
      <c r="U1254" s="52"/>
      <c r="V1254" s="53"/>
      <c r="W1254" s="60"/>
      <c r="X1254" s="56"/>
      <c r="Y1254" s="38"/>
      <c r="Z1254" s="38"/>
    </row>
    <row r="1255" spans="1:26">
      <c r="A1255" s="38"/>
      <c r="B1255" s="38"/>
      <c r="C1255" s="312"/>
      <c r="D1255" s="38"/>
      <c r="E1255" s="38"/>
      <c r="F1255" s="38"/>
      <c r="G1255" s="38"/>
      <c r="H1255" s="38"/>
      <c r="I1255" s="38"/>
      <c r="J1255" s="38"/>
      <c r="K1255" s="371"/>
      <c r="L1255" s="38"/>
      <c r="M1255" s="372"/>
      <c r="N1255" s="372"/>
      <c r="O1255" s="307"/>
      <c r="P1255" s="92"/>
      <c r="Q1255" s="14"/>
      <c r="R1255" s="50"/>
      <c r="S1255" s="50"/>
      <c r="T1255" s="50"/>
      <c r="U1255" s="52"/>
      <c r="V1255" s="53"/>
      <c r="W1255" s="60"/>
      <c r="X1255" s="56"/>
      <c r="Y1255" s="38"/>
      <c r="Z1255" s="38"/>
    </row>
    <row r="1256" spans="1:26">
      <c r="A1256" s="38"/>
      <c r="B1256" s="38"/>
      <c r="C1256" s="312"/>
      <c r="D1256" s="38"/>
      <c r="E1256" s="38"/>
      <c r="F1256" s="38"/>
      <c r="G1256" s="38"/>
      <c r="H1256" s="38"/>
      <c r="I1256" s="38"/>
      <c r="J1256" s="38"/>
      <c r="K1256" s="371"/>
      <c r="L1256" s="38"/>
      <c r="M1256" s="372"/>
      <c r="N1256" s="372"/>
      <c r="O1256" s="307"/>
      <c r="P1256" s="92"/>
      <c r="Q1256" s="14"/>
      <c r="R1256" s="50"/>
      <c r="S1256" s="50"/>
      <c r="T1256" s="50"/>
      <c r="U1256" s="52"/>
      <c r="V1256" s="53"/>
      <c r="W1256" s="60"/>
      <c r="X1256" s="56"/>
      <c r="Y1256" s="38"/>
      <c r="Z1256" s="38"/>
    </row>
    <row r="1257" spans="1:26">
      <c r="A1257" s="38"/>
      <c r="B1257" s="38"/>
      <c r="C1257" s="312"/>
      <c r="D1257" s="38"/>
      <c r="E1257" s="38"/>
      <c r="F1257" s="38"/>
      <c r="G1257" s="38"/>
      <c r="H1257" s="38"/>
      <c r="I1257" s="38"/>
      <c r="J1257" s="38"/>
      <c r="K1257" s="371"/>
      <c r="L1257" s="38"/>
      <c r="M1257" s="372"/>
      <c r="N1257" s="372"/>
      <c r="O1257" s="307"/>
      <c r="P1257" s="92"/>
      <c r="Q1257" s="14"/>
      <c r="R1257" s="50"/>
      <c r="S1257" s="50"/>
      <c r="T1257" s="50"/>
      <c r="U1257" s="52"/>
      <c r="V1257" s="53"/>
      <c r="W1257" s="60"/>
      <c r="X1257" s="56"/>
      <c r="Y1257" s="38"/>
      <c r="Z1257" s="38"/>
    </row>
    <row r="1258" spans="1:26">
      <c r="A1258" s="38"/>
      <c r="B1258" s="38"/>
      <c r="C1258" s="312"/>
      <c r="D1258" s="38"/>
      <c r="E1258" s="38"/>
      <c r="F1258" s="38"/>
      <c r="G1258" s="38"/>
      <c r="H1258" s="38"/>
      <c r="I1258" s="38"/>
      <c r="J1258" s="38"/>
      <c r="K1258" s="371"/>
      <c r="L1258" s="38"/>
      <c r="M1258" s="372"/>
      <c r="N1258" s="372"/>
      <c r="O1258" s="307"/>
      <c r="P1258" s="92"/>
      <c r="Q1258" s="14"/>
      <c r="R1258" s="50"/>
      <c r="S1258" s="50"/>
      <c r="T1258" s="50"/>
      <c r="U1258" s="52"/>
      <c r="V1258" s="53"/>
      <c r="W1258" s="60"/>
      <c r="X1258" s="56"/>
      <c r="Y1258" s="38"/>
      <c r="Z1258" s="38"/>
    </row>
    <row r="1259" spans="1:26">
      <c r="A1259" s="38"/>
      <c r="B1259" s="38"/>
      <c r="C1259" s="312"/>
      <c r="D1259" s="38"/>
      <c r="E1259" s="38"/>
      <c r="F1259" s="38"/>
      <c r="G1259" s="38"/>
      <c r="H1259" s="38"/>
      <c r="I1259" s="38"/>
      <c r="J1259" s="38"/>
      <c r="K1259" s="371"/>
      <c r="L1259" s="38"/>
      <c r="M1259" s="372"/>
      <c r="N1259" s="372"/>
      <c r="O1259" s="307"/>
      <c r="P1259" s="92"/>
      <c r="Q1259" s="14"/>
      <c r="R1259" s="50"/>
      <c r="S1259" s="50"/>
      <c r="T1259" s="50"/>
      <c r="U1259" s="52"/>
      <c r="V1259" s="53"/>
      <c r="W1259" s="60"/>
      <c r="X1259" s="56"/>
      <c r="Y1259" s="38"/>
      <c r="Z1259" s="38"/>
    </row>
    <row r="1260" spans="1:26">
      <c r="A1260" s="38"/>
      <c r="B1260" s="38"/>
      <c r="C1260" s="312"/>
      <c r="D1260" s="38"/>
      <c r="E1260" s="38"/>
      <c r="F1260" s="38"/>
      <c r="G1260" s="38"/>
      <c r="H1260" s="38"/>
      <c r="I1260" s="38"/>
      <c r="J1260" s="38"/>
      <c r="K1260" s="371"/>
      <c r="L1260" s="38"/>
      <c r="M1260" s="372"/>
      <c r="N1260" s="372"/>
      <c r="O1260" s="307"/>
      <c r="P1260" s="92"/>
      <c r="Q1260" s="14"/>
      <c r="R1260" s="50"/>
      <c r="S1260" s="50"/>
      <c r="T1260" s="50"/>
      <c r="U1260" s="52"/>
      <c r="V1260" s="53"/>
      <c r="W1260" s="60"/>
      <c r="X1260" s="56"/>
      <c r="Y1260" s="38"/>
      <c r="Z1260" s="38"/>
    </row>
    <row r="1261" spans="1:26">
      <c r="A1261" s="38"/>
      <c r="B1261" s="38"/>
      <c r="C1261" s="312"/>
      <c r="D1261" s="38"/>
      <c r="E1261" s="38"/>
      <c r="F1261" s="38"/>
      <c r="G1261" s="38"/>
      <c r="H1261" s="38"/>
      <c r="I1261" s="38"/>
      <c r="J1261" s="38"/>
      <c r="K1261" s="371"/>
      <c r="L1261" s="38"/>
      <c r="M1261" s="372"/>
      <c r="N1261" s="372"/>
      <c r="O1261" s="307"/>
      <c r="P1261" s="92"/>
      <c r="Q1261" s="14"/>
      <c r="R1261" s="50"/>
      <c r="S1261" s="50"/>
      <c r="T1261" s="50"/>
      <c r="U1261" s="52"/>
      <c r="V1261" s="53"/>
      <c r="W1261" s="60"/>
      <c r="X1261" s="56"/>
      <c r="Y1261" s="38"/>
      <c r="Z1261" s="38"/>
    </row>
    <row r="1262" spans="1:26">
      <c r="A1262" s="38"/>
      <c r="B1262" s="38"/>
      <c r="C1262" s="312"/>
      <c r="D1262" s="38"/>
      <c r="E1262" s="38"/>
      <c r="F1262" s="38"/>
      <c r="G1262" s="38"/>
      <c r="H1262" s="38"/>
      <c r="I1262" s="38"/>
      <c r="J1262" s="38"/>
      <c r="K1262" s="371"/>
      <c r="L1262" s="38"/>
      <c r="M1262" s="372"/>
      <c r="N1262" s="372"/>
      <c r="O1262" s="307"/>
      <c r="P1262" s="92"/>
      <c r="Q1262" s="14"/>
      <c r="R1262" s="50"/>
      <c r="S1262" s="50"/>
      <c r="T1262" s="50"/>
      <c r="U1262" s="52"/>
      <c r="V1262" s="53"/>
      <c r="W1262" s="60"/>
      <c r="X1262" s="56"/>
      <c r="Y1262" s="38"/>
      <c r="Z1262" s="38"/>
    </row>
    <row r="1263" spans="1:26">
      <c r="A1263" s="38"/>
      <c r="B1263" s="38"/>
      <c r="C1263" s="312"/>
      <c r="D1263" s="38"/>
      <c r="E1263" s="38"/>
      <c r="F1263" s="38"/>
      <c r="G1263" s="38"/>
      <c r="H1263" s="38"/>
      <c r="I1263" s="38"/>
      <c r="J1263" s="38"/>
      <c r="K1263" s="371"/>
      <c r="L1263" s="38"/>
      <c r="M1263" s="372"/>
      <c r="N1263" s="372"/>
      <c r="O1263" s="307"/>
      <c r="P1263" s="92"/>
      <c r="Q1263" s="14"/>
      <c r="R1263" s="50"/>
      <c r="S1263" s="50"/>
      <c r="T1263" s="50"/>
      <c r="U1263" s="52"/>
      <c r="V1263" s="53"/>
      <c r="W1263" s="60"/>
      <c r="X1263" s="56"/>
      <c r="Y1263" s="38"/>
      <c r="Z1263" s="38"/>
    </row>
    <row r="1264" spans="1:26">
      <c r="A1264" s="38"/>
      <c r="B1264" s="38"/>
      <c r="C1264" s="312"/>
      <c r="D1264" s="38"/>
      <c r="E1264" s="38"/>
      <c r="F1264" s="38"/>
      <c r="G1264" s="38"/>
      <c r="H1264" s="38"/>
      <c r="I1264" s="38"/>
      <c r="J1264" s="38"/>
      <c r="K1264" s="371"/>
      <c r="L1264" s="38"/>
      <c r="M1264" s="372"/>
      <c r="N1264" s="372"/>
      <c r="O1264" s="307"/>
      <c r="P1264" s="92"/>
      <c r="Q1264" s="14"/>
      <c r="R1264" s="50"/>
      <c r="S1264" s="50"/>
      <c r="T1264" s="50"/>
      <c r="U1264" s="52"/>
      <c r="V1264" s="53"/>
      <c r="W1264" s="60"/>
      <c r="X1264" s="56"/>
      <c r="Y1264" s="38"/>
      <c r="Z1264" s="38"/>
    </row>
    <row r="1265" spans="1:26">
      <c r="A1265" s="38"/>
      <c r="B1265" s="38"/>
      <c r="C1265" s="312"/>
      <c r="D1265" s="38"/>
      <c r="E1265" s="38"/>
      <c r="F1265" s="38"/>
      <c r="G1265" s="38"/>
      <c r="H1265" s="38"/>
      <c r="I1265" s="38"/>
      <c r="J1265" s="38"/>
      <c r="K1265" s="371"/>
      <c r="L1265" s="38"/>
      <c r="M1265" s="372"/>
      <c r="N1265" s="372"/>
      <c r="O1265" s="307"/>
      <c r="P1265" s="92"/>
      <c r="Q1265" s="14"/>
      <c r="R1265" s="50"/>
      <c r="S1265" s="50"/>
      <c r="T1265" s="50"/>
      <c r="U1265" s="52"/>
      <c r="V1265" s="53"/>
      <c r="W1265" s="60"/>
      <c r="X1265" s="56"/>
      <c r="Y1265" s="38"/>
      <c r="Z1265" s="38"/>
    </row>
    <row r="1266" spans="1:26">
      <c r="A1266" s="38"/>
      <c r="B1266" s="38"/>
      <c r="C1266" s="312"/>
      <c r="D1266" s="38"/>
      <c r="E1266" s="38"/>
      <c r="F1266" s="38"/>
      <c r="G1266" s="38"/>
      <c r="H1266" s="38"/>
      <c r="I1266" s="38"/>
      <c r="J1266" s="38"/>
      <c r="K1266" s="371"/>
      <c r="L1266" s="38"/>
      <c r="M1266" s="372"/>
      <c r="N1266" s="372"/>
      <c r="O1266" s="307"/>
      <c r="P1266" s="92"/>
      <c r="Q1266" s="14"/>
      <c r="R1266" s="50"/>
      <c r="S1266" s="50"/>
      <c r="T1266" s="50"/>
      <c r="U1266" s="52"/>
      <c r="V1266" s="53"/>
      <c r="W1266" s="60"/>
      <c r="X1266" s="56"/>
      <c r="Y1266" s="38"/>
      <c r="Z1266" s="38"/>
    </row>
    <row r="1267" spans="1:26">
      <c r="A1267" s="38"/>
      <c r="B1267" s="38"/>
      <c r="C1267" s="312"/>
      <c r="D1267" s="38"/>
      <c r="E1267" s="38"/>
      <c r="F1267" s="38"/>
      <c r="G1267" s="38"/>
      <c r="H1267" s="38"/>
      <c r="I1267" s="38"/>
      <c r="J1267" s="38"/>
      <c r="K1267" s="371"/>
      <c r="L1267" s="38"/>
      <c r="M1267" s="372"/>
      <c r="N1267" s="372"/>
      <c r="O1267" s="307"/>
      <c r="P1267" s="92"/>
      <c r="Q1267" s="14"/>
      <c r="R1267" s="50"/>
      <c r="S1267" s="50"/>
      <c r="T1267" s="50"/>
      <c r="U1267" s="52"/>
      <c r="V1267" s="53"/>
      <c r="W1267" s="60"/>
      <c r="X1267" s="56"/>
      <c r="Y1267" s="38"/>
      <c r="Z1267" s="38"/>
    </row>
    <row r="1268" spans="1:26">
      <c r="A1268" s="38"/>
      <c r="B1268" s="38"/>
      <c r="C1268" s="312"/>
      <c r="D1268" s="38"/>
      <c r="E1268" s="38"/>
      <c r="F1268" s="38"/>
      <c r="G1268" s="38"/>
      <c r="H1268" s="38"/>
      <c r="I1268" s="38"/>
      <c r="J1268" s="38"/>
      <c r="K1268" s="371"/>
      <c r="L1268" s="38"/>
      <c r="M1268" s="372"/>
      <c r="N1268" s="372"/>
      <c r="O1268" s="307"/>
      <c r="P1268" s="92"/>
      <c r="Q1268" s="14"/>
      <c r="R1268" s="50"/>
      <c r="S1268" s="50"/>
      <c r="T1268" s="50"/>
      <c r="U1268" s="52"/>
      <c r="V1268" s="53"/>
      <c r="W1268" s="60"/>
      <c r="X1268" s="56"/>
      <c r="Y1268" s="38"/>
      <c r="Z1268" s="38"/>
    </row>
    <row r="1269" spans="1:26">
      <c r="A1269" s="38"/>
      <c r="B1269" s="38"/>
      <c r="C1269" s="312"/>
      <c r="D1269" s="38"/>
      <c r="E1269" s="38"/>
      <c r="F1269" s="38"/>
      <c r="G1269" s="38"/>
      <c r="H1269" s="38"/>
      <c r="I1269" s="38"/>
      <c r="J1269" s="38"/>
      <c r="K1269" s="371"/>
      <c r="L1269" s="38"/>
      <c r="M1269" s="372"/>
      <c r="N1269" s="372"/>
      <c r="O1269" s="307"/>
      <c r="P1269" s="92"/>
      <c r="Q1269" s="14"/>
      <c r="R1269" s="50"/>
      <c r="S1269" s="50"/>
      <c r="T1269" s="50"/>
      <c r="U1269" s="52"/>
      <c r="V1269" s="53"/>
      <c r="W1269" s="60"/>
      <c r="X1269" s="56"/>
      <c r="Y1269" s="38"/>
      <c r="Z1269" s="38"/>
    </row>
    <row r="1270" spans="1:26">
      <c r="A1270" s="38"/>
      <c r="B1270" s="38"/>
      <c r="C1270" s="312"/>
      <c r="D1270" s="38"/>
      <c r="E1270" s="38"/>
      <c r="F1270" s="38"/>
      <c r="G1270" s="38"/>
      <c r="H1270" s="38"/>
      <c r="I1270" s="38"/>
      <c r="J1270" s="38"/>
      <c r="K1270" s="371"/>
      <c r="L1270" s="38"/>
      <c r="M1270" s="372"/>
      <c r="N1270" s="372"/>
      <c r="O1270" s="307"/>
      <c r="P1270" s="92"/>
      <c r="Q1270" s="14"/>
      <c r="R1270" s="50"/>
      <c r="S1270" s="50"/>
      <c r="T1270" s="50"/>
      <c r="U1270" s="52"/>
      <c r="V1270" s="53"/>
      <c r="W1270" s="60"/>
      <c r="X1270" s="56"/>
      <c r="Y1270" s="38"/>
      <c r="Z1270" s="38"/>
    </row>
    <row r="1271" spans="1:26">
      <c r="A1271" s="38"/>
      <c r="B1271" s="38"/>
      <c r="C1271" s="312"/>
      <c r="D1271" s="38"/>
      <c r="E1271" s="38"/>
      <c r="F1271" s="38"/>
      <c r="G1271" s="38"/>
      <c r="H1271" s="38"/>
      <c r="I1271" s="38"/>
      <c r="J1271" s="38"/>
      <c r="K1271" s="371"/>
      <c r="L1271" s="38"/>
      <c r="M1271" s="372"/>
      <c r="N1271" s="372"/>
      <c r="O1271" s="307"/>
      <c r="P1271" s="92"/>
      <c r="Q1271" s="14"/>
      <c r="R1271" s="50"/>
      <c r="S1271" s="50"/>
      <c r="T1271" s="50"/>
      <c r="U1271" s="52"/>
      <c r="V1271" s="53"/>
      <c r="W1271" s="60"/>
      <c r="X1271" s="56"/>
      <c r="Y1271" s="38"/>
      <c r="Z1271" s="38"/>
    </row>
    <row r="1272" spans="1:26">
      <c r="A1272" s="38"/>
      <c r="B1272" s="38"/>
      <c r="C1272" s="312"/>
      <c r="D1272" s="38"/>
      <c r="E1272" s="38"/>
      <c r="F1272" s="38"/>
      <c r="G1272" s="38"/>
      <c r="H1272" s="38"/>
      <c r="I1272" s="38"/>
      <c r="J1272" s="38"/>
      <c r="K1272" s="371"/>
      <c r="L1272" s="38"/>
      <c r="M1272" s="372"/>
      <c r="N1272" s="372"/>
      <c r="O1272" s="307"/>
      <c r="P1272" s="92"/>
      <c r="Q1272" s="14"/>
      <c r="R1272" s="50"/>
      <c r="S1272" s="50"/>
      <c r="T1272" s="50"/>
      <c r="U1272" s="52"/>
      <c r="V1272" s="53"/>
      <c r="W1272" s="60"/>
      <c r="X1272" s="56"/>
      <c r="Y1272" s="38"/>
      <c r="Z1272" s="38"/>
    </row>
    <row r="1273" spans="1:26">
      <c r="A1273" s="38"/>
      <c r="B1273" s="38"/>
      <c r="C1273" s="312"/>
      <c r="D1273" s="38"/>
      <c r="E1273" s="38"/>
      <c r="F1273" s="38"/>
      <c r="G1273" s="38"/>
      <c r="H1273" s="38"/>
      <c r="I1273" s="38"/>
      <c r="J1273" s="38"/>
      <c r="K1273" s="371"/>
      <c r="L1273" s="38"/>
      <c r="M1273" s="372"/>
      <c r="N1273" s="372"/>
      <c r="O1273" s="307"/>
      <c r="P1273" s="92"/>
      <c r="Q1273" s="14"/>
      <c r="R1273" s="50"/>
      <c r="S1273" s="50"/>
      <c r="T1273" s="50"/>
      <c r="U1273" s="52"/>
      <c r="V1273" s="53"/>
      <c r="W1273" s="60"/>
      <c r="X1273" s="56"/>
      <c r="Y1273" s="38"/>
      <c r="Z1273" s="38"/>
    </row>
    <row r="1274" spans="1:26">
      <c r="A1274" s="38"/>
      <c r="B1274" s="38"/>
      <c r="C1274" s="312"/>
      <c r="D1274" s="38"/>
      <c r="E1274" s="38"/>
      <c r="F1274" s="38"/>
      <c r="G1274" s="38"/>
      <c r="H1274" s="38"/>
      <c r="I1274" s="38"/>
      <c r="J1274" s="38"/>
      <c r="K1274" s="371"/>
      <c r="L1274" s="38"/>
      <c r="M1274" s="372"/>
      <c r="N1274" s="372"/>
      <c r="O1274" s="307"/>
      <c r="P1274" s="92"/>
      <c r="Q1274" s="14"/>
      <c r="R1274" s="50"/>
      <c r="S1274" s="50"/>
      <c r="T1274" s="50"/>
      <c r="U1274" s="52"/>
      <c r="V1274" s="53"/>
      <c r="W1274" s="60"/>
      <c r="X1274" s="56"/>
      <c r="Y1274" s="38"/>
      <c r="Z1274" s="38"/>
    </row>
    <row r="1275" spans="1:26">
      <c r="A1275" s="38"/>
      <c r="B1275" s="38"/>
      <c r="C1275" s="312"/>
      <c r="D1275" s="38"/>
      <c r="E1275" s="38"/>
      <c r="F1275" s="38"/>
      <c r="G1275" s="38"/>
      <c r="H1275" s="38"/>
      <c r="I1275" s="38"/>
      <c r="J1275" s="38"/>
      <c r="K1275" s="371"/>
      <c r="L1275" s="38"/>
      <c r="M1275" s="372"/>
      <c r="N1275" s="372"/>
      <c r="O1275" s="307"/>
      <c r="P1275" s="92"/>
      <c r="Q1275" s="14"/>
      <c r="R1275" s="50"/>
      <c r="S1275" s="50"/>
      <c r="T1275" s="50"/>
      <c r="U1275" s="52"/>
      <c r="V1275" s="53"/>
      <c r="W1275" s="60"/>
      <c r="X1275" s="56"/>
      <c r="Y1275" s="38"/>
      <c r="Z1275" s="38"/>
    </row>
    <row r="1276" spans="1:26">
      <c r="A1276" s="38"/>
      <c r="B1276" s="38"/>
      <c r="C1276" s="312"/>
      <c r="D1276" s="38"/>
      <c r="E1276" s="38"/>
      <c r="F1276" s="38"/>
      <c r="G1276" s="38"/>
      <c r="H1276" s="38"/>
      <c r="I1276" s="38"/>
      <c r="J1276" s="38"/>
      <c r="K1276" s="371"/>
      <c r="L1276" s="38"/>
      <c r="M1276" s="372"/>
      <c r="N1276" s="372"/>
      <c r="O1276" s="307"/>
      <c r="P1276" s="92"/>
      <c r="Q1276" s="14"/>
      <c r="R1276" s="50"/>
      <c r="S1276" s="50"/>
      <c r="T1276" s="50"/>
      <c r="U1276" s="52"/>
      <c r="V1276" s="53"/>
      <c r="W1276" s="60"/>
      <c r="X1276" s="56"/>
      <c r="Y1276" s="38"/>
      <c r="Z1276" s="38"/>
    </row>
    <row r="1277" spans="1:26">
      <c r="A1277" s="38"/>
      <c r="B1277" s="38"/>
      <c r="C1277" s="312"/>
      <c r="D1277" s="38"/>
      <c r="E1277" s="38"/>
      <c r="F1277" s="38"/>
      <c r="G1277" s="38"/>
      <c r="H1277" s="38"/>
      <c r="I1277" s="38"/>
      <c r="J1277" s="38"/>
      <c r="K1277" s="371"/>
      <c r="L1277" s="38"/>
      <c r="M1277" s="372"/>
      <c r="N1277" s="372"/>
      <c r="O1277" s="307"/>
      <c r="P1277" s="92"/>
      <c r="Q1277" s="14"/>
      <c r="R1277" s="50"/>
      <c r="S1277" s="50"/>
      <c r="T1277" s="50"/>
      <c r="U1277" s="52"/>
      <c r="V1277" s="53"/>
      <c r="W1277" s="60"/>
      <c r="X1277" s="56"/>
      <c r="Y1277" s="38"/>
      <c r="Z1277" s="38"/>
    </row>
    <row r="1278" spans="1:26">
      <c r="A1278" s="38"/>
      <c r="B1278" s="38"/>
      <c r="C1278" s="312"/>
      <c r="D1278" s="38"/>
      <c r="E1278" s="38"/>
      <c r="F1278" s="38"/>
      <c r="G1278" s="38"/>
      <c r="H1278" s="38"/>
      <c r="I1278" s="38"/>
      <c r="J1278" s="38"/>
      <c r="K1278" s="371"/>
      <c r="L1278" s="38"/>
      <c r="M1278" s="372"/>
      <c r="N1278" s="372"/>
      <c r="O1278" s="307"/>
      <c r="P1278" s="92"/>
      <c r="Q1278" s="14"/>
      <c r="R1278" s="50"/>
      <c r="S1278" s="50"/>
      <c r="T1278" s="50"/>
      <c r="U1278" s="52"/>
      <c r="V1278" s="53"/>
      <c r="W1278" s="60"/>
      <c r="X1278" s="56"/>
      <c r="Y1278" s="38"/>
      <c r="Z1278" s="38"/>
    </row>
    <row r="1279" spans="1:26">
      <c r="A1279" s="38"/>
      <c r="B1279" s="38"/>
      <c r="C1279" s="312"/>
      <c r="D1279" s="38"/>
      <c r="E1279" s="38"/>
      <c r="F1279" s="38"/>
      <c r="G1279" s="38"/>
      <c r="H1279" s="38"/>
      <c r="I1279" s="38"/>
      <c r="J1279" s="38"/>
      <c r="K1279" s="371"/>
      <c r="L1279" s="38"/>
      <c r="M1279" s="372"/>
      <c r="N1279" s="372"/>
      <c r="O1279" s="307"/>
      <c r="P1279" s="92"/>
      <c r="Q1279" s="14"/>
      <c r="R1279" s="50"/>
      <c r="S1279" s="50"/>
      <c r="T1279" s="50"/>
      <c r="U1279" s="52"/>
      <c r="V1279" s="53"/>
      <c r="W1279" s="60"/>
      <c r="X1279" s="56"/>
      <c r="Y1279" s="38"/>
      <c r="Z1279" s="38"/>
    </row>
    <row r="1280" spans="1:26">
      <c r="A1280" s="38"/>
      <c r="B1280" s="38"/>
      <c r="C1280" s="312"/>
      <c r="D1280" s="38"/>
      <c r="E1280" s="38"/>
      <c r="F1280" s="38"/>
      <c r="G1280" s="38"/>
      <c r="H1280" s="38"/>
      <c r="I1280" s="38"/>
      <c r="J1280" s="38"/>
      <c r="K1280" s="371"/>
      <c r="L1280" s="38"/>
      <c r="M1280" s="372"/>
      <c r="N1280" s="372"/>
      <c r="O1280" s="307"/>
      <c r="P1280" s="92"/>
      <c r="Q1280" s="14"/>
      <c r="R1280" s="50"/>
      <c r="S1280" s="50"/>
      <c r="T1280" s="50"/>
      <c r="U1280" s="52"/>
      <c r="V1280" s="53"/>
      <c r="W1280" s="60"/>
      <c r="X1280" s="56"/>
      <c r="Y1280" s="38"/>
      <c r="Z1280" s="38"/>
    </row>
    <row r="1281" spans="1:26">
      <c r="A1281" s="38"/>
      <c r="B1281" s="38"/>
      <c r="C1281" s="312"/>
      <c r="D1281" s="38"/>
      <c r="E1281" s="38"/>
      <c r="F1281" s="38"/>
      <c r="G1281" s="38"/>
      <c r="H1281" s="38"/>
      <c r="I1281" s="38"/>
      <c r="J1281" s="38"/>
      <c r="K1281" s="371"/>
      <c r="L1281" s="38"/>
      <c r="M1281" s="372"/>
      <c r="N1281" s="372"/>
      <c r="O1281" s="307"/>
      <c r="P1281" s="92"/>
      <c r="Q1281" s="14"/>
      <c r="R1281" s="50"/>
      <c r="S1281" s="50"/>
      <c r="T1281" s="50"/>
      <c r="U1281" s="52"/>
      <c r="V1281" s="53"/>
      <c r="W1281" s="60"/>
      <c r="X1281" s="56"/>
      <c r="Y1281" s="38"/>
      <c r="Z1281" s="38"/>
    </row>
    <row r="1282" spans="1:26">
      <c r="A1282" s="38"/>
      <c r="B1282" s="38"/>
      <c r="C1282" s="312"/>
      <c r="D1282" s="38"/>
      <c r="E1282" s="38"/>
      <c r="F1282" s="38"/>
      <c r="G1282" s="38"/>
      <c r="H1282" s="38"/>
      <c r="I1282" s="38"/>
      <c r="J1282" s="38"/>
      <c r="K1282" s="371"/>
      <c r="L1282" s="38"/>
      <c r="M1282" s="372"/>
      <c r="N1282" s="372"/>
      <c r="O1282" s="307"/>
      <c r="P1282" s="92"/>
      <c r="Q1282" s="14"/>
      <c r="R1282" s="50"/>
      <c r="S1282" s="50"/>
      <c r="T1282" s="50"/>
      <c r="U1282" s="52"/>
      <c r="V1282" s="53"/>
      <c r="W1282" s="60"/>
      <c r="X1282" s="56"/>
      <c r="Y1282" s="38"/>
      <c r="Z1282" s="38"/>
    </row>
    <row r="1283" spans="1:26">
      <c r="A1283" s="38"/>
      <c r="B1283" s="38"/>
      <c r="C1283" s="312"/>
      <c r="D1283" s="38"/>
      <c r="E1283" s="38"/>
      <c r="F1283" s="38"/>
      <c r="G1283" s="38"/>
      <c r="H1283" s="38"/>
      <c r="I1283" s="38"/>
      <c r="J1283" s="38"/>
      <c r="K1283" s="371"/>
      <c r="L1283" s="38"/>
      <c r="M1283" s="372"/>
      <c r="N1283" s="372"/>
      <c r="O1283" s="307"/>
      <c r="P1283" s="92"/>
      <c r="Q1283" s="14"/>
      <c r="R1283" s="50"/>
      <c r="S1283" s="50"/>
      <c r="T1283" s="50"/>
      <c r="U1283" s="52"/>
      <c r="V1283" s="53"/>
      <c r="W1283" s="60"/>
      <c r="X1283" s="56"/>
      <c r="Y1283" s="38"/>
      <c r="Z1283" s="38"/>
    </row>
    <row r="1284" spans="1:26">
      <c r="A1284" s="38"/>
      <c r="B1284" s="38"/>
      <c r="C1284" s="312"/>
      <c r="D1284" s="38"/>
      <c r="E1284" s="38"/>
      <c r="F1284" s="38"/>
      <c r="G1284" s="38"/>
      <c r="H1284" s="38"/>
      <c r="I1284" s="38"/>
      <c r="J1284" s="38"/>
      <c r="K1284" s="371"/>
      <c r="L1284" s="38"/>
      <c r="M1284" s="372"/>
      <c r="N1284" s="372"/>
      <c r="O1284" s="307"/>
      <c r="P1284" s="92"/>
      <c r="Q1284" s="14"/>
      <c r="R1284" s="50"/>
      <c r="S1284" s="50"/>
      <c r="T1284" s="50"/>
      <c r="U1284" s="52"/>
      <c r="V1284" s="53"/>
      <c r="W1284" s="60"/>
      <c r="X1284" s="56"/>
      <c r="Y1284" s="38"/>
      <c r="Z1284" s="38"/>
    </row>
    <row r="1285" spans="1:26">
      <c r="A1285" s="38"/>
      <c r="B1285" s="38"/>
      <c r="C1285" s="312"/>
      <c r="D1285" s="38"/>
      <c r="E1285" s="38"/>
      <c r="F1285" s="38"/>
      <c r="G1285" s="38"/>
      <c r="H1285" s="38"/>
      <c r="I1285" s="38"/>
      <c r="J1285" s="38"/>
      <c r="K1285" s="371"/>
      <c r="L1285" s="38"/>
      <c r="M1285" s="372"/>
      <c r="N1285" s="372"/>
      <c r="O1285" s="307"/>
      <c r="P1285" s="92"/>
      <c r="Q1285" s="14"/>
      <c r="R1285" s="50"/>
      <c r="S1285" s="50"/>
      <c r="T1285" s="50"/>
      <c r="U1285" s="52"/>
      <c r="V1285" s="53"/>
      <c r="W1285" s="60"/>
      <c r="X1285" s="56"/>
      <c r="Y1285" s="38"/>
      <c r="Z1285" s="38"/>
    </row>
    <row r="1286" spans="1:26">
      <c r="A1286" s="38"/>
      <c r="B1286" s="38"/>
      <c r="C1286" s="312"/>
      <c r="D1286" s="38"/>
      <c r="E1286" s="38"/>
      <c r="F1286" s="38"/>
      <c r="G1286" s="38"/>
      <c r="H1286" s="38"/>
      <c r="I1286" s="38"/>
      <c r="J1286" s="38"/>
      <c r="K1286" s="371"/>
      <c r="L1286" s="38"/>
      <c r="M1286" s="372"/>
      <c r="N1286" s="372"/>
      <c r="O1286" s="307"/>
      <c r="P1286" s="92"/>
      <c r="Q1286" s="14"/>
      <c r="R1286" s="50"/>
      <c r="S1286" s="50"/>
      <c r="T1286" s="50"/>
      <c r="U1286" s="52"/>
      <c r="V1286" s="53"/>
      <c r="W1286" s="60"/>
      <c r="X1286" s="56"/>
      <c r="Y1286" s="38"/>
      <c r="Z1286" s="38"/>
    </row>
    <row r="1287" spans="1:26">
      <c r="A1287" s="38"/>
      <c r="B1287" s="38"/>
      <c r="C1287" s="312"/>
      <c r="D1287" s="38"/>
      <c r="E1287" s="38"/>
      <c r="F1287" s="38"/>
      <c r="G1287" s="38"/>
      <c r="H1287" s="38"/>
      <c r="I1287" s="38"/>
      <c r="J1287" s="38"/>
      <c r="K1287" s="371"/>
      <c r="L1287" s="38"/>
      <c r="M1287" s="372"/>
      <c r="N1287" s="372"/>
      <c r="O1287" s="307"/>
      <c r="P1287" s="92"/>
      <c r="Q1287" s="14"/>
      <c r="R1287" s="50"/>
      <c r="S1287" s="50"/>
      <c r="T1287" s="50"/>
      <c r="U1287" s="52"/>
      <c r="V1287" s="53"/>
      <c r="W1287" s="60"/>
      <c r="X1287" s="56"/>
      <c r="Y1287" s="38"/>
      <c r="Z1287" s="38"/>
    </row>
    <row r="1288" spans="1:26">
      <c r="A1288" s="38"/>
      <c r="B1288" s="38"/>
      <c r="C1288" s="312"/>
      <c r="D1288" s="38"/>
      <c r="E1288" s="38"/>
      <c r="F1288" s="38"/>
      <c r="G1288" s="38"/>
      <c r="H1288" s="38"/>
      <c r="I1288" s="38"/>
      <c r="J1288" s="38"/>
      <c r="K1288" s="371"/>
      <c r="L1288" s="38"/>
      <c r="M1288" s="372"/>
      <c r="N1288" s="372"/>
      <c r="O1288" s="307"/>
      <c r="P1288" s="92"/>
      <c r="Q1288" s="14"/>
      <c r="R1288" s="50"/>
      <c r="S1288" s="50"/>
      <c r="T1288" s="50"/>
      <c r="U1288" s="52"/>
      <c r="V1288" s="53"/>
      <c r="W1288" s="60"/>
      <c r="X1288" s="56"/>
      <c r="Y1288" s="38"/>
      <c r="Z1288" s="38"/>
    </row>
    <row r="1289" spans="1:26">
      <c r="A1289" s="38"/>
      <c r="B1289" s="38"/>
      <c r="C1289" s="312"/>
      <c r="D1289" s="38"/>
      <c r="E1289" s="38"/>
      <c r="F1289" s="38"/>
      <c r="G1289" s="38"/>
      <c r="H1289" s="38"/>
      <c r="I1289" s="38"/>
      <c r="J1289" s="38"/>
      <c r="K1289" s="371"/>
      <c r="L1289" s="38"/>
      <c r="M1289" s="372"/>
      <c r="N1289" s="372"/>
      <c r="O1289" s="307"/>
      <c r="P1289" s="92"/>
      <c r="Q1289" s="14"/>
      <c r="R1289" s="50"/>
      <c r="S1289" s="50"/>
      <c r="T1289" s="50"/>
      <c r="U1289" s="52"/>
      <c r="V1289" s="53"/>
      <c r="W1289" s="60"/>
      <c r="X1289" s="56"/>
      <c r="Y1289" s="38"/>
      <c r="Z1289" s="38"/>
    </row>
    <row r="1290" spans="1:26">
      <c r="A1290" s="38"/>
      <c r="B1290" s="38"/>
      <c r="C1290" s="312"/>
      <c r="D1290" s="38"/>
      <c r="E1290" s="38"/>
      <c r="F1290" s="38"/>
      <c r="G1290" s="38"/>
      <c r="H1290" s="38"/>
      <c r="I1290" s="38"/>
      <c r="J1290" s="38"/>
      <c r="K1290" s="371"/>
      <c r="L1290" s="38"/>
      <c r="M1290" s="372"/>
      <c r="N1290" s="372"/>
      <c r="O1290" s="307"/>
      <c r="P1290" s="92"/>
      <c r="Q1290" s="14"/>
      <c r="R1290" s="50"/>
      <c r="S1290" s="50"/>
      <c r="T1290" s="50"/>
      <c r="U1290" s="52"/>
      <c r="V1290" s="53"/>
      <c r="W1290" s="60"/>
      <c r="X1290" s="56"/>
      <c r="Y1290" s="38"/>
      <c r="Z1290" s="38"/>
    </row>
    <row r="1291" spans="1:26">
      <c r="A1291" s="38"/>
      <c r="B1291" s="38"/>
      <c r="C1291" s="312"/>
      <c r="D1291" s="38"/>
      <c r="E1291" s="38"/>
      <c r="F1291" s="38"/>
      <c r="G1291" s="38"/>
      <c r="H1291" s="38"/>
      <c r="I1291" s="38"/>
      <c r="J1291" s="38"/>
      <c r="K1291" s="371"/>
      <c r="L1291" s="38"/>
      <c r="M1291" s="372"/>
      <c r="N1291" s="372"/>
      <c r="O1291" s="307"/>
      <c r="P1291" s="92"/>
      <c r="Q1291" s="14"/>
      <c r="R1291" s="50"/>
      <c r="S1291" s="50"/>
      <c r="T1291" s="50"/>
      <c r="U1291" s="52"/>
      <c r="V1291" s="53"/>
      <c r="W1291" s="60"/>
      <c r="X1291" s="56"/>
      <c r="Y1291" s="38"/>
      <c r="Z1291" s="38"/>
    </row>
    <row r="1292" spans="1:26">
      <c r="A1292" s="38"/>
      <c r="B1292" s="38"/>
      <c r="C1292" s="312"/>
      <c r="D1292" s="38"/>
      <c r="E1292" s="38"/>
      <c r="F1292" s="38"/>
      <c r="G1292" s="38"/>
      <c r="H1292" s="38"/>
      <c r="I1292" s="38"/>
      <c r="J1292" s="38"/>
      <c r="K1292" s="371"/>
      <c r="L1292" s="38"/>
      <c r="M1292" s="372"/>
      <c r="N1292" s="372"/>
      <c r="O1292" s="307"/>
      <c r="P1292" s="92"/>
      <c r="Q1292" s="14"/>
      <c r="R1292" s="50"/>
      <c r="S1292" s="50"/>
      <c r="T1292" s="50"/>
      <c r="U1292" s="52"/>
      <c r="V1292" s="53"/>
      <c r="W1292" s="60"/>
      <c r="X1292" s="56"/>
      <c r="Y1292" s="38"/>
      <c r="Z1292" s="38"/>
    </row>
    <row r="1293" spans="1:26">
      <c r="A1293" s="38"/>
      <c r="B1293" s="38"/>
      <c r="C1293" s="312"/>
      <c r="D1293" s="38"/>
      <c r="E1293" s="38"/>
      <c r="F1293" s="38"/>
      <c r="G1293" s="38"/>
      <c r="H1293" s="38"/>
      <c r="I1293" s="38"/>
      <c r="J1293" s="38"/>
      <c r="K1293" s="371"/>
      <c r="L1293" s="38"/>
      <c r="M1293" s="372"/>
      <c r="N1293" s="372"/>
      <c r="O1293" s="307"/>
      <c r="P1293" s="92"/>
      <c r="Q1293" s="14"/>
      <c r="R1293" s="50"/>
      <c r="S1293" s="50"/>
      <c r="T1293" s="50"/>
      <c r="U1293" s="52"/>
      <c r="V1293" s="53"/>
      <c r="W1293" s="60"/>
      <c r="X1293" s="56"/>
      <c r="Y1293" s="38"/>
      <c r="Z1293" s="38"/>
    </row>
    <row r="1294" spans="1:26">
      <c r="A1294" s="38"/>
      <c r="B1294" s="38"/>
      <c r="C1294" s="312"/>
      <c r="D1294" s="38"/>
      <c r="E1294" s="38"/>
      <c r="F1294" s="38"/>
      <c r="G1294" s="38"/>
      <c r="H1294" s="38"/>
      <c r="I1294" s="38"/>
      <c r="J1294" s="38"/>
      <c r="K1294" s="371"/>
      <c r="L1294" s="38"/>
      <c r="M1294" s="372"/>
      <c r="N1294" s="372"/>
      <c r="O1294" s="307"/>
      <c r="P1294" s="92"/>
      <c r="Q1294" s="14"/>
      <c r="R1294" s="50"/>
      <c r="S1294" s="50"/>
      <c r="T1294" s="50"/>
      <c r="U1294" s="52"/>
      <c r="V1294" s="53"/>
      <c r="W1294" s="60"/>
      <c r="X1294" s="56"/>
      <c r="Y1294" s="38"/>
      <c r="Z1294" s="38"/>
    </row>
    <row r="1295" spans="1:26">
      <c r="A1295" s="38"/>
      <c r="B1295" s="38"/>
      <c r="C1295" s="312"/>
      <c r="D1295" s="38"/>
      <c r="E1295" s="38"/>
      <c r="F1295" s="38"/>
      <c r="G1295" s="38"/>
      <c r="H1295" s="38"/>
      <c r="I1295" s="38"/>
      <c r="J1295" s="38"/>
      <c r="K1295" s="371"/>
      <c r="L1295" s="38"/>
      <c r="M1295" s="372"/>
      <c r="N1295" s="372"/>
      <c r="O1295" s="307"/>
      <c r="P1295" s="92"/>
      <c r="Q1295" s="14"/>
      <c r="R1295" s="50"/>
      <c r="S1295" s="50"/>
      <c r="T1295" s="50"/>
      <c r="U1295" s="52"/>
      <c r="V1295" s="53"/>
      <c r="W1295" s="60"/>
      <c r="X1295" s="56"/>
      <c r="Y1295" s="38"/>
      <c r="Z1295" s="38"/>
    </row>
    <row r="1296" spans="1:26">
      <c r="A1296" s="38"/>
      <c r="B1296" s="38"/>
      <c r="C1296" s="312"/>
      <c r="D1296" s="38"/>
      <c r="E1296" s="38"/>
      <c r="F1296" s="38"/>
      <c r="G1296" s="38"/>
      <c r="H1296" s="38"/>
      <c r="I1296" s="38"/>
      <c r="J1296" s="38"/>
      <c r="K1296" s="371"/>
      <c r="L1296" s="38"/>
      <c r="M1296" s="372"/>
      <c r="N1296" s="372"/>
      <c r="O1296" s="307"/>
      <c r="P1296" s="92"/>
      <c r="Q1296" s="14"/>
      <c r="R1296" s="50"/>
      <c r="S1296" s="50"/>
      <c r="T1296" s="50"/>
      <c r="U1296" s="52"/>
      <c r="V1296" s="53"/>
      <c r="W1296" s="60"/>
      <c r="X1296" s="56"/>
      <c r="Y1296" s="38"/>
      <c r="Z1296" s="38"/>
    </row>
    <row r="1297" spans="1:26">
      <c r="A1297" s="38"/>
      <c r="B1297" s="38"/>
      <c r="C1297" s="312"/>
      <c r="D1297" s="38"/>
      <c r="E1297" s="38"/>
      <c r="F1297" s="38"/>
      <c r="G1297" s="38"/>
      <c r="H1297" s="38"/>
      <c r="I1297" s="38"/>
      <c r="J1297" s="38"/>
      <c r="K1297" s="371"/>
      <c r="L1297" s="38"/>
      <c r="M1297" s="372"/>
      <c r="N1297" s="372"/>
      <c r="O1297" s="307"/>
      <c r="P1297" s="92"/>
      <c r="Q1297" s="14"/>
      <c r="R1297" s="50"/>
      <c r="S1297" s="50"/>
      <c r="T1297" s="50"/>
      <c r="U1297" s="52"/>
      <c r="V1297" s="53"/>
      <c r="W1297" s="60"/>
      <c r="X1297" s="56"/>
      <c r="Y1297" s="38"/>
      <c r="Z1297" s="38"/>
    </row>
    <row r="1298" spans="1:26">
      <c r="A1298" s="38"/>
      <c r="B1298" s="38"/>
      <c r="C1298" s="312"/>
      <c r="D1298" s="38"/>
      <c r="E1298" s="38"/>
      <c r="F1298" s="38"/>
      <c r="G1298" s="38"/>
      <c r="H1298" s="38"/>
      <c r="I1298" s="38"/>
      <c r="J1298" s="38"/>
      <c r="K1298" s="371"/>
      <c r="L1298" s="38"/>
      <c r="M1298" s="372"/>
      <c r="N1298" s="372"/>
      <c r="O1298" s="307"/>
      <c r="P1298" s="92"/>
      <c r="Q1298" s="14"/>
      <c r="R1298" s="50"/>
      <c r="S1298" s="50"/>
      <c r="T1298" s="50"/>
      <c r="U1298" s="52"/>
      <c r="V1298" s="53"/>
      <c r="W1298" s="60"/>
      <c r="X1298" s="56"/>
      <c r="Y1298" s="38"/>
      <c r="Z1298" s="38"/>
    </row>
    <row r="1299" spans="1:26">
      <c r="A1299" s="38"/>
      <c r="B1299" s="38"/>
      <c r="C1299" s="312"/>
      <c r="D1299" s="38"/>
      <c r="E1299" s="38"/>
      <c r="F1299" s="38"/>
      <c r="G1299" s="38"/>
      <c r="H1299" s="38"/>
      <c r="I1299" s="38"/>
      <c r="J1299" s="38"/>
      <c r="K1299" s="371"/>
      <c r="L1299" s="38"/>
      <c r="M1299" s="372"/>
      <c r="N1299" s="372"/>
      <c r="O1299" s="307"/>
      <c r="P1299" s="92"/>
      <c r="Q1299" s="14"/>
      <c r="R1299" s="50"/>
      <c r="S1299" s="50"/>
      <c r="T1299" s="50"/>
      <c r="U1299" s="52"/>
      <c r="V1299" s="53"/>
      <c r="W1299" s="60"/>
      <c r="X1299" s="56"/>
      <c r="Y1299" s="38"/>
      <c r="Z1299" s="38"/>
    </row>
    <row r="1300" spans="1:26">
      <c r="A1300" s="38"/>
      <c r="B1300" s="38"/>
      <c r="C1300" s="312"/>
      <c r="D1300" s="38"/>
      <c r="E1300" s="38"/>
      <c r="F1300" s="38"/>
      <c r="G1300" s="38"/>
      <c r="H1300" s="38"/>
      <c r="I1300" s="38"/>
      <c r="J1300" s="38"/>
      <c r="K1300" s="371"/>
      <c r="L1300" s="38"/>
      <c r="M1300" s="372"/>
      <c r="N1300" s="372"/>
      <c r="O1300" s="307"/>
      <c r="P1300" s="92"/>
      <c r="Q1300" s="14"/>
      <c r="R1300" s="50"/>
      <c r="S1300" s="50"/>
      <c r="T1300" s="50"/>
      <c r="U1300" s="52"/>
      <c r="V1300" s="53"/>
      <c r="W1300" s="60"/>
      <c r="X1300" s="56"/>
      <c r="Y1300" s="38"/>
      <c r="Z1300" s="38"/>
    </row>
    <row r="1301" spans="1:26">
      <c r="A1301" s="38"/>
      <c r="B1301" s="38"/>
      <c r="C1301" s="312"/>
      <c r="D1301" s="38"/>
      <c r="E1301" s="38"/>
      <c r="F1301" s="38"/>
      <c r="G1301" s="38"/>
      <c r="H1301" s="38"/>
      <c r="I1301" s="38"/>
      <c r="J1301" s="38"/>
      <c r="K1301" s="371"/>
      <c r="L1301" s="38"/>
      <c r="M1301" s="372"/>
      <c r="N1301" s="372"/>
      <c r="O1301" s="307"/>
      <c r="P1301" s="92"/>
      <c r="Q1301" s="14"/>
      <c r="R1301" s="50"/>
      <c r="S1301" s="50"/>
      <c r="T1301" s="50"/>
      <c r="U1301" s="52"/>
      <c r="V1301" s="53"/>
      <c r="W1301" s="60"/>
      <c r="X1301" s="56"/>
      <c r="Y1301" s="38"/>
      <c r="Z1301" s="38"/>
    </row>
    <row r="1302" spans="1:26">
      <c r="A1302" s="38"/>
      <c r="B1302" s="38"/>
      <c r="C1302" s="312"/>
      <c r="D1302" s="38"/>
      <c r="E1302" s="38"/>
      <c r="F1302" s="38"/>
      <c r="G1302" s="38"/>
      <c r="H1302" s="38"/>
      <c r="I1302" s="38"/>
      <c r="J1302" s="38"/>
      <c r="K1302" s="371"/>
      <c r="L1302" s="38"/>
      <c r="M1302" s="372"/>
      <c r="N1302" s="372"/>
      <c r="O1302" s="307"/>
      <c r="P1302" s="92"/>
      <c r="Q1302" s="14"/>
      <c r="R1302" s="50"/>
      <c r="S1302" s="50"/>
      <c r="T1302" s="50"/>
      <c r="U1302" s="52"/>
      <c r="V1302" s="53"/>
      <c r="W1302" s="60"/>
      <c r="X1302" s="56"/>
      <c r="Y1302" s="38"/>
      <c r="Z1302" s="38"/>
    </row>
    <row r="1303" spans="1:26">
      <c r="A1303" s="38"/>
      <c r="B1303" s="38"/>
      <c r="C1303" s="312"/>
      <c r="D1303" s="38"/>
      <c r="E1303" s="38"/>
      <c r="F1303" s="38"/>
      <c r="G1303" s="38"/>
      <c r="H1303" s="38"/>
      <c r="I1303" s="38"/>
      <c r="J1303" s="38"/>
      <c r="K1303" s="371"/>
      <c r="L1303" s="38"/>
      <c r="M1303" s="372"/>
      <c r="N1303" s="372"/>
      <c r="O1303" s="307"/>
      <c r="P1303" s="92"/>
      <c r="Q1303" s="14"/>
      <c r="R1303" s="50"/>
      <c r="S1303" s="50"/>
      <c r="T1303" s="50"/>
      <c r="U1303" s="52"/>
      <c r="V1303" s="53"/>
      <c r="W1303" s="60"/>
      <c r="X1303" s="56"/>
      <c r="Y1303" s="38"/>
      <c r="Z1303" s="38"/>
    </row>
    <row r="1304" spans="1:26">
      <c r="A1304" s="38"/>
      <c r="B1304" s="38"/>
      <c r="C1304" s="312"/>
      <c r="D1304" s="38"/>
      <c r="E1304" s="38"/>
      <c r="F1304" s="38"/>
      <c r="G1304" s="38"/>
      <c r="H1304" s="38"/>
      <c r="I1304" s="38"/>
      <c r="J1304" s="38"/>
      <c r="K1304" s="371"/>
      <c r="L1304" s="38"/>
      <c r="M1304" s="372"/>
      <c r="N1304" s="372"/>
      <c r="O1304" s="307"/>
      <c r="P1304" s="92"/>
      <c r="Q1304" s="14"/>
      <c r="R1304" s="50"/>
      <c r="S1304" s="50"/>
      <c r="T1304" s="50"/>
      <c r="U1304" s="52"/>
      <c r="V1304" s="53"/>
      <c r="W1304" s="60"/>
      <c r="X1304" s="56"/>
      <c r="Y1304" s="38"/>
      <c r="Z1304" s="38"/>
    </row>
    <row r="1305" spans="1:26">
      <c r="A1305" s="38"/>
      <c r="B1305" s="38"/>
      <c r="C1305" s="312"/>
      <c r="D1305" s="38"/>
      <c r="E1305" s="38"/>
      <c r="F1305" s="38"/>
      <c r="G1305" s="38"/>
      <c r="H1305" s="38"/>
      <c r="I1305" s="38"/>
      <c r="J1305" s="38"/>
      <c r="K1305" s="371"/>
      <c r="L1305" s="38"/>
      <c r="M1305" s="372"/>
      <c r="N1305" s="372"/>
      <c r="O1305" s="307"/>
      <c r="P1305" s="92"/>
      <c r="Q1305" s="14"/>
      <c r="R1305" s="50"/>
      <c r="S1305" s="50"/>
      <c r="T1305" s="50"/>
      <c r="U1305" s="52"/>
      <c r="V1305" s="53"/>
      <c r="W1305" s="60"/>
      <c r="X1305" s="56"/>
      <c r="Y1305" s="38"/>
      <c r="Z1305" s="38"/>
    </row>
    <row r="1306" spans="1:26">
      <c r="A1306" s="38"/>
      <c r="B1306" s="38"/>
      <c r="C1306" s="312"/>
      <c r="D1306" s="38"/>
      <c r="E1306" s="38"/>
      <c r="F1306" s="38"/>
      <c r="G1306" s="38"/>
      <c r="H1306" s="38"/>
      <c r="I1306" s="38"/>
      <c r="J1306" s="38"/>
      <c r="K1306" s="371"/>
      <c r="L1306" s="38"/>
      <c r="M1306" s="372"/>
      <c r="N1306" s="372"/>
      <c r="O1306" s="307"/>
      <c r="P1306" s="92"/>
      <c r="Q1306" s="14"/>
      <c r="R1306" s="50"/>
      <c r="S1306" s="50"/>
      <c r="T1306" s="50"/>
      <c r="U1306" s="52"/>
      <c r="V1306" s="53"/>
      <c r="W1306" s="60"/>
      <c r="X1306" s="56"/>
      <c r="Y1306" s="38"/>
      <c r="Z1306" s="38"/>
    </row>
    <row r="1307" spans="1:26">
      <c r="A1307" s="38"/>
      <c r="B1307" s="38"/>
      <c r="C1307" s="312"/>
      <c r="D1307" s="38"/>
      <c r="E1307" s="38"/>
      <c r="F1307" s="38"/>
      <c r="G1307" s="38"/>
      <c r="H1307" s="38"/>
      <c r="I1307" s="38"/>
      <c r="J1307" s="38"/>
      <c r="K1307" s="371"/>
      <c r="L1307" s="38"/>
      <c r="M1307" s="372"/>
      <c r="N1307" s="372"/>
      <c r="O1307" s="307"/>
      <c r="P1307" s="92"/>
      <c r="Q1307" s="14"/>
      <c r="R1307" s="50"/>
      <c r="S1307" s="50"/>
      <c r="T1307" s="50"/>
      <c r="U1307" s="52"/>
      <c r="V1307" s="53"/>
      <c r="W1307" s="60"/>
      <c r="X1307" s="56"/>
      <c r="Y1307" s="38"/>
      <c r="Z1307" s="38"/>
    </row>
    <row r="1308" spans="1:26">
      <c r="A1308" s="38"/>
      <c r="B1308" s="38"/>
      <c r="C1308" s="312"/>
      <c r="D1308" s="38"/>
      <c r="E1308" s="38"/>
      <c r="F1308" s="38"/>
      <c r="G1308" s="38"/>
      <c r="H1308" s="38"/>
      <c r="I1308" s="38"/>
      <c r="J1308" s="38"/>
      <c r="K1308" s="371"/>
      <c r="L1308" s="38"/>
      <c r="M1308" s="372"/>
      <c r="N1308" s="372"/>
      <c r="O1308" s="307"/>
      <c r="P1308" s="92"/>
      <c r="Q1308" s="14"/>
      <c r="R1308" s="50"/>
      <c r="S1308" s="50"/>
      <c r="T1308" s="50"/>
      <c r="U1308" s="52"/>
      <c r="V1308" s="53"/>
      <c r="W1308" s="60"/>
      <c r="X1308" s="56"/>
      <c r="Y1308" s="38"/>
      <c r="Z1308" s="38"/>
    </row>
    <row r="1309" spans="1:26">
      <c r="A1309" s="38"/>
      <c r="B1309" s="38"/>
      <c r="C1309" s="312"/>
      <c r="D1309" s="38"/>
      <c r="E1309" s="38"/>
      <c r="F1309" s="38"/>
      <c r="G1309" s="38"/>
      <c r="H1309" s="38"/>
      <c r="I1309" s="38"/>
      <c r="J1309" s="38"/>
      <c r="K1309" s="371"/>
      <c r="L1309" s="38"/>
      <c r="M1309" s="372"/>
      <c r="N1309" s="372"/>
      <c r="O1309" s="307"/>
      <c r="P1309" s="92"/>
      <c r="Q1309" s="14"/>
      <c r="R1309" s="50"/>
      <c r="S1309" s="50"/>
      <c r="T1309" s="50"/>
      <c r="U1309" s="52"/>
      <c r="V1309" s="53"/>
      <c r="W1309" s="60"/>
      <c r="X1309" s="56"/>
      <c r="Y1309" s="38"/>
      <c r="Z1309" s="38"/>
    </row>
    <row r="1310" spans="1:26">
      <c r="A1310" s="38"/>
      <c r="B1310" s="38"/>
      <c r="C1310" s="312"/>
      <c r="D1310" s="38"/>
      <c r="E1310" s="38"/>
      <c r="F1310" s="38"/>
      <c r="G1310" s="38"/>
      <c r="H1310" s="38"/>
      <c r="I1310" s="38"/>
      <c r="J1310" s="38"/>
      <c r="K1310" s="371"/>
      <c r="L1310" s="38"/>
      <c r="M1310" s="372"/>
      <c r="N1310" s="372"/>
      <c r="O1310" s="307"/>
      <c r="P1310" s="92"/>
      <c r="Q1310" s="14"/>
      <c r="R1310" s="50"/>
      <c r="S1310" s="50"/>
      <c r="T1310" s="50"/>
      <c r="U1310" s="52"/>
      <c r="V1310" s="53"/>
      <c r="W1310" s="60"/>
      <c r="X1310" s="56"/>
      <c r="Y1310" s="38"/>
      <c r="Z1310" s="38"/>
    </row>
    <row r="1311" spans="1:26">
      <c r="A1311" s="38"/>
      <c r="B1311" s="38"/>
      <c r="C1311" s="312"/>
      <c r="D1311" s="38"/>
      <c r="E1311" s="38"/>
      <c r="F1311" s="38"/>
      <c r="G1311" s="38"/>
      <c r="H1311" s="38"/>
      <c r="I1311" s="38"/>
      <c r="J1311" s="38"/>
      <c r="K1311" s="371"/>
      <c r="L1311" s="38"/>
      <c r="M1311" s="372"/>
      <c r="N1311" s="372"/>
      <c r="O1311" s="307"/>
      <c r="P1311" s="92"/>
      <c r="Q1311" s="14"/>
      <c r="R1311" s="50"/>
      <c r="S1311" s="50"/>
      <c r="T1311" s="50"/>
      <c r="U1311" s="52"/>
      <c r="V1311" s="53"/>
      <c r="W1311" s="60"/>
      <c r="X1311" s="56"/>
      <c r="Y1311" s="38"/>
      <c r="Z1311" s="38"/>
    </row>
    <row r="1312" spans="1:26">
      <c r="A1312" s="38"/>
      <c r="B1312" s="38"/>
      <c r="C1312" s="312"/>
      <c r="D1312" s="38"/>
      <c r="E1312" s="38"/>
      <c r="F1312" s="38"/>
      <c r="G1312" s="38"/>
      <c r="H1312" s="38"/>
      <c r="I1312" s="38"/>
      <c r="J1312" s="38"/>
      <c r="K1312" s="371"/>
      <c r="L1312" s="38"/>
      <c r="M1312" s="372"/>
      <c r="N1312" s="372"/>
      <c r="O1312" s="307"/>
      <c r="P1312" s="92"/>
      <c r="Q1312" s="14"/>
      <c r="R1312" s="50"/>
      <c r="S1312" s="50"/>
      <c r="T1312" s="50"/>
      <c r="U1312" s="52"/>
      <c r="V1312" s="53"/>
      <c r="W1312" s="60"/>
      <c r="X1312" s="56"/>
      <c r="Y1312" s="38"/>
      <c r="Z1312" s="38"/>
    </row>
    <row r="1313" spans="1:26">
      <c r="A1313" s="38"/>
      <c r="B1313" s="38"/>
      <c r="C1313" s="312"/>
      <c r="D1313" s="38"/>
      <c r="E1313" s="38"/>
      <c r="F1313" s="38"/>
      <c r="G1313" s="38"/>
      <c r="H1313" s="38"/>
      <c r="I1313" s="38"/>
      <c r="J1313" s="38"/>
      <c r="K1313" s="371"/>
      <c r="L1313" s="38"/>
      <c r="M1313" s="372"/>
      <c r="N1313" s="372"/>
      <c r="O1313" s="307"/>
      <c r="P1313" s="92"/>
      <c r="Q1313" s="14"/>
      <c r="R1313" s="50"/>
      <c r="S1313" s="50"/>
      <c r="T1313" s="50"/>
      <c r="U1313" s="52"/>
      <c r="V1313" s="53"/>
      <c r="W1313" s="60"/>
      <c r="X1313" s="56"/>
      <c r="Y1313" s="38"/>
      <c r="Z1313" s="38"/>
    </row>
    <row r="1314" spans="1:26">
      <c r="A1314" s="38"/>
      <c r="B1314" s="38"/>
      <c r="C1314" s="312"/>
      <c r="D1314" s="38"/>
      <c r="E1314" s="38"/>
      <c r="F1314" s="38"/>
      <c r="G1314" s="38"/>
      <c r="H1314" s="38"/>
      <c r="I1314" s="38"/>
      <c r="J1314" s="38"/>
      <c r="K1314" s="371"/>
      <c r="L1314" s="38"/>
      <c r="M1314" s="372"/>
      <c r="N1314" s="372"/>
      <c r="O1314" s="307"/>
      <c r="P1314" s="92"/>
      <c r="Q1314" s="14"/>
      <c r="R1314" s="50"/>
      <c r="S1314" s="50"/>
      <c r="T1314" s="50"/>
      <c r="U1314" s="52"/>
      <c r="V1314" s="53"/>
      <c r="W1314" s="60"/>
      <c r="X1314" s="56"/>
      <c r="Y1314" s="38"/>
      <c r="Z1314" s="38"/>
    </row>
    <row r="1315" spans="1:26">
      <c r="A1315" s="38"/>
      <c r="B1315" s="38"/>
      <c r="C1315" s="312"/>
      <c r="D1315" s="38"/>
      <c r="E1315" s="38"/>
      <c r="F1315" s="38"/>
      <c r="G1315" s="38"/>
      <c r="H1315" s="38"/>
      <c r="I1315" s="38"/>
      <c r="J1315" s="38"/>
      <c r="K1315" s="371"/>
      <c r="L1315" s="38"/>
      <c r="M1315" s="372"/>
      <c r="N1315" s="372"/>
      <c r="O1315" s="307"/>
      <c r="P1315" s="92"/>
      <c r="Q1315" s="14"/>
      <c r="R1315" s="50"/>
      <c r="S1315" s="50"/>
      <c r="T1315" s="50"/>
      <c r="U1315" s="52"/>
      <c r="V1315" s="53"/>
      <c r="W1315" s="60"/>
      <c r="X1315" s="56"/>
      <c r="Y1315" s="38"/>
      <c r="Z1315" s="38"/>
    </row>
    <row r="1316" spans="1:26">
      <c r="A1316" s="38"/>
      <c r="B1316" s="38"/>
      <c r="C1316" s="312"/>
      <c r="D1316" s="38"/>
      <c r="E1316" s="38"/>
      <c r="F1316" s="38"/>
      <c r="G1316" s="38"/>
      <c r="H1316" s="38"/>
      <c r="I1316" s="38"/>
      <c r="J1316" s="38"/>
      <c r="K1316" s="371"/>
      <c r="L1316" s="38"/>
      <c r="M1316" s="372"/>
      <c r="N1316" s="372"/>
      <c r="O1316" s="307"/>
      <c r="P1316" s="92"/>
      <c r="Q1316" s="14"/>
      <c r="R1316" s="50"/>
      <c r="S1316" s="50"/>
      <c r="T1316" s="50"/>
      <c r="U1316" s="52"/>
      <c r="V1316" s="53"/>
      <c r="W1316" s="60"/>
      <c r="X1316" s="56"/>
      <c r="Y1316" s="38"/>
      <c r="Z1316" s="38"/>
    </row>
    <row r="1317" spans="1:26">
      <c r="A1317" s="38"/>
      <c r="B1317" s="38"/>
      <c r="C1317" s="312"/>
      <c r="D1317" s="38"/>
      <c r="E1317" s="38"/>
      <c r="F1317" s="38"/>
      <c r="G1317" s="38"/>
      <c r="H1317" s="38"/>
      <c r="I1317" s="38"/>
      <c r="J1317" s="38"/>
      <c r="K1317" s="371"/>
      <c r="L1317" s="38"/>
      <c r="M1317" s="372"/>
      <c r="N1317" s="372"/>
      <c r="O1317" s="307"/>
      <c r="P1317" s="92"/>
      <c r="Q1317" s="14"/>
      <c r="R1317" s="50"/>
      <c r="S1317" s="50"/>
      <c r="T1317" s="50"/>
      <c r="U1317" s="52"/>
      <c r="V1317" s="53"/>
      <c r="W1317" s="60"/>
      <c r="X1317" s="56"/>
      <c r="Y1317" s="38"/>
      <c r="Z1317" s="38"/>
    </row>
    <row r="1318" spans="1:26">
      <c r="A1318" s="38"/>
      <c r="B1318" s="38"/>
      <c r="C1318" s="312"/>
      <c r="D1318" s="38"/>
      <c r="E1318" s="38"/>
      <c r="F1318" s="38"/>
      <c r="G1318" s="38"/>
      <c r="H1318" s="38"/>
      <c r="I1318" s="38"/>
      <c r="J1318" s="38"/>
      <c r="K1318" s="371"/>
      <c r="L1318" s="38"/>
      <c r="M1318" s="372"/>
      <c r="N1318" s="372"/>
      <c r="O1318" s="307"/>
      <c r="P1318" s="92"/>
      <c r="Q1318" s="14"/>
      <c r="R1318" s="50"/>
      <c r="S1318" s="50"/>
      <c r="T1318" s="50"/>
      <c r="U1318" s="52"/>
      <c r="V1318" s="53"/>
      <c r="W1318" s="60"/>
      <c r="X1318" s="56"/>
      <c r="Y1318" s="38"/>
      <c r="Z1318" s="38"/>
    </row>
    <row r="1319" spans="1:26">
      <c r="A1319" s="38"/>
      <c r="B1319" s="38"/>
      <c r="C1319" s="312"/>
      <c r="D1319" s="38"/>
      <c r="E1319" s="38"/>
      <c r="F1319" s="38"/>
      <c r="G1319" s="38"/>
      <c r="H1319" s="38"/>
      <c r="I1319" s="38"/>
      <c r="J1319" s="38"/>
      <c r="K1319" s="371"/>
      <c r="L1319" s="38"/>
      <c r="M1319" s="372"/>
      <c r="N1319" s="372"/>
      <c r="O1319" s="307"/>
      <c r="P1319" s="92"/>
      <c r="Q1319" s="14"/>
      <c r="R1319" s="50"/>
      <c r="S1319" s="50"/>
      <c r="T1319" s="50"/>
      <c r="U1319" s="52"/>
      <c r="V1319" s="53"/>
      <c r="W1319" s="60"/>
      <c r="X1319" s="56"/>
      <c r="Y1319" s="38"/>
      <c r="Z1319" s="38"/>
    </row>
    <row r="1320" spans="1:26">
      <c r="A1320" s="38"/>
      <c r="B1320" s="38"/>
      <c r="C1320" s="312"/>
      <c r="D1320" s="38"/>
      <c r="E1320" s="38"/>
      <c r="F1320" s="38"/>
      <c r="G1320" s="38"/>
      <c r="H1320" s="38"/>
      <c r="I1320" s="38"/>
      <c r="J1320" s="38"/>
      <c r="K1320" s="371"/>
      <c r="L1320" s="38"/>
      <c r="M1320" s="372"/>
      <c r="N1320" s="372"/>
      <c r="O1320" s="307"/>
      <c r="P1320" s="92"/>
      <c r="Q1320" s="14"/>
      <c r="R1320" s="50"/>
      <c r="S1320" s="50"/>
      <c r="T1320" s="50"/>
      <c r="U1320" s="52"/>
      <c r="V1320" s="53"/>
      <c r="W1320" s="60"/>
      <c r="X1320" s="56"/>
      <c r="Y1320" s="38"/>
      <c r="Z1320" s="38"/>
    </row>
    <row r="1321" spans="1:26">
      <c r="A1321" s="38"/>
      <c r="B1321" s="38"/>
      <c r="C1321" s="312"/>
      <c r="D1321" s="38"/>
      <c r="E1321" s="38"/>
      <c r="F1321" s="38"/>
      <c r="G1321" s="38"/>
      <c r="H1321" s="38"/>
      <c r="I1321" s="38"/>
      <c r="J1321" s="38"/>
      <c r="K1321" s="371"/>
      <c r="L1321" s="38"/>
      <c r="M1321" s="372"/>
      <c r="N1321" s="372"/>
      <c r="O1321" s="307"/>
      <c r="P1321" s="92"/>
      <c r="Q1321" s="14"/>
      <c r="R1321" s="50"/>
      <c r="S1321" s="50"/>
      <c r="T1321" s="50"/>
      <c r="U1321" s="52"/>
      <c r="V1321" s="53"/>
      <c r="W1321" s="60"/>
      <c r="X1321" s="56"/>
      <c r="Y1321" s="38"/>
      <c r="Z1321" s="38"/>
    </row>
    <row r="1322" spans="1:26">
      <c r="A1322" s="38"/>
      <c r="B1322" s="38"/>
      <c r="C1322" s="312"/>
      <c r="D1322" s="38"/>
      <c r="E1322" s="38"/>
      <c r="F1322" s="38"/>
      <c r="G1322" s="38"/>
      <c r="H1322" s="38"/>
      <c r="I1322" s="38"/>
      <c r="J1322" s="38"/>
      <c r="K1322" s="371"/>
      <c r="L1322" s="38"/>
      <c r="M1322" s="372"/>
      <c r="N1322" s="372"/>
      <c r="O1322" s="307"/>
      <c r="P1322" s="92"/>
      <c r="Q1322" s="14"/>
      <c r="R1322" s="50"/>
      <c r="S1322" s="50"/>
      <c r="T1322" s="50"/>
      <c r="U1322" s="52"/>
      <c r="V1322" s="53"/>
      <c r="W1322" s="60"/>
      <c r="X1322" s="56"/>
      <c r="Y1322" s="38"/>
      <c r="Z1322" s="38"/>
    </row>
    <row r="1323" spans="1:26">
      <c r="A1323" s="38"/>
      <c r="B1323" s="38"/>
      <c r="C1323" s="312"/>
      <c r="D1323" s="38"/>
      <c r="E1323" s="38"/>
      <c r="F1323" s="38"/>
      <c r="G1323" s="38"/>
      <c r="H1323" s="38"/>
      <c r="I1323" s="38"/>
      <c r="J1323" s="38"/>
      <c r="K1323" s="371"/>
      <c r="L1323" s="38"/>
      <c r="M1323" s="372"/>
      <c r="N1323" s="372"/>
      <c r="O1323" s="307"/>
      <c r="P1323" s="92"/>
      <c r="Q1323" s="14"/>
      <c r="R1323" s="50"/>
      <c r="S1323" s="50"/>
      <c r="T1323" s="50"/>
      <c r="U1323" s="52"/>
      <c r="V1323" s="53"/>
      <c r="W1323" s="60"/>
      <c r="X1323" s="56"/>
      <c r="Y1323" s="38"/>
      <c r="Z1323" s="38"/>
    </row>
    <row r="1324" spans="1:26">
      <c r="A1324" s="38"/>
      <c r="B1324" s="38"/>
      <c r="C1324" s="312"/>
      <c r="D1324" s="38"/>
      <c r="E1324" s="38"/>
      <c r="F1324" s="38"/>
      <c r="G1324" s="38"/>
      <c r="H1324" s="38"/>
      <c r="I1324" s="38"/>
      <c r="J1324" s="38"/>
      <c r="K1324" s="371"/>
      <c r="L1324" s="38"/>
      <c r="M1324" s="372"/>
      <c r="N1324" s="372"/>
      <c r="O1324" s="307"/>
      <c r="P1324" s="92"/>
      <c r="Q1324" s="14"/>
      <c r="R1324" s="50"/>
      <c r="S1324" s="50"/>
      <c r="T1324" s="50"/>
      <c r="U1324" s="52"/>
      <c r="V1324" s="53"/>
      <c r="W1324" s="60"/>
      <c r="X1324" s="56"/>
      <c r="Y1324" s="38"/>
      <c r="Z1324" s="38"/>
    </row>
    <row r="1325" spans="1:26">
      <c r="A1325" s="38"/>
      <c r="B1325" s="38"/>
      <c r="C1325" s="312"/>
      <c r="D1325" s="38"/>
      <c r="E1325" s="38"/>
      <c r="F1325" s="38"/>
      <c r="G1325" s="38"/>
      <c r="H1325" s="38"/>
      <c r="I1325" s="38"/>
      <c r="J1325" s="38"/>
      <c r="K1325" s="371"/>
      <c r="L1325" s="38"/>
      <c r="M1325" s="372"/>
      <c r="N1325" s="372"/>
      <c r="O1325" s="307"/>
      <c r="P1325" s="92"/>
      <c r="Q1325" s="14"/>
      <c r="R1325" s="50"/>
      <c r="S1325" s="50"/>
      <c r="T1325" s="50"/>
      <c r="U1325" s="52"/>
      <c r="V1325" s="53"/>
      <c r="W1325" s="60"/>
      <c r="X1325" s="56"/>
      <c r="Y1325" s="38"/>
      <c r="Z1325" s="38"/>
    </row>
    <row r="1326" spans="1:26">
      <c r="A1326" s="38"/>
      <c r="B1326" s="38"/>
      <c r="C1326" s="312"/>
      <c r="D1326" s="38"/>
      <c r="E1326" s="38"/>
      <c r="F1326" s="38"/>
      <c r="G1326" s="38"/>
      <c r="H1326" s="38"/>
      <c r="I1326" s="38"/>
      <c r="J1326" s="38"/>
      <c r="K1326" s="371"/>
      <c r="L1326" s="38"/>
      <c r="M1326" s="372"/>
      <c r="N1326" s="372"/>
      <c r="O1326" s="307"/>
      <c r="P1326" s="92"/>
      <c r="Q1326" s="14"/>
      <c r="R1326" s="50"/>
      <c r="S1326" s="50"/>
      <c r="T1326" s="50"/>
      <c r="U1326" s="52"/>
      <c r="V1326" s="53"/>
      <c r="W1326" s="60"/>
      <c r="X1326" s="56"/>
      <c r="Y1326" s="38"/>
      <c r="Z1326" s="38"/>
    </row>
    <row r="1327" spans="1:26">
      <c r="A1327" s="38"/>
      <c r="B1327" s="38"/>
      <c r="C1327" s="312"/>
      <c r="D1327" s="38"/>
      <c r="E1327" s="38"/>
      <c r="F1327" s="38"/>
      <c r="G1327" s="38"/>
      <c r="H1327" s="38"/>
      <c r="I1327" s="38"/>
      <c r="J1327" s="38"/>
      <c r="K1327" s="371"/>
      <c r="L1327" s="38"/>
      <c r="M1327" s="372"/>
      <c r="N1327" s="372"/>
      <c r="O1327" s="307"/>
      <c r="P1327" s="92"/>
      <c r="Q1327" s="14"/>
      <c r="R1327" s="50"/>
      <c r="S1327" s="50"/>
      <c r="T1327" s="50"/>
      <c r="U1327" s="52"/>
      <c r="V1327" s="53"/>
      <c r="W1327" s="60"/>
      <c r="X1327" s="56"/>
      <c r="Y1327" s="38"/>
      <c r="Z1327" s="38"/>
    </row>
    <row r="1328" spans="1:26">
      <c r="A1328" s="38"/>
      <c r="B1328" s="38"/>
      <c r="C1328" s="312"/>
      <c r="D1328" s="38"/>
      <c r="E1328" s="38"/>
      <c r="F1328" s="38"/>
      <c r="G1328" s="38"/>
      <c r="H1328" s="38"/>
      <c r="I1328" s="38"/>
      <c r="J1328" s="38"/>
      <c r="K1328" s="371"/>
      <c r="L1328" s="38"/>
      <c r="M1328" s="372"/>
      <c r="N1328" s="372"/>
      <c r="O1328" s="307"/>
      <c r="P1328" s="92"/>
      <c r="Q1328" s="14"/>
      <c r="R1328" s="50"/>
      <c r="S1328" s="50"/>
      <c r="T1328" s="50"/>
      <c r="U1328" s="52"/>
      <c r="V1328" s="53"/>
      <c r="W1328" s="60"/>
      <c r="X1328" s="56"/>
      <c r="Y1328" s="38"/>
      <c r="Z1328" s="38"/>
    </row>
    <row r="1329" spans="1:26">
      <c r="A1329" s="38"/>
      <c r="B1329" s="38"/>
      <c r="C1329" s="312"/>
      <c r="D1329" s="38"/>
      <c r="E1329" s="38"/>
      <c r="F1329" s="38"/>
      <c r="G1329" s="38"/>
      <c r="H1329" s="38"/>
      <c r="I1329" s="38"/>
      <c r="J1329" s="38"/>
      <c r="K1329" s="371"/>
      <c r="L1329" s="38"/>
      <c r="M1329" s="372"/>
      <c r="N1329" s="372"/>
      <c r="O1329" s="307"/>
      <c r="P1329" s="92"/>
      <c r="Q1329" s="14"/>
      <c r="R1329" s="50"/>
      <c r="S1329" s="50"/>
      <c r="T1329" s="50"/>
      <c r="U1329" s="52"/>
      <c r="V1329" s="53"/>
      <c r="W1329" s="60"/>
      <c r="X1329" s="56"/>
      <c r="Y1329" s="38"/>
      <c r="Z1329" s="38"/>
    </row>
    <row r="1330" spans="1:26">
      <c r="A1330" s="38"/>
      <c r="B1330" s="38"/>
      <c r="C1330" s="312"/>
      <c r="D1330" s="38"/>
      <c r="E1330" s="38"/>
      <c r="F1330" s="38"/>
      <c r="G1330" s="38"/>
      <c r="H1330" s="38"/>
      <c r="I1330" s="38"/>
      <c r="J1330" s="38"/>
      <c r="K1330" s="371"/>
      <c r="L1330" s="38"/>
      <c r="M1330" s="372"/>
      <c r="N1330" s="372"/>
      <c r="O1330" s="307"/>
      <c r="P1330" s="92"/>
      <c r="Q1330" s="14"/>
      <c r="R1330" s="50"/>
      <c r="S1330" s="50"/>
      <c r="T1330" s="50"/>
      <c r="U1330" s="52"/>
      <c r="V1330" s="53"/>
      <c r="W1330" s="60"/>
      <c r="X1330" s="56"/>
      <c r="Y1330" s="38"/>
      <c r="Z1330" s="38"/>
    </row>
    <row r="1331" spans="1:26">
      <c r="A1331" s="38"/>
      <c r="B1331" s="38"/>
      <c r="C1331" s="312"/>
      <c r="D1331" s="38"/>
      <c r="E1331" s="38"/>
      <c r="F1331" s="38"/>
      <c r="G1331" s="38"/>
      <c r="H1331" s="38"/>
      <c r="I1331" s="38"/>
      <c r="J1331" s="38"/>
      <c r="K1331" s="371"/>
      <c r="L1331" s="38"/>
      <c r="M1331" s="372"/>
      <c r="N1331" s="372"/>
      <c r="O1331" s="307"/>
      <c r="P1331" s="92"/>
      <c r="Q1331" s="14"/>
      <c r="R1331" s="50"/>
      <c r="S1331" s="50"/>
      <c r="T1331" s="50"/>
      <c r="U1331" s="52"/>
      <c r="V1331" s="53"/>
      <c r="W1331" s="60"/>
      <c r="X1331" s="56"/>
      <c r="Y1331" s="38"/>
      <c r="Z1331" s="38"/>
    </row>
    <row r="1332" spans="1:26">
      <c r="A1332" s="38"/>
      <c r="B1332" s="38"/>
      <c r="C1332" s="312"/>
      <c r="D1332" s="38"/>
      <c r="E1332" s="38"/>
      <c r="F1332" s="38"/>
      <c r="G1332" s="38"/>
      <c r="H1332" s="38"/>
      <c r="I1332" s="38"/>
      <c r="J1332" s="38"/>
      <c r="K1332" s="371"/>
      <c r="L1332" s="38"/>
      <c r="M1332" s="372"/>
      <c r="N1332" s="372"/>
      <c r="O1332" s="307"/>
      <c r="P1332" s="92"/>
      <c r="Q1332" s="14"/>
      <c r="R1332" s="50"/>
      <c r="S1332" s="50"/>
      <c r="T1332" s="50"/>
      <c r="U1332" s="52"/>
      <c r="V1332" s="53"/>
      <c r="W1332" s="60"/>
      <c r="X1332" s="56"/>
      <c r="Y1332" s="38"/>
      <c r="Z1332" s="38"/>
    </row>
    <row r="1333" spans="1:26">
      <c r="A1333" s="38"/>
      <c r="B1333" s="38"/>
      <c r="C1333" s="312"/>
      <c r="D1333" s="38"/>
      <c r="E1333" s="38"/>
      <c r="F1333" s="38"/>
      <c r="G1333" s="38"/>
      <c r="H1333" s="38"/>
      <c r="I1333" s="38"/>
      <c r="J1333" s="38"/>
      <c r="K1333" s="371"/>
      <c r="L1333" s="38"/>
      <c r="M1333" s="372"/>
      <c r="N1333" s="372"/>
      <c r="O1333" s="307"/>
      <c r="P1333" s="92"/>
      <c r="Q1333" s="14"/>
      <c r="R1333" s="50"/>
      <c r="S1333" s="50"/>
      <c r="T1333" s="50"/>
      <c r="U1333" s="52"/>
      <c r="V1333" s="53"/>
      <c r="W1333" s="60"/>
      <c r="X1333" s="56"/>
      <c r="Y1333" s="38"/>
      <c r="Z1333" s="38"/>
    </row>
    <row r="1334" spans="1:26">
      <c r="A1334" s="38"/>
      <c r="B1334" s="38"/>
      <c r="C1334" s="38"/>
      <c r="D1334" s="38"/>
      <c r="E1334" s="38"/>
      <c r="F1334" s="38"/>
      <c r="G1334" s="38"/>
      <c r="H1334" s="38"/>
      <c r="I1334" s="38"/>
      <c r="J1334" s="38"/>
      <c r="K1334" s="38"/>
      <c r="L1334" s="38"/>
      <c r="M1334" s="307"/>
      <c r="N1334" s="307"/>
      <c r="O1334" s="307"/>
      <c r="P1334" s="92"/>
      <c r="Q1334" s="14"/>
      <c r="R1334" s="50"/>
      <c r="S1334" s="50"/>
      <c r="T1334" s="50"/>
      <c r="U1334" s="52"/>
      <c r="V1334" s="53"/>
      <c r="W1334" s="60"/>
      <c r="X1334" s="56"/>
      <c r="Y1334" s="38"/>
      <c r="Z1334" s="38"/>
    </row>
    <row r="1335" spans="1:26">
      <c r="A1335" s="38"/>
      <c r="B1335" s="38"/>
      <c r="C1335" s="38"/>
      <c r="D1335" s="38"/>
      <c r="E1335" s="38"/>
      <c r="F1335" s="38"/>
      <c r="G1335" s="38"/>
      <c r="H1335" s="38"/>
      <c r="I1335" s="38"/>
      <c r="J1335" s="38"/>
      <c r="K1335" s="38"/>
      <c r="L1335" s="38"/>
      <c r="M1335" s="307"/>
      <c r="N1335" s="307"/>
      <c r="O1335" s="307"/>
      <c r="P1335" s="92"/>
      <c r="Q1335" s="14"/>
      <c r="R1335" s="50"/>
      <c r="S1335" s="50"/>
      <c r="T1335" s="50"/>
      <c r="U1335" s="52"/>
      <c r="V1335" s="53"/>
      <c r="W1335" s="60"/>
      <c r="X1335" s="56"/>
      <c r="Y1335" s="38"/>
      <c r="Z1335" s="38"/>
    </row>
    <row r="1336" spans="1:26">
      <c r="A1336" s="38"/>
      <c r="B1336" s="38"/>
      <c r="C1336" s="38"/>
      <c r="D1336" s="38"/>
      <c r="E1336" s="38"/>
      <c r="F1336" s="38"/>
      <c r="G1336" s="38"/>
      <c r="H1336" s="38"/>
      <c r="I1336" s="38"/>
      <c r="J1336" s="38"/>
      <c r="K1336" s="38"/>
      <c r="L1336" s="38"/>
      <c r="M1336" s="307"/>
      <c r="N1336" s="307"/>
      <c r="O1336" s="307"/>
      <c r="P1336" s="92"/>
      <c r="Q1336" s="14"/>
      <c r="R1336" s="50"/>
      <c r="S1336" s="50"/>
      <c r="T1336" s="50"/>
      <c r="U1336" s="52"/>
      <c r="V1336" s="53"/>
      <c r="W1336" s="60"/>
      <c r="X1336" s="56"/>
      <c r="Y1336" s="38"/>
      <c r="Z1336" s="38"/>
    </row>
    <row r="1337" spans="1:26">
      <c r="A1337" s="38"/>
      <c r="B1337" s="38"/>
      <c r="C1337" s="38"/>
      <c r="D1337" s="38"/>
      <c r="E1337" s="38"/>
      <c r="F1337" s="38"/>
      <c r="G1337" s="38"/>
      <c r="H1337" s="38"/>
      <c r="I1337" s="38"/>
      <c r="J1337" s="38"/>
      <c r="K1337" s="38"/>
      <c r="L1337" s="38"/>
      <c r="M1337" s="307"/>
      <c r="N1337" s="307"/>
      <c r="O1337" s="307"/>
      <c r="P1337" s="92"/>
      <c r="Q1337" s="14"/>
      <c r="R1337" s="50"/>
      <c r="S1337" s="50"/>
      <c r="T1337" s="50"/>
      <c r="U1337" s="52"/>
      <c r="V1337" s="53"/>
      <c r="W1337" s="60"/>
      <c r="X1337" s="56"/>
      <c r="Y1337" s="38"/>
      <c r="Z1337" s="38"/>
    </row>
    <row r="1338" spans="1:26">
      <c r="A1338" s="38"/>
      <c r="B1338" s="38"/>
      <c r="C1338" s="38"/>
      <c r="D1338" s="38"/>
      <c r="E1338" s="38"/>
      <c r="F1338" s="38"/>
      <c r="G1338" s="38"/>
      <c r="H1338" s="38"/>
      <c r="I1338" s="38"/>
      <c r="J1338" s="38"/>
      <c r="K1338" s="38"/>
      <c r="L1338" s="38"/>
      <c r="M1338" s="307"/>
      <c r="N1338" s="307"/>
      <c r="O1338" s="307"/>
      <c r="P1338" s="92"/>
      <c r="Q1338" s="14"/>
      <c r="R1338" s="50"/>
      <c r="S1338" s="50"/>
      <c r="T1338" s="50"/>
      <c r="U1338" s="52"/>
      <c r="V1338" s="53"/>
      <c r="W1338" s="60"/>
      <c r="X1338" s="56"/>
      <c r="Y1338" s="38"/>
      <c r="Z1338" s="38"/>
    </row>
    <row r="1339" spans="1:26">
      <c r="A1339" s="38"/>
      <c r="B1339" s="38"/>
      <c r="C1339" s="38"/>
      <c r="D1339" s="38"/>
      <c r="E1339" s="38"/>
      <c r="F1339" s="38"/>
      <c r="G1339" s="38"/>
      <c r="H1339" s="38"/>
      <c r="I1339" s="38"/>
      <c r="J1339" s="38"/>
      <c r="K1339" s="38"/>
      <c r="L1339" s="38"/>
      <c r="M1339" s="307"/>
      <c r="N1339" s="307"/>
      <c r="O1339" s="307"/>
      <c r="P1339" s="92"/>
      <c r="Q1339" s="14"/>
      <c r="R1339" s="50"/>
      <c r="S1339" s="50"/>
      <c r="T1339" s="50"/>
      <c r="U1339" s="52"/>
      <c r="V1339" s="53"/>
      <c r="W1339" s="60"/>
      <c r="X1339" s="56"/>
      <c r="Y1339" s="38"/>
      <c r="Z1339" s="38"/>
    </row>
    <row r="1340" spans="1:26">
      <c r="A1340" s="38"/>
      <c r="B1340" s="38"/>
      <c r="C1340" s="38"/>
      <c r="D1340" s="38"/>
      <c r="E1340" s="38"/>
      <c r="F1340" s="38"/>
      <c r="G1340" s="38"/>
      <c r="H1340" s="38"/>
      <c r="I1340" s="38"/>
      <c r="J1340" s="38"/>
      <c r="K1340" s="38"/>
      <c r="L1340" s="38"/>
      <c r="M1340" s="307"/>
      <c r="N1340" s="307"/>
      <c r="O1340" s="307"/>
      <c r="P1340" s="92"/>
      <c r="Q1340" s="14"/>
      <c r="R1340" s="50"/>
      <c r="S1340" s="50"/>
      <c r="T1340" s="50"/>
      <c r="U1340" s="52"/>
      <c r="V1340" s="53"/>
      <c r="W1340" s="60"/>
      <c r="X1340" s="56"/>
      <c r="Y1340" s="38"/>
      <c r="Z1340" s="38"/>
    </row>
    <row r="1341" spans="1:26">
      <c r="A1341" s="38"/>
      <c r="B1341" s="38"/>
      <c r="C1341" s="38"/>
      <c r="D1341" s="38"/>
      <c r="E1341" s="38"/>
      <c r="F1341" s="38"/>
      <c r="G1341" s="38"/>
      <c r="H1341" s="38"/>
      <c r="I1341" s="38"/>
      <c r="J1341" s="38"/>
      <c r="K1341" s="38"/>
      <c r="L1341" s="38"/>
      <c r="M1341" s="307"/>
      <c r="N1341" s="307"/>
      <c r="O1341" s="307"/>
      <c r="P1341" s="92"/>
      <c r="Q1341" s="14"/>
      <c r="R1341" s="50"/>
      <c r="S1341" s="50"/>
      <c r="T1341" s="50"/>
      <c r="U1341" s="52"/>
      <c r="V1341" s="53"/>
      <c r="W1341" s="60"/>
      <c r="X1341" s="56"/>
      <c r="Y1341" s="38"/>
      <c r="Z1341" s="38"/>
    </row>
    <row r="1342" spans="1:26">
      <c r="A1342" s="38"/>
      <c r="B1342" s="38"/>
      <c r="C1342" s="38"/>
      <c r="D1342" s="38"/>
      <c r="E1342" s="38"/>
      <c r="F1342" s="38"/>
      <c r="G1342" s="38"/>
      <c r="H1342" s="38"/>
      <c r="I1342" s="38"/>
      <c r="J1342" s="38"/>
      <c r="K1342" s="38"/>
      <c r="L1342" s="38"/>
      <c r="M1342" s="307"/>
      <c r="N1342" s="307"/>
      <c r="O1342" s="307"/>
      <c r="P1342" s="92"/>
      <c r="Q1342" s="14"/>
      <c r="R1342" s="50"/>
      <c r="S1342" s="50"/>
      <c r="T1342" s="50"/>
      <c r="U1342" s="52"/>
      <c r="V1342" s="53"/>
      <c r="W1342" s="60"/>
      <c r="X1342" s="56"/>
      <c r="Y1342" s="38"/>
      <c r="Z1342" s="38"/>
    </row>
    <row r="1343" spans="1:26">
      <c r="A1343" s="38"/>
      <c r="B1343" s="38"/>
      <c r="C1343" s="38"/>
      <c r="D1343" s="38"/>
      <c r="E1343" s="38"/>
      <c r="F1343" s="38"/>
      <c r="G1343" s="38"/>
      <c r="H1343" s="38"/>
      <c r="I1343" s="38"/>
      <c r="J1343" s="38"/>
      <c r="K1343" s="38"/>
      <c r="L1343" s="38"/>
      <c r="M1343" s="307"/>
      <c r="N1343" s="307"/>
      <c r="O1343" s="307"/>
      <c r="P1343" s="92"/>
      <c r="Q1343" s="14"/>
      <c r="R1343" s="50"/>
      <c r="S1343" s="50"/>
      <c r="T1343" s="50"/>
      <c r="U1343" s="52"/>
      <c r="V1343" s="53"/>
      <c r="W1343" s="60"/>
      <c r="X1343" s="56"/>
      <c r="Y1343" s="38"/>
      <c r="Z1343" s="38"/>
    </row>
    <row r="1344" spans="1:26">
      <c r="A1344" s="38"/>
      <c r="B1344" s="38"/>
      <c r="C1344" s="38"/>
      <c r="D1344" s="38"/>
      <c r="E1344" s="38"/>
      <c r="F1344" s="38"/>
      <c r="G1344" s="38"/>
      <c r="H1344" s="38"/>
      <c r="I1344" s="38"/>
      <c r="J1344" s="38"/>
      <c r="K1344" s="38"/>
      <c r="L1344" s="38"/>
      <c r="M1344" s="307"/>
      <c r="N1344" s="307"/>
      <c r="O1344" s="307"/>
      <c r="P1344" s="92"/>
      <c r="Q1344" s="14"/>
      <c r="R1344" s="50"/>
      <c r="S1344" s="50"/>
      <c r="T1344" s="50"/>
      <c r="U1344" s="52"/>
      <c r="V1344" s="53"/>
      <c r="W1344" s="60"/>
      <c r="X1344" s="56"/>
      <c r="Y1344" s="38"/>
      <c r="Z1344" s="38"/>
    </row>
    <row r="1345" spans="1:26">
      <c r="A1345" s="38"/>
      <c r="B1345" s="38"/>
      <c r="C1345" s="38"/>
      <c r="D1345" s="38"/>
      <c r="E1345" s="38"/>
      <c r="F1345" s="38"/>
      <c r="G1345" s="38"/>
      <c r="H1345" s="38"/>
      <c r="I1345" s="38"/>
      <c r="J1345" s="38"/>
      <c r="K1345" s="38"/>
      <c r="L1345" s="38"/>
      <c r="M1345" s="307"/>
      <c r="N1345" s="307"/>
      <c r="O1345" s="307"/>
      <c r="P1345" s="92"/>
      <c r="Q1345" s="14"/>
      <c r="R1345" s="50"/>
      <c r="S1345" s="50"/>
      <c r="T1345" s="50"/>
      <c r="U1345" s="52"/>
      <c r="V1345" s="53"/>
      <c r="W1345" s="60"/>
      <c r="X1345" s="56"/>
      <c r="Y1345" s="38"/>
      <c r="Z1345" s="38"/>
    </row>
    <row r="1346" spans="1:26">
      <c r="A1346" s="38"/>
      <c r="B1346" s="38"/>
      <c r="C1346" s="38"/>
      <c r="D1346" s="38"/>
      <c r="E1346" s="38"/>
      <c r="F1346" s="38"/>
      <c r="G1346" s="38"/>
      <c r="H1346" s="38"/>
      <c r="I1346" s="38"/>
      <c r="J1346" s="38"/>
      <c r="K1346" s="38"/>
      <c r="L1346" s="38"/>
      <c r="M1346" s="307"/>
      <c r="N1346" s="307"/>
      <c r="O1346" s="307"/>
      <c r="P1346" s="92"/>
      <c r="Q1346" s="14"/>
      <c r="R1346" s="50"/>
      <c r="S1346" s="50"/>
      <c r="T1346" s="50"/>
      <c r="U1346" s="52"/>
      <c r="V1346" s="53"/>
      <c r="W1346" s="60"/>
      <c r="X1346" s="56"/>
      <c r="Y1346" s="38"/>
      <c r="Z1346" s="38"/>
    </row>
    <row r="1347" spans="1:26">
      <c r="A1347" s="38"/>
      <c r="B1347" s="38"/>
      <c r="C1347" s="38"/>
      <c r="D1347" s="38"/>
      <c r="E1347" s="38"/>
      <c r="F1347" s="38"/>
      <c r="G1347" s="38"/>
      <c r="H1347" s="38"/>
      <c r="I1347" s="38"/>
      <c r="J1347" s="38"/>
      <c r="K1347" s="38"/>
      <c r="L1347" s="38"/>
      <c r="M1347" s="307"/>
      <c r="N1347" s="307"/>
      <c r="O1347" s="307"/>
      <c r="P1347" s="92"/>
      <c r="Q1347" s="14"/>
      <c r="R1347" s="50"/>
      <c r="S1347" s="50"/>
      <c r="T1347" s="50"/>
      <c r="U1347" s="52"/>
      <c r="V1347" s="53"/>
      <c r="W1347" s="60"/>
      <c r="X1347" s="56"/>
      <c r="Y1347" s="38"/>
      <c r="Z1347" s="38"/>
    </row>
    <row r="1348" spans="1:26">
      <c r="A1348" s="38"/>
      <c r="B1348" s="38"/>
      <c r="C1348" s="38"/>
      <c r="D1348" s="38"/>
      <c r="E1348" s="38"/>
      <c r="F1348" s="38"/>
      <c r="G1348" s="38"/>
      <c r="H1348" s="38"/>
      <c r="I1348" s="38"/>
      <c r="J1348" s="38"/>
      <c r="K1348" s="38"/>
      <c r="L1348" s="38"/>
      <c r="M1348" s="307"/>
      <c r="N1348" s="307"/>
      <c r="O1348" s="307"/>
      <c r="P1348" s="92"/>
      <c r="Q1348" s="14"/>
      <c r="R1348" s="50"/>
      <c r="S1348" s="50"/>
      <c r="T1348" s="50"/>
      <c r="U1348" s="52"/>
      <c r="V1348" s="53"/>
      <c r="W1348" s="60"/>
      <c r="X1348" s="56"/>
      <c r="Y1348" s="38"/>
      <c r="Z1348" s="38"/>
    </row>
    <row r="1349" spans="1:26">
      <c r="A1349" s="38"/>
      <c r="B1349" s="38"/>
      <c r="C1349" s="38"/>
      <c r="D1349" s="38"/>
      <c r="E1349" s="38"/>
      <c r="F1349" s="38"/>
      <c r="G1349" s="38"/>
      <c r="H1349" s="38"/>
      <c r="I1349" s="38"/>
      <c r="J1349" s="38"/>
      <c r="K1349" s="38"/>
      <c r="L1349" s="38"/>
      <c r="M1349" s="307"/>
      <c r="N1349" s="307"/>
      <c r="O1349" s="307"/>
      <c r="P1349" s="92"/>
      <c r="Q1349" s="14"/>
      <c r="R1349" s="50"/>
      <c r="S1349" s="50"/>
      <c r="T1349" s="50"/>
      <c r="U1349" s="52"/>
      <c r="V1349" s="53"/>
      <c r="W1349" s="60"/>
      <c r="X1349" s="56"/>
      <c r="Y1349" s="38"/>
      <c r="Z1349" s="38"/>
    </row>
    <row r="1350" spans="1:26">
      <c r="A1350" s="38"/>
      <c r="B1350" s="38"/>
      <c r="C1350" s="38"/>
      <c r="D1350" s="38"/>
      <c r="E1350" s="38"/>
      <c r="F1350" s="38"/>
      <c r="G1350" s="38"/>
      <c r="H1350" s="38"/>
      <c r="I1350" s="38"/>
      <c r="J1350" s="38"/>
      <c r="K1350" s="38"/>
      <c r="L1350" s="38"/>
      <c r="M1350" s="307"/>
      <c r="N1350" s="307"/>
      <c r="O1350" s="307"/>
      <c r="P1350" s="92"/>
      <c r="Q1350" s="14"/>
      <c r="R1350" s="50"/>
      <c r="S1350" s="50"/>
      <c r="T1350" s="50"/>
      <c r="U1350" s="52"/>
      <c r="V1350" s="53"/>
      <c r="W1350" s="60"/>
      <c r="X1350" s="56"/>
      <c r="Y1350" s="38"/>
      <c r="Z1350" s="38"/>
    </row>
    <row r="1351" spans="1:26">
      <c r="A1351" s="38"/>
      <c r="B1351" s="38"/>
      <c r="C1351" s="38"/>
      <c r="D1351" s="38"/>
      <c r="E1351" s="38"/>
      <c r="F1351" s="38"/>
      <c r="G1351" s="38"/>
      <c r="H1351" s="38"/>
      <c r="I1351" s="38"/>
      <c r="J1351" s="38"/>
      <c r="K1351" s="38"/>
      <c r="L1351" s="38"/>
      <c r="M1351" s="307"/>
      <c r="N1351" s="307"/>
      <c r="O1351" s="307"/>
      <c r="P1351" s="92"/>
      <c r="Q1351" s="14"/>
      <c r="R1351" s="50"/>
      <c r="S1351" s="50"/>
      <c r="T1351" s="50"/>
      <c r="U1351" s="52"/>
      <c r="V1351" s="53"/>
      <c r="W1351" s="60"/>
      <c r="X1351" s="56"/>
      <c r="Y1351" s="38"/>
      <c r="Z1351" s="38"/>
    </row>
    <row r="1352" spans="1:26">
      <c r="A1352" s="38"/>
      <c r="B1352" s="38"/>
      <c r="C1352" s="38"/>
      <c r="D1352" s="38"/>
      <c r="E1352" s="38"/>
      <c r="F1352" s="38"/>
      <c r="G1352" s="38"/>
      <c r="H1352" s="38"/>
      <c r="I1352" s="38"/>
      <c r="J1352" s="38"/>
      <c r="K1352" s="38"/>
      <c r="L1352" s="38"/>
      <c r="M1352" s="307"/>
      <c r="N1352" s="307"/>
      <c r="O1352" s="307"/>
      <c r="P1352" s="92"/>
      <c r="Q1352" s="14"/>
      <c r="R1352" s="50"/>
      <c r="S1352" s="50"/>
      <c r="T1352" s="50"/>
      <c r="U1352" s="52"/>
      <c r="V1352" s="53"/>
      <c r="W1352" s="60"/>
      <c r="X1352" s="56"/>
      <c r="Y1352" s="38"/>
      <c r="Z1352" s="38"/>
    </row>
    <row r="1353" spans="1:26">
      <c r="A1353" s="38"/>
      <c r="B1353" s="38"/>
      <c r="C1353" s="38"/>
      <c r="D1353" s="38"/>
      <c r="E1353" s="38"/>
      <c r="F1353" s="38"/>
      <c r="G1353" s="38"/>
      <c r="H1353" s="38"/>
      <c r="I1353" s="38"/>
      <c r="J1353" s="38"/>
      <c r="K1353" s="38"/>
      <c r="L1353" s="38"/>
      <c r="M1353" s="307"/>
      <c r="N1353" s="307"/>
      <c r="O1353" s="307"/>
      <c r="P1353" s="92"/>
      <c r="Q1353" s="14"/>
      <c r="R1353" s="50"/>
      <c r="S1353" s="50"/>
      <c r="T1353" s="50"/>
      <c r="U1353" s="52"/>
      <c r="V1353" s="53"/>
      <c r="W1353" s="60"/>
      <c r="X1353" s="56"/>
      <c r="Y1353" s="38"/>
      <c r="Z1353" s="38"/>
    </row>
    <row r="1354" spans="1:26">
      <c r="A1354" s="38"/>
      <c r="B1354" s="38"/>
      <c r="C1354" s="38"/>
      <c r="D1354" s="38"/>
      <c r="E1354" s="38"/>
      <c r="F1354" s="38"/>
      <c r="G1354" s="38"/>
      <c r="H1354" s="38"/>
      <c r="I1354" s="38"/>
      <c r="J1354" s="38"/>
      <c r="K1354" s="38"/>
      <c r="L1354" s="38"/>
      <c r="M1354" s="307"/>
      <c r="N1354" s="307"/>
      <c r="O1354" s="307"/>
      <c r="P1354" s="92"/>
      <c r="Q1354" s="14"/>
      <c r="R1354" s="50"/>
      <c r="S1354" s="50"/>
      <c r="T1354" s="50"/>
      <c r="U1354" s="52"/>
      <c r="V1354" s="53"/>
      <c r="W1354" s="60"/>
      <c r="X1354" s="56"/>
      <c r="Y1354" s="38"/>
      <c r="Z1354" s="38"/>
    </row>
    <row r="1355" spans="1:26">
      <c r="A1355" s="38"/>
      <c r="B1355" s="38"/>
      <c r="C1355" s="38"/>
      <c r="D1355" s="38"/>
      <c r="E1355" s="38"/>
      <c r="F1355" s="38"/>
      <c r="G1355" s="38"/>
      <c r="H1355" s="38"/>
      <c r="I1355" s="38"/>
      <c r="J1355" s="38"/>
      <c r="K1355" s="38"/>
      <c r="L1355" s="38"/>
      <c r="M1355" s="307"/>
      <c r="N1355" s="307"/>
      <c r="O1355" s="307"/>
      <c r="P1355" s="92"/>
      <c r="Q1355" s="14"/>
      <c r="R1355" s="50"/>
      <c r="S1355" s="50"/>
      <c r="T1355" s="50"/>
      <c r="U1355" s="52"/>
      <c r="V1355" s="53"/>
      <c r="W1355" s="60"/>
      <c r="X1355" s="56"/>
      <c r="Y1355" s="38"/>
      <c r="Z1355" s="38"/>
    </row>
    <row r="1356" spans="1:26">
      <c r="A1356" s="38"/>
      <c r="B1356" s="38"/>
      <c r="C1356" s="38"/>
      <c r="D1356" s="38"/>
      <c r="E1356" s="38"/>
      <c r="F1356" s="38"/>
      <c r="G1356" s="38"/>
      <c r="H1356" s="38"/>
      <c r="I1356" s="38"/>
      <c r="J1356" s="38"/>
      <c r="K1356" s="38"/>
      <c r="L1356" s="38"/>
      <c r="M1356" s="307"/>
      <c r="N1356" s="307"/>
      <c r="O1356" s="307"/>
      <c r="P1356" s="92"/>
      <c r="Q1356" s="14"/>
      <c r="R1356" s="50"/>
      <c r="S1356" s="50"/>
      <c r="T1356" s="50"/>
      <c r="U1356" s="52"/>
      <c r="V1356" s="53"/>
      <c r="W1356" s="60"/>
      <c r="X1356" s="56"/>
      <c r="Y1356" s="38"/>
      <c r="Z1356" s="38"/>
    </row>
    <row r="1357" spans="1:26">
      <c r="A1357" s="38"/>
      <c r="B1357" s="38"/>
      <c r="C1357" s="38"/>
      <c r="D1357" s="38"/>
      <c r="E1357" s="38"/>
      <c r="F1357" s="38"/>
      <c r="G1357" s="38"/>
      <c r="H1357" s="38"/>
      <c r="I1357" s="38"/>
      <c r="J1357" s="38"/>
      <c r="K1357" s="38"/>
      <c r="L1357" s="38"/>
      <c r="M1357" s="307"/>
      <c r="N1357" s="307"/>
      <c r="O1357" s="307"/>
      <c r="P1357" s="92"/>
      <c r="Q1357" s="14"/>
      <c r="R1357" s="50"/>
      <c r="S1357" s="50"/>
      <c r="T1357" s="50"/>
      <c r="U1357" s="52"/>
      <c r="V1357" s="53"/>
      <c r="W1357" s="60"/>
      <c r="X1357" s="56"/>
      <c r="Y1357" s="38"/>
      <c r="Z1357" s="38"/>
    </row>
    <row r="1358" spans="1:26">
      <c r="A1358" s="38"/>
      <c r="B1358" s="38"/>
      <c r="C1358" s="38"/>
      <c r="D1358" s="38"/>
      <c r="E1358" s="38"/>
      <c r="F1358" s="38"/>
      <c r="G1358" s="38"/>
      <c r="H1358" s="38"/>
      <c r="I1358" s="38"/>
      <c r="J1358" s="38"/>
      <c r="K1358" s="38"/>
      <c r="L1358" s="38"/>
      <c r="M1358" s="307"/>
      <c r="N1358" s="307"/>
      <c r="O1358" s="307"/>
      <c r="P1358" s="92"/>
      <c r="Q1358" s="14"/>
      <c r="R1358" s="50"/>
      <c r="S1358" s="50"/>
      <c r="T1358" s="50"/>
      <c r="U1358" s="52"/>
      <c r="V1358" s="53"/>
      <c r="W1358" s="60"/>
      <c r="X1358" s="56"/>
      <c r="Y1358" s="38"/>
      <c r="Z1358" s="38"/>
    </row>
    <row r="1359" spans="1:26">
      <c r="A1359" s="38"/>
      <c r="B1359" s="38"/>
      <c r="C1359" s="38"/>
      <c r="D1359" s="38"/>
      <c r="E1359" s="38"/>
      <c r="F1359" s="38"/>
      <c r="G1359" s="38"/>
      <c r="H1359" s="38"/>
      <c r="I1359" s="38"/>
      <c r="J1359" s="38"/>
      <c r="K1359" s="38"/>
      <c r="L1359" s="38"/>
      <c r="M1359" s="307"/>
      <c r="N1359" s="307"/>
      <c r="O1359" s="307"/>
      <c r="P1359" s="92"/>
      <c r="Q1359" s="14"/>
      <c r="R1359" s="50"/>
      <c r="S1359" s="50"/>
      <c r="T1359" s="50"/>
      <c r="U1359" s="52"/>
      <c r="V1359" s="53"/>
      <c r="W1359" s="60"/>
      <c r="X1359" s="56"/>
      <c r="Y1359" s="38"/>
      <c r="Z1359" s="38"/>
    </row>
    <row r="1360" spans="1:26">
      <c r="A1360" s="38"/>
      <c r="B1360" s="38"/>
      <c r="C1360" s="38"/>
      <c r="D1360" s="38"/>
      <c r="E1360" s="38"/>
      <c r="F1360" s="38"/>
      <c r="G1360" s="38"/>
      <c r="H1360" s="38"/>
      <c r="I1360" s="38"/>
      <c r="J1360" s="38"/>
      <c r="K1360" s="38"/>
      <c r="L1360" s="38"/>
      <c r="M1360" s="307"/>
      <c r="N1360" s="307"/>
      <c r="O1360" s="307"/>
      <c r="P1360" s="92"/>
      <c r="Q1360" s="14"/>
      <c r="R1360" s="50"/>
      <c r="S1360" s="50"/>
      <c r="T1360" s="50"/>
      <c r="U1360" s="52"/>
      <c r="V1360" s="53"/>
      <c r="W1360" s="60"/>
      <c r="X1360" s="56"/>
      <c r="Y1360" s="38"/>
      <c r="Z1360" s="38"/>
    </row>
    <row r="1361" spans="1:26">
      <c r="A1361" s="38"/>
      <c r="B1361" s="38"/>
      <c r="C1361" s="38"/>
      <c r="D1361" s="38"/>
      <c r="E1361" s="38"/>
      <c r="F1361" s="38"/>
      <c r="G1361" s="38"/>
      <c r="H1361" s="38"/>
      <c r="I1361" s="38"/>
      <c r="J1361" s="38"/>
      <c r="K1361" s="38"/>
      <c r="L1361" s="38"/>
      <c r="M1361" s="307"/>
      <c r="N1361" s="307"/>
      <c r="O1361" s="307"/>
      <c r="P1361" s="92"/>
      <c r="Q1361" s="14"/>
      <c r="R1361" s="50"/>
      <c r="S1361" s="50"/>
      <c r="T1361" s="50"/>
      <c r="U1361" s="52"/>
      <c r="V1361" s="53"/>
      <c r="W1361" s="60"/>
      <c r="X1361" s="56"/>
      <c r="Y1361" s="38"/>
      <c r="Z1361" s="38"/>
    </row>
    <row r="1362" spans="1:26">
      <c r="A1362" s="38"/>
      <c r="B1362" s="38"/>
      <c r="C1362" s="38"/>
      <c r="D1362" s="38"/>
      <c r="E1362" s="38"/>
      <c r="F1362" s="38"/>
      <c r="G1362" s="38"/>
      <c r="H1362" s="38"/>
      <c r="I1362" s="38"/>
      <c r="J1362" s="38"/>
      <c r="K1362" s="38"/>
      <c r="L1362" s="38"/>
      <c r="M1362" s="307"/>
      <c r="N1362" s="307"/>
      <c r="O1362" s="307"/>
      <c r="P1362" s="92"/>
      <c r="Q1362" s="14"/>
      <c r="R1362" s="50"/>
      <c r="S1362" s="50"/>
      <c r="T1362" s="50"/>
      <c r="U1362" s="52"/>
      <c r="V1362" s="53"/>
      <c r="W1362" s="60"/>
      <c r="X1362" s="56"/>
      <c r="Y1362" s="38"/>
      <c r="Z1362" s="38"/>
    </row>
    <row r="1363" spans="1:26">
      <c r="A1363" s="38"/>
      <c r="B1363" s="38"/>
      <c r="C1363" s="38"/>
      <c r="D1363" s="38"/>
      <c r="E1363" s="38"/>
      <c r="F1363" s="38"/>
      <c r="G1363" s="38"/>
      <c r="H1363" s="38"/>
      <c r="I1363" s="38"/>
      <c r="J1363" s="38"/>
      <c r="K1363" s="38"/>
      <c r="L1363" s="38"/>
      <c r="M1363" s="307"/>
      <c r="N1363" s="307"/>
      <c r="O1363" s="307"/>
      <c r="P1363" s="92"/>
      <c r="Q1363" s="14"/>
      <c r="R1363" s="50"/>
      <c r="S1363" s="50"/>
      <c r="T1363" s="50"/>
      <c r="U1363" s="52"/>
      <c r="V1363" s="53"/>
      <c r="W1363" s="60"/>
      <c r="X1363" s="56"/>
      <c r="Y1363" s="38"/>
      <c r="Z1363" s="38"/>
    </row>
    <row r="1364" spans="1:26">
      <c r="A1364" s="38"/>
      <c r="B1364" s="38"/>
      <c r="C1364" s="38"/>
      <c r="D1364" s="38"/>
      <c r="E1364" s="38"/>
      <c r="F1364" s="38"/>
      <c r="G1364" s="38"/>
      <c r="H1364" s="38"/>
      <c r="I1364" s="38"/>
      <c r="J1364" s="38"/>
      <c r="K1364" s="38"/>
      <c r="L1364" s="38"/>
      <c r="M1364" s="307"/>
      <c r="N1364" s="307"/>
      <c r="O1364" s="307"/>
      <c r="P1364" s="92"/>
      <c r="Q1364" s="14"/>
      <c r="R1364" s="50"/>
      <c r="S1364" s="50"/>
      <c r="T1364" s="50"/>
      <c r="U1364" s="52"/>
      <c r="V1364" s="53"/>
      <c r="W1364" s="60"/>
      <c r="X1364" s="56"/>
      <c r="Y1364" s="38"/>
      <c r="Z1364" s="38"/>
    </row>
    <row r="1365" spans="1:26">
      <c r="A1365" s="38"/>
      <c r="B1365" s="38"/>
      <c r="C1365" s="38"/>
      <c r="D1365" s="38"/>
      <c r="E1365" s="38"/>
      <c r="F1365" s="38"/>
      <c r="G1365" s="38"/>
      <c r="H1365" s="38"/>
      <c r="I1365" s="38"/>
      <c r="J1365" s="38"/>
      <c r="K1365" s="38"/>
      <c r="L1365" s="38"/>
      <c r="M1365" s="307"/>
      <c r="N1365" s="307"/>
      <c r="O1365" s="307"/>
      <c r="P1365" s="92"/>
      <c r="Q1365" s="14"/>
      <c r="R1365" s="50"/>
      <c r="S1365" s="50"/>
      <c r="T1365" s="50"/>
      <c r="U1365" s="52"/>
      <c r="V1365" s="53"/>
      <c r="W1365" s="60"/>
      <c r="X1365" s="56"/>
      <c r="Y1365" s="38"/>
      <c r="Z1365" s="38"/>
    </row>
    <row r="1366" spans="1:26">
      <c r="A1366" s="38"/>
      <c r="B1366" s="38"/>
      <c r="C1366" s="38"/>
      <c r="D1366" s="38"/>
      <c r="E1366" s="38"/>
      <c r="F1366" s="38"/>
      <c r="G1366" s="38"/>
      <c r="H1366" s="38"/>
      <c r="I1366" s="38"/>
      <c r="J1366" s="38"/>
      <c r="K1366" s="38"/>
      <c r="L1366" s="38"/>
      <c r="M1366" s="307"/>
      <c r="N1366" s="307"/>
      <c r="O1366" s="307"/>
      <c r="P1366" s="92"/>
      <c r="Q1366" s="14"/>
      <c r="R1366" s="50"/>
      <c r="S1366" s="50"/>
      <c r="T1366" s="50"/>
      <c r="U1366" s="52"/>
      <c r="V1366" s="53"/>
      <c r="W1366" s="60"/>
      <c r="X1366" s="56"/>
      <c r="Y1366" s="38"/>
      <c r="Z1366" s="38"/>
    </row>
    <row r="1367" spans="1:26">
      <c r="A1367" s="38"/>
      <c r="B1367" s="38"/>
      <c r="C1367" s="38"/>
      <c r="D1367" s="38"/>
      <c r="E1367" s="38"/>
      <c r="F1367" s="38"/>
      <c r="G1367" s="38"/>
      <c r="H1367" s="38"/>
      <c r="I1367" s="38"/>
      <c r="J1367" s="38"/>
      <c r="K1367" s="38"/>
      <c r="L1367" s="38"/>
      <c r="M1367" s="307"/>
      <c r="N1367" s="307"/>
      <c r="O1367" s="307"/>
      <c r="P1367" s="92"/>
      <c r="Q1367" s="14"/>
      <c r="R1367" s="50"/>
      <c r="S1367" s="50"/>
      <c r="T1367" s="50"/>
      <c r="U1367" s="52"/>
      <c r="V1367" s="53"/>
      <c r="W1367" s="60"/>
      <c r="X1367" s="56"/>
      <c r="Y1367" s="38"/>
      <c r="Z1367" s="38"/>
    </row>
    <row r="1368" spans="1:26">
      <c r="A1368" s="38"/>
      <c r="B1368" s="38"/>
      <c r="C1368" s="38"/>
      <c r="D1368" s="38"/>
      <c r="E1368" s="38"/>
      <c r="F1368" s="38"/>
      <c r="G1368" s="38"/>
      <c r="H1368" s="38"/>
      <c r="I1368" s="38"/>
      <c r="J1368" s="38"/>
      <c r="K1368" s="38"/>
      <c r="L1368" s="38"/>
      <c r="M1368" s="307"/>
      <c r="N1368" s="307"/>
      <c r="O1368" s="307"/>
      <c r="P1368" s="92"/>
      <c r="Q1368" s="14"/>
      <c r="R1368" s="50"/>
      <c r="S1368" s="50"/>
      <c r="T1368" s="50"/>
      <c r="U1368" s="52"/>
      <c r="V1368" s="53"/>
      <c r="W1368" s="60"/>
      <c r="X1368" s="56"/>
      <c r="Y1368" s="38"/>
      <c r="Z1368" s="38"/>
    </row>
    <row r="1369" spans="1:26">
      <c r="A1369" s="38"/>
      <c r="B1369" s="38"/>
      <c r="C1369" s="38"/>
      <c r="D1369" s="38"/>
      <c r="E1369" s="38"/>
      <c r="F1369" s="38"/>
      <c r="G1369" s="38"/>
      <c r="H1369" s="38"/>
      <c r="I1369" s="38"/>
      <c r="J1369" s="38"/>
      <c r="K1369" s="38"/>
      <c r="L1369" s="38"/>
      <c r="M1369" s="307"/>
      <c r="N1369" s="307"/>
      <c r="O1369" s="307"/>
      <c r="P1369" s="92"/>
      <c r="Q1369" s="14"/>
      <c r="R1369" s="50"/>
      <c r="S1369" s="50"/>
      <c r="T1369" s="50"/>
      <c r="U1369" s="52"/>
      <c r="V1369" s="53"/>
      <c r="W1369" s="60"/>
      <c r="X1369" s="56"/>
      <c r="Y1369" s="38"/>
      <c r="Z1369" s="38"/>
    </row>
    <row r="1370" spans="1:26">
      <c r="A1370" s="38"/>
      <c r="B1370" s="38"/>
      <c r="C1370" s="38"/>
      <c r="D1370" s="38"/>
      <c r="E1370" s="38"/>
      <c r="F1370" s="38"/>
      <c r="G1370" s="38"/>
      <c r="H1370" s="38"/>
      <c r="I1370" s="38"/>
      <c r="J1370" s="38"/>
      <c r="K1370" s="38"/>
      <c r="L1370" s="38"/>
      <c r="M1370" s="307"/>
      <c r="N1370" s="307"/>
      <c r="O1370" s="307"/>
      <c r="P1370" s="92"/>
      <c r="Q1370" s="14"/>
      <c r="R1370" s="50"/>
      <c r="S1370" s="50"/>
      <c r="T1370" s="50"/>
      <c r="U1370" s="52"/>
      <c r="V1370" s="53"/>
      <c r="W1370" s="60"/>
      <c r="X1370" s="56"/>
      <c r="Y1370" s="38"/>
      <c r="Z1370" s="38"/>
    </row>
    <row r="1371" spans="1:26">
      <c r="A1371" s="38"/>
      <c r="B1371" s="38"/>
      <c r="C1371" s="38"/>
      <c r="D1371" s="38"/>
      <c r="E1371" s="38"/>
      <c r="F1371" s="38"/>
      <c r="G1371" s="38"/>
      <c r="H1371" s="38"/>
      <c r="I1371" s="38"/>
      <c r="J1371" s="38"/>
      <c r="K1371" s="38"/>
      <c r="L1371" s="38"/>
      <c r="M1371" s="307"/>
      <c r="N1371" s="307"/>
      <c r="O1371" s="307"/>
      <c r="P1371" s="92"/>
      <c r="Q1371" s="14"/>
      <c r="R1371" s="50"/>
      <c r="S1371" s="50"/>
      <c r="T1371" s="50"/>
      <c r="U1371" s="52"/>
      <c r="V1371" s="53"/>
      <c r="W1371" s="60"/>
      <c r="X1371" s="56"/>
      <c r="Y1371" s="38"/>
      <c r="Z1371" s="38"/>
    </row>
    <row r="1372" spans="1:26">
      <c r="A1372" s="38"/>
      <c r="B1372" s="38"/>
      <c r="C1372" s="38"/>
      <c r="D1372" s="38"/>
      <c r="E1372" s="38"/>
      <c r="F1372" s="38"/>
      <c r="G1372" s="38"/>
      <c r="H1372" s="38"/>
      <c r="I1372" s="38"/>
      <c r="J1372" s="38"/>
      <c r="K1372" s="38"/>
      <c r="L1372" s="38"/>
      <c r="M1372" s="307"/>
      <c r="N1372" s="307"/>
      <c r="O1372" s="307"/>
      <c r="P1372" s="92"/>
      <c r="Q1372" s="14"/>
      <c r="R1372" s="50"/>
      <c r="S1372" s="50"/>
      <c r="T1372" s="50"/>
      <c r="U1372" s="52"/>
      <c r="V1372" s="53"/>
      <c r="W1372" s="60"/>
      <c r="X1372" s="56"/>
      <c r="Y1372" s="38"/>
      <c r="Z1372" s="38"/>
    </row>
    <row r="1373" spans="1:26">
      <c r="A1373" s="38"/>
      <c r="B1373" s="38"/>
      <c r="C1373" s="38"/>
      <c r="D1373" s="38"/>
      <c r="E1373" s="38"/>
      <c r="F1373" s="38"/>
      <c r="G1373" s="38"/>
      <c r="H1373" s="38"/>
      <c r="I1373" s="38"/>
      <c r="J1373" s="38"/>
      <c r="K1373" s="38"/>
      <c r="L1373" s="38"/>
      <c r="M1373" s="307"/>
      <c r="N1373" s="307"/>
      <c r="O1373" s="307"/>
      <c r="P1373" s="92"/>
      <c r="Q1373" s="14"/>
      <c r="R1373" s="50"/>
      <c r="S1373" s="50"/>
      <c r="T1373" s="50"/>
      <c r="U1373" s="52"/>
      <c r="V1373" s="53"/>
      <c r="W1373" s="60"/>
      <c r="X1373" s="56"/>
      <c r="Y1373" s="38"/>
      <c r="Z1373" s="38"/>
    </row>
    <row r="1374" spans="1:26">
      <c r="A1374" s="38"/>
      <c r="B1374" s="38"/>
      <c r="C1374" s="38"/>
      <c r="D1374" s="38"/>
      <c r="E1374" s="38"/>
      <c r="F1374" s="38"/>
      <c r="G1374" s="38"/>
      <c r="H1374" s="38"/>
      <c r="I1374" s="38"/>
      <c r="J1374" s="38"/>
      <c r="K1374" s="38"/>
      <c r="L1374" s="38"/>
      <c r="M1374" s="307"/>
      <c r="N1374" s="307"/>
      <c r="O1374" s="307"/>
      <c r="P1374" s="92"/>
      <c r="Q1374" s="14"/>
      <c r="R1374" s="50"/>
      <c r="S1374" s="50"/>
      <c r="T1374" s="50"/>
      <c r="U1374" s="52"/>
      <c r="V1374" s="53"/>
      <c r="W1374" s="60"/>
      <c r="X1374" s="56"/>
      <c r="Y1374" s="38"/>
      <c r="Z1374" s="38"/>
    </row>
    <row r="1375" spans="1:26">
      <c r="A1375" s="38"/>
      <c r="B1375" s="38"/>
      <c r="C1375" s="38"/>
      <c r="D1375" s="38"/>
      <c r="E1375" s="38"/>
      <c r="F1375" s="38"/>
      <c r="G1375" s="38"/>
      <c r="H1375" s="38"/>
      <c r="I1375" s="38"/>
      <c r="J1375" s="38"/>
      <c r="K1375" s="38"/>
      <c r="L1375" s="38"/>
      <c r="M1375" s="307"/>
      <c r="N1375" s="307"/>
      <c r="O1375" s="307"/>
      <c r="P1375" s="92"/>
      <c r="Q1375" s="14"/>
      <c r="R1375" s="50"/>
      <c r="S1375" s="50"/>
      <c r="T1375" s="50"/>
      <c r="U1375" s="52"/>
      <c r="V1375" s="53"/>
      <c r="W1375" s="60"/>
      <c r="X1375" s="56"/>
      <c r="Y1375" s="38"/>
      <c r="Z1375" s="38"/>
    </row>
    <row r="1376" spans="1:26">
      <c r="A1376" s="38"/>
      <c r="B1376" s="38"/>
      <c r="C1376" s="38"/>
      <c r="D1376" s="38"/>
      <c r="E1376" s="38"/>
      <c r="F1376" s="38"/>
      <c r="G1376" s="38"/>
      <c r="H1376" s="38"/>
      <c r="I1376" s="38"/>
      <c r="J1376" s="38"/>
      <c r="K1376" s="38"/>
      <c r="L1376" s="38"/>
      <c r="M1376" s="307"/>
      <c r="N1376" s="307"/>
      <c r="O1376" s="307"/>
      <c r="P1376" s="92"/>
      <c r="Q1376" s="14"/>
      <c r="R1376" s="50"/>
      <c r="S1376" s="50"/>
      <c r="T1376" s="50"/>
      <c r="U1376" s="52"/>
      <c r="V1376" s="53"/>
      <c r="W1376" s="60"/>
      <c r="X1376" s="56"/>
      <c r="Y1376" s="38"/>
      <c r="Z1376" s="38"/>
    </row>
    <row r="1377" spans="1:26">
      <c r="A1377" s="38"/>
      <c r="B1377" s="38"/>
      <c r="C1377" s="38"/>
      <c r="D1377" s="38"/>
      <c r="E1377" s="38"/>
      <c r="F1377" s="38"/>
      <c r="G1377" s="38"/>
      <c r="H1377" s="38"/>
      <c r="I1377" s="38"/>
      <c r="J1377" s="38"/>
      <c r="K1377" s="38"/>
      <c r="L1377" s="38"/>
      <c r="M1377" s="307"/>
      <c r="N1377" s="307"/>
      <c r="O1377" s="307"/>
      <c r="P1377" s="92"/>
      <c r="Q1377" s="14"/>
      <c r="R1377" s="50"/>
      <c r="S1377" s="50"/>
      <c r="T1377" s="50"/>
      <c r="U1377" s="52"/>
      <c r="V1377" s="53"/>
      <c r="W1377" s="60"/>
      <c r="X1377" s="56"/>
      <c r="Y1377" s="38"/>
      <c r="Z1377" s="38"/>
    </row>
    <row r="1378" spans="1:26">
      <c r="A1378" s="38"/>
      <c r="B1378" s="38"/>
      <c r="C1378" s="38"/>
      <c r="D1378" s="38"/>
      <c r="E1378" s="38"/>
      <c r="F1378" s="38"/>
      <c r="G1378" s="38"/>
      <c r="H1378" s="38"/>
      <c r="I1378" s="38"/>
      <c r="J1378" s="38"/>
      <c r="K1378" s="38"/>
      <c r="L1378" s="38"/>
      <c r="M1378" s="307"/>
      <c r="N1378" s="307"/>
      <c r="O1378" s="307"/>
      <c r="P1378" s="92"/>
      <c r="Q1378" s="14"/>
      <c r="R1378" s="50"/>
      <c r="S1378" s="50"/>
      <c r="T1378" s="50"/>
      <c r="U1378" s="52"/>
      <c r="V1378" s="53"/>
      <c r="W1378" s="60"/>
      <c r="X1378" s="56"/>
      <c r="Y1378" s="38"/>
      <c r="Z1378" s="38"/>
    </row>
    <row r="1379" spans="1:26">
      <c r="A1379" s="38"/>
      <c r="B1379" s="38"/>
      <c r="C1379" s="38"/>
      <c r="D1379" s="38"/>
      <c r="E1379" s="38"/>
      <c r="F1379" s="38"/>
      <c r="G1379" s="38"/>
      <c r="H1379" s="38"/>
      <c r="I1379" s="38"/>
      <c r="J1379" s="38"/>
      <c r="K1379" s="38"/>
      <c r="L1379" s="38"/>
      <c r="M1379" s="307"/>
      <c r="N1379" s="307"/>
      <c r="O1379" s="307"/>
      <c r="P1379" s="92"/>
      <c r="Q1379" s="14"/>
      <c r="R1379" s="50"/>
      <c r="S1379" s="50"/>
      <c r="T1379" s="50"/>
      <c r="U1379" s="52"/>
      <c r="V1379" s="53"/>
      <c r="W1379" s="60"/>
      <c r="X1379" s="56"/>
      <c r="Y1379" s="38"/>
      <c r="Z1379" s="38"/>
    </row>
    <row r="1380" spans="1:26">
      <c r="A1380" s="38"/>
      <c r="B1380" s="38"/>
      <c r="C1380" s="38"/>
      <c r="D1380" s="38"/>
      <c r="E1380" s="38"/>
      <c r="F1380" s="38"/>
      <c r="G1380" s="38"/>
      <c r="H1380" s="38"/>
      <c r="I1380" s="38"/>
      <c r="J1380" s="38"/>
      <c r="K1380" s="38"/>
      <c r="L1380" s="38"/>
      <c r="M1380" s="307"/>
      <c r="N1380" s="307"/>
      <c r="O1380" s="307"/>
      <c r="P1380" s="92"/>
      <c r="Q1380" s="14"/>
      <c r="R1380" s="50"/>
      <c r="S1380" s="50"/>
      <c r="T1380" s="50"/>
      <c r="U1380" s="52"/>
      <c r="V1380" s="53"/>
      <c r="W1380" s="60"/>
      <c r="X1380" s="56"/>
      <c r="Y1380" s="38"/>
      <c r="Z1380" s="38"/>
    </row>
    <row r="1381" spans="1:26">
      <c r="A1381" s="38"/>
      <c r="B1381" s="38"/>
      <c r="C1381" s="38"/>
      <c r="D1381" s="38"/>
      <c r="E1381" s="38"/>
      <c r="F1381" s="38"/>
      <c r="G1381" s="38"/>
      <c r="H1381" s="38"/>
      <c r="I1381" s="38"/>
      <c r="J1381" s="38"/>
      <c r="K1381" s="38"/>
      <c r="L1381" s="38"/>
      <c r="M1381" s="307"/>
      <c r="N1381" s="307"/>
      <c r="O1381" s="307"/>
      <c r="P1381" s="92"/>
      <c r="Q1381" s="14"/>
      <c r="R1381" s="50"/>
      <c r="S1381" s="50"/>
      <c r="T1381" s="50"/>
      <c r="U1381" s="52"/>
      <c r="V1381" s="53"/>
      <c r="W1381" s="60"/>
      <c r="X1381" s="56"/>
      <c r="Y1381" s="38"/>
      <c r="Z1381" s="38"/>
    </row>
    <row r="1382" spans="1:26">
      <c r="A1382" s="38"/>
      <c r="B1382" s="38"/>
      <c r="C1382" s="38"/>
      <c r="D1382" s="38"/>
      <c r="E1382" s="38"/>
      <c r="F1382" s="38"/>
      <c r="G1382" s="38"/>
      <c r="H1382" s="38"/>
      <c r="I1382" s="38"/>
      <c r="J1382" s="38"/>
      <c r="K1382" s="38"/>
      <c r="L1382" s="38"/>
      <c r="M1382" s="307"/>
      <c r="N1382" s="307"/>
      <c r="O1382" s="307"/>
      <c r="P1382" s="92"/>
      <c r="Q1382" s="14"/>
      <c r="R1382" s="50"/>
      <c r="S1382" s="50"/>
      <c r="T1382" s="50"/>
      <c r="U1382" s="52"/>
      <c r="V1382" s="53"/>
      <c r="W1382" s="60"/>
      <c r="X1382" s="56"/>
      <c r="Y1382" s="38"/>
      <c r="Z1382" s="38"/>
    </row>
    <row r="1383" spans="1:26">
      <c r="A1383" s="38"/>
      <c r="B1383" s="38"/>
      <c r="C1383" s="38"/>
      <c r="D1383" s="38"/>
      <c r="E1383" s="38"/>
      <c r="F1383" s="38"/>
      <c r="G1383" s="38"/>
      <c r="H1383" s="38"/>
      <c r="I1383" s="38"/>
      <c r="J1383" s="38"/>
      <c r="K1383" s="38"/>
      <c r="L1383" s="38"/>
      <c r="M1383" s="307"/>
      <c r="N1383" s="307"/>
      <c r="O1383" s="307"/>
      <c r="P1383" s="92"/>
      <c r="Q1383" s="14"/>
      <c r="R1383" s="50"/>
      <c r="S1383" s="50"/>
      <c r="T1383" s="50"/>
      <c r="U1383" s="52"/>
      <c r="V1383" s="53"/>
      <c r="W1383" s="60"/>
      <c r="X1383" s="56"/>
      <c r="Y1383" s="38"/>
      <c r="Z1383" s="38"/>
    </row>
    <row r="1384" spans="1:26">
      <c r="A1384" s="38"/>
      <c r="B1384" s="38"/>
      <c r="C1384" s="38"/>
      <c r="D1384" s="38"/>
      <c r="E1384" s="38"/>
      <c r="F1384" s="38"/>
      <c r="G1384" s="38"/>
      <c r="H1384" s="38"/>
      <c r="I1384" s="38"/>
      <c r="J1384" s="38"/>
      <c r="K1384" s="38"/>
      <c r="L1384" s="38"/>
      <c r="M1384" s="307"/>
      <c r="N1384" s="307"/>
      <c r="O1384" s="307"/>
      <c r="P1384" s="92"/>
      <c r="Q1384" s="14"/>
      <c r="R1384" s="50"/>
      <c r="S1384" s="50"/>
      <c r="T1384" s="50"/>
      <c r="U1384" s="52"/>
      <c r="V1384" s="53"/>
      <c r="W1384" s="60"/>
      <c r="X1384" s="56"/>
      <c r="Y1384" s="38"/>
      <c r="Z1384" s="38"/>
    </row>
    <row r="1385" spans="1:26">
      <c r="A1385" s="38"/>
      <c r="B1385" s="38"/>
      <c r="C1385" s="38"/>
      <c r="D1385" s="38"/>
      <c r="E1385" s="38"/>
      <c r="F1385" s="38"/>
      <c r="G1385" s="38"/>
      <c r="H1385" s="38"/>
      <c r="I1385" s="38"/>
      <c r="J1385" s="38"/>
      <c r="K1385" s="38"/>
      <c r="L1385" s="38"/>
      <c r="M1385" s="307"/>
      <c r="N1385" s="307"/>
      <c r="O1385" s="307"/>
      <c r="P1385" s="92"/>
      <c r="Q1385" s="14"/>
      <c r="R1385" s="50"/>
      <c r="S1385" s="50"/>
      <c r="T1385" s="50"/>
      <c r="U1385" s="52"/>
      <c r="V1385" s="53"/>
      <c r="W1385" s="60"/>
      <c r="X1385" s="56"/>
      <c r="Y1385" s="38"/>
      <c r="Z1385" s="38"/>
    </row>
    <row r="1386" spans="1:26">
      <c r="A1386" s="38"/>
      <c r="B1386" s="38"/>
      <c r="C1386" s="38"/>
      <c r="D1386" s="38"/>
      <c r="E1386" s="38"/>
      <c r="F1386" s="38"/>
      <c r="G1386" s="38"/>
      <c r="H1386" s="38"/>
      <c r="I1386" s="38"/>
      <c r="J1386" s="38"/>
      <c r="K1386" s="38"/>
      <c r="L1386" s="38"/>
      <c r="M1386" s="307"/>
      <c r="N1386" s="307"/>
      <c r="O1386" s="307"/>
      <c r="P1386" s="92"/>
      <c r="Q1386" s="14"/>
      <c r="R1386" s="50"/>
      <c r="S1386" s="50"/>
      <c r="T1386" s="50"/>
      <c r="U1386" s="52"/>
      <c r="V1386" s="53"/>
      <c r="W1386" s="60"/>
      <c r="X1386" s="56"/>
      <c r="Y1386" s="38"/>
      <c r="Z1386" s="38"/>
    </row>
    <row r="1387" spans="1:26">
      <c r="A1387" s="38"/>
      <c r="B1387" s="38"/>
      <c r="C1387" s="38"/>
      <c r="D1387" s="38"/>
      <c r="E1387" s="38"/>
      <c r="F1387" s="38"/>
      <c r="G1387" s="38"/>
      <c r="H1387" s="38"/>
      <c r="I1387" s="38"/>
      <c r="J1387" s="38"/>
      <c r="K1387" s="38"/>
      <c r="L1387" s="38"/>
      <c r="M1387" s="307"/>
      <c r="N1387" s="307"/>
      <c r="O1387" s="307"/>
      <c r="P1387" s="92"/>
      <c r="Q1387" s="14"/>
      <c r="R1387" s="50"/>
      <c r="S1387" s="50"/>
      <c r="T1387" s="50"/>
      <c r="U1387" s="52"/>
      <c r="V1387" s="53"/>
      <c r="W1387" s="60"/>
      <c r="X1387" s="56"/>
      <c r="Y1387" s="38"/>
      <c r="Z1387" s="38"/>
    </row>
    <row r="1388" spans="1:26">
      <c r="A1388" s="38"/>
      <c r="B1388" s="38"/>
      <c r="C1388" s="38"/>
      <c r="D1388" s="38"/>
      <c r="E1388" s="38"/>
      <c r="F1388" s="38"/>
      <c r="G1388" s="38"/>
      <c r="H1388" s="38"/>
      <c r="I1388" s="38"/>
      <c r="J1388" s="38"/>
      <c r="K1388" s="38"/>
      <c r="L1388" s="38"/>
      <c r="M1388" s="307"/>
      <c r="N1388" s="307"/>
      <c r="O1388" s="307"/>
      <c r="P1388" s="92"/>
      <c r="Q1388" s="14"/>
      <c r="R1388" s="50"/>
      <c r="S1388" s="50"/>
      <c r="T1388" s="50"/>
      <c r="U1388" s="52"/>
      <c r="V1388" s="53"/>
      <c r="W1388" s="60"/>
      <c r="X1388" s="56"/>
      <c r="Y1388" s="38"/>
      <c r="Z1388" s="38"/>
    </row>
  </sheetData>
  <autoFilter ref="A1:F1217" xr:uid="{03588C03-279E-4877-AC43-95E22F523B57}">
    <filterColumn colId="1">
      <customFilters>
        <customFilter operator="notEqual" val=" "/>
      </customFilters>
    </filterColumn>
  </autoFilter>
  <conditionalFormatting sqref="G324">
    <cfRule type="notContainsBlanks" dxfId="0" priority="1">
      <formula>LEN(TRIM(G324))&gt;0</formula>
    </cfRule>
  </conditionalFormatting>
  <dataValidations count="1">
    <dataValidation type="list" allowBlank="1" showErrorMessage="1" sqref="U2:U38 U46:U65 U68 U72 U75 U80 U84:U86 U88 U93 U95 U97 U99 U101 U103:U104 U106 U109 U114 U116 U119 U124:U153 U160:U161 U187:U198 U220:U222 U224:U233 U246 U271 U282:U287 U297:U298 U370 U385 U394:U409 U450:U461 U473:U477 U496:U510 U520:U610 U628 U655 U659:U996 U1009:U1092 U1098:U1109 U1115:U1124 U1131:U1145 U1167:U1175 U1186:U1188 U1203:U1217" xr:uid="{00000000-0002-0000-0C00-000002000000}">
      <formula1>"Yes,No"</formula1>
    </dataValidation>
  </dataValidations>
  <hyperlinks>
    <hyperlink ref="F2" r:id="rId1" xr:uid="{00000000-0004-0000-0C00-000000000000}"/>
    <hyperlink ref="F3" r:id="rId2" xr:uid="{00000000-0004-0000-0C00-000001000000}"/>
    <hyperlink ref="F4" r:id="rId3" xr:uid="{00000000-0004-0000-0C00-000002000000}"/>
    <hyperlink ref="F5" r:id="rId4" xr:uid="{00000000-0004-0000-0C00-000003000000}"/>
    <hyperlink ref="F6" r:id="rId5" xr:uid="{00000000-0004-0000-0C00-000004000000}"/>
    <hyperlink ref="F7" r:id="rId6" xr:uid="{00000000-0004-0000-0C00-000005000000}"/>
    <hyperlink ref="F8" r:id="rId7" xr:uid="{00000000-0004-0000-0C00-000006000000}"/>
    <hyperlink ref="F9" r:id="rId8" xr:uid="{00000000-0004-0000-0C00-000007000000}"/>
    <hyperlink ref="F11" r:id="rId9" xr:uid="{00000000-0004-0000-0C00-000008000000}"/>
    <hyperlink ref="F12" r:id="rId10" xr:uid="{00000000-0004-0000-0C00-000009000000}"/>
    <hyperlink ref="F14" r:id="rId11" xr:uid="{00000000-0004-0000-0C00-00000A000000}"/>
    <hyperlink ref="F15" r:id="rId12" xr:uid="{00000000-0004-0000-0C00-00000B000000}"/>
    <hyperlink ref="F16" r:id="rId13" xr:uid="{00000000-0004-0000-0C00-00000C000000}"/>
    <hyperlink ref="F17" r:id="rId14" xr:uid="{00000000-0004-0000-0C00-00000D000000}"/>
    <hyperlink ref="F18" r:id="rId15" xr:uid="{00000000-0004-0000-0C00-00000E000000}"/>
    <hyperlink ref="F19" r:id="rId16" xr:uid="{00000000-0004-0000-0C00-00000F000000}"/>
    <hyperlink ref="F20" r:id="rId17" xr:uid="{00000000-0004-0000-0C00-000010000000}"/>
    <hyperlink ref="F21" r:id="rId18" xr:uid="{00000000-0004-0000-0C00-000011000000}"/>
    <hyperlink ref="F22" r:id="rId19" xr:uid="{00000000-0004-0000-0C00-000012000000}"/>
    <hyperlink ref="F23" r:id="rId20" xr:uid="{00000000-0004-0000-0C00-000013000000}"/>
    <hyperlink ref="F27" r:id="rId21" xr:uid="{00000000-0004-0000-0C00-000014000000}"/>
    <hyperlink ref="F28" r:id="rId22" xr:uid="{00000000-0004-0000-0C00-000015000000}"/>
    <hyperlink ref="F35" r:id="rId23" xr:uid="{00000000-0004-0000-0C00-000016000000}"/>
    <hyperlink ref="F39" r:id="rId24" xr:uid="{00000000-0004-0000-0C00-000017000000}"/>
    <hyperlink ref="F44" r:id="rId25" xr:uid="{00000000-0004-0000-0C00-000018000000}"/>
    <hyperlink ref="F46" r:id="rId26" xr:uid="{00000000-0004-0000-0C00-000019000000}"/>
    <hyperlink ref="F50" r:id="rId27" xr:uid="{00000000-0004-0000-0C00-00001A000000}"/>
    <hyperlink ref="F51" r:id="rId28" xr:uid="{00000000-0004-0000-0C00-00001B000000}"/>
    <hyperlink ref="F56" r:id="rId29" xr:uid="{00000000-0004-0000-0C00-00001C000000}"/>
    <hyperlink ref="F62" r:id="rId30" xr:uid="{00000000-0004-0000-0C00-00001D000000}"/>
    <hyperlink ref="F63" r:id="rId31" xr:uid="{00000000-0004-0000-0C00-00001E000000}"/>
    <hyperlink ref="F64" r:id="rId32" xr:uid="{00000000-0004-0000-0C00-00001F000000}"/>
    <hyperlink ref="F65" r:id="rId33" xr:uid="{00000000-0004-0000-0C00-000020000000}"/>
    <hyperlink ref="F68" r:id="rId34" xr:uid="{00000000-0004-0000-0C00-000021000000}"/>
    <hyperlink ref="F72" r:id="rId35" xr:uid="{00000000-0004-0000-0C00-000022000000}"/>
    <hyperlink ref="F75" r:id="rId36" xr:uid="{00000000-0004-0000-0C00-000023000000}"/>
    <hyperlink ref="F80" r:id="rId37" xr:uid="{00000000-0004-0000-0C00-000024000000}"/>
    <hyperlink ref="F84" r:id="rId38" xr:uid="{00000000-0004-0000-0C00-000025000000}"/>
    <hyperlink ref="F85" r:id="rId39" xr:uid="{00000000-0004-0000-0C00-000026000000}"/>
    <hyperlink ref="F86" r:id="rId40" xr:uid="{00000000-0004-0000-0C00-000027000000}"/>
    <hyperlink ref="F88" r:id="rId41" xr:uid="{00000000-0004-0000-0C00-000028000000}"/>
    <hyperlink ref="F93" r:id="rId42" xr:uid="{00000000-0004-0000-0C00-000029000000}"/>
    <hyperlink ref="F95" r:id="rId43" xr:uid="{00000000-0004-0000-0C00-00002A000000}"/>
    <hyperlink ref="F97" r:id="rId44" xr:uid="{00000000-0004-0000-0C00-00002B000000}"/>
    <hyperlink ref="F99" r:id="rId45" xr:uid="{00000000-0004-0000-0C00-00002C000000}"/>
    <hyperlink ref="F101" r:id="rId46" xr:uid="{00000000-0004-0000-0C00-00002D000000}"/>
    <hyperlink ref="F103" r:id="rId47" xr:uid="{00000000-0004-0000-0C00-00002E000000}"/>
    <hyperlink ref="F104" r:id="rId48" xr:uid="{00000000-0004-0000-0C00-00002F000000}"/>
    <hyperlink ref="F106" r:id="rId49" xr:uid="{00000000-0004-0000-0C00-000030000000}"/>
    <hyperlink ref="F109" r:id="rId50" xr:uid="{00000000-0004-0000-0C00-000031000000}"/>
    <hyperlink ref="F114" r:id="rId51" xr:uid="{00000000-0004-0000-0C00-000032000000}"/>
    <hyperlink ref="F116" r:id="rId52" xr:uid="{00000000-0004-0000-0C00-000033000000}"/>
    <hyperlink ref="F119" r:id="rId53" xr:uid="{00000000-0004-0000-0C00-000034000000}"/>
    <hyperlink ref="F124" r:id="rId54" xr:uid="{00000000-0004-0000-0C00-000035000000}"/>
    <hyperlink ref="F125" r:id="rId55" xr:uid="{00000000-0004-0000-0C00-000036000000}"/>
    <hyperlink ref="F126" r:id="rId56" xr:uid="{00000000-0004-0000-0C00-000037000000}"/>
    <hyperlink ref="F127" r:id="rId57" xr:uid="{00000000-0004-0000-0C00-000038000000}"/>
    <hyperlink ref="F128" r:id="rId58" xr:uid="{00000000-0004-0000-0C00-000039000000}"/>
    <hyperlink ref="F129" r:id="rId59" xr:uid="{00000000-0004-0000-0C00-00003A000000}"/>
    <hyperlink ref="F144" r:id="rId60" xr:uid="{00000000-0004-0000-0C00-00003B000000}"/>
    <hyperlink ref="F145" r:id="rId61" xr:uid="{00000000-0004-0000-0C00-00003C000000}"/>
    <hyperlink ref="F146" r:id="rId62" xr:uid="{00000000-0004-0000-0C00-00003D000000}"/>
    <hyperlink ref="F154" r:id="rId63" xr:uid="{00000000-0004-0000-0C00-00003E000000}"/>
    <hyperlink ref="F155" r:id="rId64" xr:uid="{00000000-0004-0000-0C00-00003F000000}"/>
    <hyperlink ref="F157" r:id="rId65" xr:uid="{00000000-0004-0000-0C00-000040000000}"/>
    <hyperlink ref="F160" r:id="rId66" xr:uid="{00000000-0004-0000-0C00-000041000000}"/>
    <hyperlink ref="F161" r:id="rId67" xr:uid="{00000000-0004-0000-0C00-000042000000}"/>
    <hyperlink ref="F162" r:id="rId68" xr:uid="{00000000-0004-0000-0C00-000043000000}"/>
    <hyperlink ref="F163" r:id="rId69" xr:uid="{00000000-0004-0000-0C00-000044000000}"/>
    <hyperlink ref="F166" r:id="rId70" xr:uid="{00000000-0004-0000-0C00-000045000000}"/>
    <hyperlink ref="F167" r:id="rId71" xr:uid="{00000000-0004-0000-0C00-000046000000}"/>
    <hyperlink ref="F168" r:id="rId72" xr:uid="{00000000-0004-0000-0C00-000047000000}"/>
    <hyperlink ref="F169" r:id="rId73" xr:uid="{00000000-0004-0000-0C00-000048000000}"/>
    <hyperlink ref="F170" r:id="rId74" xr:uid="{00000000-0004-0000-0C00-000049000000}"/>
    <hyperlink ref="F187" r:id="rId75" xr:uid="{00000000-0004-0000-0C00-00004A000000}"/>
    <hyperlink ref="F199" r:id="rId76" xr:uid="{00000000-0004-0000-0C00-00004B000000}"/>
    <hyperlink ref="F206" r:id="rId77" xr:uid="{00000000-0004-0000-0C00-00004C000000}"/>
    <hyperlink ref="F220" r:id="rId78" xr:uid="{00000000-0004-0000-0C00-00004D000000}"/>
    <hyperlink ref="F221" r:id="rId79" xr:uid="{00000000-0004-0000-0C00-00004E000000}"/>
    <hyperlink ref="F222" r:id="rId80" xr:uid="{00000000-0004-0000-0C00-00004F000000}"/>
    <hyperlink ref="F224" r:id="rId81" xr:uid="{00000000-0004-0000-0C00-000050000000}"/>
    <hyperlink ref="F225" r:id="rId82" xr:uid="{00000000-0004-0000-0C00-000051000000}"/>
    <hyperlink ref="F226" r:id="rId83" xr:uid="{00000000-0004-0000-0C00-000052000000}"/>
    <hyperlink ref="F227" r:id="rId84" xr:uid="{00000000-0004-0000-0C00-000053000000}"/>
    <hyperlink ref="F228" r:id="rId85" xr:uid="{00000000-0004-0000-0C00-000054000000}"/>
    <hyperlink ref="F229" r:id="rId86" xr:uid="{00000000-0004-0000-0C00-000055000000}"/>
    <hyperlink ref="F230" r:id="rId87" xr:uid="{00000000-0004-0000-0C00-000056000000}"/>
    <hyperlink ref="F231" r:id="rId88" xr:uid="{00000000-0004-0000-0C00-000057000000}"/>
    <hyperlink ref="F232" r:id="rId89" xr:uid="{00000000-0004-0000-0C00-000058000000}"/>
    <hyperlink ref="F233" r:id="rId90" xr:uid="{00000000-0004-0000-0C00-000059000000}"/>
    <hyperlink ref="F246" r:id="rId91" xr:uid="{00000000-0004-0000-0C00-00005A000000}"/>
    <hyperlink ref="F247" r:id="rId92" xr:uid="{00000000-0004-0000-0C00-00005B000000}"/>
    <hyperlink ref="F255" r:id="rId93" xr:uid="{00000000-0004-0000-0C00-00005C000000}"/>
    <hyperlink ref="F265" r:id="rId94" xr:uid="{00000000-0004-0000-0C00-00005D000000}"/>
    <hyperlink ref="F271" r:id="rId95" xr:uid="{00000000-0004-0000-0C00-00005E000000}"/>
    <hyperlink ref="F282" r:id="rId96" xr:uid="{00000000-0004-0000-0C00-00005F000000}"/>
    <hyperlink ref="F283" r:id="rId97" xr:uid="{00000000-0004-0000-0C00-000060000000}"/>
    <hyperlink ref="F284" r:id="rId98" xr:uid="{00000000-0004-0000-0C00-000061000000}"/>
    <hyperlink ref="F285" r:id="rId99" xr:uid="{00000000-0004-0000-0C00-000062000000}"/>
    <hyperlink ref="F286" r:id="rId100" xr:uid="{00000000-0004-0000-0C00-000063000000}"/>
    <hyperlink ref="F287" r:id="rId101" xr:uid="{00000000-0004-0000-0C00-000064000000}"/>
    <hyperlink ref="F288" r:id="rId102" xr:uid="{00000000-0004-0000-0C00-000065000000}"/>
    <hyperlink ref="F297" r:id="rId103" xr:uid="{00000000-0004-0000-0C00-000066000000}"/>
    <hyperlink ref="F298" r:id="rId104" xr:uid="{00000000-0004-0000-0C00-000067000000}"/>
    <hyperlink ref="F308" r:id="rId105" xr:uid="{00000000-0004-0000-0C00-000068000000}"/>
    <hyperlink ref="F334" r:id="rId106" xr:uid="{00000000-0004-0000-0C00-000069000000}"/>
    <hyperlink ref="F339" r:id="rId107" xr:uid="{00000000-0004-0000-0C00-00006A000000}"/>
    <hyperlink ref="F352" r:id="rId108" xr:uid="{00000000-0004-0000-0C00-00006B000000}"/>
    <hyperlink ref="F370" r:id="rId109" xr:uid="{00000000-0004-0000-0C00-00006C000000}"/>
    <hyperlink ref="F385" r:id="rId110" xr:uid="{00000000-0004-0000-0C00-00006D000000}"/>
    <hyperlink ref="F386" r:id="rId111" xr:uid="{00000000-0004-0000-0C00-00006E000000}"/>
    <hyperlink ref="F394" r:id="rId112" xr:uid="{00000000-0004-0000-0C00-00006F000000}"/>
    <hyperlink ref="F395" r:id="rId113" xr:uid="{00000000-0004-0000-0C00-000070000000}"/>
    <hyperlink ref="F396" r:id="rId114" xr:uid="{00000000-0004-0000-0C00-000071000000}"/>
    <hyperlink ref="F397" r:id="rId115" xr:uid="{00000000-0004-0000-0C00-000072000000}"/>
    <hyperlink ref="F398" r:id="rId116" xr:uid="{00000000-0004-0000-0C00-000073000000}"/>
    <hyperlink ref="F399" r:id="rId117" xr:uid="{00000000-0004-0000-0C00-000074000000}"/>
    <hyperlink ref="F400" r:id="rId118" xr:uid="{00000000-0004-0000-0C00-000075000000}"/>
    <hyperlink ref="F401" r:id="rId119" xr:uid="{00000000-0004-0000-0C00-000076000000}"/>
    <hyperlink ref="F402" r:id="rId120" xr:uid="{00000000-0004-0000-0C00-000077000000}"/>
    <hyperlink ref="F403" r:id="rId121" xr:uid="{00000000-0004-0000-0C00-000078000000}"/>
    <hyperlink ref="F404" r:id="rId122" xr:uid="{00000000-0004-0000-0C00-000079000000}"/>
    <hyperlink ref="F405" r:id="rId123" xr:uid="{00000000-0004-0000-0C00-00007A000000}"/>
    <hyperlink ref="F406" r:id="rId124" xr:uid="{00000000-0004-0000-0C00-00007B000000}"/>
    <hyperlink ref="F407" r:id="rId125" xr:uid="{00000000-0004-0000-0C00-00007C000000}"/>
    <hyperlink ref="F408" r:id="rId126" xr:uid="{00000000-0004-0000-0C00-00007D000000}"/>
    <hyperlink ref="F409" r:id="rId127" xr:uid="{00000000-0004-0000-0C00-00007E000000}"/>
    <hyperlink ref="F410" r:id="rId128" xr:uid="{00000000-0004-0000-0C00-00007F000000}"/>
    <hyperlink ref="F417" r:id="rId129" xr:uid="{00000000-0004-0000-0C00-000080000000}"/>
    <hyperlink ref="F423" r:id="rId130" xr:uid="{00000000-0004-0000-0C00-000081000000}"/>
    <hyperlink ref="F429" r:id="rId131" xr:uid="{00000000-0004-0000-0C00-000082000000}"/>
    <hyperlink ref="F432" r:id="rId132" xr:uid="{00000000-0004-0000-0C00-000083000000}"/>
    <hyperlink ref="F434" r:id="rId133" xr:uid="{00000000-0004-0000-0C00-000084000000}"/>
    <hyperlink ref="F436" r:id="rId134" xr:uid="{00000000-0004-0000-0C00-000085000000}"/>
    <hyperlink ref="F438" r:id="rId135" xr:uid="{00000000-0004-0000-0C00-000086000000}"/>
    <hyperlink ref="F440" r:id="rId136" xr:uid="{00000000-0004-0000-0C00-000087000000}"/>
    <hyperlink ref="F446" r:id="rId137" xr:uid="{00000000-0004-0000-0C00-000088000000}"/>
    <hyperlink ref="F448" r:id="rId138" xr:uid="{00000000-0004-0000-0C00-000089000000}"/>
    <hyperlink ref="F450" r:id="rId139" xr:uid="{00000000-0004-0000-0C00-00008A000000}"/>
    <hyperlink ref="F451" r:id="rId140" xr:uid="{00000000-0004-0000-0C00-00008B000000}"/>
    <hyperlink ref="F452" r:id="rId141" xr:uid="{00000000-0004-0000-0C00-00008C000000}"/>
    <hyperlink ref="F453" r:id="rId142" xr:uid="{00000000-0004-0000-0C00-00008D000000}"/>
    <hyperlink ref="F454" r:id="rId143" xr:uid="{00000000-0004-0000-0C00-00008E000000}"/>
    <hyperlink ref="F455" r:id="rId144" xr:uid="{00000000-0004-0000-0C00-00008F000000}"/>
    <hyperlink ref="F456" r:id="rId145" xr:uid="{00000000-0004-0000-0C00-000090000000}"/>
    <hyperlink ref="F457" r:id="rId146" xr:uid="{00000000-0004-0000-0C00-000091000000}"/>
    <hyperlink ref="F458" r:id="rId147" xr:uid="{00000000-0004-0000-0C00-000092000000}"/>
    <hyperlink ref="F459" r:id="rId148" xr:uid="{00000000-0004-0000-0C00-000093000000}"/>
    <hyperlink ref="F460" r:id="rId149" xr:uid="{00000000-0004-0000-0C00-000094000000}"/>
    <hyperlink ref="F461" r:id="rId150" xr:uid="{00000000-0004-0000-0C00-000095000000}"/>
    <hyperlink ref="F462" r:id="rId151" xr:uid="{00000000-0004-0000-0C00-000096000000}"/>
    <hyperlink ref="F473" r:id="rId152" xr:uid="{00000000-0004-0000-0C00-000097000000}"/>
    <hyperlink ref="F474" r:id="rId153" xr:uid="{00000000-0004-0000-0C00-000098000000}"/>
    <hyperlink ref="F475" r:id="rId154" xr:uid="{00000000-0004-0000-0C00-000099000000}"/>
    <hyperlink ref="F476" r:id="rId155" xr:uid="{00000000-0004-0000-0C00-00009A000000}"/>
    <hyperlink ref="F477" r:id="rId156" xr:uid="{00000000-0004-0000-0C00-00009B000000}"/>
    <hyperlink ref="F478" r:id="rId157" xr:uid="{00000000-0004-0000-0C00-00009C000000}"/>
    <hyperlink ref="F480" r:id="rId158" xr:uid="{00000000-0004-0000-0C00-00009D000000}"/>
    <hyperlink ref="F482" r:id="rId159" xr:uid="{00000000-0004-0000-0C00-00009E000000}"/>
    <hyperlink ref="F484" r:id="rId160" xr:uid="{00000000-0004-0000-0C00-00009F000000}"/>
    <hyperlink ref="F486" r:id="rId161" xr:uid="{00000000-0004-0000-0C00-0000A0000000}"/>
    <hyperlink ref="F488" r:id="rId162" xr:uid="{00000000-0004-0000-0C00-0000A1000000}"/>
    <hyperlink ref="F490" r:id="rId163" xr:uid="{00000000-0004-0000-0C00-0000A2000000}"/>
    <hyperlink ref="F491" r:id="rId164" xr:uid="{00000000-0004-0000-0C00-0000A3000000}"/>
    <hyperlink ref="F492" r:id="rId165" xr:uid="{00000000-0004-0000-0C00-0000A4000000}"/>
    <hyperlink ref="F494" r:id="rId166" xr:uid="{00000000-0004-0000-0C00-0000A5000000}"/>
    <hyperlink ref="F496" r:id="rId167" xr:uid="{00000000-0004-0000-0C00-0000A6000000}"/>
    <hyperlink ref="F497" r:id="rId168" xr:uid="{00000000-0004-0000-0C00-0000A7000000}"/>
    <hyperlink ref="F498" r:id="rId169" xr:uid="{00000000-0004-0000-0C00-0000A8000000}"/>
    <hyperlink ref="F499" r:id="rId170" xr:uid="{00000000-0004-0000-0C00-0000A9000000}"/>
    <hyperlink ref="F500" r:id="rId171" xr:uid="{00000000-0004-0000-0C00-0000AA000000}"/>
    <hyperlink ref="F501" r:id="rId172" xr:uid="{00000000-0004-0000-0C00-0000AB000000}"/>
    <hyperlink ref="F502" r:id="rId173" xr:uid="{00000000-0004-0000-0C00-0000AC000000}"/>
    <hyperlink ref="F503" r:id="rId174" xr:uid="{00000000-0004-0000-0C00-0000AD000000}"/>
    <hyperlink ref="F504" r:id="rId175" xr:uid="{00000000-0004-0000-0C00-0000AE000000}"/>
    <hyperlink ref="F505" r:id="rId176" xr:uid="{00000000-0004-0000-0C00-0000AF000000}"/>
    <hyperlink ref="F506" r:id="rId177" xr:uid="{00000000-0004-0000-0C00-0000B0000000}"/>
    <hyperlink ref="F507" r:id="rId178" xr:uid="{00000000-0004-0000-0C00-0000B1000000}"/>
    <hyperlink ref="F508" r:id="rId179" xr:uid="{00000000-0004-0000-0C00-0000B2000000}"/>
    <hyperlink ref="F509" r:id="rId180" xr:uid="{00000000-0004-0000-0C00-0000B3000000}"/>
    <hyperlink ref="F510" r:id="rId181" xr:uid="{00000000-0004-0000-0C00-0000B4000000}"/>
    <hyperlink ref="F520" r:id="rId182" xr:uid="{00000000-0004-0000-0C00-0000B5000000}"/>
    <hyperlink ref="F521" r:id="rId183" xr:uid="{00000000-0004-0000-0C00-0000B6000000}"/>
    <hyperlink ref="F522" r:id="rId184" xr:uid="{00000000-0004-0000-0C00-0000B7000000}"/>
    <hyperlink ref="F523" r:id="rId185" xr:uid="{00000000-0004-0000-0C00-0000B8000000}"/>
    <hyperlink ref="F524" r:id="rId186" xr:uid="{00000000-0004-0000-0C00-0000B9000000}"/>
    <hyperlink ref="F525" r:id="rId187" xr:uid="{00000000-0004-0000-0C00-0000BA000000}"/>
    <hyperlink ref="F526" r:id="rId188" xr:uid="{00000000-0004-0000-0C00-0000BB000000}"/>
    <hyperlink ref="F527" r:id="rId189" xr:uid="{00000000-0004-0000-0C00-0000BC000000}"/>
    <hyperlink ref="F528" r:id="rId190" xr:uid="{00000000-0004-0000-0C00-0000BD000000}"/>
    <hyperlink ref="F529" r:id="rId191" xr:uid="{00000000-0004-0000-0C00-0000BE000000}"/>
    <hyperlink ref="F530" r:id="rId192" xr:uid="{00000000-0004-0000-0C00-0000BF000000}"/>
    <hyperlink ref="F531" r:id="rId193" xr:uid="{00000000-0004-0000-0C00-0000C0000000}"/>
    <hyperlink ref="F532" r:id="rId194" xr:uid="{00000000-0004-0000-0C00-0000C1000000}"/>
    <hyperlink ref="F533" r:id="rId195" xr:uid="{00000000-0004-0000-0C00-0000C2000000}"/>
    <hyperlink ref="F534" r:id="rId196" xr:uid="{00000000-0004-0000-0C00-0000C3000000}"/>
    <hyperlink ref="F535" r:id="rId197" xr:uid="{00000000-0004-0000-0C00-0000C4000000}"/>
    <hyperlink ref="F536" r:id="rId198" xr:uid="{00000000-0004-0000-0C00-0000C5000000}"/>
    <hyperlink ref="F537" r:id="rId199" xr:uid="{00000000-0004-0000-0C00-0000C6000000}"/>
    <hyperlink ref="F538" r:id="rId200" xr:uid="{00000000-0004-0000-0C00-0000C7000000}"/>
    <hyperlink ref="F539" r:id="rId201" xr:uid="{00000000-0004-0000-0C00-0000C8000000}"/>
    <hyperlink ref="F540" r:id="rId202" xr:uid="{00000000-0004-0000-0C00-0000C9000000}"/>
    <hyperlink ref="F541" r:id="rId203" xr:uid="{00000000-0004-0000-0C00-0000CA000000}"/>
    <hyperlink ref="F542" r:id="rId204" xr:uid="{00000000-0004-0000-0C00-0000CB000000}"/>
    <hyperlink ref="F543" r:id="rId205" xr:uid="{00000000-0004-0000-0C00-0000CC000000}"/>
    <hyperlink ref="F544" r:id="rId206" xr:uid="{00000000-0004-0000-0C00-0000CD000000}"/>
    <hyperlink ref="F545" r:id="rId207" xr:uid="{00000000-0004-0000-0C00-0000CE000000}"/>
    <hyperlink ref="F546" r:id="rId208" xr:uid="{00000000-0004-0000-0C00-0000CF000000}"/>
    <hyperlink ref="F547" r:id="rId209" xr:uid="{00000000-0004-0000-0C00-0000D0000000}"/>
    <hyperlink ref="F548" r:id="rId210" xr:uid="{00000000-0004-0000-0C00-0000D1000000}"/>
    <hyperlink ref="F549" r:id="rId211" xr:uid="{00000000-0004-0000-0C00-0000D2000000}"/>
    <hyperlink ref="F550" r:id="rId212" xr:uid="{00000000-0004-0000-0C00-0000D3000000}"/>
    <hyperlink ref="F551" r:id="rId213" xr:uid="{00000000-0004-0000-0C00-0000D4000000}"/>
    <hyperlink ref="F552" r:id="rId214" xr:uid="{00000000-0004-0000-0C00-0000D5000000}"/>
    <hyperlink ref="F553" r:id="rId215" xr:uid="{00000000-0004-0000-0C00-0000D6000000}"/>
    <hyperlink ref="F554" r:id="rId216" xr:uid="{00000000-0004-0000-0C00-0000D7000000}"/>
    <hyperlink ref="F555" r:id="rId217" xr:uid="{00000000-0004-0000-0C00-0000D8000000}"/>
    <hyperlink ref="F556" r:id="rId218" xr:uid="{00000000-0004-0000-0C00-0000D9000000}"/>
    <hyperlink ref="F557" r:id="rId219" xr:uid="{00000000-0004-0000-0C00-0000DA000000}"/>
    <hyperlink ref="F558" r:id="rId220" xr:uid="{00000000-0004-0000-0C00-0000DB000000}"/>
    <hyperlink ref="F559" r:id="rId221" xr:uid="{00000000-0004-0000-0C00-0000DC000000}"/>
    <hyperlink ref="F560" r:id="rId222" xr:uid="{00000000-0004-0000-0C00-0000DD000000}"/>
    <hyperlink ref="F561" r:id="rId223" xr:uid="{00000000-0004-0000-0C00-0000DE000000}"/>
    <hyperlink ref="F562" r:id="rId224" xr:uid="{00000000-0004-0000-0C00-0000DF000000}"/>
    <hyperlink ref="F563" r:id="rId225" xr:uid="{00000000-0004-0000-0C00-0000E0000000}"/>
    <hyperlink ref="F564" r:id="rId226" xr:uid="{00000000-0004-0000-0C00-0000E1000000}"/>
    <hyperlink ref="F565" r:id="rId227" xr:uid="{00000000-0004-0000-0C00-0000E2000000}"/>
    <hyperlink ref="F566" r:id="rId228" xr:uid="{00000000-0004-0000-0C00-0000E3000000}"/>
    <hyperlink ref="F567" r:id="rId229" xr:uid="{00000000-0004-0000-0C00-0000E4000000}"/>
    <hyperlink ref="F568" r:id="rId230" xr:uid="{00000000-0004-0000-0C00-0000E5000000}"/>
    <hyperlink ref="F569" r:id="rId231" xr:uid="{00000000-0004-0000-0C00-0000E6000000}"/>
    <hyperlink ref="F570" r:id="rId232" xr:uid="{00000000-0004-0000-0C00-0000E7000000}"/>
    <hyperlink ref="F571" r:id="rId233" xr:uid="{00000000-0004-0000-0C00-0000E8000000}"/>
    <hyperlink ref="F572" r:id="rId234" xr:uid="{00000000-0004-0000-0C00-0000E9000000}"/>
    <hyperlink ref="F573" r:id="rId235" xr:uid="{00000000-0004-0000-0C00-0000EA000000}"/>
    <hyperlink ref="F574" r:id="rId236" xr:uid="{00000000-0004-0000-0C00-0000EB000000}"/>
    <hyperlink ref="F575" r:id="rId237" xr:uid="{00000000-0004-0000-0C00-0000EC000000}"/>
    <hyperlink ref="F576" r:id="rId238" xr:uid="{00000000-0004-0000-0C00-0000ED000000}"/>
    <hyperlink ref="F577" r:id="rId239" xr:uid="{00000000-0004-0000-0C00-0000EE000000}"/>
    <hyperlink ref="F578" r:id="rId240" xr:uid="{00000000-0004-0000-0C00-0000EF000000}"/>
    <hyperlink ref="F579" r:id="rId241" xr:uid="{00000000-0004-0000-0C00-0000F0000000}"/>
    <hyperlink ref="F580" r:id="rId242" xr:uid="{00000000-0004-0000-0C00-0000F1000000}"/>
    <hyperlink ref="F581" r:id="rId243" xr:uid="{00000000-0004-0000-0C00-0000F2000000}"/>
    <hyperlink ref="F582" r:id="rId244" xr:uid="{00000000-0004-0000-0C00-0000F3000000}"/>
    <hyperlink ref="F583" r:id="rId245" xr:uid="{00000000-0004-0000-0C00-0000F4000000}"/>
    <hyperlink ref="F584" r:id="rId246" xr:uid="{00000000-0004-0000-0C00-0000F5000000}"/>
    <hyperlink ref="F585" r:id="rId247" xr:uid="{00000000-0004-0000-0C00-0000F6000000}"/>
    <hyperlink ref="F586" r:id="rId248" xr:uid="{00000000-0004-0000-0C00-0000F7000000}"/>
    <hyperlink ref="F587" r:id="rId249" xr:uid="{00000000-0004-0000-0C00-0000F8000000}"/>
    <hyperlink ref="F588" r:id="rId250" xr:uid="{00000000-0004-0000-0C00-0000F9000000}"/>
    <hyperlink ref="F589" r:id="rId251" xr:uid="{00000000-0004-0000-0C00-0000FA000000}"/>
    <hyperlink ref="F590" r:id="rId252" xr:uid="{00000000-0004-0000-0C00-0000FB000000}"/>
    <hyperlink ref="F591" r:id="rId253" xr:uid="{00000000-0004-0000-0C00-0000FC000000}"/>
    <hyperlink ref="F592" r:id="rId254" xr:uid="{00000000-0004-0000-0C00-0000FD000000}"/>
    <hyperlink ref="F593" r:id="rId255" xr:uid="{00000000-0004-0000-0C00-0000FE000000}"/>
    <hyperlink ref="F594" r:id="rId256" xr:uid="{00000000-0004-0000-0C00-0000FF000000}"/>
    <hyperlink ref="F595" r:id="rId257" xr:uid="{00000000-0004-0000-0C00-000000010000}"/>
    <hyperlink ref="F596" r:id="rId258" xr:uid="{00000000-0004-0000-0C00-000001010000}"/>
    <hyperlink ref="F597" r:id="rId259" xr:uid="{00000000-0004-0000-0C00-000002010000}"/>
    <hyperlink ref="F598" r:id="rId260" xr:uid="{00000000-0004-0000-0C00-000003010000}"/>
    <hyperlink ref="F599" r:id="rId261" xr:uid="{00000000-0004-0000-0C00-000004010000}"/>
    <hyperlink ref="F600" r:id="rId262" xr:uid="{00000000-0004-0000-0C00-000005010000}"/>
    <hyperlink ref="F601" r:id="rId263" xr:uid="{00000000-0004-0000-0C00-000006010000}"/>
    <hyperlink ref="F602" r:id="rId264" xr:uid="{00000000-0004-0000-0C00-000007010000}"/>
    <hyperlink ref="F603" r:id="rId265" xr:uid="{00000000-0004-0000-0C00-000008010000}"/>
    <hyperlink ref="F604" r:id="rId266" xr:uid="{00000000-0004-0000-0C00-000009010000}"/>
    <hyperlink ref="F605" r:id="rId267" xr:uid="{00000000-0004-0000-0C00-00000A010000}"/>
    <hyperlink ref="F606" r:id="rId268" xr:uid="{00000000-0004-0000-0C00-00000B010000}"/>
    <hyperlink ref="F607" r:id="rId269" xr:uid="{00000000-0004-0000-0C00-00000C010000}"/>
    <hyperlink ref="F608" r:id="rId270" xr:uid="{00000000-0004-0000-0C00-00000D010000}"/>
    <hyperlink ref="F609" r:id="rId271" xr:uid="{00000000-0004-0000-0C00-00000E010000}"/>
    <hyperlink ref="F610" r:id="rId272" xr:uid="{00000000-0004-0000-0C00-00000F010000}"/>
    <hyperlink ref="F611" r:id="rId273" xr:uid="{00000000-0004-0000-0C00-000010010000}"/>
    <hyperlink ref="F628" r:id="rId274" xr:uid="{00000000-0004-0000-0C00-000011010000}"/>
    <hyperlink ref="F629" r:id="rId275" xr:uid="{00000000-0004-0000-0C00-000012010000}"/>
    <hyperlink ref="F644" r:id="rId276" xr:uid="{00000000-0004-0000-0C00-000013010000}"/>
    <hyperlink ref="F655" r:id="rId277" xr:uid="{00000000-0004-0000-0C00-000014010000}"/>
    <hyperlink ref="F656" r:id="rId278" xr:uid="{00000000-0004-0000-0C00-000015010000}"/>
    <hyperlink ref="F659" r:id="rId279" xr:uid="{00000000-0004-0000-0C00-000016010000}"/>
    <hyperlink ref="F660" r:id="rId280" xr:uid="{00000000-0004-0000-0C00-000017010000}"/>
    <hyperlink ref="F661" r:id="rId281" xr:uid="{00000000-0004-0000-0C00-000018010000}"/>
    <hyperlink ref="F662" r:id="rId282" xr:uid="{00000000-0004-0000-0C00-000019010000}"/>
    <hyperlink ref="F663" r:id="rId283" xr:uid="{00000000-0004-0000-0C00-00001A010000}"/>
    <hyperlink ref="F664" r:id="rId284" xr:uid="{00000000-0004-0000-0C00-00001B010000}"/>
    <hyperlink ref="F665" r:id="rId285" xr:uid="{00000000-0004-0000-0C00-00001C010000}"/>
    <hyperlink ref="F666" r:id="rId286" xr:uid="{00000000-0004-0000-0C00-00001D010000}"/>
    <hyperlink ref="F667" r:id="rId287" xr:uid="{00000000-0004-0000-0C00-00001E010000}"/>
    <hyperlink ref="F668" r:id="rId288" xr:uid="{00000000-0004-0000-0C00-00001F010000}"/>
    <hyperlink ref="F669" r:id="rId289" xr:uid="{00000000-0004-0000-0C00-000020010000}"/>
    <hyperlink ref="F670" r:id="rId290" xr:uid="{00000000-0004-0000-0C00-000021010000}"/>
    <hyperlink ref="F671" r:id="rId291" xr:uid="{00000000-0004-0000-0C00-000022010000}"/>
    <hyperlink ref="F672" r:id="rId292" xr:uid="{00000000-0004-0000-0C00-000023010000}"/>
    <hyperlink ref="F673" r:id="rId293" xr:uid="{00000000-0004-0000-0C00-000024010000}"/>
    <hyperlink ref="F674" r:id="rId294" xr:uid="{00000000-0004-0000-0C00-000025010000}"/>
    <hyperlink ref="F675" r:id="rId295" xr:uid="{00000000-0004-0000-0C00-000026010000}"/>
    <hyperlink ref="F676" r:id="rId296" xr:uid="{00000000-0004-0000-0C00-000027010000}"/>
    <hyperlink ref="F677" r:id="rId297" xr:uid="{00000000-0004-0000-0C00-000028010000}"/>
    <hyperlink ref="F678" r:id="rId298" xr:uid="{00000000-0004-0000-0C00-000029010000}"/>
    <hyperlink ref="F679" r:id="rId299" xr:uid="{00000000-0004-0000-0C00-00002A010000}"/>
    <hyperlink ref="F680" r:id="rId300" xr:uid="{00000000-0004-0000-0C00-00002B010000}"/>
    <hyperlink ref="F681" r:id="rId301" xr:uid="{00000000-0004-0000-0C00-00002C010000}"/>
    <hyperlink ref="F682" r:id="rId302" xr:uid="{00000000-0004-0000-0C00-00002D010000}"/>
    <hyperlink ref="F683" r:id="rId303" xr:uid="{00000000-0004-0000-0C00-00002E010000}"/>
    <hyperlink ref="F684" r:id="rId304" xr:uid="{00000000-0004-0000-0C00-00002F010000}"/>
    <hyperlink ref="F685" r:id="rId305" xr:uid="{00000000-0004-0000-0C00-000030010000}"/>
    <hyperlink ref="F686" r:id="rId306" xr:uid="{00000000-0004-0000-0C00-000031010000}"/>
    <hyperlink ref="F687" r:id="rId307" xr:uid="{00000000-0004-0000-0C00-000032010000}"/>
    <hyperlink ref="F688" r:id="rId308" xr:uid="{00000000-0004-0000-0C00-000033010000}"/>
    <hyperlink ref="F689" r:id="rId309" xr:uid="{00000000-0004-0000-0C00-000034010000}"/>
    <hyperlink ref="F690" r:id="rId310" xr:uid="{00000000-0004-0000-0C00-000035010000}"/>
    <hyperlink ref="F691" r:id="rId311" xr:uid="{00000000-0004-0000-0C00-000036010000}"/>
    <hyperlink ref="F692" r:id="rId312" xr:uid="{00000000-0004-0000-0C00-000037010000}"/>
    <hyperlink ref="F693" r:id="rId313" xr:uid="{00000000-0004-0000-0C00-000038010000}"/>
    <hyperlink ref="F694" r:id="rId314" xr:uid="{00000000-0004-0000-0C00-000039010000}"/>
    <hyperlink ref="F695" r:id="rId315" xr:uid="{00000000-0004-0000-0C00-00003A010000}"/>
    <hyperlink ref="F696" r:id="rId316" xr:uid="{00000000-0004-0000-0C00-00003B010000}"/>
    <hyperlink ref="F697" r:id="rId317" xr:uid="{00000000-0004-0000-0C00-00003C010000}"/>
    <hyperlink ref="F698" r:id="rId318" xr:uid="{00000000-0004-0000-0C00-00003D010000}"/>
    <hyperlink ref="F699" r:id="rId319" xr:uid="{00000000-0004-0000-0C00-00003E010000}"/>
    <hyperlink ref="F700" r:id="rId320" xr:uid="{00000000-0004-0000-0C00-00003F010000}"/>
    <hyperlink ref="F701" r:id="rId321" xr:uid="{00000000-0004-0000-0C00-000040010000}"/>
    <hyperlink ref="F702" r:id="rId322" xr:uid="{00000000-0004-0000-0C00-000041010000}"/>
    <hyperlink ref="F703" r:id="rId323" xr:uid="{00000000-0004-0000-0C00-000042010000}"/>
    <hyperlink ref="F704" r:id="rId324" xr:uid="{00000000-0004-0000-0C00-000043010000}"/>
    <hyperlink ref="F705" r:id="rId325" xr:uid="{00000000-0004-0000-0C00-000044010000}"/>
    <hyperlink ref="F706" r:id="rId326" xr:uid="{00000000-0004-0000-0C00-000045010000}"/>
    <hyperlink ref="F707" r:id="rId327" xr:uid="{00000000-0004-0000-0C00-000046010000}"/>
    <hyperlink ref="F708" r:id="rId328" xr:uid="{00000000-0004-0000-0C00-000047010000}"/>
    <hyperlink ref="F709" r:id="rId329" xr:uid="{00000000-0004-0000-0C00-000048010000}"/>
    <hyperlink ref="F710" r:id="rId330" xr:uid="{00000000-0004-0000-0C00-000049010000}"/>
    <hyperlink ref="F711" r:id="rId331" xr:uid="{00000000-0004-0000-0C00-00004A010000}"/>
    <hyperlink ref="F712" r:id="rId332" xr:uid="{00000000-0004-0000-0C00-00004B010000}"/>
    <hyperlink ref="F713" r:id="rId333" xr:uid="{00000000-0004-0000-0C00-00004C010000}"/>
    <hyperlink ref="F714" r:id="rId334" xr:uid="{00000000-0004-0000-0C00-00004D010000}"/>
    <hyperlink ref="F715" r:id="rId335" xr:uid="{00000000-0004-0000-0C00-00004E010000}"/>
    <hyperlink ref="F716" r:id="rId336" xr:uid="{00000000-0004-0000-0C00-00004F010000}"/>
    <hyperlink ref="F717" r:id="rId337" xr:uid="{00000000-0004-0000-0C00-000050010000}"/>
    <hyperlink ref="F718" r:id="rId338" xr:uid="{00000000-0004-0000-0C00-000051010000}"/>
    <hyperlink ref="F719" r:id="rId339" xr:uid="{00000000-0004-0000-0C00-000052010000}"/>
    <hyperlink ref="F720" r:id="rId340" xr:uid="{00000000-0004-0000-0C00-000053010000}"/>
    <hyperlink ref="F721" r:id="rId341" xr:uid="{00000000-0004-0000-0C00-000054010000}"/>
    <hyperlink ref="F722" r:id="rId342" xr:uid="{00000000-0004-0000-0C00-000055010000}"/>
    <hyperlink ref="F723" r:id="rId343" xr:uid="{00000000-0004-0000-0C00-000056010000}"/>
    <hyperlink ref="F724" r:id="rId344" xr:uid="{00000000-0004-0000-0C00-000057010000}"/>
    <hyperlink ref="F725" r:id="rId345" xr:uid="{00000000-0004-0000-0C00-000058010000}"/>
    <hyperlink ref="F726" r:id="rId346" xr:uid="{00000000-0004-0000-0C00-000059010000}"/>
    <hyperlink ref="F727" r:id="rId347" xr:uid="{00000000-0004-0000-0C00-00005A010000}"/>
    <hyperlink ref="F728" r:id="rId348" xr:uid="{00000000-0004-0000-0C00-00005B010000}"/>
    <hyperlink ref="F729" r:id="rId349" xr:uid="{00000000-0004-0000-0C00-00005C010000}"/>
    <hyperlink ref="F730" r:id="rId350" xr:uid="{00000000-0004-0000-0C00-00005D010000}"/>
    <hyperlink ref="F731" r:id="rId351" xr:uid="{00000000-0004-0000-0C00-00005E010000}"/>
    <hyperlink ref="F732" r:id="rId352" xr:uid="{00000000-0004-0000-0C00-00005F010000}"/>
    <hyperlink ref="F733" r:id="rId353" xr:uid="{00000000-0004-0000-0C00-000060010000}"/>
    <hyperlink ref="F734" r:id="rId354" xr:uid="{00000000-0004-0000-0C00-000061010000}"/>
    <hyperlink ref="F735" r:id="rId355" xr:uid="{00000000-0004-0000-0C00-000062010000}"/>
    <hyperlink ref="F736" r:id="rId356" xr:uid="{00000000-0004-0000-0C00-000063010000}"/>
    <hyperlink ref="F737" r:id="rId357" xr:uid="{00000000-0004-0000-0C00-000064010000}"/>
    <hyperlink ref="F738" r:id="rId358" xr:uid="{00000000-0004-0000-0C00-000065010000}"/>
    <hyperlink ref="F739" r:id="rId359" xr:uid="{00000000-0004-0000-0C00-000066010000}"/>
    <hyperlink ref="F740" r:id="rId360" xr:uid="{00000000-0004-0000-0C00-000067010000}"/>
    <hyperlink ref="F741" r:id="rId361" xr:uid="{00000000-0004-0000-0C00-000068010000}"/>
    <hyperlink ref="F742" r:id="rId362" xr:uid="{00000000-0004-0000-0C00-000069010000}"/>
    <hyperlink ref="F743" r:id="rId363" xr:uid="{00000000-0004-0000-0C00-00006A010000}"/>
    <hyperlink ref="F744" r:id="rId364" xr:uid="{00000000-0004-0000-0C00-00006B010000}"/>
    <hyperlink ref="F745" r:id="rId365" xr:uid="{00000000-0004-0000-0C00-00006C010000}"/>
    <hyperlink ref="F746" r:id="rId366" xr:uid="{00000000-0004-0000-0C00-00006D010000}"/>
    <hyperlink ref="F747" r:id="rId367" xr:uid="{00000000-0004-0000-0C00-00006E010000}"/>
    <hyperlink ref="F748" r:id="rId368" xr:uid="{00000000-0004-0000-0C00-00006F010000}"/>
    <hyperlink ref="F749" r:id="rId369" xr:uid="{00000000-0004-0000-0C00-000070010000}"/>
    <hyperlink ref="F750" r:id="rId370" xr:uid="{00000000-0004-0000-0C00-000071010000}"/>
    <hyperlink ref="F751" r:id="rId371" xr:uid="{00000000-0004-0000-0C00-000072010000}"/>
    <hyperlink ref="F752" r:id="rId372" xr:uid="{00000000-0004-0000-0C00-000073010000}"/>
    <hyperlink ref="F753" r:id="rId373" xr:uid="{00000000-0004-0000-0C00-000074010000}"/>
    <hyperlink ref="F754" r:id="rId374" xr:uid="{00000000-0004-0000-0C00-000075010000}"/>
    <hyperlink ref="F755" r:id="rId375" xr:uid="{00000000-0004-0000-0C00-000076010000}"/>
    <hyperlink ref="F756" r:id="rId376" xr:uid="{00000000-0004-0000-0C00-000077010000}"/>
    <hyperlink ref="F757" r:id="rId377" xr:uid="{00000000-0004-0000-0C00-000078010000}"/>
    <hyperlink ref="F758" r:id="rId378" xr:uid="{00000000-0004-0000-0C00-000079010000}"/>
    <hyperlink ref="F759" r:id="rId379" xr:uid="{00000000-0004-0000-0C00-00007A010000}"/>
    <hyperlink ref="F760" r:id="rId380" xr:uid="{00000000-0004-0000-0C00-00007B010000}"/>
    <hyperlink ref="F761" r:id="rId381" xr:uid="{00000000-0004-0000-0C00-00007C010000}"/>
    <hyperlink ref="F762" r:id="rId382" xr:uid="{00000000-0004-0000-0C00-00007D010000}"/>
    <hyperlink ref="F763" r:id="rId383" xr:uid="{00000000-0004-0000-0C00-00007E010000}"/>
    <hyperlink ref="F764" r:id="rId384" xr:uid="{00000000-0004-0000-0C00-00007F010000}"/>
    <hyperlink ref="F765" r:id="rId385" xr:uid="{00000000-0004-0000-0C00-000080010000}"/>
    <hyperlink ref="F766" r:id="rId386" xr:uid="{00000000-0004-0000-0C00-000081010000}"/>
    <hyperlink ref="F767" r:id="rId387" xr:uid="{00000000-0004-0000-0C00-000082010000}"/>
    <hyperlink ref="F768" r:id="rId388" xr:uid="{00000000-0004-0000-0C00-000083010000}"/>
    <hyperlink ref="F769" r:id="rId389" xr:uid="{00000000-0004-0000-0C00-000084010000}"/>
    <hyperlink ref="F770" r:id="rId390" xr:uid="{00000000-0004-0000-0C00-000085010000}"/>
    <hyperlink ref="F771" r:id="rId391" xr:uid="{00000000-0004-0000-0C00-000086010000}"/>
    <hyperlink ref="F772" r:id="rId392" xr:uid="{00000000-0004-0000-0C00-000087010000}"/>
    <hyperlink ref="F773" r:id="rId393" xr:uid="{00000000-0004-0000-0C00-000088010000}"/>
    <hyperlink ref="F774" r:id="rId394" xr:uid="{00000000-0004-0000-0C00-000089010000}"/>
    <hyperlink ref="F775" r:id="rId395" xr:uid="{00000000-0004-0000-0C00-00008A010000}"/>
    <hyperlink ref="F776" r:id="rId396" xr:uid="{00000000-0004-0000-0C00-00008B010000}"/>
    <hyperlink ref="F777" r:id="rId397" xr:uid="{00000000-0004-0000-0C00-00008C010000}"/>
    <hyperlink ref="F778" r:id="rId398" xr:uid="{00000000-0004-0000-0C00-00008D010000}"/>
    <hyperlink ref="F779" r:id="rId399" xr:uid="{00000000-0004-0000-0C00-00008E010000}"/>
    <hyperlink ref="F780" r:id="rId400" xr:uid="{00000000-0004-0000-0C00-00008F010000}"/>
    <hyperlink ref="F781" r:id="rId401" xr:uid="{00000000-0004-0000-0C00-000090010000}"/>
    <hyperlink ref="F782" r:id="rId402" xr:uid="{00000000-0004-0000-0C00-000091010000}"/>
    <hyperlink ref="F783" r:id="rId403" xr:uid="{00000000-0004-0000-0C00-000092010000}"/>
    <hyperlink ref="F784" r:id="rId404" xr:uid="{00000000-0004-0000-0C00-000093010000}"/>
    <hyperlink ref="F785" r:id="rId405" xr:uid="{00000000-0004-0000-0C00-000094010000}"/>
    <hyperlink ref="F786" r:id="rId406" xr:uid="{00000000-0004-0000-0C00-000095010000}"/>
    <hyperlink ref="F787" r:id="rId407" xr:uid="{00000000-0004-0000-0C00-000096010000}"/>
    <hyperlink ref="F788" r:id="rId408" xr:uid="{00000000-0004-0000-0C00-000097010000}"/>
    <hyperlink ref="F789" r:id="rId409" xr:uid="{00000000-0004-0000-0C00-000098010000}"/>
    <hyperlink ref="F790" r:id="rId410" xr:uid="{00000000-0004-0000-0C00-000099010000}"/>
    <hyperlink ref="F791" r:id="rId411" xr:uid="{00000000-0004-0000-0C00-00009A010000}"/>
    <hyperlink ref="F792" r:id="rId412" xr:uid="{00000000-0004-0000-0C00-00009B010000}"/>
    <hyperlink ref="F793" r:id="rId413" xr:uid="{00000000-0004-0000-0C00-00009C010000}"/>
    <hyperlink ref="F794" r:id="rId414" xr:uid="{00000000-0004-0000-0C00-00009D010000}"/>
    <hyperlink ref="F795" r:id="rId415" xr:uid="{00000000-0004-0000-0C00-00009E010000}"/>
    <hyperlink ref="F796" r:id="rId416" xr:uid="{00000000-0004-0000-0C00-00009F010000}"/>
    <hyperlink ref="F797" r:id="rId417" xr:uid="{00000000-0004-0000-0C00-0000A0010000}"/>
    <hyperlink ref="F798" r:id="rId418" xr:uid="{00000000-0004-0000-0C00-0000A1010000}"/>
    <hyperlink ref="F799" r:id="rId419" xr:uid="{00000000-0004-0000-0C00-0000A2010000}"/>
    <hyperlink ref="F800" r:id="rId420" xr:uid="{00000000-0004-0000-0C00-0000A3010000}"/>
    <hyperlink ref="F801" r:id="rId421" xr:uid="{00000000-0004-0000-0C00-0000A4010000}"/>
    <hyperlink ref="F802" r:id="rId422" xr:uid="{00000000-0004-0000-0C00-0000A5010000}"/>
    <hyperlink ref="F803" r:id="rId423" xr:uid="{00000000-0004-0000-0C00-0000A6010000}"/>
    <hyperlink ref="F804" r:id="rId424" xr:uid="{00000000-0004-0000-0C00-0000A7010000}"/>
    <hyperlink ref="F805" r:id="rId425" xr:uid="{00000000-0004-0000-0C00-0000A8010000}"/>
    <hyperlink ref="F806" r:id="rId426" xr:uid="{00000000-0004-0000-0C00-0000A9010000}"/>
    <hyperlink ref="F807" r:id="rId427" xr:uid="{00000000-0004-0000-0C00-0000AA010000}"/>
    <hyperlink ref="F808" r:id="rId428" xr:uid="{00000000-0004-0000-0C00-0000AB010000}"/>
    <hyperlink ref="F809" r:id="rId429" xr:uid="{00000000-0004-0000-0C00-0000AC010000}"/>
    <hyperlink ref="F810" r:id="rId430" xr:uid="{00000000-0004-0000-0C00-0000AD010000}"/>
    <hyperlink ref="F811" r:id="rId431" xr:uid="{00000000-0004-0000-0C00-0000AE010000}"/>
    <hyperlink ref="F812" r:id="rId432" xr:uid="{00000000-0004-0000-0C00-0000AF010000}"/>
    <hyperlink ref="F813" r:id="rId433" xr:uid="{00000000-0004-0000-0C00-0000B0010000}"/>
    <hyperlink ref="F814" r:id="rId434" xr:uid="{00000000-0004-0000-0C00-0000B1010000}"/>
    <hyperlink ref="F815" r:id="rId435" xr:uid="{00000000-0004-0000-0C00-0000B2010000}"/>
    <hyperlink ref="F816" r:id="rId436" xr:uid="{00000000-0004-0000-0C00-0000B3010000}"/>
    <hyperlink ref="F817" r:id="rId437" xr:uid="{00000000-0004-0000-0C00-0000B4010000}"/>
    <hyperlink ref="F818" r:id="rId438" xr:uid="{00000000-0004-0000-0C00-0000B5010000}"/>
    <hyperlink ref="F819" r:id="rId439" xr:uid="{00000000-0004-0000-0C00-0000B6010000}"/>
    <hyperlink ref="F820" r:id="rId440" xr:uid="{00000000-0004-0000-0C00-0000B7010000}"/>
    <hyperlink ref="F821" r:id="rId441" xr:uid="{00000000-0004-0000-0C00-0000B8010000}"/>
    <hyperlink ref="F822" r:id="rId442" xr:uid="{00000000-0004-0000-0C00-0000B9010000}"/>
    <hyperlink ref="F823" r:id="rId443" xr:uid="{00000000-0004-0000-0C00-0000BA010000}"/>
    <hyperlink ref="F824" r:id="rId444" xr:uid="{00000000-0004-0000-0C00-0000BB010000}"/>
    <hyperlink ref="F825" r:id="rId445" xr:uid="{00000000-0004-0000-0C00-0000BC010000}"/>
    <hyperlink ref="F826" r:id="rId446" xr:uid="{00000000-0004-0000-0C00-0000BD010000}"/>
    <hyperlink ref="F827" r:id="rId447" xr:uid="{00000000-0004-0000-0C00-0000BE010000}"/>
    <hyperlink ref="F828" r:id="rId448" xr:uid="{00000000-0004-0000-0C00-0000BF010000}"/>
    <hyperlink ref="F829" r:id="rId449" xr:uid="{00000000-0004-0000-0C00-0000C0010000}"/>
    <hyperlink ref="F830" r:id="rId450" xr:uid="{00000000-0004-0000-0C00-0000C1010000}"/>
    <hyperlink ref="F831" r:id="rId451" xr:uid="{00000000-0004-0000-0C00-0000C2010000}"/>
    <hyperlink ref="F832" r:id="rId452" xr:uid="{00000000-0004-0000-0C00-0000C3010000}"/>
    <hyperlink ref="F833" r:id="rId453" xr:uid="{00000000-0004-0000-0C00-0000C4010000}"/>
    <hyperlink ref="F834" r:id="rId454" xr:uid="{00000000-0004-0000-0C00-0000C5010000}"/>
    <hyperlink ref="F835" r:id="rId455" xr:uid="{00000000-0004-0000-0C00-0000C6010000}"/>
    <hyperlink ref="F836" r:id="rId456" xr:uid="{00000000-0004-0000-0C00-0000C7010000}"/>
    <hyperlink ref="F837" r:id="rId457" xr:uid="{00000000-0004-0000-0C00-0000C8010000}"/>
    <hyperlink ref="F838" r:id="rId458" xr:uid="{00000000-0004-0000-0C00-0000C9010000}"/>
    <hyperlink ref="F839" r:id="rId459" xr:uid="{00000000-0004-0000-0C00-0000CA010000}"/>
    <hyperlink ref="F840" r:id="rId460" xr:uid="{00000000-0004-0000-0C00-0000CB010000}"/>
    <hyperlink ref="F841" r:id="rId461" xr:uid="{00000000-0004-0000-0C00-0000CC010000}"/>
    <hyperlink ref="F842" r:id="rId462" xr:uid="{00000000-0004-0000-0C00-0000CD010000}"/>
    <hyperlink ref="F843" r:id="rId463" xr:uid="{00000000-0004-0000-0C00-0000CE010000}"/>
    <hyperlink ref="F844" r:id="rId464" xr:uid="{00000000-0004-0000-0C00-0000CF010000}"/>
    <hyperlink ref="F845" r:id="rId465" xr:uid="{00000000-0004-0000-0C00-0000D0010000}"/>
    <hyperlink ref="F846" r:id="rId466" xr:uid="{00000000-0004-0000-0C00-0000D1010000}"/>
    <hyperlink ref="F847" r:id="rId467" xr:uid="{00000000-0004-0000-0C00-0000D2010000}"/>
    <hyperlink ref="F848" r:id="rId468" xr:uid="{00000000-0004-0000-0C00-0000D3010000}"/>
    <hyperlink ref="F849" r:id="rId469" xr:uid="{00000000-0004-0000-0C00-0000D4010000}"/>
    <hyperlink ref="F850" r:id="rId470" xr:uid="{00000000-0004-0000-0C00-0000D5010000}"/>
    <hyperlink ref="F851" r:id="rId471" xr:uid="{00000000-0004-0000-0C00-0000D6010000}"/>
    <hyperlink ref="F852" r:id="rId472" xr:uid="{00000000-0004-0000-0C00-0000D7010000}"/>
    <hyperlink ref="F853" r:id="rId473" xr:uid="{00000000-0004-0000-0C00-0000D8010000}"/>
    <hyperlink ref="F854" r:id="rId474" xr:uid="{00000000-0004-0000-0C00-0000D9010000}"/>
    <hyperlink ref="F855" r:id="rId475" xr:uid="{00000000-0004-0000-0C00-0000DA010000}"/>
    <hyperlink ref="F856" r:id="rId476" xr:uid="{00000000-0004-0000-0C00-0000DB010000}"/>
    <hyperlink ref="F857" r:id="rId477" xr:uid="{00000000-0004-0000-0C00-0000DC010000}"/>
    <hyperlink ref="F858" r:id="rId478" xr:uid="{00000000-0004-0000-0C00-0000DD010000}"/>
    <hyperlink ref="F859" r:id="rId479" xr:uid="{00000000-0004-0000-0C00-0000DE010000}"/>
    <hyperlink ref="F860" r:id="rId480" xr:uid="{00000000-0004-0000-0C00-0000DF010000}"/>
    <hyperlink ref="F861" r:id="rId481" xr:uid="{00000000-0004-0000-0C00-0000E0010000}"/>
    <hyperlink ref="F862" r:id="rId482" xr:uid="{00000000-0004-0000-0C00-0000E1010000}"/>
    <hyperlink ref="F863" r:id="rId483" xr:uid="{00000000-0004-0000-0C00-0000E2010000}"/>
    <hyperlink ref="F864" r:id="rId484" xr:uid="{00000000-0004-0000-0C00-0000E3010000}"/>
    <hyperlink ref="F865" r:id="rId485" xr:uid="{00000000-0004-0000-0C00-0000E4010000}"/>
    <hyperlink ref="F866" r:id="rId486" xr:uid="{00000000-0004-0000-0C00-0000E5010000}"/>
    <hyperlink ref="F867" r:id="rId487" xr:uid="{00000000-0004-0000-0C00-0000E6010000}"/>
    <hyperlink ref="F868" r:id="rId488" xr:uid="{00000000-0004-0000-0C00-0000E7010000}"/>
    <hyperlink ref="F869" r:id="rId489" xr:uid="{00000000-0004-0000-0C00-0000E8010000}"/>
    <hyperlink ref="F870" r:id="rId490" xr:uid="{00000000-0004-0000-0C00-0000E9010000}"/>
    <hyperlink ref="F871" r:id="rId491" xr:uid="{00000000-0004-0000-0C00-0000EA010000}"/>
    <hyperlink ref="F872" r:id="rId492" xr:uid="{00000000-0004-0000-0C00-0000EB010000}"/>
    <hyperlink ref="F873" r:id="rId493" xr:uid="{00000000-0004-0000-0C00-0000EC010000}"/>
    <hyperlink ref="F874" r:id="rId494" xr:uid="{00000000-0004-0000-0C00-0000ED010000}"/>
    <hyperlink ref="F875" r:id="rId495" xr:uid="{00000000-0004-0000-0C00-0000EE010000}"/>
    <hyperlink ref="F876" r:id="rId496" xr:uid="{00000000-0004-0000-0C00-0000EF010000}"/>
    <hyperlink ref="F877" r:id="rId497" xr:uid="{00000000-0004-0000-0C00-0000F0010000}"/>
    <hyperlink ref="F878" r:id="rId498" xr:uid="{00000000-0004-0000-0C00-0000F1010000}"/>
    <hyperlink ref="F879" r:id="rId499" xr:uid="{00000000-0004-0000-0C00-0000F2010000}"/>
    <hyperlink ref="F880" r:id="rId500" xr:uid="{00000000-0004-0000-0C00-0000F3010000}"/>
    <hyperlink ref="F881" r:id="rId501" xr:uid="{00000000-0004-0000-0C00-0000F4010000}"/>
    <hyperlink ref="F882" r:id="rId502" xr:uid="{00000000-0004-0000-0C00-0000F5010000}"/>
    <hyperlink ref="F883" r:id="rId503" xr:uid="{00000000-0004-0000-0C00-0000F6010000}"/>
    <hyperlink ref="F884" r:id="rId504" xr:uid="{00000000-0004-0000-0C00-0000F7010000}"/>
    <hyperlink ref="F885" r:id="rId505" xr:uid="{00000000-0004-0000-0C00-0000F8010000}"/>
    <hyperlink ref="F886" r:id="rId506" xr:uid="{00000000-0004-0000-0C00-0000F9010000}"/>
    <hyperlink ref="F887" r:id="rId507" xr:uid="{00000000-0004-0000-0C00-0000FA010000}"/>
    <hyperlink ref="F888" r:id="rId508" xr:uid="{00000000-0004-0000-0C00-0000FB010000}"/>
    <hyperlink ref="F889" r:id="rId509" xr:uid="{00000000-0004-0000-0C00-0000FC010000}"/>
    <hyperlink ref="F890" r:id="rId510" xr:uid="{00000000-0004-0000-0C00-0000FD010000}"/>
    <hyperlink ref="F891" r:id="rId511" xr:uid="{00000000-0004-0000-0C00-0000FE010000}"/>
    <hyperlink ref="F892" r:id="rId512" xr:uid="{00000000-0004-0000-0C00-0000FF010000}"/>
    <hyperlink ref="F893" r:id="rId513" xr:uid="{00000000-0004-0000-0C00-000000020000}"/>
    <hyperlink ref="F894" r:id="rId514" xr:uid="{00000000-0004-0000-0C00-000001020000}"/>
    <hyperlink ref="F895" r:id="rId515" xr:uid="{00000000-0004-0000-0C00-000002020000}"/>
    <hyperlink ref="F896" r:id="rId516" xr:uid="{00000000-0004-0000-0C00-000003020000}"/>
    <hyperlink ref="F897" r:id="rId517" xr:uid="{00000000-0004-0000-0C00-000004020000}"/>
    <hyperlink ref="F898" r:id="rId518" xr:uid="{00000000-0004-0000-0C00-000005020000}"/>
    <hyperlink ref="F899" r:id="rId519" xr:uid="{00000000-0004-0000-0C00-000006020000}"/>
    <hyperlink ref="F900" r:id="rId520" xr:uid="{00000000-0004-0000-0C00-000007020000}"/>
    <hyperlink ref="F901" r:id="rId521" xr:uid="{00000000-0004-0000-0C00-000008020000}"/>
    <hyperlink ref="F902" r:id="rId522" xr:uid="{00000000-0004-0000-0C00-000009020000}"/>
    <hyperlink ref="F903" r:id="rId523" xr:uid="{00000000-0004-0000-0C00-00000A020000}"/>
    <hyperlink ref="F904" r:id="rId524" xr:uid="{00000000-0004-0000-0C00-00000B020000}"/>
    <hyperlink ref="F905" r:id="rId525" xr:uid="{00000000-0004-0000-0C00-00000C020000}"/>
    <hyperlink ref="F906" r:id="rId526" xr:uid="{00000000-0004-0000-0C00-00000D020000}"/>
    <hyperlink ref="F907" r:id="rId527" xr:uid="{00000000-0004-0000-0C00-00000E020000}"/>
    <hyperlink ref="F908" r:id="rId528" xr:uid="{00000000-0004-0000-0C00-00000F020000}"/>
    <hyperlink ref="F909" r:id="rId529" xr:uid="{00000000-0004-0000-0C00-000010020000}"/>
    <hyperlink ref="F910" r:id="rId530" xr:uid="{00000000-0004-0000-0C00-000011020000}"/>
    <hyperlink ref="F911" r:id="rId531" xr:uid="{00000000-0004-0000-0C00-000012020000}"/>
    <hyperlink ref="F912" r:id="rId532" xr:uid="{00000000-0004-0000-0C00-000013020000}"/>
    <hyperlink ref="F913" r:id="rId533" xr:uid="{00000000-0004-0000-0C00-000014020000}"/>
    <hyperlink ref="F914" r:id="rId534" xr:uid="{00000000-0004-0000-0C00-000015020000}"/>
    <hyperlink ref="F915" r:id="rId535" xr:uid="{00000000-0004-0000-0C00-000016020000}"/>
    <hyperlink ref="F916" r:id="rId536" xr:uid="{00000000-0004-0000-0C00-000017020000}"/>
    <hyperlink ref="F917" r:id="rId537" xr:uid="{00000000-0004-0000-0C00-000018020000}"/>
    <hyperlink ref="F918" r:id="rId538" xr:uid="{00000000-0004-0000-0C00-000019020000}"/>
    <hyperlink ref="F919" r:id="rId539" xr:uid="{00000000-0004-0000-0C00-00001A020000}"/>
    <hyperlink ref="F920" r:id="rId540" xr:uid="{00000000-0004-0000-0C00-00001B020000}"/>
    <hyperlink ref="F921" r:id="rId541" xr:uid="{00000000-0004-0000-0C00-00001C020000}"/>
    <hyperlink ref="F922" r:id="rId542" xr:uid="{00000000-0004-0000-0C00-00001D020000}"/>
    <hyperlink ref="F923" r:id="rId543" xr:uid="{00000000-0004-0000-0C00-00001E020000}"/>
    <hyperlink ref="F924" r:id="rId544" xr:uid="{00000000-0004-0000-0C00-00001F020000}"/>
    <hyperlink ref="F925" r:id="rId545" xr:uid="{00000000-0004-0000-0C00-000020020000}"/>
    <hyperlink ref="F926" r:id="rId546" xr:uid="{00000000-0004-0000-0C00-000021020000}"/>
    <hyperlink ref="F927" r:id="rId547" xr:uid="{00000000-0004-0000-0C00-000022020000}"/>
    <hyperlink ref="F928" r:id="rId548" xr:uid="{00000000-0004-0000-0C00-000023020000}"/>
    <hyperlink ref="F929" r:id="rId549" xr:uid="{00000000-0004-0000-0C00-000024020000}"/>
    <hyperlink ref="F930" r:id="rId550" xr:uid="{00000000-0004-0000-0C00-000025020000}"/>
    <hyperlink ref="F931" r:id="rId551" xr:uid="{00000000-0004-0000-0C00-000026020000}"/>
    <hyperlink ref="F932" r:id="rId552" xr:uid="{00000000-0004-0000-0C00-000027020000}"/>
    <hyperlink ref="F933" r:id="rId553" xr:uid="{00000000-0004-0000-0C00-000028020000}"/>
    <hyperlink ref="F934" r:id="rId554" xr:uid="{00000000-0004-0000-0C00-000029020000}"/>
    <hyperlink ref="F935" r:id="rId555" xr:uid="{00000000-0004-0000-0C00-00002A020000}"/>
    <hyperlink ref="F936" r:id="rId556" xr:uid="{00000000-0004-0000-0C00-00002B020000}"/>
    <hyperlink ref="F937" r:id="rId557" xr:uid="{00000000-0004-0000-0C00-00002C020000}"/>
    <hyperlink ref="F938" r:id="rId558" xr:uid="{00000000-0004-0000-0C00-00002D020000}"/>
    <hyperlink ref="F939" r:id="rId559" xr:uid="{00000000-0004-0000-0C00-00002E020000}"/>
    <hyperlink ref="F940" r:id="rId560" xr:uid="{00000000-0004-0000-0C00-00002F020000}"/>
    <hyperlink ref="F941" r:id="rId561" xr:uid="{00000000-0004-0000-0C00-000030020000}"/>
    <hyperlink ref="F942" r:id="rId562" xr:uid="{00000000-0004-0000-0C00-000031020000}"/>
    <hyperlink ref="F943" r:id="rId563" xr:uid="{00000000-0004-0000-0C00-000032020000}"/>
    <hyperlink ref="F944" r:id="rId564" xr:uid="{00000000-0004-0000-0C00-000033020000}"/>
    <hyperlink ref="F945" r:id="rId565" xr:uid="{00000000-0004-0000-0C00-000034020000}"/>
    <hyperlink ref="F946" r:id="rId566" xr:uid="{00000000-0004-0000-0C00-000035020000}"/>
    <hyperlink ref="F947" r:id="rId567" xr:uid="{00000000-0004-0000-0C00-000036020000}"/>
    <hyperlink ref="F948" r:id="rId568" xr:uid="{00000000-0004-0000-0C00-000037020000}"/>
    <hyperlink ref="F949" r:id="rId569" xr:uid="{00000000-0004-0000-0C00-000038020000}"/>
    <hyperlink ref="F950" r:id="rId570" xr:uid="{00000000-0004-0000-0C00-000039020000}"/>
    <hyperlink ref="F951" r:id="rId571" xr:uid="{00000000-0004-0000-0C00-00003A020000}"/>
    <hyperlink ref="F952" r:id="rId572" xr:uid="{00000000-0004-0000-0C00-00003B020000}"/>
    <hyperlink ref="F953" r:id="rId573" xr:uid="{00000000-0004-0000-0C00-00003C020000}"/>
    <hyperlink ref="F954" r:id="rId574" xr:uid="{00000000-0004-0000-0C00-00003D020000}"/>
    <hyperlink ref="F955" r:id="rId575" xr:uid="{00000000-0004-0000-0C00-00003E020000}"/>
    <hyperlink ref="F956" r:id="rId576" xr:uid="{00000000-0004-0000-0C00-00003F020000}"/>
    <hyperlink ref="F957" r:id="rId577" xr:uid="{00000000-0004-0000-0C00-000040020000}"/>
    <hyperlink ref="F958" r:id="rId578" xr:uid="{00000000-0004-0000-0C00-000041020000}"/>
    <hyperlink ref="F959" r:id="rId579" xr:uid="{00000000-0004-0000-0C00-000042020000}"/>
    <hyperlink ref="F960" r:id="rId580" xr:uid="{00000000-0004-0000-0C00-000043020000}"/>
    <hyperlink ref="F961" r:id="rId581" xr:uid="{00000000-0004-0000-0C00-000044020000}"/>
    <hyperlink ref="F962" r:id="rId582" xr:uid="{00000000-0004-0000-0C00-000045020000}"/>
    <hyperlink ref="F963" r:id="rId583" xr:uid="{00000000-0004-0000-0C00-000046020000}"/>
    <hyperlink ref="F964" r:id="rId584" xr:uid="{00000000-0004-0000-0C00-000047020000}"/>
    <hyperlink ref="F965" r:id="rId585" xr:uid="{00000000-0004-0000-0C00-000048020000}"/>
    <hyperlink ref="F966" r:id="rId586" xr:uid="{00000000-0004-0000-0C00-000049020000}"/>
    <hyperlink ref="F967" r:id="rId587" xr:uid="{00000000-0004-0000-0C00-00004A020000}"/>
    <hyperlink ref="F968" r:id="rId588" xr:uid="{00000000-0004-0000-0C00-00004B020000}"/>
    <hyperlink ref="F969" r:id="rId589" xr:uid="{00000000-0004-0000-0C00-00004C020000}"/>
    <hyperlink ref="F970" r:id="rId590" xr:uid="{00000000-0004-0000-0C00-00004D020000}"/>
    <hyperlink ref="F971" r:id="rId591" xr:uid="{00000000-0004-0000-0C00-00004E020000}"/>
    <hyperlink ref="F972" r:id="rId592" xr:uid="{00000000-0004-0000-0C00-00004F020000}"/>
    <hyperlink ref="F973" r:id="rId593" xr:uid="{00000000-0004-0000-0C00-000050020000}"/>
    <hyperlink ref="F974" r:id="rId594" xr:uid="{00000000-0004-0000-0C00-000051020000}"/>
    <hyperlink ref="F975" r:id="rId595" xr:uid="{00000000-0004-0000-0C00-000052020000}"/>
    <hyperlink ref="F976" r:id="rId596" xr:uid="{00000000-0004-0000-0C00-000053020000}"/>
    <hyperlink ref="F977" r:id="rId597" xr:uid="{00000000-0004-0000-0C00-000054020000}"/>
    <hyperlink ref="F978" r:id="rId598" xr:uid="{00000000-0004-0000-0C00-000055020000}"/>
    <hyperlink ref="F979" r:id="rId599" xr:uid="{00000000-0004-0000-0C00-000056020000}"/>
    <hyperlink ref="F980" r:id="rId600" xr:uid="{00000000-0004-0000-0C00-000057020000}"/>
    <hyperlink ref="F981" r:id="rId601" xr:uid="{00000000-0004-0000-0C00-000058020000}"/>
    <hyperlink ref="F982" r:id="rId602" xr:uid="{00000000-0004-0000-0C00-000059020000}"/>
    <hyperlink ref="F983" r:id="rId603" xr:uid="{00000000-0004-0000-0C00-00005A020000}"/>
    <hyperlink ref="F984" r:id="rId604" xr:uid="{00000000-0004-0000-0C00-00005B020000}"/>
    <hyperlink ref="F985" r:id="rId605" xr:uid="{00000000-0004-0000-0C00-00005C020000}"/>
    <hyperlink ref="F986" r:id="rId606" xr:uid="{00000000-0004-0000-0C00-00005D020000}"/>
    <hyperlink ref="F987" r:id="rId607" xr:uid="{00000000-0004-0000-0C00-00005E020000}"/>
    <hyperlink ref="F988" r:id="rId608" xr:uid="{00000000-0004-0000-0C00-00005F020000}"/>
    <hyperlink ref="F989" r:id="rId609" xr:uid="{00000000-0004-0000-0C00-000060020000}"/>
    <hyperlink ref="F990" r:id="rId610" xr:uid="{00000000-0004-0000-0C00-000061020000}"/>
    <hyperlink ref="F991" r:id="rId611" xr:uid="{00000000-0004-0000-0C00-000062020000}"/>
    <hyperlink ref="F992" r:id="rId612" xr:uid="{00000000-0004-0000-0C00-000063020000}"/>
    <hyperlink ref="F993" r:id="rId613" xr:uid="{00000000-0004-0000-0C00-000064020000}"/>
    <hyperlink ref="F994" r:id="rId614" xr:uid="{00000000-0004-0000-0C00-000065020000}"/>
    <hyperlink ref="F995" r:id="rId615" xr:uid="{00000000-0004-0000-0C00-000066020000}"/>
    <hyperlink ref="F996" r:id="rId616" xr:uid="{00000000-0004-0000-0C00-000067020000}"/>
    <hyperlink ref="F997" r:id="rId617" xr:uid="{00000000-0004-0000-0C00-000068020000}"/>
    <hyperlink ref="F1009" r:id="rId618" xr:uid="{00000000-0004-0000-0C00-000069020000}"/>
    <hyperlink ref="F1010" r:id="rId619" xr:uid="{00000000-0004-0000-0C00-00006A020000}"/>
    <hyperlink ref="F1011" r:id="rId620" xr:uid="{00000000-0004-0000-0C00-00006B020000}"/>
    <hyperlink ref="F1012" r:id="rId621" xr:uid="{00000000-0004-0000-0C00-00006C020000}"/>
    <hyperlink ref="F1013" r:id="rId622" xr:uid="{00000000-0004-0000-0C00-00006D020000}"/>
    <hyperlink ref="F1014" r:id="rId623" xr:uid="{00000000-0004-0000-0C00-00006E020000}"/>
    <hyperlink ref="F1015" r:id="rId624" xr:uid="{00000000-0004-0000-0C00-00006F020000}"/>
    <hyperlink ref="F1016" r:id="rId625" xr:uid="{00000000-0004-0000-0C00-000070020000}"/>
    <hyperlink ref="F1017" r:id="rId626" xr:uid="{00000000-0004-0000-0C00-000071020000}"/>
    <hyperlink ref="F1018" r:id="rId627" xr:uid="{00000000-0004-0000-0C00-000072020000}"/>
    <hyperlink ref="F1019" r:id="rId628" xr:uid="{00000000-0004-0000-0C00-000073020000}"/>
    <hyperlink ref="F1020" r:id="rId629" xr:uid="{00000000-0004-0000-0C00-000074020000}"/>
    <hyperlink ref="F1021" r:id="rId630" xr:uid="{00000000-0004-0000-0C00-000075020000}"/>
    <hyperlink ref="F1022" r:id="rId631" xr:uid="{00000000-0004-0000-0C00-000076020000}"/>
    <hyperlink ref="F1023" r:id="rId632" xr:uid="{00000000-0004-0000-0C00-000077020000}"/>
    <hyperlink ref="F1024" r:id="rId633" xr:uid="{00000000-0004-0000-0C00-000078020000}"/>
    <hyperlink ref="F1025" r:id="rId634" xr:uid="{00000000-0004-0000-0C00-000079020000}"/>
    <hyperlink ref="F1026" r:id="rId635" xr:uid="{00000000-0004-0000-0C00-00007A020000}"/>
    <hyperlink ref="F1027" r:id="rId636" xr:uid="{00000000-0004-0000-0C00-00007B020000}"/>
    <hyperlink ref="F1028" r:id="rId637" xr:uid="{00000000-0004-0000-0C00-00007C020000}"/>
    <hyperlink ref="F1029" r:id="rId638" xr:uid="{00000000-0004-0000-0C00-00007D020000}"/>
    <hyperlink ref="F1030" r:id="rId639" xr:uid="{00000000-0004-0000-0C00-00007E020000}"/>
    <hyperlink ref="F1031" r:id="rId640" xr:uid="{00000000-0004-0000-0C00-00007F020000}"/>
    <hyperlink ref="F1032" r:id="rId641" xr:uid="{00000000-0004-0000-0C00-000080020000}"/>
    <hyperlink ref="F1033" r:id="rId642" xr:uid="{00000000-0004-0000-0C00-000081020000}"/>
    <hyperlink ref="F1034" r:id="rId643" xr:uid="{00000000-0004-0000-0C00-000082020000}"/>
    <hyperlink ref="F1035" r:id="rId644" xr:uid="{00000000-0004-0000-0C00-000083020000}"/>
    <hyperlink ref="F1036" r:id="rId645" xr:uid="{00000000-0004-0000-0C00-000084020000}"/>
    <hyperlink ref="F1037" r:id="rId646" xr:uid="{00000000-0004-0000-0C00-000085020000}"/>
    <hyperlink ref="F1038" r:id="rId647" xr:uid="{00000000-0004-0000-0C00-000086020000}"/>
    <hyperlink ref="F1039" r:id="rId648" xr:uid="{00000000-0004-0000-0C00-000087020000}"/>
    <hyperlink ref="F1040" r:id="rId649" xr:uid="{00000000-0004-0000-0C00-000088020000}"/>
    <hyperlink ref="F1041" r:id="rId650" xr:uid="{00000000-0004-0000-0C00-000089020000}"/>
    <hyperlink ref="F1042" r:id="rId651" xr:uid="{00000000-0004-0000-0C00-00008A020000}"/>
    <hyperlink ref="F1043" r:id="rId652" xr:uid="{00000000-0004-0000-0C00-00008B020000}"/>
    <hyperlink ref="F1044" r:id="rId653" xr:uid="{00000000-0004-0000-0C00-00008C020000}"/>
    <hyperlink ref="F1045" r:id="rId654" xr:uid="{00000000-0004-0000-0C00-00008D020000}"/>
    <hyperlink ref="F1046" r:id="rId655" xr:uid="{00000000-0004-0000-0C00-00008E020000}"/>
    <hyperlink ref="F1047" r:id="rId656" xr:uid="{00000000-0004-0000-0C00-00008F020000}"/>
    <hyperlink ref="F1048" r:id="rId657" xr:uid="{00000000-0004-0000-0C00-000090020000}"/>
    <hyperlink ref="F1049" r:id="rId658" xr:uid="{00000000-0004-0000-0C00-000091020000}"/>
    <hyperlink ref="F1050" r:id="rId659" xr:uid="{00000000-0004-0000-0C00-000092020000}"/>
    <hyperlink ref="F1051" r:id="rId660" xr:uid="{00000000-0004-0000-0C00-000093020000}"/>
    <hyperlink ref="F1052" r:id="rId661" xr:uid="{00000000-0004-0000-0C00-000094020000}"/>
    <hyperlink ref="F1053" r:id="rId662" xr:uid="{00000000-0004-0000-0C00-000095020000}"/>
    <hyperlink ref="F1054" r:id="rId663" xr:uid="{00000000-0004-0000-0C00-000096020000}"/>
    <hyperlink ref="F1055" r:id="rId664" xr:uid="{00000000-0004-0000-0C00-000097020000}"/>
    <hyperlink ref="F1056" r:id="rId665" xr:uid="{00000000-0004-0000-0C00-000098020000}"/>
    <hyperlink ref="F1057" r:id="rId666" xr:uid="{00000000-0004-0000-0C00-000099020000}"/>
    <hyperlink ref="F1058" r:id="rId667" xr:uid="{00000000-0004-0000-0C00-00009A020000}"/>
    <hyperlink ref="F1059" r:id="rId668" xr:uid="{00000000-0004-0000-0C00-00009B020000}"/>
    <hyperlink ref="F1060" r:id="rId669" xr:uid="{00000000-0004-0000-0C00-00009C020000}"/>
    <hyperlink ref="F1061" r:id="rId670" xr:uid="{00000000-0004-0000-0C00-00009D020000}"/>
    <hyperlink ref="F1062" r:id="rId671" xr:uid="{00000000-0004-0000-0C00-00009E020000}"/>
    <hyperlink ref="F1063" r:id="rId672" xr:uid="{00000000-0004-0000-0C00-00009F020000}"/>
    <hyperlink ref="F1064" r:id="rId673" xr:uid="{00000000-0004-0000-0C00-0000A0020000}"/>
    <hyperlink ref="F1065" r:id="rId674" xr:uid="{00000000-0004-0000-0C00-0000A1020000}"/>
    <hyperlink ref="F1066" r:id="rId675" xr:uid="{00000000-0004-0000-0C00-0000A2020000}"/>
    <hyperlink ref="F1067" r:id="rId676" xr:uid="{00000000-0004-0000-0C00-0000A3020000}"/>
    <hyperlink ref="F1068" r:id="rId677" xr:uid="{00000000-0004-0000-0C00-0000A4020000}"/>
    <hyperlink ref="F1069" r:id="rId678" xr:uid="{00000000-0004-0000-0C00-0000A5020000}"/>
    <hyperlink ref="F1070" r:id="rId679" xr:uid="{00000000-0004-0000-0C00-0000A6020000}"/>
    <hyperlink ref="F1071" r:id="rId680" xr:uid="{00000000-0004-0000-0C00-0000A7020000}"/>
    <hyperlink ref="F1072" r:id="rId681" xr:uid="{00000000-0004-0000-0C00-0000A8020000}"/>
    <hyperlink ref="F1073" r:id="rId682" xr:uid="{00000000-0004-0000-0C00-0000A9020000}"/>
    <hyperlink ref="F1074" r:id="rId683" xr:uid="{00000000-0004-0000-0C00-0000AA020000}"/>
    <hyperlink ref="F1075" r:id="rId684" xr:uid="{00000000-0004-0000-0C00-0000AB020000}"/>
    <hyperlink ref="F1076" r:id="rId685" xr:uid="{00000000-0004-0000-0C00-0000AC020000}"/>
    <hyperlink ref="F1077" r:id="rId686" xr:uid="{00000000-0004-0000-0C00-0000AD020000}"/>
    <hyperlink ref="F1078" r:id="rId687" xr:uid="{00000000-0004-0000-0C00-0000AE020000}"/>
    <hyperlink ref="F1079" r:id="rId688" xr:uid="{00000000-0004-0000-0C00-0000AF020000}"/>
    <hyperlink ref="F1080" r:id="rId689" xr:uid="{00000000-0004-0000-0C00-0000B0020000}"/>
    <hyperlink ref="F1081" r:id="rId690" xr:uid="{00000000-0004-0000-0C00-0000B1020000}"/>
    <hyperlink ref="F1082" r:id="rId691" xr:uid="{00000000-0004-0000-0C00-0000B2020000}"/>
    <hyperlink ref="F1083" r:id="rId692" xr:uid="{00000000-0004-0000-0C00-0000B3020000}"/>
    <hyperlink ref="F1084" r:id="rId693" xr:uid="{00000000-0004-0000-0C00-0000B4020000}"/>
    <hyperlink ref="F1085" r:id="rId694" xr:uid="{00000000-0004-0000-0C00-0000B5020000}"/>
    <hyperlink ref="F1086" r:id="rId695" xr:uid="{00000000-0004-0000-0C00-0000B6020000}"/>
    <hyperlink ref="F1087" r:id="rId696" xr:uid="{00000000-0004-0000-0C00-0000B7020000}"/>
    <hyperlink ref="F1088" r:id="rId697" xr:uid="{00000000-0004-0000-0C00-0000B8020000}"/>
    <hyperlink ref="F1089" r:id="rId698" xr:uid="{00000000-0004-0000-0C00-0000B9020000}"/>
    <hyperlink ref="F1090" r:id="rId699" xr:uid="{00000000-0004-0000-0C00-0000BA020000}"/>
    <hyperlink ref="F1091" r:id="rId700" xr:uid="{00000000-0004-0000-0C00-0000BB020000}"/>
    <hyperlink ref="F1092" r:id="rId701" xr:uid="{00000000-0004-0000-0C00-0000BC020000}"/>
    <hyperlink ref="F1093" r:id="rId702" xr:uid="{00000000-0004-0000-0C00-0000BD020000}"/>
    <hyperlink ref="F1098" r:id="rId703" xr:uid="{00000000-0004-0000-0C00-0000BE020000}"/>
    <hyperlink ref="F1099" r:id="rId704" xr:uid="{00000000-0004-0000-0C00-0000BF020000}"/>
    <hyperlink ref="F1100" r:id="rId705" xr:uid="{00000000-0004-0000-0C00-0000C0020000}"/>
    <hyperlink ref="F1101" r:id="rId706" xr:uid="{00000000-0004-0000-0C00-0000C1020000}"/>
    <hyperlink ref="F1102" r:id="rId707" xr:uid="{00000000-0004-0000-0C00-0000C2020000}"/>
    <hyperlink ref="F1103" r:id="rId708" xr:uid="{00000000-0004-0000-0C00-0000C3020000}"/>
    <hyperlink ref="F1104" r:id="rId709" xr:uid="{00000000-0004-0000-0C00-0000C4020000}"/>
    <hyperlink ref="F1105" r:id="rId710" xr:uid="{00000000-0004-0000-0C00-0000C5020000}"/>
    <hyperlink ref="F1106" r:id="rId711" xr:uid="{00000000-0004-0000-0C00-0000C6020000}"/>
    <hyperlink ref="F1107" r:id="rId712" xr:uid="{00000000-0004-0000-0C00-0000C7020000}"/>
    <hyperlink ref="F1108" r:id="rId713" xr:uid="{00000000-0004-0000-0C00-0000C8020000}"/>
    <hyperlink ref="F1109" r:id="rId714" xr:uid="{00000000-0004-0000-0C00-0000C9020000}"/>
    <hyperlink ref="F1110" r:id="rId715" xr:uid="{00000000-0004-0000-0C00-0000CA020000}"/>
    <hyperlink ref="F1115" r:id="rId716" xr:uid="{00000000-0004-0000-0C00-0000CB020000}"/>
    <hyperlink ref="F1116" r:id="rId717" xr:uid="{00000000-0004-0000-0C00-0000CC020000}"/>
    <hyperlink ref="F1117" r:id="rId718" xr:uid="{00000000-0004-0000-0C00-0000CD020000}"/>
    <hyperlink ref="F1118" r:id="rId719" xr:uid="{00000000-0004-0000-0C00-0000CE020000}"/>
    <hyperlink ref="F1119" r:id="rId720" xr:uid="{00000000-0004-0000-0C00-0000CF020000}"/>
    <hyperlink ref="F1120" r:id="rId721" xr:uid="{00000000-0004-0000-0C00-0000D0020000}"/>
    <hyperlink ref="F1121" r:id="rId722" xr:uid="{00000000-0004-0000-0C00-0000D1020000}"/>
    <hyperlink ref="F1122" r:id="rId723" xr:uid="{00000000-0004-0000-0C00-0000D2020000}"/>
    <hyperlink ref="F1123" r:id="rId724" xr:uid="{00000000-0004-0000-0C00-0000D3020000}"/>
    <hyperlink ref="F1124" r:id="rId725" xr:uid="{00000000-0004-0000-0C00-0000D4020000}"/>
    <hyperlink ref="F1125" r:id="rId726" xr:uid="{00000000-0004-0000-0C00-0000D5020000}"/>
    <hyperlink ref="F1131" r:id="rId727" xr:uid="{00000000-0004-0000-0C00-0000D6020000}"/>
    <hyperlink ref="F1132" r:id="rId728" xr:uid="{00000000-0004-0000-0C00-0000D7020000}"/>
    <hyperlink ref="F1133" r:id="rId729" xr:uid="{00000000-0004-0000-0C00-0000D8020000}"/>
    <hyperlink ref="F1134" r:id="rId730" xr:uid="{00000000-0004-0000-0C00-0000D9020000}"/>
    <hyperlink ref="F1135" r:id="rId731" xr:uid="{00000000-0004-0000-0C00-0000DA020000}"/>
    <hyperlink ref="F1136" r:id="rId732" xr:uid="{00000000-0004-0000-0C00-0000DB020000}"/>
    <hyperlink ref="F1137" r:id="rId733" xr:uid="{00000000-0004-0000-0C00-0000DC020000}"/>
    <hyperlink ref="F1138" r:id="rId734" xr:uid="{00000000-0004-0000-0C00-0000DD020000}"/>
    <hyperlink ref="F1139" r:id="rId735" xr:uid="{00000000-0004-0000-0C00-0000DE020000}"/>
    <hyperlink ref="F1140" r:id="rId736" xr:uid="{00000000-0004-0000-0C00-0000DF020000}"/>
    <hyperlink ref="F1141" r:id="rId737" xr:uid="{00000000-0004-0000-0C00-0000E0020000}"/>
    <hyperlink ref="F1142" r:id="rId738" xr:uid="{00000000-0004-0000-0C00-0000E1020000}"/>
    <hyperlink ref="F1143" r:id="rId739" xr:uid="{00000000-0004-0000-0C00-0000E2020000}"/>
    <hyperlink ref="F1144" r:id="rId740" xr:uid="{00000000-0004-0000-0C00-0000E3020000}"/>
    <hyperlink ref="F1145" r:id="rId741" xr:uid="{00000000-0004-0000-0C00-0000E4020000}"/>
    <hyperlink ref="F1146" r:id="rId742" xr:uid="{00000000-0004-0000-0C00-0000E5020000}"/>
    <hyperlink ref="F1167" r:id="rId743" xr:uid="{00000000-0004-0000-0C00-0000E6020000}"/>
    <hyperlink ref="F1168" r:id="rId744" xr:uid="{00000000-0004-0000-0C00-0000E7020000}"/>
    <hyperlink ref="F1169" r:id="rId745" xr:uid="{00000000-0004-0000-0C00-0000E8020000}"/>
    <hyperlink ref="F1170" r:id="rId746" xr:uid="{00000000-0004-0000-0C00-0000E9020000}"/>
    <hyperlink ref="F1171" r:id="rId747" xr:uid="{00000000-0004-0000-0C00-0000EA020000}"/>
    <hyperlink ref="F1172" r:id="rId748" xr:uid="{00000000-0004-0000-0C00-0000EB020000}"/>
    <hyperlink ref="F1173" r:id="rId749" xr:uid="{00000000-0004-0000-0C00-0000EC020000}"/>
    <hyperlink ref="F1174" r:id="rId750" xr:uid="{00000000-0004-0000-0C00-0000ED020000}"/>
    <hyperlink ref="F1175" r:id="rId751" xr:uid="{00000000-0004-0000-0C00-0000EE020000}"/>
    <hyperlink ref="F1176" r:id="rId752" xr:uid="{00000000-0004-0000-0C00-0000EF020000}"/>
    <hyperlink ref="F1186" r:id="rId753" xr:uid="{00000000-0004-0000-0C00-0000F0020000}"/>
    <hyperlink ref="F1187" r:id="rId754" xr:uid="{00000000-0004-0000-0C00-0000F1020000}"/>
    <hyperlink ref="F1188" r:id="rId755" xr:uid="{00000000-0004-0000-0C00-0000F2020000}"/>
    <hyperlink ref="F1189" r:id="rId756" xr:uid="{00000000-0004-0000-0C00-0000F3020000}"/>
    <hyperlink ref="F1203" r:id="rId757" xr:uid="{00000000-0004-0000-0C00-0000F4020000}"/>
    <hyperlink ref="F1204" r:id="rId758" xr:uid="{00000000-0004-0000-0C00-0000F5020000}"/>
    <hyperlink ref="F1205" r:id="rId759" xr:uid="{00000000-0004-0000-0C00-0000F6020000}"/>
  </hyperlinks>
  <pageMargins left="0.7" right="0.7" top="0.75" bottom="0.75" header="0.3" footer="0.3"/>
  <pageSetup paperSize="9" orientation="portrait" r:id="rId760"/>
  <drawing r:id="rId761"/>
  <legacyDrawing r:id="rId762"/>
  <tableParts count="1">
    <tablePart r:id="rId763"/>
  </tableParts>
  <extLst>
    <ext xmlns:x14="http://schemas.microsoft.com/office/spreadsheetml/2009/9/main" uri="{CCE6A557-97BC-4b89-ADB6-D9C93CAAB3DF}">
      <x14:dataValidations xmlns:xm="http://schemas.microsoft.com/office/excel/2006/main" count="5">
        <x14:dataValidation type="list" allowBlank="1" xr:uid="{00000000-0002-0000-0C00-000000000000}">
          <x14:formula1>
            <xm:f>Fields!$F$2:$F$12</xm:f>
          </x14:formula1>
          <xm:sqref>C2:C65 C84:C108 C114 C124:C255 C271:C1217</xm:sqref>
        </x14:dataValidation>
        <x14:dataValidation type="list" allowBlank="1" xr:uid="{00000000-0002-0000-0C00-000001000000}">
          <x14:formula1>
            <xm:f>Fields!$F$2:$F$4</xm:f>
          </x14:formula1>
          <xm:sqref>C66:C83 C109:C113 C115:C123 C256:C270</xm:sqref>
        </x14:dataValidation>
        <x14:dataValidation type="list" allowBlank="1" xr:uid="{00000000-0002-0000-0C00-000004000000}">
          <x14:formula1>
            <xm:f>Fields!$D$2:$D$15</xm:f>
          </x14:formula1>
          <xm:sqref>B2:B65 B84:B108 B114 B124:B255 B271:B1217</xm:sqref>
        </x14:dataValidation>
        <x14:dataValidation type="list" allowBlank="1" xr:uid="{00000000-0002-0000-0C00-000006000000}">
          <x14:formula1>
            <xm:f>Fields!$A$2:$A$8</xm:f>
          </x14:formula1>
          <xm:sqref>D2:D22 D27 D44:D45 D62:D106 D109:D246 D255:D1217</xm:sqref>
        </x14:dataValidation>
        <x14:dataValidation type="list" allowBlank="1" xr:uid="{00000000-0002-0000-0C00-000007000000}">
          <x14:formula1>
            <xm:f>Fields!$D$2:$D$6</xm:f>
          </x14:formula1>
          <xm:sqref>B72:B75 B80:B83 B109:B113</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B5"/>
  <sheetViews>
    <sheetView workbookViewId="0"/>
  </sheetViews>
  <sheetFormatPr defaultColWidth="14.42578125" defaultRowHeight="15" customHeight="1"/>
  <cols>
    <col min="1" max="1" width="4.28515625" customWidth="1"/>
    <col min="2" max="2" width="6.42578125" customWidth="1"/>
    <col min="3" max="3" width="6.28515625" customWidth="1"/>
    <col min="4" max="4" width="13.2851562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2" t="s">
        <v>1</v>
      </c>
      <c r="B1" s="5" t="str">
        <f>HYPERLINK("#rangeid=2086300674","Content Owner")</f>
        <v>Content Owner</v>
      </c>
      <c r="C1" s="9" t="str">
        <f>HYPERLINK("#rangeid=632369931","Video Owner")</f>
        <v>Video Owner</v>
      </c>
      <c r="D1" s="13" t="s">
        <v>6</v>
      </c>
      <c r="E1" s="14" t="s">
        <v>12</v>
      </c>
      <c r="F1" s="16" t="s">
        <v>16</v>
      </c>
      <c r="G1" s="2" t="s">
        <v>18</v>
      </c>
      <c r="H1" s="19" t="s">
        <v>20</v>
      </c>
      <c r="I1" s="21" t="s">
        <v>22</v>
      </c>
      <c r="J1" s="2" t="s">
        <v>24</v>
      </c>
      <c r="K1" s="23" t="s">
        <v>25</v>
      </c>
      <c r="L1" s="2" t="s">
        <v>27</v>
      </c>
      <c r="M1" s="25" t="s">
        <v>28</v>
      </c>
      <c r="N1" s="25"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row>
    <row r="5" spans="1:28">
      <c r="B5" s="116" t="s">
        <v>2748</v>
      </c>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B16"/>
  <sheetViews>
    <sheetView workbookViewId="0"/>
  </sheetViews>
  <sheetFormatPr defaultColWidth="14.42578125" defaultRowHeight="15" customHeight="1"/>
  <cols>
    <col min="1" max="1" width="4.28515625" customWidth="1"/>
    <col min="2" max="2" width="6.42578125" customWidth="1"/>
    <col min="3" max="3" width="6.28515625" customWidth="1"/>
    <col min="4" max="4" width="13.2851562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2" t="s">
        <v>1</v>
      </c>
      <c r="B1" s="5" t="str">
        <f>HYPERLINK("#rangeid=2086300674","Content Owner")</f>
        <v>Content Owner</v>
      </c>
      <c r="C1" s="9" t="str">
        <f>HYPERLINK("#rangeid=632369931","Video Owner")</f>
        <v>Video Owner</v>
      </c>
      <c r="D1" s="13" t="s">
        <v>6</v>
      </c>
      <c r="E1" s="14" t="s">
        <v>12</v>
      </c>
      <c r="F1" s="16" t="s">
        <v>16</v>
      </c>
      <c r="G1" s="2" t="s">
        <v>18</v>
      </c>
      <c r="H1" s="19" t="s">
        <v>20</v>
      </c>
      <c r="I1" s="21" t="s">
        <v>22</v>
      </c>
      <c r="J1" s="2" t="s">
        <v>24</v>
      </c>
      <c r="K1" s="23" t="s">
        <v>25</v>
      </c>
      <c r="L1" s="2" t="s">
        <v>27</v>
      </c>
      <c r="M1" s="25" t="s">
        <v>28</v>
      </c>
      <c r="N1" s="25"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row>
    <row r="4" spans="1:28">
      <c r="F4" s="12"/>
    </row>
    <row r="5" spans="1:28">
      <c r="B5" s="116"/>
      <c r="F5" s="12"/>
    </row>
    <row r="6" spans="1:28">
      <c r="F6" s="12"/>
    </row>
    <row r="7" spans="1:28">
      <c r="F7" s="12"/>
    </row>
    <row r="8" spans="1:28">
      <c r="F8" s="12"/>
    </row>
    <row r="9" spans="1:28">
      <c r="F9" s="12"/>
    </row>
    <row r="10" spans="1:28">
      <c r="F10" s="12"/>
    </row>
    <row r="11" spans="1:28">
      <c r="F11" s="12"/>
    </row>
    <row r="12" spans="1:28">
      <c r="F12" s="12"/>
    </row>
    <row r="13" spans="1:28">
      <c r="F13" s="12"/>
    </row>
    <row r="14" spans="1:28">
      <c r="F14" s="12"/>
    </row>
    <row r="15" spans="1:28">
      <c r="F15" s="12"/>
    </row>
    <row r="16" spans="1:28">
      <c r="F16" s="12"/>
    </row>
  </sheetData>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B5"/>
  <sheetViews>
    <sheetView workbookViewId="0"/>
  </sheetViews>
  <sheetFormatPr defaultColWidth="14.42578125" defaultRowHeight="15" customHeight="1"/>
  <cols>
    <col min="1" max="1" width="4.28515625" customWidth="1"/>
    <col min="2" max="2" width="6.42578125" customWidth="1"/>
    <col min="3" max="3" width="6.28515625" customWidth="1"/>
    <col min="4" max="4" width="13.2851562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2" t="s">
        <v>1</v>
      </c>
      <c r="B1" s="5" t="str">
        <f>HYPERLINK("#rangeid=2086300674","Content Owner")</f>
        <v>Content Owner</v>
      </c>
      <c r="C1" s="9" t="str">
        <f>HYPERLINK("#rangeid=632369931","Video Owner")</f>
        <v>Video Owner</v>
      </c>
      <c r="D1" s="13" t="s">
        <v>6</v>
      </c>
      <c r="E1" s="14" t="s">
        <v>12</v>
      </c>
      <c r="F1" s="16" t="s">
        <v>16</v>
      </c>
      <c r="G1" s="2" t="s">
        <v>18</v>
      </c>
      <c r="H1" s="19" t="s">
        <v>20</v>
      </c>
      <c r="I1" s="21" t="s">
        <v>22</v>
      </c>
      <c r="J1" s="2" t="s">
        <v>24</v>
      </c>
      <c r="K1" s="23" t="s">
        <v>25</v>
      </c>
      <c r="L1" s="2" t="s">
        <v>27</v>
      </c>
      <c r="M1" s="25" t="s">
        <v>28</v>
      </c>
      <c r="N1" s="25"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row>
    <row r="5" spans="1:28">
      <c r="B5" s="116"/>
    </row>
  </sheetData>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B5"/>
  <sheetViews>
    <sheetView workbookViewId="0"/>
  </sheetViews>
  <sheetFormatPr defaultColWidth="14.42578125" defaultRowHeight="15" customHeight="1"/>
  <cols>
    <col min="1" max="1" width="4.28515625" customWidth="1"/>
    <col min="2" max="2" width="6.42578125" customWidth="1"/>
    <col min="3" max="3" width="6.28515625" customWidth="1"/>
    <col min="4" max="4" width="13.28515625" customWidth="1"/>
    <col min="5" max="5" width="3.5703125" customWidth="1"/>
    <col min="6" max="6" width="49.7109375" customWidth="1"/>
    <col min="7" max="7" width="20.42578125" customWidth="1"/>
    <col min="8" max="8" width="14.28515625" customWidth="1"/>
    <col min="9" max="10" width="8.42578125" customWidth="1"/>
    <col min="11" max="11" width="7.42578125" customWidth="1"/>
    <col min="12" max="12" width="9.7109375" customWidth="1"/>
    <col min="13" max="13" width="6.140625" customWidth="1"/>
    <col min="14" max="14" width="5.42578125" customWidth="1"/>
    <col min="15" max="16" width="8.42578125" customWidth="1"/>
    <col min="17" max="17" width="20.85546875" customWidth="1"/>
    <col min="18" max="18" width="6.5703125" customWidth="1"/>
    <col min="19" max="19" width="6.42578125" customWidth="1"/>
    <col min="20" max="21" width="7.5703125" customWidth="1"/>
    <col min="22" max="22" width="6.85546875" customWidth="1"/>
    <col min="23" max="23" width="7.5703125" customWidth="1"/>
    <col min="24" max="24" width="8.42578125" customWidth="1"/>
    <col min="25" max="25" width="24.7109375" customWidth="1"/>
    <col min="26" max="28" width="36.42578125" customWidth="1"/>
  </cols>
  <sheetData>
    <row r="1" spans="1:28" ht="45" customHeight="1">
      <c r="A1" s="2" t="s">
        <v>1</v>
      </c>
      <c r="B1" s="5" t="str">
        <f>HYPERLINK("#rangeid=2086300674","Content Owner")</f>
        <v>Content Owner</v>
      </c>
      <c r="C1" s="9" t="str">
        <f>HYPERLINK("#rangeid=632369931","Video Owner")</f>
        <v>Video Owner</v>
      </c>
      <c r="D1" s="13" t="s">
        <v>6</v>
      </c>
      <c r="E1" s="14" t="s">
        <v>12</v>
      </c>
      <c r="F1" s="16" t="s">
        <v>16</v>
      </c>
      <c r="G1" s="2" t="s">
        <v>18</v>
      </c>
      <c r="H1" s="19" t="s">
        <v>20</v>
      </c>
      <c r="I1" s="21" t="s">
        <v>22</v>
      </c>
      <c r="J1" s="2" t="s">
        <v>24</v>
      </c>
      <c r="K1" s="23" t="s">
        <v>25</v>
      </c>
      <c r="L1" s="2" t="s">
        <v>27</v>
      </c>
      <c r="M1" s="25" t="s">
        <v>28</v>
      </c>
      <c r="N1" s="25" t="s">
        <v>29</v>
      </c>
      <c r="O1" s="2" t="s">
        <v>30</v>
      </c>
      <c r="P1" s="2" t="s">
        <v>31</v>
      </c>
      <c r="Q1" s="2" t="s">
        <v>32</v>
      </c>
      <c r="R1" s="28" t="s">
        <v>33</v>
      </c>
      <c r="S1" s="28" t="s">
        <v>34</v>
      </c>
      <c r="T1" s="28" t="s">
        <v>35</v>
      </c>
      <c r="U1" s="29" t="s">
        <v>36</v>
      </c>
      <c r="V1" s="30" t="s">
        <v>37</v>
      </c>
      <c r="W1" s="32" t="str">
        <f>HYPERLINK("#rangeid=120001109","Replay")</f>
        <v>Replay</v>
      </c>
      <c r="X1" s="33" t="s">
        <v>49</v>
      </c>
      <c r="Y1" s="34" t="s">
        <v>52</v>
      </c>
      <c r="Z1" s="36" t="s">
        <v>53</v>
      </c>
      <c r="AA1" s="37"/>
      <c r="AB1" s="37"/>
    </row>
    <row r="5" spans="1:28">
      <c r="B5" s="116"/>
    </row>
  </sheetData>
  <pageMargins left="0.7" right="0.7" top="0.75" bottom="0.75" header="0.3" footer="0.3"/>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1005"/>
  <sheetViews>
    <sheetView workbookViewId="0"/>
  </sheetViews>
  <sheetFormatPr defaultColWidth="14.42578125" defaultRowHeight="15" customHeight="1"/>
  <cols>
    <col min="1" max="1" width="13.7109375" customWidth="1"/>
    <col min="2" max="2" width="12.5703125" customWidth="1"/>
    <col min="3" max="3" width="18.140625" customWidth="1"/>
    <col min="4" max="4" width="4.7109375" customWidth="1"/>
    <col min="5" max="5" width="24.5703125" customWidth="1"/>
    <col min="6" max="6" width="5.5703125" customWidth="1"/>
    <col min="7" max="7" width="24.140625" customWidth="1"/>
    <col min="8" max="8" width="37.28515625" customWidth="1"/>
    <col min="9" max="26" width="12.5703125" customWidth="1"/>
  </cols>
  <sheetData>
    <row r="1" spans="1:9" ht="15" customHeight="1">
      <c r="A1" s="309" t="s">
        <v>6</v>
      </c>
      <c r="B1" s="309" t="s">
        <v>2750</v>
      </c>
      <c r="C1" s="309" t="s">
        <v>35</v>
      </c>
      <c r="D1" s="440" t="s">
        <v>2751</v>
      </c>
      <c r="E1" s="439"/>
      <c r="F1" s="440" t="s">
        <v>2752</v>
      </c>
      <c r="G1" s="439"/>
    </row>
    <row r="2" spans="1:9">
      <c r="A2" s="310" t="s">
        <v>139</v>
      </c>
      <c r="B2" s="311" t="s">
        <v>63</v>
      </c>
      <c r="C2" s="311" t="s">
        <v>63</v>
      </c>
      <c r="D2" s="312" t="s">
        <v>55</v>
      </c>
      <c r="E2" s="312" t="s">
        <v>2754</v>
      </c>
      <c r="F2" s="313" t="s">
        <v>2755</v>
      </c>
      <c r="G2" s="313" t="s">
        <v>2756</v>
      </c>
      <c r="I2" s="314"/>
    </row>
    <row r="3" spans="1:9">
      <c r="A3" s="310" t="s">
        <v>2757</v>
      </c>
      <c r="B3" s="311" t="s">
        <v>131</v>
      </c>
      <c r="C3" s="311" t="s">
        <v>561</v>
      </c>
      <c r="D3" s="312" t="s">
        <v>155</v>
      </c>
      <c r="E3" s="312" t="s">
        <v>2758</v>
      </c>
      <c r="F3" s="315" t="s">
        <v>497</v>
      </c>
      <c r="G3" s="315" t="s">
        <v>2759</v>
      </c>
      <c r="I3" s="314"/>
    </row>
    <row r="4" spans="1:9">
      <c r="A4" s="310" t="s">
        <v>56</v>
      </c>
      <c r="B4" s="311" t="s">
        <v>561</v>
      </c>
      <c r="C4" s="311" t="s">
        <v>148</v>
      </c>
      <c r="D4" s="315" t="s">
        <v>54</v>
      </c>
      <c r="E4" s="312" t="s">
        <v>2760</v>
      </c>
      <c r="F4" s="315" t="s">
        <v>1806</v>
      </c>
      <c r="G4" s="313" t="s">
        <v>2761</v>
      </c>
      <c r="I4" s="314"/>
    </row>
    <row r="5" spans="1:9">
      <c r="A5" s="310" t="s">
        <v>2762</v>
      </c>
      <c r="B5" s="311"/>
      <c r="C5" s="311"/>
      <c r="D5" s="315" t="s">
        <v>497</v>
      </c>
      <c r="E5" s="315" t="s">
        <v>2759</v>
      </c>
      <c r="F5" s="315" t="s">
        <v>2729</v>
      </c>
      <c r="G5" s="316" t="s">
        <v>2763</v>
      </c>
      <c r="I5" s="314"/>
    </row>
    <row r="6" spans="1:9">
      <c r="A6" s="310" t="s">
        <v>2764</v>
      </c>
      <c r="B6" s="311"/>
      <c r="C6" s="311"/>
      <c r="D6" s="315" t="s">
        <v>1806</v>
      </c>
      <c r="E6" s="313" t="s">
        <v>2761</v>
      </c>
      <c r="F6" s="315" t="s">
        <v>596</v>
      </c>
      <c r="G6" s="316" t="s">
        <v>2765</v>
      </c>
      <c r="I6" s="317"/>
    </row>
    <row r="7" spans="1:9">
      <c r="A7" s="310" t="s">
        <v>142</v>
      </c>
      <c r="B7" s="311"/>
      <c r="C7" s="311"/>
      <c r="D7" s="315" t="s">
        <v>2729</v>
      </c>
      <c r="E7" s="316" t="s">
        <v>2763</v>
      </c>
      <c r="F7" s="315" t="s">
        <v>1951</v>
      </c>
      <c r="G7" s="316" t="s">
        <v>2766</v>
      </c>
      <c r="I7" s="318"/>
    </row>
    <row r="8" spans="1:9">
      <c r="A8" s="310" t="s">
        <v>2767</v>
      </c>
      <c r="B8" s="311"/>
      <c r="C8" s="311"/>
      <c r="D8" s="315" t="s">
        <v>596</v>
      </c>
      <c r="E8" s="316" t="s">
        <v>2765</v>
      </c>
      <c r="F8" s="315" t="s">
        <v>136</v>
      </c>
      <c r="G8" s="319" t="s">
        <v>2768</v>
      </c>
      <c r="I8" s="318"/>
    </row>
    <row r="9" spans="1:9">
      <c r="A9" s="311"/>
      <c r="B9" s="311"/>
      <c r="C9" s="311"/>
      <c r="D9" s="315" t="s">
        <v>1951</v>
      </c>
      <c r="E9" s="316" t="s">
        <v>2766</v>
      </c>
      <c r="F9" s="315" t="s">
        <v>2770</v>
      </c>
      <c r="G9" s="319" t="s">
        <v>2771</v>
      </c>
    </row>
    <row r="10" spans="1:9">
      <c r="A10" s="312"/>
      <c r="B10" s="320"/>
      <c r="C10" s="320"/>
      <c r="D10" s="315" t="s">
        <v>136</v>
      </c>
      <c r="E10" s="319" t="s">
        <v>2768</v>
      </c>
      <c r="F10" s="315" t="s">
        <v>2772</v>
      </c>
      <c r="G10" s="321" t="s">
        <v>2773</v>
      </c>
    </row>
    <row r="11" spans="1:9">
      <c r="A11" s="312"/>
      <c r="B11" s="320"/>
      <c r="C11" s="320"/>
      <c r="D11" s="315" t="s">
        <v>382</v>
      </c>
      <c r="E11" s="319" t="s">
        <v>2774</v>
      </c>
      <c r="F11" s="315" t="s">
        <v>2775</v>
      </c>
      <c r="G11" s="322" t="s">
        <v>2776</v>
      </c>
    </row>
    <row r="12" spans="1:9">
      <c r="A12" s="312"/>
      <c r="B12" s="320"/>
      <c r="C12" s="320"/>
      <c r="D12" s="315" t="s">
        <v>2770</v>
      </c>
      <c r="E12" s="319" t="s">
        <v>2771</v>
      </c>
      <c r="F12" s="315" t="s">
        <v>2777</v>
      </c>
      <c r="G12" s="322" t="s">
        <v>2778</v>
      </c>
    </row>
    <row r="13" spans="1:9">
      <c r="A13" s="312"/>
      <c r="B13" s="320"/>
      <c r="C13" s="320"/>
      <c r="D13" s="315" t="s">
        <v>2772</v>
      </c>
      <c r="E13" s="321" t="s">
        <v>2773</v>
      </c>
      <c r="F13" s="320"/>
      <c r="G13" s="320"/>
    </row>
    <row r="14" spans="1:9">
      <c r="A14" s="312"/>
      <c r="B14" s="320"/>
      <c r="C14" s="320"/>
      <c r="D14" s="315" t="s">
        <v>2777</v>
      </c>
      <c r="E14" s="322" t="s">
        <v>2778</v>
      </c>
      <c r="F14" s="320"/>
      <c r="G14" s="320"/>
    </row>
    <row r="15" spans="1:9">
      <c r="A15" s="312"/>
      <c r="B15" s="320"/>
      <c r="C15" s="320"/>
      <c r="D15" s="315" t="s">
        <v>2775</v>
      </c>
      <c r="E15" s="322" t="s">
        <v>2776</v>
      </c>
      <c r="F15" s="320"/>
      <c r="G15" s="320"/>
    </row>
    <row r="16" spans="1:9">
      <c r="A16" s="6"/>
      <c r="D16" s="6"/>
      <c r="E16" s="6"/>
    </row>
    <row r="17" spans="1:5" ht="15" customHeight="1">
      <c r="A17" s="6" t="s">
        <v>2779</v>
      </c>
      <c r="D17" s="6"/>
      <c r="E17" s="6"/>
    </row>
    <row r="18" spans="1:5" ht="15" customHeight="1">
      <c r="A18" s="88" t="s">
        <v>2780</v>
      </c>
      <c r="D18" s="6"/>
      <c r="E18" s="6"/>
    </row>
    <row r="19" spans="1:5">
      <c r="A19" s="6"/>
      <c r="D19" s="6"/>
      <c r="E19" s="6"/>
    </row>
    <row r="20" spans="1:5">
      <c r="A20" s="6"/>
      <c r="D20" s="6"/>
      <c r="E20" s="17"/>
    </row>
    <row r="21" spans="1:5">
      <c r="A21" s="6"/>
      <c r="D21" s="6"/>
      <c r="E21" s="6"/>
    </row>
    <row r="22" spans="1:5">
      <c r="A22" s="6"/>
      <c r="D22" s="6"/>
      <c r="E22" s="6"/>
    </row>
    <row r="23" spans="1:5">
      <c r="A23" s="6"/>
      <c r="D23" s="6"/>
      <c r="E23" s="6"/>
    </row>
    <row r="24" spans="1:5">
      <c r="A24" s="6"/>
      <c r="D24" s="6"/>
      <c r="E24" s="6"/>
    </row>
    <row r="25" spans="1:5">
      <c r="A25" s="6"/>
      <c r="D25" s="6"/>
      <c r="E25" s="6"/>
    </row>
    <row r="26" spans="1:5">
      <c r="A26" s="6"/>
      <c r="D26" s="6"/>
      <c r="E26" s="6"/>
    </row>
    <row r="27" spans="1:5">
      <c r="A27" s="6"/>
      <c r="D27" s="6"/>
      <c r="E27" s="6"/>
    </row>
    <row r="28" spans="1:5">
      <c r="A28" s="6"/>
      <c r="D28" s="6"/>
      <c r="E28" s="6"/>
    </row>
    <row r="29" spans="1:5">
      <c r="A29" s="6"/>
      <c r="D29" s="6"/>
      <c r="E29" s="6"/>
    </row>
    <row r="30" spans="1:5">
      <c r="A30" s="6"/>
      <c r="D30" s="6"/>
      <c r="E30" s="6"/>
    </row>
    <row r="31" spans="1:5">
      <c r="A31" s="6"/>
      <c r="D31" s="6"/>
      <c r="E31" s="6"/>
    </row>
    <row r="32" spans="1:5">
      <c r="A32" s="6"/>
      <c r="D32" s="6"/>
      <c r="E32" s="6"/>
    </row>
    <row r="33" spans="1:5">
      <c r="A33" s="6"/>
      <c r="D33" s="6"/>
      <c r="E33" s="6"/>
    </row>
    <row r="34" spans="1:5">
      <c r="A34" s="6"/>
      <c r="D34" s="6"/>
      <c r="E34" s="6"/>
    </row>
    <row r="35" spans="1:5">
      <c r="A35" s="6"/>
      <c r="D35" s="6"/>
      <c r="E35" s="6"/>
    </row>
    <row r="36" spans="1:5">
      <c r="A36" s="6"/>
      <c r="D36" s="6"/>
      <c r="E36" s="6"/>
    </row>
    <row r="37" spans="1:5">
      <c r="A37" s="6"/>
      <c r="D37" s="6"/>
      <c r="E37" s="6"/>
    </row>
    <row r="38" spans="1:5">
      <c r="A38" s="6"/>
      <c r="D38" s="6"/>
      <c r="E38" s="6"/>
    </row>
    <row r="39" spans="1:5">
      <c r="A39" s="6"/>
      <c r="D39" s="6"/>
      <c r="E39" s="6"/>
    </row>
    <row r="40" spans="1:5">
      <c r="A40" s="6"/>
      <c r="D40" s="6"/>
      <c r="E40" s="6"/>
    </row>
    <row r="41" spans="1:5">
      <c r="A41" s="6"/>
      <c r="D41" s="6"/>
      <c r="E41" s="6"/>
    </row>
    <row r="42" spans="1:5">
      <c r="A42" s="6"/>
      <c r="D42" s="6"/>
      <c r="E42" s="6"/>
    </row>
    <row r="43" spans="1:5">
      <c r="A43" s="6"/>
      <c r="D43" s="6"/>
      <c r="E43" s="6"/>
    </row>
    <row r="44" spans="1:5">
      <c r="A44" s="6"/>
      <c r="D44" s="6"/>
      <c r="E44" s="6"/>
    </row>
    <row r="45" spans="1:5">
      <c r="A45" s="6"/>
      <c r="D45" s="6"/>
      <c r="E45" s="6"/>
    </row>
    <row r="46" spans="1:5">
      <c r="A46" s="6"/>
      <c r="D46" s="6"/>
      <c r="E46" s="6"/>
    </row>
    <row r="47" spans="1:5">
      <c r="A47" s="6"/>
      <c r="D47" s="6"/>
      <c r="E47" s="6"/>
    </row>
    <row r="48" spans="1:5">
      <c r="A48" s="6"/>
      <c r="D48" s="6"/>
      <c r="E48" s="6"/>
    </row>
    <row r="49" spans="1:5">
      <c r="A49" s="6"/>
      <c r="D49" s="6"/>
      <c r="E49" s="6"/>
    </row>
    <row r="50" spans="1:5">
      <c r="A50" s="6"/>
      <c r="D50" s="6"/>
      <c r="E50" s="6"/>
    </row>
    <row r="51" spans="1:5">
      <c r="A51" s="6"/>
      <c r="D51" s="6"/>
      <c r="E51" s="6"/>
    </row>
    <row r="52" spans="1:5">
      <c r="A52" s="6"/>
      <c r="D52" s="6"/>
      <c r="E52" s="6"/>
    </row>
    <row r="53" spans="1:5">
      <c r="A53" s="6"/>
      <c r="D53" s="6"/>
      <c r="E53" s="6"/>
    </row>
    <row r="54" spans="1:5">
      <c r="A54" s="6"/>
      <c r="D54" s="6"/>
      <c r="E54" s="6"/>
    </row>
    <row r="55" spans="1:5">
      <c r="A55" s="6"/>
      <c r="D55" s="6"/>
      <c r="E55" s="6"/>
    </row>
    <row r="56" spans="1:5">
      <c r="A56" s="6"/>
      <c r="D56" s="6"/>
      <c r="E56" s="6"/>
    </row>
    <row r="57" spans="1:5">
      <c r="A57" s="6"/>
      <c r="D57" s="6"/>
      <c r="E57" s="6"/>
    </row>
    <row r="58" spans="1:5">
      <c r="A58" s="6"/>
      <c r="D58" s="6"/>
      <c r="E58" s="6"/>
    </row>
    <row r="59" spans="1:5">
      <c r="A59" s="6"/>
      <c r="D59" s="6"/>
      <c r="E59" s="6"/>
    </row>
    <row r="60" spans="1:5">
      <c r="A60" s="6"/>
      <c r="D60" s="6"/>
      <c r="E60" s="6"/>
    </row>
    <row r="61" spans="1:5">
      <c r="A61" s="6"/>
      <c r="D61" s="6"/>
      <c r="E61" s="6"/>
    </row>
    <row r="62" spans="1:5">
      <c r="A62" s="6"/>
      <c r="D62" s="6"/>
      <c r="E62" s="6"/>
    </row>
    <row r="63" spans="1:5">
      <c r="A63" s="6"/>
      <c r="D63" s="6"/>
      <c r="E63" s="6"/>
    </row>
    <row r="64" spans="1:5">
      <c r="A64" s="6"/>
      <c r="D64" s="6"/>
      <c r="E64" s="6"/>
    </row>
    <row r="65" spans="1:5">
      <c r="A65" s="6"/>
      <c r="D65" s="6"/>
      <c r="E65" s="6"/>
    </row>
    <row r="66" spans="1:5">
      <c r="A66" s="6"/>
      <c r="D66" s="6"/>
      <c r="E66" s="6"/>
    </row>
    <row r="67" spans="1:5">
      <c r="A67" s="6"/>
      <c r="D67" s="6"/>
      <c r="E67" s="6"/>
    </row>
    <row r="68" spans="1:5">
      <c r="A68" s="6"/>
      <c r="D68" s="6"/>
      <c r="E68" s="6"/>
    </row>
    <row r="69" spans="1:5">
      <c r="A69" s="6"/>
      <c r="D69" s="6"/>
      <c r="E69" s="6"/>
    </row>
    <row r="70" spans="1:5">
      <c r="A70" s="6"/>
      <c r="D70" s="6"/>
      <c r="E70" s="6"/>
    </row>
    <row r="71" spans="1:5">
      <c r="A71" s="6"/>
      <c r="D71" s="6"/>
      <c r="E71" s="6"/>
    </row>
    <row r="72" spans="1:5">
      <c r="A72" s="6"/>
      <c r="D72" s="6"/>
      <c r="E72" s="6"/>
    </row>
    <row r="73" spans="1:5">
      <c r="A73" s="6"/>
      <c r="D73" s="6"/>
      <c r="E73" s="6"/>
    </row>
    <row r="74" spans="1:5">
      <c r="A74" s="6"/>
      <c r="D74" s="6"/>
      <c r="E74" s="6"/>
    </row>
    <row r="75" spans="1:5">
      <c r="A75" s="6"/>
      <c r="D75" s="6"/>
      <c r="E75" s="6"/>
    </row>
    <row r="76" spans="1:5">
      <c r="A76" s="6"/>
      <c r="D76" s="6"/>
      <c r="E76" s="6"/>
    </row>
    <row r="77" spans="1:5">
      <c r="A77" s="6"/>
      <c r="D77" s="6"/>
      <c r="E77" s="6"/>
    </row>
    <row r="78" spans="1:5">
      <c r="A78" s="6"/>
      <c r="D78" s="6"/>
      <c r="E78" s="6"/>
    </row>
    <row r="79" spans="1:5">
      <c r="A79" s="6"/>
      <c r="D79" s="6"/>
      <c r="E79" s="6"/>
    </row>
    <row r="80" spans="1:5">
      <c r="A80" s="6"/>
      <c r="D80" s="6"/>
      <c r="E80" s="6"/>
    </row>
    <row r="81" spans="1:5">
      <c r="A81" s="6"/>
      <c r="D81" s="6"/>
      <c r="E81" s="6"/>
    </row>
    <row r="82" spans="1:5">
      <c r="A82" s="6"/>
      <c r="D82" s="6"/>
      <c r="E82" s="6"/>
    </row>
    <row r="83" spans="1:5">
      <c r="A83" s="6"/>
      <c r="D83" s="6"/>
      <c r="E83" s="6"/>
    </row>
    <row r="84" spans="1:5">
      <c r="A84" s="6"/>
      <c r="D84" s="6"/>
      <c r="E84" s="6"/>
    </row>
    <row r="85" spans="1:5">
      <c r="A85" s="6"/>
      <c r="D85" s="6"/>
      <c r="E85" s="6"/>
    </row>
    <row r="86" spans="1:5">
      <c r="A86" s="6"/>
      <c r="D86" s="6"/>
      <c r="E86" s="6"/>
    </row>
    <row r="87" spans="1:5">
      <c r="A87" s="6"/>
      <c r="D87" s="6"/>
      <c r="E87" s="6"/>
    </row>
    <row r="88" spans="1:5">
      <c r="A88" s="6"/>
      <c r="D88" s="6"/>
      <c r="E88" s="6"/>
    </row>
    <row r="89" spans="1:5">
      <c r="A89" s="6"/>
      <c r="D89" s="6"/>
      <c r="E89" s="6"/>
    </row>
    <row r="90" spans="1:5">
      <c r="A90" s="6"/>
      <c r="D90" s="6"/>
      <c r="E90" s="6"/>
    </row>
    <row r="91" spans="1:5">
      <c r="A91" s="6"/>
      <c r="D91" s="6"/>
      <c r="E91" s="6"/>
    </row>
    <row r="92" spans="1:5">
      <c r="A92" s="6"/>
      <c r="D92" s="6"/>
      <c r="E92" s="6"/>
    </row>
    <row r="93" spans="1:5">
      <c r="A93" s="6"/>
      <c r="D93" s="6"/>
      <c r="E93" s="6"/>
    </row>
    <row r="94" spans="1:5">
      <c r="A94" s="6"/>
      <c r="D94" s="6"/>
      <c r="E94" s="6"/>
    </row>
    <row r="95" spans="1:5">
      <c r="A95" s="6"/>
      <c r="D95" s="6"/>
      <c r="E95" s="6"/>
    </row>
    <row r="96" spans="1:5">
      <c r="A96" s="6"/>
      <c r="D96" s="6"/>
      <c r="E96" s="6"/>
    </row>
    <row r="97" spans="1:5">
      <c r="A97" s="6"/>
      <c r="D97" s="6"/>
      <c r="E97" s="6"/>
    </row>
    <row r="98" spans="1:5">
      <c r="A98" s="6"/>
      <c r="D98" s="6"/>
      <c r="E98" s="6"/>
    </row>
    <row r="99" spans="1:5">
      <c r="A99" s="6"/>
      <c r="D99" s="6"/>
      <c r="E99" s="6"/>
    </row>
    <row r="100" spans="1:5">
      <c r="A100" s="6"/>
      <c r="D100" s="6"/>
      <c r="E100" s="6"/>
    </row>
    <row r="101" spans="1:5">
      <c r="A101" s="6"/>
      <c r="D101" s="6"/>
      <c r="E101" s="6"/>
    </row>
    <row r="102" spans="1:5">
      <c r="A102" s="6"/>
      <c r="D102" s="6"/>
      <c r="E102" s="6"/>
    </row>
    <row r="103" spans="1:5">
      <c r="A103" s="6"/>
      <c r="D103" s="6"/>
      <c r="E103" s="6"/>
    </row>
    <row r="104" spans="1:5">
      <c r="A104" s="6"/>
      <c r="D104" s="6"/>
      <c r="E104" s="6"/>
    </row>
    <row r="105" spans="1:5">
      <c r="A105" s="6"/>
      <c r="D105" s="6"/>
      <c r="E105" s="6"/>
    </row>
    <row r="106" spans="1:5">
      <c r="A106" s="6"/>
      <c r="D106" s="6"/>
      <c r="E106" s="6"/>
    </row>
    <row r="107" spans="1:5">
      <c r="A107" s="6"/>
      <c r="D107" s="6"/>
      <c r="E107" s="6"/>
    </row>
    <row r="108" spans="1:5">
      <c r="A108" s="6"/>
      <c r="D108" s="6"/>
      <c r="E108" s="6"/>
    </row>
    <row r="109" spans="1:5">
      <c r="A109" s="6"/>
      <c r="D109" s="6"/>
      <c r="E109" s="6"/>
    </row>
    <row r="110" spans="1:5">
      <c r="A110" s="6"/>
      <c r="D110" s="6"/>
      <c r="E110" s="6"/>
    </row>
    <row r="111" spans="1:5">
      <c r="A111" s="6"/>
      <c r="D111" s="6"/>
      <c r="E111" s="6"/>
    </row>
    <row r="112" spans="1:5">
      <c r="A112" s="6"/>
      <c r="D112" s="6"/>
      <c r="E112" s="6"/>
    </row>
    <row r="113" spans="1:5">
      <c r="A113" s="6"/>
      <c r="D113" s="6"/>
      <c r="E113" s="6"/>
    </row>
    <row r="114" spans="1:5">
      <c r="A114" s="6"/>
      <c r="D114" s="6"/>
      <c r="E114" s="6"/>
    </row>
    <row r="115" spans="1:5">
      <c r="A115" s="6"/>
      <c r="D115" s="6"/>
      <c r="E115" s="6"/>
    </row>
    <row r="116" spans="1:5">
      <c r="A116" s="6"/>
      <c r="D116" s="6"/>
      <c r="E116" s="6"/>
    </row>
    <row r="117" spans="1:5">
      <c r="A117" s="6"/>
      <c r="D117" s="6"/>
      <c r="E117" s="6"/>
    </row>
    <row r="118" spans="1:5">
      <c r="A118" s="6"/>
      <c r="D118" s="6"/>
      <c r="E118" s="6"/>
    </row>
    <row r="119" spans="1:5">
      <c r="A119" s="6"/>
      <c r="D119" s="6"/>
      <c r="E119" s="6"/>
    </row>
    <row r="120" spans="1:5">
      <c r="A120" s="6"/>
      <c r="D120" s="6"/>
      <c r="E120" s="6"/>
    </row>
    <row r="121" spans="1:5">
      <c r="A121" s="6"/>
      <c r="D121" s="6"/>
      <c r="E121" s="6"/>
    </row>
    <row r="122" spans="1:5">
      <c r="A122" s="6"/>
      <c r="D122" s="6"/>
      <c r="E122" s="6"/>
    </row>
    <row r="123" spans="1:5">
      <c r="A123" s="6"/>
      <c r="D123" s="6"/>
      <c r="E123" s="6"/>
    </row>
    <row r="124" spans="1:5">
      <c r="A124" s="6"/>
      <c r="D124" s="6"/>
      <c r="E124" s="6"/>
    </row>
    <row r="125" spans="1:5">
      <c r="A125" s="6"/>
      <c r="D125" s="6"/>
      <c r="E125" s="6"/>
    </row>
    <row r="126" spans="1:5">
      <c r="A126" s="6"/>
      <c r="D126" s="6"/>
      <c r="E126" s="6"/>
    </row>
    <row r="127" spans="1:5">
      <c r="A127" s="6"/>
      <c r="D127" s="6"/>
      <c r="E127" s="6"/>
    </row>
    <row r="128" spans="1:5">
      <c r="A128" s="6"/>
      <c r="D128" s="6"/>
      <c r="E128" s="6"/>
    </row>
    <row r="129" spans="1:5">
      <c r="A129" s="6"/>
      <c r="D129" s="6"/>
      <c r="E129" s="6"/>
    </row>
    <row r="130" spans="1:5">
      <c r="A130" s="6"/>
      <c r="D130" s="6"/>
      <c r="E130" s="6"/>
    </row>
    <row r="131" spans="1:5">
      <c r="A131" s="6"/>
      <c r="D131" s="6"/>
      <c r="E131" s="6"/>
    </row>
    <row r="132" spans="1:5">
      <c r="A132" s="6"/>
      <c r="D132" s="6"/>
      <c r="E132" s="6"/>
    </row>
    <row r="133" spans="1:5">
      <c r="A133" s="6"/>
      <c r="D133" s="6"/>
      <c r="E133" s="6"/>
    </row>
    <row r="134" spans="1:5">
      <c r="A134" s="6"/>
      <c r="D134" s="6"/>
      <c r="E134" s="6"/>
    </row>
    <row r="135" spans="1:5">
      <c r="A135" s="6"/>
      <c r="D135" s="6"/>
      <c r="E135" s="6"/>
    </row>
    <row r="136" spans="1:5">
      <c r="A136" s="6"/>
      <c r="D136" s="6"/>
      <c r="E136" s="6"/>
    </row>
    <row r="137" spans="1:5">
      <c r="A137" s="6"/>
      <c r="D137" s="6"/>
      <c r="E137" s="6"/>
    </row>
    <row r="138" spans="1:5">
      <c r="A138" s="6"/>
      <c r="D138" s="6"/>
      <c r="E138" s="6"/>
    </row>
    <row r="139" spans="1:5">
      <c r="A139" s="6"/>
      <c r="D139" s="6"/>
      <c r="E139" s="6"/>
    </row>
    <row r="140" spans="1:5">
      <c r="A140" s="6"/>
      <c r="D140" s="6"/>
      <c r="E140" s="6"/>
    </row>
    <row r="141" spans="1:5">
      <c r="A141" s="6"/>
      <c r="D141" s="6"/>
      <c r="E141" s="6"/>
    </row>
    <row r="142" spans="1:5">
      <c r="A142" s="6"/>
      <c r="D142" s="6"/>
      <c r="E142" s="6"/>
    </row>
    <row r="143" spans="1:5">
      <c r="A143" s="6"/>
      <c r="D143" s="6"/>
      <c r="E143" s="6"/>
    </row>
    <row r="144" spans="1:5">
      <c r="A144" s="6"/>
      <c r="D144" s="6"/>
      <c r="E144" s="6"/>
    </row>
    <row r="145" spans="1:5">
      <c r="A145" s="6"/>
      <c r="D145" s="6"/>
      <c r="E145" s="6"/>
    </row>
    <row r="146" spans="1:5">
      <c r="A146" s="6"/>
      <c r="D146" s="6"/>
      <c r="E146" s="6"/>
    </row>
    <row r="147" spans="1:5">
      <c r="A147" s="6"/>
      <c r="D147" s="6"/>
      <c r="E147" s="6"/>
    </row>
    <row r="148" spans="1:5">
      <c r="A148" s="6"/>
      <c r="D148" s="6"/>
      <c r="E148" s="6"/>
    </row>
    <row r="149" spans="1:5">
      <c r="A149" s="6"/>
      <c r="D149" s="6"/>
      <c r="E149" s="6"/>
    </row>
    <row r="150" spans="1:5">
      <c r="A150" s="6"/>
      <c r="D150" s="6"/>
      <c r="E150" s="6"/>
    </row>
    <row r="151" spans="1:5">
      <c r="A151" s="6"/>
      <c r="D151" s="6"/>
      <c r="E151" s="6"/>
    </row>
    <row r="152" spans="1:5">
      <c r="A152" s="6"/>
      <c r="D152" s="6"/>
      <c r="E152" s="6"/>
    </row>
    <row r="153" spans="1:5">
      <c r="A153" s="6"/>
      <c r="D153" s="6"/>
      <c r="E153" s="6"/>
    </row>
    <row r="154" spans="1:5">
      <c r="A154" s="6"/>
      <c r="D154" s="6"/>
      <c r="E154" s="6"/>
    </row>
    <row r="155" spans="1:5">
      <c r="A155" s="6"/>
      <c r="D155" s="6"/>
      <c r="E155" s="6"/>
    </row>
    <row r="156" spans="1:5">
      <c r="A156" s="6"/>
      <c r="D156" s="6"/>
      <c r="E156" s="6"/>
    </row>
    <row r="157" spans="1:5">
      <c r="A157" s="6"/>
      <c r="D157" s="6"/>
      <c r="E157" s="6"/>
    </row>
    <row r="158" spans="1:5">
      <c r="A158" s="6"/>
      <c r="D158" s="6"/>
      <c r="E158" s="6"/>
    </row>
    <row r="159" spans="1:5">
      <c r="A159" s="6"/>
      <c r="D159" s="6"/>
      <c r="E159" s="6"/>
    </row>
    <row r="160" spans="1:5">
      <c r="A160" s="6"/>
      <c r="D160" s="6"/>
      <c r="E160" s="6"/>
    </row>
    <row r="161" spans="1:5">
      <c r="A161" s="6"/>
      <c r="D161" s="6"/>
      <c r="E161" s="6"/>
    </row>
    <row r="162" spans="1:5">
      <c r="A162" s="6"/>
      <c r="D162" s="6"/>
      <c r="E162" s="6"/>
    </row>
    <row r="163" spans="1:5">
      <c r="A163" s="6"/>
      <c r="D163" s="6"/>
      <c r="E163" s="6"/>
    </row>
    <row r="164" spans="1:5">
      <c r="A164" s="6"/>
      <c r="D164" s="6"/>
      <c r="E164" s="6"/>
    </row>
    <row r="165" spans="1:5">
      <c r="A165" s="6"/>
      <c r="D165" s="6"/>
      <c r="E165" s="6"/>
    </row>
    <row r="166" spans="1:5">
      <c r="A166" s="6"/>
      <c r="D166" s="6"/>
      <c r="E166" s="6"/>
    </row>
    <row r="167" spans="1:5">
      <c r="A167" s="6"/>
      <c r="D167" s="6"/>
      <c r="E167" s="6"/>
    </row>
    <row r="168" spans="1:5">
      <c r="A168" s="6"/>
      <c r="D168" s="6"/>
      <c r="E168" s="6"/>
    </row>
    <row r="169" spans="1:5">
      <c r="A169" s="6"/>
      <c r="D169" s="6"/>
      <c r="E169" s="6"/>
    </row>
    <row r="170" spans="1:5">
      <c r="A170" s="6"/>
      <c r="D170" s="6"/>
      <c r="E170" s="6"/>
    </row>
    <row r="171" spans="1:5">
      <c r="A171" s="6"/>
      <c r="D171" s="6"/>
      <c r="E171" s="6"/>
    </row>
    <row r="172" spans="1:5">
      <c r="A172" s="6"/>
      <c r="D172" s="6"/>
      <c r="E172" s="6"/>
    </row>
    <row r="173" spans="1:5">
      <c r="A173" s="6"/>
      <c r="D173" s="6"/>
      <c r="E173" s="6"/>
    </row>
    <row r="174" spans="1:5">
      <c r="A174" s="6"/>
      <c r="D174" s="6"/>
      <c r="E174" s="6"/>
    </row>
    <row r="175" spans="1:5">
      <c r="A175" s="6"/>
      <c r="D175" s="6"/>
      <c r="E175" s="6"/>
    </row>
    <row r="176" spans="1:5">
      <c r="A176" s="6"/>
      <c r="D176" s="6"/>
      <c r="E176" s="6"/>
    </row>
    <row r="177" spans="1:5">
      <c r="A177" s="6"/>
      <c r="D177" s="6"/>
      <c r="E177" s="6"/>
    </row>
    <row r="178" spans="1:5">
      <c r="A178" s="6"/>
      <c r="D178" s="6"/>
      <c r="E178" s="6"/>
    </row>
    <row r="179" spans="1:5">
      <c r="A179" s="6"/>
      <c r="D179" s="6"/>
      <c r="E179" s="6"/>
    </row>
    <row r="180" spans="1:5">
      <c r="A180" s="6"/>
      <c r="D180" s="6"/>
      <c r="E180" s="6"/>
    </row>
    <row r="181" spans="1:5">
      <c r="A181" s="6"/>
      <c r="D181" s="6"/>
      <c r="E181" s="6"/>
    </row>
    <row r="182" spans="1:5">
      <c r="A182" s="6"/>
      <c r="D182" s="6"/>
      <c r="E182" s="6"/>
    </row>
    <row r="183" spans="1:5">
      <c r="A183" s="6"/>
      <c r="D183" s="6"/>
      <c r="E183" s="6"/>
    </row>
    <row r="184" spans="1:5">
      <c r="A184" s="6"/>
      <c r="D184" s="6"/>
      <c r="E184" s="6"/>
    </row>
    <row r="185" spans="1:5">
      <c r="A185" s="6"/>
      <c r="D185" s="6"/>
      <c r="E185" s="6"/>
    </row>
    <row r="186" spans="1:5">
      <c r="A186" s="6"/>
      <c r="D186" s="6"/>
      <c r="E186" s="6"/>
    </row>
    <row r="187" spans="1:5">
      <c r="A187" s="6"/>
      <c r="D187" s="6"/>
      <c r="E187" s="6"/>
    </row>
    <row r="188" spans="1:5">
      <c r="A188" s="6"/>
      <c r="D188" s="6"/>
      <c r="E188" s="6"/>
    </row>
    <row r="189" spans="1:5">
      <c r="A189" s="6"/>
      <c r="D189" s="6"/>
      <c r="E189" s="6"/>
    </row>
    <row r="190" spans="1:5">
      <c r="A190" s="6"/>
      <c r="D190" s="6"/>
      <c r="E190" s="6"/>
    </row>
    <row r="191" spans="1:5">
      <c r="A191" s="6"/>
      <c r="D191" s="6"/>
      <c r="E191" s="6"/>
    </row>
    <row r="192" spans="1:5">
      <c r="A192" s="6"/>
      <c r="D192" s="6"/>
      <c r="E192" s="6"/>
    </row>
    <row r="193" spans="1:5">
      <c r="A193" s="6"/>
      <c r="D193" s="6"/>
      <c r="E193" s="6"/>
    </row>
    <row r="194" spans="1:5">
      <c r="A194" s="6"/>
      <c r="D194" s="6"/>
      <c r="E194" s="6"/>
    </row>
    <row r="195" spans="1:5">
      <c r="A195" s="6"/>
      <c r="D195" s="6"/>
      <c r="E195" s="6"/>
    </row>
    <row r="196" spans="1:5">
      <c r="A196" s="6"/>
      <c r="D196" s="6"/>
      <c r="E196" s="6"/>
    </row>
    <row r="197" spans="1:5">
      <c r="A197" s="6"/>
      <c r="D197" s="6"/>
      <c r="E197" s="6"/>
    </row>
    <row r="198" spans="1:5">
      <c r="A198" s="6"/>
      <c r="D198" s="6"/>
      <c r="E198" s="6"/>
    </row>
    <row r="199" spans="1:5">
      <c r="A199" s="6"/>
      <c r="D199" s="6"/>
      <c r="E199" s="6"/>
    </row>
    <row r="200" spans="1:5">
      <c r="A200" s="6"/>
      <c r="D200" s="6"/>
      <c r="E200" s="6"/>
    </row>
    <row r="201" spans="1:5">
      <c r="A201" s="6"/>
      <c r="D201" s="6"/>
      <c r="E201" s="6"/>
    </row>
    <row r="202" spans="1:5">
      <c r="A202" s="6"/>
      <c r="D202" s="6"/>
      <c r="E202" s="6"/>
    </row>
    <row r="203" spans="1:5">
      <c r="A203" s="6"/>
      <c r="D203" s="6"/>
      <c r="E203" s="6"/>
    </row>
    <row r="204" spans="1:5">
      <c r="A204" s="6"/>
      <c r="D204" s="6"/>
      <c r="E204" s="6"/>
    </row>
    <row r="205" spans="1:5">
      <c r="A205" s="6"/>
      <c r="D205" s="6"/>
      <c r="E205" s="6"/>
    </row>
    <row r="206" spans="1:5">
      <c r="A206" s="6"/>
      <c r="D206" s="6"/>
      <c r="E206" s="6"/>
    </row>
    <row r="207" spans="1:5">
      <c r="A207" s="6"/>
      <c r="D207" s="6"/>
      <c r="E207" s="6"/>
    </row>
    <row r="208" spans="1:5">
      <c r="A208" s="6"/>
      <c r="D208" s="6"/>
      <c r="E208" s="6"/>
    </row>
    <row r="209" spans="1:5">
      <c r="A209" s="6"/>
      <c r="D209" s="6"/>
      <c r="E209" s="6"/>
    </row>
    <row r="210" spans="1:5">
      <c r="A210" s="6"/>
      <c r="D210" s="6"/>
      <c r="E210" s="6"/>
    </row>
    <row r="211" spans="1:5">
      <c r="A211" s="6"/>
      <c r="D211" s="6"/>
      <c r="E211" s="6"/>
    </row>
    <row r="212" spans="1:5">
      <c r="A212" s="6"/>
      <c r="D212" s="6"/>
      <c r="E212" s="6"/>
    </row>
    <row r="213" spans="1:5">
      <c r="A213" s="6"/>
      <c r="D213" s="6"/>
      <c r="E213" s="6"/>
    </row>
    <row r="214" spans="1:5">
      <c r="A214" s="6"/>
      <c r="D214" s="6"/>
      <c r="E214" s="6"/>
    </row>
    <row r="215" spans="1:5">
      <c r="A215" s="6"/>
      <c r="D215" s="6"/>
      <c r="E215" s="6"/>
    </row>
    <row r="216" spans="1:5">
      <c r="A216" s="6"/>
      <c r="D216" s="6"/>
      <c r="E216" s="6"/>
    </row>
    <row r="217" spans="1:5">
      <c r="A217" s="6"/>
      <c r="D217" s="6"/>
      <c r="E217" s="6"/>
    </row>
    <row r="218" spans="1:5">
      <c r="A218" s="6"/>
      <c r="D218" s="6"/>
      <c r="E218" s="6"/>
    </row>
    <row r="219" spans="1:5">
      <c r="A219" s="6"/>
      <c r="D219" s="6"/>
      <c r="E219" s="6"/>
    </row>
    <row r="220" spans="1:5">
      <c r="A220" s="6"/>
      <c r="D220" s="6"/>
      <c r="E220" s="6"/>
    </row>
    <row r="221" spans="1:5">
      <c r="A221" s="6"/>
      <c r="D221" s="6"/>
      <c r="E221" s="6"/>
    </row>
    <row r="222" spans="1:5">
      <c r="A222" s="6"/>
      <c r="D222" s="6"/>
      <c r="E222" s="6"/>
    </row>
    <row r="223" spans="1:5">
      <c r="A223" s="6"/>
      <c r="D223" s="6"/>
      <c r="E223" s="6"/>
    </row>
    <row r="224" spans="1:5">
      <c r="A224" s="6"/>
      <c r="D224" s="6"/>
      <c r="E224" s="6"/>
    </row>
    <row r="225" spans="1:5">
      <c r="A225" s="6"/>
      <c r="D225" s="6"/>
      <c r="E225" s="6"/>
    </row>
    <row r="226" spans="1:5">
      <c r="A226" s="6"/>
      <c r="D226" s="6"/>
      <c r="E226" s="6"/>
    </row>
    <row r="227" spans="1:5">
      <c r="A227" s="6"/>
      <c r="D227" s="6"/>
      <c r="E227" s="6"/>
    </row>
    <row r="228" spans="1:5">
      <c r="A228" s="6"/>
      <c r="D228" s="6"/>
      <c r="E228" s="6"/>
    </row>
    <row r="229" spans="1:5">
      <c r="A229" s="6"/>
      <c r="D229" s="6"/>
      <c r="E229" s="6"/>
    </row>
    <row r="230" spans="1:5">
      <c r="A230" s="6"/>
      <c r="D230" s="6"/>
      <c r="E230" s="6"/>
    </row>
    <row r="231" spans="1:5">
      <c r="A231" s="6"/>
      <c r="D231" s="6"/>
      <c r="E231" s="6"/>
    </row>
    <row r="232" spans="1:5">
      <c r="A232" s="6"/>
      <c r="D232" s="6"/>
      <c r="E232" s="6"/>
    </row>
    <row r="233" spans="1:5">
      <c r="A233" s="6"/>
      <c r="D233" s="6"/>
      <c r="E233" s="6"/>
    </row>
    <row r="234" spans="1:5">
      <c r="A234" s="6"/>
      <c r="D234" s="6"/>
      <c r="E234" s="6"/>
    </row>
    <row r="235" spans="1:5">
      <c r="A235" s="6"/>
      <c r="D235" s="6"/>
      <c r="E235" s="6"/>
    </row>
    <row r="236" spans="1:5">
      <c r="A236" s="6"/>
      <c r="D236" s="6"/>
      <c r="E236" s="6"/>
    </row>
    <row r="237" spans="1:5">
      <c r="A237" s="6"/>
      <c r="D237" s="6"/>
      <c r="E237" s="6"/>
    </row>
    <row r="238" spans="1:5">
      <c r="A238" s="6"/>
      <c r="D238" s="6"/>
      <c r="E238" s="6"/>
    </row>
    <row r="239" spans="1:5">
      <c r="A239" s="6"/>
      <c r="D239" s="6"/>
      <c r="E239" s="6"/>
    </row>
    <row r="240" spans="1:5">
      <c r="A240" s="6"/>
      <c r="D240" s="6"/>
      <c r="E240" s="6"/>
    </row>
    <row r="241" spans="1:5">
      <c r="A241" s="6"/>
      <c r="D241" s="6"/>
      <c r="E241" s="6"/>
    </row>
    <row r="242" spans="1:5">
      <c r="A242" s="6"/>
      <c r="D242" s="6"/>
      <c r="E242" s="6"/>
    </row>
    <row r="243" spans="1:5">
      <c r="A243" s="6"/>
      <c r="D243" s="6"/>
      <c r="E243" s="6"/>
    </row>
    <row r="244" spans="1:5">
      <c r="A244" s="6"/>
      <c r="D244" s="6"/>
      <c r="E244" s="6"/>
    </row>
    <row r="245" spans="1:5">
      <c r="A245" s="6"/>
      <c r="D245" s="6"/>
      <c r="E245" s="6"/>
    </row>
    <row r="246" spans="1:5">
      <c r="A246" s="6"/>
      <c r="D246" s="6"/>
      <c r="E246" s="6"/>
    </row>
    <row r="247" spans="1:5">
      <c r="A247" s="6"/>
      <c r="D247" s="6"/>
      <c r="E247" s="6"/>
    </row>
    <row r="248" spans="1:5">
      <c r="A248" s="6"/>
      <c r="D248" s="6"/>
      <c r="E248" s="6"/>
    </row>
    <row r="249" spans="1:5">
      <c r="A249" s="6"/>
      <c r="D249" s="6"/>
      <c r="E249" s="6"/>
    </row>
    <row r="250" spans="1:5">
      <c r="A250" s="6"/>
      <c r="D250" s="6"/>
      <c r="E250" s="6"/>
    </row>
    <row r="251" spans="1:5">
      <c r="A251" s="6"/>
      <c r="D251" s="6"/>
      <c r="E251" s="6"/>
    </row>
    <row r="252" spans="1:5">
      <c r="A252" s="6"/>
      <c r="D252" s="6"/>
      <c r="E252" s="6"/>
    </row>
    <row r="253" spans="1:5">
      <c r="A253" s="6"/>
      <c r="D253" s="6"/>
      <c r="E253" s="6"/>
    </row>
    <row r="254" spans="1:5">
      <c r="A254" s="6"/>
      <c r="D254" s="6"/>
      <c r="E254" s="6"/>
    </row>
    <row r="255" spans="1:5">
      <c r="A255" s="6"/>
      <c r="D255" s="6"/>
      <c r="E255" s="6"/>
    </row>
    <row r="256" spans="1:5">
      <c r="A256" s="6"/>
      <c r="D256" s="6"/>
      <c r="E256" s="6"/>
    </row>
    <row r="257" spans="1:5">
      <c r="A257" s="6"/>
      <c r="D257" s="6"/>
      <c r="E257" s="6"/>
    </row>
    <row r="258" spans="1:5">
      <c r="A258" s="6"/>
      <c r="D258" s="6"/>
      <c r="E258" s="6"/>
    </row>
    <row r="259" spans="1:5">
      <c r="A259" s="6"/>
      <c r="D259" s="6"/>
      <c r="E259" s="6"/>
    </row>
    <row r="260" spans="1:5">
      <c r="A260" s="6"/>
      <c r="D260" s="6"/>
      <c r="E260" s="6"/>
    </row>
    <row r="261" spans="1:5">
      <c r="A261" s="6"/>
      <c r="D261" s="6"/>
      <c r="E261" s="6"/>
    </row>
    <row r="262" spans="1:5">
      <c r="A262" s="6"/>
      <c r="D262" s="6"/>
      <c r="E262" s="6"/>
    </row>
    <row r="263" spans="1:5">
      <c r="A263" s="6"/>
      <c r="D263" s="6"/>
      <c r="E263" s="6"/>
    </row>
    <row r="264" spans="1:5">
      <c r="A264" s="6"/>
      <c r="D264" s="6"/>
      <c r="E264" s="6"/>
    </row>
    <row r="265" spans="1:5">
      <c r="A265" s="6"/>
      <c r="D265" s="6"/>
      <c r="E265" s="6"/>
    </row>
    <row r="266" spans="1:5">
      <c r="A266" s="6"/>
      <c r="D266" s="6"/>
      <c r="E266" s="6"/>
    </row>
    <row r="267" spans="1:5">
      <c r="A267" s="6"/>
      <c r="D267" s="6"/>
      <c r="E267" s="6"/>
    </row>
    <row r="268" spans="1:5">
      <c r="A268" s="6"/>
      <c r="D268" s="6"/>
      <c r="E268" s="6"/>
    </row>
    <row r="269" spans="1:5">
      <c r="A269" s="6"/>
      <c r="D269" s="6"/>
      <c r="E269" s="6"/>
    </row>
    <row r="270" spans="1:5">
      <c r="A270" s="6"/>
      <c r="D270" s="6"/>
      <c r="E270" s="6"/>
    </row>
    <row r="271" spans="1:5">
      <c r="A271" s="6"/>
      <c r="D271" s="6"/>
      <c r="E271" s="6"/>
    </row>
    <row r="272" spans="1:5">
      <c r="A272" s="6"/>
      <c r="D272" s="6"/>
      <c r="E272" s="6"/>
    </row>
    <row r="273" spans="1:5">
      <c r="A273" s="6"/>
      <c r="D273" s="6"/>
      <c r="E273" s="6"/>
    </row>
    <row r="274" spans="1:5">
      <c r="A274" s="6"/>
      <c r="D274" s="6"/>
      <c r="E274" s="6"/>
    </row>
    <row r="275" spans="1:5">
      <c r="A275" s="6"/>
      <c r="D275" s="6"/>
      <c r="E275" s="6"/>
    </row>
    <row r="276" spans="1:5">
      <c r="A276" s="6"/>
      <c r="D276" s="6"/>
      <c r="E276" s="6"/>
    </row>
    <row r="277" spans="1:5">
      <c r="A277" s="6"/>
      <c r="D277" s="6"/>
      <c r="E277" s="6"/>
    </row>
    <row r="278" spans="1:5">
      <c r="A278" s="6"/>
      <c r="D278" s="6"/>
      <c r="E278" s="6"/>
    </row>
    <row r="279" spans="1:5">
      <c r="A279" s="6"/>
      <c r="D279" s="6"/>
      <c r="E279" s="6"/>
    </row>
    <row r="280" spans="1:5">
      <c r="A280" s="6"/>
      <c r="D280" s="6"/>
      <c r="E280" s="6"/>
    </row>
    <row r="281" spans="1:5">
      <c r="A281" s="6"/>
      <c r="D281" s="6"/>
      <c r="E281" s="6"/>
    </row>
    <row r="282" spans="1:5">
      <c r="A282" s="6"/>
      <c r="D282" s="6"/>
      <c r="E282" s="6"/>
    </row>
    <row r="283" spans="1:5">
      <c r="A283" s="6"/>
      <c r="D283" s="6"/>
      <c r="E283" s="6"/>
    </row>
    <row r="284" spans="1:5">
      <c r="A284" s="6"/>
      <c r="D284" s="6"/>
      <c r="E284" s="6"/>
    </row>
    <row r="285" spans="1:5">
      <c r="A285" s="6"/>
      <c r="D285" s="6"/>
      <c r="E285" s="6"/>
    </row>
    <row r="286" spans="1:5">
      <c r="A286" s="6"/>
      <c r="D286" s="6"/>
      <c r="E286" s="6"/>
    </row>
    <row r="287" spans="1:5">
      <c r="A287" s="6"/>
      <c r="D287" s="6"/>
      <c r="E287" s="6"/>
    </row>
    <row r="288" spans="1:5">
      <c r="A288" s="6"/>
      <c r="D288" s="6"/>
      <c r="E288" s="6"/>
    </row>
    <row r="289" spans="1:5">
      <c r="A289" s="6"/>
      <c r="D289" s="6"/>
      <c r="E289" s="6"/>
    </row>
    <row r="290" spans="1:5">
      <c r="A290" s="6"/>
      <c r="D290" s="6"/>
      <c r="E290" s="6"/>
    </row>
    <row r="291" spans="1:5">
      <c r="A291" s="6"/>
      <c r="D291" s="6"/>
      <c r="E291" s="6"/>
    </row>
    <row r="292" spans="1:5">
      <c r="A292" s="6"/>
      <c r="D292" s="6"/>
      <c r="E292" s="6"/>
    </row>
    <row r="293" spans="1:5">
      <c r="A293" s="6"/>
      <c r="D293" s="6"/>
      <c r="E293" s="6"/>
    </row>
    <row r="294" spans="1:5">
      <c r="A294" s="6"/>
      <c r="D294" s="6"/>
      <c r="E294" s="6"/>
    </row>
    <row r="295" spans="1:5">
      <c r="A295" s="6"/>
      <c r="D295" s="6"/>
      <c r="E295" s="6"/>
    </row>
    <row r="296" spans="1:5">
      <c r="A296" s="6"/>
      <c r="D296" s="6"/>
      <c r="E296" s="6"/>
    </row>
    <row r="297" spans="1:5">
      <c r="A297" s="6"/>
      <c r="D297" s="6"/>
      <c r="E297" s="6"/>
    </row>
    <row r="298" spans="1:5">
      <c r="A298" s="6"/>
      <c r="D298" s="6"/>
      <c r="E298" s="6"/>
    </row>
    <row r="299" spans="1:5">
      <c r="A299" s="6"/>
      <c r="D299" s="6"/>
      <c r="E299" s="6"/>
    </row>
    <row r="300" spans="1:5">
      <c r="A300" s="6"/>
      <c r="D300" s="6"/>
      <c r="E300" s="6"/>
    </row>
    <row r="301" spans="1:5">
      <c r="A301" s="6"/>
      <c r="D301" s="6"/>
      <c r="E301" s="6"/>
    </row>
    <row r="302" spans="1:5">
      <c r="A302" s="6"/>
      <c r="D302" s="6"/>
      <c r="E302" s="6"/>
    </row>
    <row r="303" spans="1:5">
      <c r="A303" s="6"/>
      <c r="D303" s="6"/>
      <c r="E303" s="6"/>
    </row>
    <row r="304" spans="1:5">
      <c r="A304" s="6"/>
      <c r="D304" s="6"/>
      <c r="E304" s="6"/>
    </row>
    <row r="305" spans="1:5">
      <c r="A305" s="6"/>
      <c r="D305" s="6"/>
      <c r="E305" s="6"/>
    </row>
    <row r="306" spans="1:5">
      <c r="A306" s="6"/>
      <c r="D306" s="6"/>
      <c r="E306" s="6"/>
    </row>
    <row r="307" spans="1:5">
      <c r="A307" s="6"/>
      <c r="D307" s="6"/>
      <c r="E307" s="6"/>
    </row>
    <row r="308" spans="1:5">
      <c r="A308" s="6"/>
      <c r="D308" s="6"/>
      <c r="E308" s="6"/>
    </row>
    <row r="309" spans="1:5">
      <c r="A309" s="6"/>
      <c r="D309" s="6"/>
      <c r="E309" s="6"/>
    </row>
    <row r="310" spans="1:5">
      <c r="A310" s="6"/>
      <c r="D310" s="6"/>
      <c r="E310" s="6"/>
    </row>
    <row r="311" spans="1:5">
      <c r="A311" s="6"/>
      <c r="D311" s="6"/>
      <c r="E311" s="6"/>
    </row>
    <row r="312" spans="1:5">
      <c r="A312" s="6"/>
      <c r="D312" s="6"/>
      <c r="E312" s="6"/>
    </row>
    <row r="313" spans="1:5">
      <c r="A313" s="6"/>
      <c r="D313" s="6"/>
      <c r="E313" s="6"/>
    </row>
    <row r="314" spans="1:5">
      <c r="A314" s="6"/>
      <c r="D314" s="6"/>
      <c r="E314" s="6"/>
    </row>
    <row r="315" spans="1:5">
      <c r="A315" s="6"/>
      <c r="D315" s="6"/>
      <c r="E315" s="6"/>
    </row>
    <row r="316" spans="1:5">
      <c r="A316" s="6"/>
      <c r="D316" s="6"/>
      <c r="E316" s="6"/>
    </row>
    <row r="317" spans="1:5">
      <c r="A317" s="6"/>
      <c r="D317" s="6"/>
      <c r="E317" s="6"/>
    </row>
    <row r="318" spans="1:5">
      <c r="A318" s="6"/>
      <c r="D318" s="6"/>
      <c r="E318" s="6"/>
    </row>
    <row r="319" spans="1:5">
      <c r="A319" s="6"/>
      <c r="D319" s="6"/>
      <c r="E319" s="6"/>
    </row>
    <row r="320" spans="1:5">
      <c r="A320" s="6"/>
      <c r="D320" s="6"/>
      <c r="E320" s="6"/>
    </row>
    <row r="321" spans="1:5">
      <c r="A321" s="6"/>
      <c r="D321" s="6"/>
      <c r="E321" s="6"/>
    </row>
    <row r="322" spans="1:5">
      <c r="A322" s="6"/>
      <c r="D322" s="6"/>
      <c r="E322" s="6"/>
    </row>
    <row r="323" spans="1:5">
      <c r="A323" s="6"/>
      <c r="D323" s="6"/>
      <c r="E323" s="6"/>
    </row>
    <row r="324" spans="1:5">
      <c r="A324" s="6"/>
      <c r="D324" s="6"/>
      <c r="E324" s="6"/>
    </row>
    <row r="325" spans="1:5">
      <c r="A325" s="6"/>
      <c r="D325" s="6"/>
      <c r="E325" s="6"/>
    </row>
    <row r="326" spans="1:5">
      <c r="A326" s="6"/>
      <c r="D326" s="6"/>
      <c r="E326" s="6"/>
    </row>
    <row r="327" spans="1:5">
      <c r="A327" s="6"/>
      <c r="D327" s="6"/>
      <c r="E327" s="6"/>
    </row>
    <row r="328" spans="1:5">
      <c r="A328" s="6"/>
      <c r="D328" s="6"/>
      <c r="E328" s="6"/>
    </row>
    <row r="329" spans="1:5">
      <c r="A329" s="6"/>
      <c r="D329" s="6"/>
      <c r="E329" s="6"/>
    </row>
    <row r="330" spans="1:5">
      <c r="A330" s="6"/>
      <c r="D330" s="6"/>
      <c r="E330" s="6"/>
    </row>
    <row r="331" spans="1:5">
      <c r="A331" s="6"/>
      <c r="D331" s="6"/>
      <c r="E331" s="6"/>
    </row>
    <row r="332" spans="1:5">
      <c r="A332" s="6"/>
      <c r="D332" s="6"/>
      <c r="E332" s="6"/>
    </row>
    <row r="333" spans="1:5">
      <c r="A333" s="6"/>
      <c r="D333" s="6"/>
      <c r="E333" s="6"/>
    </row>
    <row r="334" spans="1:5">
      <c r="A334" s="6"/>
      <c r="D334" s="6"/>
      <c r="E334" s="6"/>
    </row>
    <row r="335" spans="1:5">
      <c r="A335" s="6"/>
      <c r="D335" s="6"/>
      <c r="E335" s="6"/>
    </row>
    <row r="336" spans="1:5">
      <c r="A336" s="6"/>
      <c r="D336" s="6"/>
      <c r="E336" s="6"/>
    </row>
    <row r="337" spans="1:5">
      <c r="A337" s="6"/>
      <c r="D337" s="6"/>
      <c r="E337" s="6"/>
    </row>
    <row r="338" spans="1:5">
      <c r="A338" s="6"/>
      <c r="D338" s="6"/>
      <c r="E338" s="6"/>
    </row>
    <row r="339" spans="1:5">
      <c r="A339" s="6"/>
      <c r="D339" s="6"/>
      <c r="E339" s="6"/>
    </row>
    <row r="340" spans="1:5">
      <c r="A340" s="6"/>
      <c r="D340" s="6"/>
      <c r="E340" s="6"/>
    </row>
    <row r="341" spans="1:5">
      <c r="A341" s="6"/>
      <c r="D341" s="6"/>
      <c r="E341" s="6"/>
    </row>
    <row r="342" spans="1:5">
      <c r="A342" s="6"/>
      <c r="D342" s="6"/>
      <c r="E342" s="6"/>
    </row>
    <row r="343" spans="1:5">
      <c r="A343" s="6"/>
      <c r="D343" s="6"/>
      <c r="E343" s="6"/>
    </row>
    <row r="344" spans="1:5">
      <c r="A344" s="6"/>
      <c r="D344" s="6"/>
      <c r="E344" s="6"/>
    </row>
    <row r="345" spans="1:5">
      <c r="A345" s="6"/>
      <c r="D345" s="6"/>
      <c r="E345" s="6"/>
    </row>
    <row r="346" spans="1:5">
      <c r="A346" s="6"/>
      <c r="D346" s="6"/>
      <c r="E346" s="6"/>
    </row>
    <row r="347" spans="1:5">
      <c r="A347" s="6"/>
      <c r="D347" s="6"/>
      <c r="E347" s="6"/>
    </row>
    <row r="348" spans="1:5">
      <c r="A348" s="6"/>
      <c r="D348" s="6"/>
      <c r="E348" s="6"/>
    </row>
    <row r="349" spans="1:5">
      <c r="A349" s="6"/>
      <c r="D349" s="6"/>
      <c r="E349" s="6"/>
    </row>
    <row r="350" spans="1:5">
      <c r="A350" s="6"/>
      <c r="D350" s="6"/>
      <c r="E350" s="6"/>
    </row>
    <row r="351" spans="1:5">
      <c r="A351" s="6"/>
      <c r="D351" s="6"/>
      <c r="E351" s="6"/>
    </row>
    <row r="352" spans="1:5">
      <c r="A352" s="6"/>
      <c r="D352" s="6"/>
      <c r="E352" s="6"/>
    </row>
    <row r="353" spans="1:5">
      <c r="A353" s="6"/>
      <c r="D353" s="6"/>
      <c r="E353" s="6"/>
    </row>
    <row r="354" spans="1:5">
      <c r="A354" s="6"/>
      <c r="D354" s="6"/>
      <c r="E354" s="6"/>
    </row>
    <row r="355" spans="1:5">
      <c r="A355" s="6"/>
      <c r="D355" s="6"/>
      <c r="E355" s="6"/>
    </row>
    <row r="356" spans="1:5">
      <c r="A356" s="6"/>
      <c r="D356" s="6"/>
      <c r="E356" s="6"/>
    </row>
    <row r="357" spans="1:5">
      <c r="A357" s="6"/>
      <c r="D357" s="6"/>
      <c r="E357" s="6"/>
    </row>
    <row r="358" spans="1:5">
      <c r="A358" s="6"/>
      <c r="D358" s="6"/>
      <c r="E358" s="6"/>
    </row>
    <row r="359" spans="1:5">
      <c r="A359" s="6"/>
      <c r="D359" s="6"/>
      <c r="E359" s="6"/>
    </row>
    <row r="360" spans="1:5">
      <c r="A360" s="6"/>
      <c r="D360" s="6"/>
      <c r="E360" s="6"/>
    </row>
    <row r="361" spans="1:5">
      <c r="A361" s="6"/>
      <c r="D361" s="6"/>
      <c r="E361" s="6"/>
    </row>
    <row r="362" spans="1:5">
      <c r="A362" s="6"/>
      <c r="D362" s="6"/>
      <c r="E362" s="6"/>
    </row>
    <row r="363" spans="1:5">
      <c r="A363" s="6"/>
      <c r="D363" s="6"/>
      <c r="E363" s="6"/>
    </row>
    <row r="364" spans="1:5">
      <c r="A364" s="6"/>
      <c r="D364" s="6"/>
      <c r="E364" s="6"/>
    </row>
    <row r="365" spans="1:5">
      <c r="A365" s="6"/>
      <c r="D365" s="6"/>
      <c r="E365" s="6"/>
    </row>
    <row r="366" spans="1:5">
      <c r="A366" s="6"/>
      <c r="D366" s="6"/>
      <c r="E366" s="6"/>
    </row>
    <row r="367" spans="1:5">
      <c r="A367" s="6"/>
      <c r="D367" s="6"/>
      <c r="E367" s="6"/>
    </row>
    <row r="368" spans="1:5">
      <c r="A368" s="6"/>
      <c r="D368" s="6"/>
      <c r="E368" s="6"/>
    </row>
    <row r="369" spans="1:5">
      <c r="A369" s="6"/>
      <c r="D369" s="6"/>
      <c r="E369" s="6"/>
    </row>
    <row r="370" spans="1:5">
      <c r="A370" s="6"/>
      <c r="D370" s="6"/>
      <c r="E370" s="6"/>
    </row>
    <row r="371" spans="1:5">
      <c r="A371" s="6"/>
      <c r="D371" s="6"/>
      <c r="E371" s="6"/>
    </row>
    <row r="372" spans="1:5">
      <c r="A372" s="6"/>
      <c r="D372" s="6"/>
      <c r="E372" s="6"/>
    </row>
    <row r="373" spans="1:5">
      <c r="A373" s="6"/>
      <c r="D373" s="6"/>
      <c r="E373" s="6"/>
    </row>
    <row r="374" spans="1:5">
      <c r="A374" s="6"/>
      <c r="D374" s="6"/>
      <c r="E374" s="6"/>
    </row>
    <row r="375" spans="1:5">
      <c r="A375" s="6"/>
      <c r="D375" s="6"/>
      <c r="E375" s="6"/>
    </row>
    <row r="376" spans="1:5">
      <c r="A376" s="6"/>
      <c r="D376" s="6"/>
      <c r="E376" s="6"/>
    </row>
    <row r="377" spans="1:5">
      <c r="A377" s="6"/>
      <c r="D377" s="6"/>
      <c r="E377" s="6"/>
    </row>
    <row r="378" spans="1:5">
      <c r="A378" s="6"/>
      <c r="D378" s="6"/>
      <c r="E378" s="6"/>
    </row>
    <row r="379" spans="1:5">
      <c r="A379" s="6"/>
      <c r="D379" s="6"/>
      <c r="E379" s="6"/>
    </row>
    <row r="380" spans="1:5">
      <c r="A380" s="6"/>
      <c r="D380" s="6"/>
      <c r="E380" s="6"/>
    </row>
    <row r="381" spans="1:5">
      <c r="A381" s="6"/>
      <c r="D381" s="6"/>
      <c r="E381" s="6"/>
    </row>
    <row r="382" spans="1:5">
      <c r="A382" s="6"/>
      <c r="D382" s="6"/>
      <c r="E382" s="6"/>
    </row>
    <row r="383" spans="1:5">
      <c r="A383" s="6"/>
      <c r="D383" s="6"/>
      <c r="E383" s="6"/>
    </row>
    <row r="384" spans="1:5">
      <c r="A384" s="6"/>
      <c r="D384" s="6"/>
      <c r="E384" s="6"/>
    </row>
    <row r="385" spans="1:5">
      <c r="A385" s="6"/>
      <c r="D385" s="6"/>
      <c r="E385" s="6"/>
    </row>
    <row r="386" spans="1:5">
      <c r="A386" s="6"/>
      <c r="D386" s="6"/>
      <c r="E386" s="6"/>
    </row>
    <row r="387" spans="1:5">
      <c r="A387" s="6"/>
      <c r="D387" s="6"/>
      <c r="E387" s="6"/>
    </row>
    <row r="388" spans="1:5">
      <c r="A388" s="6"/>
      <c r="D388" s="6"/>
      <c r="E388" s="6"/>
    </row>
    <row r="389" spans="1:5">
      <c r="A389" s="6"/>
      <c r="D389" s="6"/>
      <c r="E389" s="6"/>
    </row>
    <row r="390" spans="1:5">
      <c r="A390" s="6"/>
      <c r="D390" s="6"/>
      <c r="E390" s="6"/>
    </row>
    <row r="391" spans="1:5">
      <c r="A391" s="6"/>
      <c r="D391" s="6"/>
      <c r="E391" s="6"/>
    </row>
    <row r="392" spans="1:5">
      <c r="A392" s="6"/>
      <c r="D392" s="6"/>
      <c r="E392" s="6"/>
    </row>
    <row r="393" spans="1:5">
      <c r="A393" s="6"/>
      <c r="D393" s="6"/>
      <c r="E393" s="6"/>
    </row>
    <row r="394" spans="1:5">
      <c r="A394" s="6"/>
      <c r="D394" s="6"/>
      <c r="E394" s="6"/>
    </row>
    <row r="395" spans="1:5">
      <c r="A395" s="6"/>
      <c r="D395" s="6"/>
      <c r="E395" s="6"/>
    </row>
    <row r="396" spans="1:5">
      <c r="A396" s="6"/>
      <c r="D396" s="6"/>
      <c r="E396" s="6"/>
    </row>
    <row r="397" spans="1:5">
      <c r="A397" s="6"/>
      <c r="D397" s="6"/>
      <c r="E397" s="6"/>
    </row>
    <row r="398" spans="1:5">
      <c r="A398" s="6"/>
      <c r="D398" s="6"/>
      <c r="E398" s="6"/>
    </row>
    <row r="399" spans="1:5">
      <c r="A399" s="6"/>
      <c r="D399" s="6"/>
      <c r="E399" s="6"/>
    </row>
    <row r="400" spans="1:5">
      <c r="A400" s="6"/>
      <c r="D400" s="6"/>
      <c r="E400" s="6"/>
    </row>
    <row r="401" spans="1:5">
      <c r="A401" s="6"/>
      <c r="D401" s="6"/>
      <c r="E401" s="6"/>
    </row>
    <row r="402" spans="1:5">
      <c r="A402" s="6"/>
      <c r="D402" s="6"/>
      <c r="E402" s="6"/>
    </row>
    <row r="403" spans="1:5">
      <c r="A403" s="6"/>
      <c r="D403" s="6"/>
      <c r="E403" s="6"/>
    </row>
    <row r="404" spans="1:5">
      <c r="A404" s="6"/>
      <c r="D404" s="6"/>
      <c r="E404" s="6"/>
    </row>
    <row r="405" spans="1:5">
      <c r="A405" s="6"/>
      <c r="D405" s="6"/>
      <c r="E405" s="6"/>
    </row>
    <row r="406" spans="1:5">
      <c r="A406" s="6"/>
      <c r="D406" s="6"/>
      <c r="E406" s="6"/>
    </row>
    <row r="407" spans="1:5">
      <c r="A407" s="6"/>
      <c r="D407" s="6"/>
      <c r="E407" s="6"/>
    </row>
    <row r="408" spans="1:5">
      <c r="A408" s="6"/>
      <c r="D408" s="6"/>
      <c r="E408" s="6"/>
    </row>
    <row r="409" spans="1:5">
      <c r="A409" s="6"/>
      <c r="D409" s="6"/>
      <c r="E409" s="6"/>
    </row>
    <row r="410" spans="1:5">
      <c r="A410" s="6"/>
      <c r="D410" s="6"/>
      <c r="E410" s="6"/>
    </row>
    <row r="411" spans="1:5">
      <c r="A411" s="6"/>
      <c r="D411" s="6"/>
      <c r="E411" s="6"/>
    </row>
    <row r="412" spans="1:5">
      <c r="A412" s="6"/>
      <c r="D412" s="6"/>
      <c r="E412" s="6"/>
    </row>
    <row r="413" spans="1:5">
      <c r="A413" s="6"/>
      <c r="D413" s="6"/>
      <c r="E413" s="6"/>
    </row>
    <row r="414" spans="1:5">
      <c r="A414" s="6"/>
      <c r="D414" s="6"/>
      <c r="E414" s="6"/>
    </row>
    <row r="415" spans="1:5">
      <c r="A415" s="6"/>
      <c r="D415" s="6"/>
      <c r="E415" s="6"/>
    </row>
    <row r="416" spans="1:5">
      <c r="A416" s="6"/>
      <c r="D416" s="6"/>
      <c r="E416" s="6"/>
    </row>
    <row r="417" spans="1:5">
      <c r="A417" s="6"/>
      <c r="D417" s="6"/>
      <c r="E417" s="6"/>
    </row>
    <row r="418" spans="1:5">
      <c r="A418" s="6"/>
      <c r="D418" s="6"/>
      <c r="E418" s="6"/>
    </row>
    <row r="419" spans="1:5">
      <c r="A419" s="6"/>
      <c r="D419" s="6"/>
      <c r="E419" s="6"/>
    </row>
    <row r="420" spans="1:5">
      <c r="A420" s="6"/>
      <c r="D420" s="6"/>
      <c r="E420" s="6"/>
    </row>
    <row r="421" spans="1:5">
      <c r="A421" s="6"/>
      <c r="D421" s="6"/>
      <c r="E421" s="6"/>
    </row>
    <row r="422" spans="1:5">
      <c r="A422" s="6"/>
      <c r="D422" s="6"/>
      <c r="E422" s="6"/>
    </row>
    <row r="423" spans="1:5">
      <c r="A423" s="6"/>
      <c r="D423" s="6"/>
      <c r="E423" s="6"/>
    </row>
    <row r="424" spans="1:5">
      <c r="A424" s="6"/>
      <c r="D424" s="6"/>
      <c r="E424" s="6"/>
    </row>
    <row r="425" spans="1:5">
      <c r="A425" s="6"/>
      <c r="D425" s="6"/>
      <c r="E425" s="6"/>
    </row>
    <row r="426" spans="1:5">
      <c r="A426" s="6"/>
      <c r="D426" s="6"/>
      <c r="E426" s="6"/>
    </row>
    <row r="427" spans="1:5">
      <c r="A427" s="6"/>
      <c r="D427" s="6"/>
      <c r="E427" s="6"/>
    </row>
    <row r="428" spans="1:5">
      <c r="A428" s="6"/>
      <c r="D428" s="6"/>
      <c r="E428" s="6"/>
    </row>
    <row r="429" spans="1:5">
      <c r="A429" s="6"/>
      <c r="D429" s="6"/>
      <c r="E429" s="6"/>
    </row>
    <row r="430" spans="1:5">
      <c r="A430" s="6"/>
      <c r="D430" s="6"/>
      <c r="E430" s="6"/>
    </row>
    <row r="431" spans="1:5">
      <c r="A431" s="6"/>
      <c r="D431" s="6"/>
      <c r="E431" s="6"/>
    </row>
    <row r="432" spans="1:5">
      <c r="A432" s="6"/>
      <c r="D432" s="6"/>
      <c r="E432" s="6"/>
    </row>
    <row r="433" spans="1:5">
      <c r="A433" s="6"/>
      <c r="D433" s="6"/>
      <c r="E433" s="6"/>
    </row>
    <row r="434" spans="1:5">
      <c r="A434" s="6"/>
      <c r="D434" s="6"/>
      <c r="E434" s="6"/>
    </row>
    <row r="435" spans="1:5">
      <c r="A435" s="6"/>
      <c r="D435" s="6"/>
      <c r="E435" s="6"/>
    </row>
    <row r="436" spans="1:5">
      <c r="A436" s="6"/>
      <c r="D436" s="6"/>
      <c r="E436" s="6"/>
    </row>
    <row r="437" spans="1:5">
      <c r="A437" s="6"/>
      <c r="D437" s="6"/>
      <c r="E437" s="6"/>
    </row>
    <row r="438" spans="1:5">
      <c r="A438" s="6"/>
      <c r="D438" s="6"/>
      <c r="E438" s="6"/>
    </row>
    <row r="439" spans="1:5">
      <c r="A439" s="6"/>
      <c r="D439" s="6"/>
      <c r="E439" s="6"/>
    </row>
    <row r="440" spans="1:5">
      <c r="A440" s="6"/>
      <c r="D440" s="6"/>
      <c r="E440" s="6"/>
    </row>
    <row r="441" spans="1:5">
      <c r="A441" s="6"/>
      <c r="D441" s="6"/>
      <c r="E441" s="6"/>
    </row>
    <row r="442" spans="1:5">
      <c r="A442" s="6"/>
      <c r="D442" s="6"/>
      <c r="E442" s="6"/>
    </row>
    <row r="443" spans="1:5">
      <c r="A443" s="6"/>
      <c r="D443" s="6"/>
      <c r="E443" s="6"/>
    </row>
    <row r="444" spans="1:5">
      <c r="A444" s="6"/>
      <c r="D444" s="6"/>
      <c r="E444" s="6"/>
    </row>
    <row r="445" spans="1:5">
      <c r="A445" s="6"/>
      <c r="D445" s="6"/>
      <c r="E445" s="6"/>
    </row>
    <row r="446" spans="1:5">
      <c r="A446" s="6"/>
      <c r="D446" s="6"/>
      <c r="E446" s="6"/>
    </row>
    <row r="447" spans="1:5">
      <c r="A447" s="6"/>
      <c r="D447" s="6"/>
      <c r="E447" s="6"/>
    </row>
    <row r="448" spans="1:5">
      <c r="A448" s="6"/>
      <c r="D448" s="6"/>
      <c r="E448" s="6"/>
    </row>
    <row r="449" spans="1:5">
      <c r="A449" s="6"/>
      <c r="D449" s="6"/>
      <c r="E449" s="6"/>
    </row>
    <row r="450" spans="1:5">
      <c r="A450" s="6"/>
      <c r="D450" s="6"/>
      <c r="E450" s="6"/>
    </row>
    <row r="451" spans="1:5">
      <c r="A451" s="6"/>
      <c r="D451" s="6"/>
      <c r="E451" s="6"/>
    </row>
    <row r="452" spans="1:5">
      <c r="A452" s="6"/>
      <c r="D452" s="6"/>
      <c r="E452" s="6"/>
    </row>
    <row r="453" spans="1:5">
      <c r="A453" s="6"/>
      <c r="D453" s="6"/>
      <c r="E453" s="6"/>
    </row>
    <row r="454" spans="1:5">
      <c r="A454" s="6"/>
      <c r="D454" s="6"/>
      <c r="E454" s="6"/>
    </row>
    <row r="455" spans="1:5">
      <c r="A455" s="6"/>
      <c r="D455" s="6"/>
      <c r="E455" s="6"/>
    </row>
    <row r="456" spans="1:5">
      <c r="A456" s="6"/>
      <c r="D456" s="6"/>
      <c r="E456" s="6"/>
    </row>
    <row r="457" spans="1:5">
      <c r="A457" s="6"/>
      <c r="D457" s="6"/>
      <c r="E457" s="6"/>
    </row>
    <row r="458" spans="1:5">
      <c r="A458" s="6"/>
      <c r="D458" s="6"/>
      <c r="E458" s="6"/>
    </row>
    <row r="459" spans="1:5">
      <c r="A459" s="6"/>
      <c r="D459" s="6"/>
      <c r="E459" s="6"/>
    </row>
    <row r="460" spans="1:5">
      <c r="A460" s="6"/>
      <c r="D460" s="6"/>
      <c r="E460" s="6"/>
    </row>
    <row r="461" spans="1:5">
      <c r="A461" s="6"/>
      <c r="D461" s="6"/>
      <c r="E461" s="6"/>
    </row>
    <row r="462" spans="1:5">
      <c r="A462" s="6"/>
      <c r="D462" s="6"/>
      <c r="E462" s="6"/>
    </row>
    <row r="463" spans="1:5">
      <c r="A463" s="6"/>
      <c r="D463" s="6"/>
      <c r="E463" s="6"/>
    </row>
    <row r="464" spans="1:5">
      <c r="A464" s="6"/>
      <c r="D464" s="6"/>
      <c r="E464" s="6"/>
    </row>
    <row r="465" spans="1:5">
      <c r="A465" s="6"/>
      <c r="D465" s="6"/>
      <c r="E465" s="6"/>
    </row>
    <row r="466" spans="1:5">
      <c r="A466" s="6"/>
      <c r="D466" s="6"/>
      <c r="E466" s="6"/>
    </row>
    <row r="467" spans="1:5">
      <c r="A467" s="6"/>
      <c r="D467" s="6"/>
      <c r="E467" s="6"/>
    </row>
    <row r="468" spans="1:5">
      <c r="A468" s="6"/>
      <c r="D468" s="6"/>
      <c r="E468" s="6"/>
    </row>
    <row r="469" spans="1:5">
      <c r="A469" s="6"/>
      <c r="D469" s="6"/>
      <c r="E469" s="6"/>
    </row>
    <row r="470" spans="1:5">
      <c r="A470" s="6"/>
      <c r="D470" s="6"/>
      <c r="E470" s="6"/>
    </row>
    <row r="471" spans="1:5">
      <c r="A471" s="6"/>
      <c r="D471" s="6"/>
      <c r="E471" s="6"/>
    </row>
    <row r="472" spans="1:5">
      <c r="A472" s="6"/>
      <c r="D472" s="6"/>
      <c r="E472" s="6"/>
    </row>
    <row r="473" spans="1:5">
      <c r="A473" s="6"/>
      <c r="D473" s="6"/>
      <c r="E473" s="6"/>
    </row>
    <row r="474" spans="1:5">
      <c r="A474" s="6"/>
      <c r="D474" s="6"/>
      <c r="E474" s="6"/>
    </row>
    <row r="475" spans="1:5">
      <c r="A475" s="6"/>
      <c r="D475" s="6"/>
      <c r="E475" s="6"/>
    </row>
    <row r="476" spans="1:5">
      <c r="A476" s="6"/>
      <c r="D476" s="6"/>
      <c r="E476" s="6"/>
    </row>
    <row r="477" spans="1:5">
      <c r="A477" s="6"/>
      <c r="D477" s="6"/>
      <c r="E477" s="6"/>
    </row>
    <row r="478" spans="1:5">
      <c r="A478" s="6"/>
      <c r="D478" s="6"/>
      <c r="E478" s="6"/>
    </row>
    <row r="479" spans="1:5">
      <c r="A479" s="6"/>
      <c r="D479" s="6"/>
      <c r="E479" s="6"/>
    </row>
    <row r="480" spans="1:5">
      <c r="A480" s="6"/>
      <c r="D480" s="6"/>
      <c r="E480" s="6"/>
    </row>
    <row r="481" spans="1:5">
      <c r="A481" s="6"/>
      <c r="D481" s="6"/>
      <c r="E481" s="6"/>
    </row>
    <row r="482" spans="1:5">
      <c r="A482" s="6"/>
      <c r="D482" s="6"/>
      <c r="E482" s="6"/>
    </row>
    <row r="483" spans="1:5">
      <c r="A483" s="6"/>
      <c r="D483" s="6"/>
      <c r="E483" s="6"/>
    </row>
    <row r="484" spans="1:5">
      <c r="A484" s="6"/>
      <c r="D484" s="6"/>
      <c r="E484" s="6"/>
    </row>
    <row r="485" spans="1:5">
      <c r="A485" s="6"/>
      <c r="D485" s="6"/>
      <c r="E485" s="6"/>
    </row>
    <row r="486" spans="1:5">
      <c r="A486" s="6"/>
      <c r="D486" s="6"/>
      <c r="E486" s="6"/>
    </row>
    <row r="487" spans="1:5">
      <c r="A487" s="6"/>
      <c r="D487" s="6"/>
      <c r="E487" s="6"/>
    </row>
    <row r="488" spans="1:5">
      <c r="A488" s="6"/>
      <c r="D488" s="6"/>
      <c r="E488" s="6"/>
    </row>
    <row r="489" spans="1:5">
      <c r="A489" s="6"/>
      <c r="D489" s="6"/>
      <c r="E489" s="6"/>
    </row>
    <row r="490" spans="1:5">
      <c r="A490" s="6"/>
      <c r="D490" s="6"/>
      <c r="E490" s="6"/>
    </row>
    <row r="491" spans="1:5">
      <c r="A491" s="6"/>
      <c r="D491" s="6"/>
      <c r="E491" s="6"/>
    </row>
    <row r="492" spans="1:5">
      <c r="A492" s="6"/>
      <c r="D492" s="6"/>
      <c r="E492" s="6"/>
    </row>
    <row r="493" spans="1:5">
      <c r="A493" s="6"/>
      <c r="D493" s="6"/>
      <c r="E493" s="6"/>
    </row>
    <row r="494" spans="1:5">
      <c r="A494" s="6"/>
      <c r="D494" s="6"/>
      <c r="E494" s="6"/>
    </row>
    <row r="495" spans="1:5">
      <c r="A495" s="6"/>
      <c r="D495" s="6"/>
      <c r="E495" s="6"/>
    </row>
    <row r="496" spans="1:5">
      <c r="A496" s="6"/>
      <c r="D496" s="6"/>
      <c r="E496" s="6"/>
    </row>
    <row r="497" spans="1:5">
      <c r="A497" s="6"/>
      <c r="D497" s="6"/>
      <c r="E497" s="6"/>
    </row>
    <row r="498" spans="1:5">
      <c r="A498" s="6"/>
      <c r="D498" s="6"/>
      <c r="E498" s="6"/>
    </row>
    <row r="499" spans="1:5">
      <c r="A499" s="6"/>
      <c r="D499" s="6"/>
      <c r="E499" s="6"/>
    </row>
    <row r="500" spans="1:5">
      <c r="A500" s="6"/>
      <c r="D500" s="6"/>
      <c r="E500" s="6"/>
    </row>
    <row r="501" spans="1:5">
      <c r="A501" s="6"/>
      <c r="D501" s="6"/>
      <c r="E501" s="6"/>
    </row>
    <row r="502" spans="1:5">
      <c r="A502" s="6"/>
      <c r="D502" s="6"/>
      <c r="E502" s="6"/>
    </row>
    <row r="503" spans="1:5">
      <c r="A503" s="6"/>
      <c r="D503" s="6"/>
      <c r="E503" s="6"/>
    </row>
    <row r="504" spans="1:5">
      <c r="A504" s="6"/>
      <c r="D504" s="6"/>
      <c r="E504" s="6"/>
    </row>
    <row r="505" spans="1:5">
      <c r="A505" s="6"/>
      <c r="D505" s="6"/>
      <c r="E505" s="6"/>
    </row>
    <row r="506" spans="1:5">
      <c r="A506" s="6"/>
      <c r="D506" s="6"/>
      <c r="E506" s="6"/>
    </row>
    <row r="507" spans="1:5">
      <c r="A507" s="6"/>
      <c r="D507" s="6"/>
      <c r="E507" s="6"/>
    </row>
    <row r="508" spans="1:5">
      <c r="A508" s="6"/>
      <c r="D508" s="6"/>
      <c r="E508" s="6"/>
    </row>
    <row r="509" spans="1:5">
      <c r="A509" s="6"/>
      <c r="D509" s="6"/>
      <c r="E509" s="6"/>
    </row>
    <row r="510" spans="1:5">
      <c r="A510" s="6"/>
      <c r="D510" s="6"/>
      <c r="E510" s="6"/>
    </row>
    <row r="511" spans="1:5">
      <c r="A511" s="6"/>
      <c r="D511" s="6"/>
      <c r="E511" s="6"/>
    </row>
    <row r="512" spans="1:5">
      <c r="A512" s="6"/>
      <c r="D512" s="6"/>
      <c r="E512" s="6"/>
    </row>
    <row r="513" spans="1:5">
      <c r="A513" s="6"/>
      <c r="D513" s="6"/>
      <c r="E513" s="6"/>
    </row>
    <row r="514" spans="1:5">
      <c r="A514" s="6"/>
      <c r="D514" s="6"/>
      <c r="E514" s="6"/>
    </row>
    <row r="515" spans="1:5">
      <c r="A515" s="6"/>
      <c r="D515" s="6"/>
      <c r="E515" s="6"/>
    </row>
    <row r="516" spans="1:5">
      <c r="A516" s="6"/>
      <c r="D516" s="6"/>
      <c r="E516" s="6"/>
    </row>
    <row r="517" spans="1:5">
      <c r="A517" s="6"/>
      <c r="D517" s="6"/>
      <c r="E517" s="6"/>
    </row>
    <row r="518" spans="1:5">
      <c r="A518" s="6"/>
      <c r="D518" s="6"/>
      <c r="E518" s="6"/>
    </row>
    <row r="519" spans="1:5">
      <c r="A519" s="6"/>
      <c r="D519" s="6"/>
      <c r="E519" s="6"/>
    </row>
    <row r="520" spans="1:5">
      <c r="A520" s="6"/>
      <c r="D520" s="6"/>
      <c r="E520" s="6"/>
    </row>
    <row r="521" spans="1:5">
      <c r="A521" s="6"/>
      <c r="D521" s="6"/>
      <c r="E521" s="6"/>
    </row>
    <row r="522" spans="1:5">
      <c r="A522" s="6"/>
      <c r="D522" s="6"/>
      <c r="E522" s="6"/>
    </row>
    <row r="523" spans="1:5">
      <c r="A523" s="6"/>
      <c r="D523" s="6"/>
      <c r="E523" s="6"/>
    </row>
    <row r="524" spans="1:5">
      <c r="A524" s="6"/>
      <c r="D524" s="6"/>
      <c r="E524" s="6"/>
    </row>
    <row r="525" spans="1:5">
      <c r="A525" s="6"/>
      <c r="D525" s="6"/>
      <c r="E525" s="6"/>
    </row>
    <row r="526" spans="1:5">
      <c r="A526" s="6"/>
      <c r="D526" s="6"/>
      <c r="E526" s="6"/>
    </row>
    <row r="527" spans="1:5">
      <c r="A527" s="6"/>
      <c r="D527" s="6"/>
      <c r="E527" s="6"/>
    </row>
    <row r="528" spans="1:5">
      <c r="A528" s="6"/>
      <c r="D528" s="6"/>
      <c r="E528" s="6"/>
    </row>
    <row r="529" spans="1:5">
      <c r="A529" s="6"/>
      <c r="D529" s="6"/>
      <c r="E529" s="6"/>
    </row>
    <row r="530" spans="1:5">
      <c r="A530" s="6"/>
      <c r="D530" s="6"/>
      <c r="E530" s="6"/>
    </row>
    <row r="531" spans="1:5">
      <c r="A531" s="6"/>
      <c r="D531" s="6"/>
      <c r="E531" s="6"/>
    </row>
    <row r="532" spans="1:5">
      <c r="A532" s="6"/>
      <c r="D532" s="6"/>
      <c r="E532" s="6"/>
    </row>
    <row r="533" spans="1:5">
      <c r="A533" s="6"/>
      <c r="D533" s="6"/>
      <c r="E533" s="6"/>
    </row>
    <row r="534" spans="1:5">
      <c r="A534" s="6"/>
      <c r="D534" s="6"/>
      <c r="E534" s="6"/>
    </row>
    <row r="535" spans="1:5">
      <c r="A535" s="6"/>
      <c r="D535" s="6"/>
      <c r="E535" s="6"/>
    </row>
    <row r="536" spans="1:5">
      <c r="A536" s="6"/>
      <c r="D536" s="6"/>
      <c r="E536" s="6"/>
    </row>
    <row r="537" spans="1:5">
      <c r="A537" s="6"/>
      <c r="D537" s="6"/>
      <c r="E537" s="6"/>
    </row>
    <row r="538" spans="1:5">
      <c r="A538" s="6"/>
      <c r="D538" s="6"/>
      <c r="E538" s="6"/>
    </row>
    <row r="539" spans="1:5">
      <c r="A539" s="6"/>
      <c r="D539" s="6"/>
      <c r="E539" s="6"/>
    </row>
    <row r="540" spans="1:5">
      <c r="A540" s="6"/>
      <c r="D540" s="6"/>
      <c r="E540" s="6"/>
    </row>
    <row r="541" spans="1:5">
      <c r="A541" s="6"/>
      <c r="D541" s="6"/>
      <c r="E541" s="6"/>
    </row>
    <row r="542" spans="1:5">
      <c r="A542" s="6"/>
      <c r="D542" s="6"/>
      <c r="E542" s="6"/>
    </row>
    <row r="543" spans="1:5">
      <c r="A543" s="6"/>
      <c r="D543" s="6"/>
      <c r="E543" s="6"/>
    </row>
    <row r="544" spans="1:5">
      <c r="A544" s="6"/>
      <c r="D544" s="6"/>
      <c r="E544" s="6"/>
    </row>
    <row r="545" spans="1:5">
      <c r="A545" s="6"/>
      <c r="D545" s="6"/>
      <c r="E545" s="6"/>
    </row>
    <row r="546" spans="1:5">
      <c r="A546" s="6"/>
      <c r="D546" s="6"/>
      <c r="E546" s="6"/>
    </row>
    <row r="547" spans="1:5">
      <c r="A547" s="6"/>
      <c r="D547" s="6"/>
      <c r="E547" s="6"/>
    </row>
    <row r="548" spans="1:5">
      <c r="A548" s="6"/>
      <c r="D548" s="6"/>
      <c r="E548" s="6"/>
    </row>
    <row r="549" spans="1:5">
      <c r="A549" s="6"/>
      <c r="D549" s="6"/>
      <c r="E549" s="6"/>
    </row>
    <row r="550" spans="1:5">
      <c r="A550" s="6"/>
      <c r="D550" s="6"/>
      <c r="E550" s="6"/>
    </row>
    <row r="551" spans="1:5">
      <c r="A551" s="6"/>
      <c r="D551" s="6"/>
      <c r="E551" s="6"/>
    </row>
    <row r="552" spans="1:5">
      <c r="A552" s="6"/>
      <c r="D552" s="6"/>
      <c r="E552" s="6"/>
    </row>
    <row r="553" spans="1:5">
      <c r="A553" s="6"/>
      <c r="D553" s="6"/>
      <c r="E553" s="6"/>
    </row>
    <row r="554" spans="1:5">
      <c r="A554" s="6"/>
      <c r="D554" s="6"/>
      <c r="E554" s="6"/>
    </row>
    <row r="555" spans="1:5">
      <c r="A555" s="6"/>
      <c r="D555" s="6"/>
      <c r="E555" s="6"/>
    </row>
    <row r="556" spans="1:5">
      <c r="A556" s="6"/>
      <c r="D556" s="6"/>
      <c r="E556" s="6"/>
    </row>
    <row r="557" spans="1:5">
      <c r="A557" s="6"/>
      <c r="D557" s="6"/>
      <c r="E557" s="6"/>
    </row>
    <row r="558" spans="1:5">
      <c r="A558" s="6"/>
      <c r="D558" s="6"/>
      <c r="E558" s="6"/>
    </row>
    <row r="559" spans="1:5">
      <c r="A559" s="6"/>
      <c r="D559" s="6"/>
      <c r="E559" s="6"/>
    </row>
    <row r="560" spans="1:5">
      <c r="A560" s="6"/>
      <c r="D560" s="6"/>
      <c r="E560" s="6"/>
    </row>
    <row r="561" spans="1:5">
      <c r="A561" s="6"/>
      <c r="D561" s="6"/>
      <c r="E561" s="6"/>
    </row>
    <row r="562" spans="1:5">
      <c r="A562" s="6"/>
      <c r="D562" s="6"/>
      <c r="E562" s="6"/>
    </row>
    <row r="563" spans="1:5">
      <c r="A563" s="6"/>
      <c r="D563" s="6"/>
      <c r="E563" s="6"/>
    </row>
    <row r="564" spans="1:5">
      <c r="A564" s="6"/>
      <c r="D564" s="6"/>
      <c r="E564" s="6"/>
    </row>
    <row r="565" spans="1:5">
      <c r="A565" s="6"/>
      <c r="D565" s="6"/>
      <c r="E565" s="6"/>
    </row>
    <row r="566" spans="1:5">
      <c r="A566" s="6"/>
      <c r="D566" s="6"/>
      <c r="E566" s="6"/>
    </row>
    <row r="567" spans="1:5">
      <c r="A567" s="6"/>
      <c r="D567" s="6"/>
      <c r="E567" s="6"/>
    </row>
    <row r="568" spans="1:5">
      <c r="A568" s="6"/>
      <c r="D568" s="6"/>
      <c r="E568" s="6"/>
    </row>
    <row r="569" spans="1:5">
      <c r="A569" s="6"/>
      <c r="D569" s="6"/>
      <c r="E569" s="6"/>
    </row>
    <row r="570" spans="1:5">
      <c r="A570" s="6"/>
      <c r="D570" s="6"/>
      <c r="E570" s="6"/>
    </row>
    <row r="571" spans="1:5">
      <c r="A571" s="6"/>
      <c r="D571" s="6"/>
      <c r="E571" s="6"/>
    </row>
    <row r="572" spans="1:5">
      <c r="A572" s="6"/>
      <c r="D572" s="6"/>
      <c r="E572" s="6"/>
    </row>
    <row r="573" spans="1:5">
      <c r="A573" s="6"/>
      <c r="D573" s="6"/>
      <c r="E573" s="6"/>
    </row>
    <row r="574" spans="1:5">
      <c r="A574" s="6"/>
      <c r="D574" s="6"/>
      <c r="E574" s="6"/>
    </row>
    <row r="575" spans="1:5">
      <c r="A575" s="6"/>
      <c r="D575" s="6"/>
      <c r="E575" s="6"/>
    </row>
    <row r="576" spans="1:5">
      <c r="A576" s="6"/>
      <c r="D576" s="6"/>
      <c r="E576" s="6"/>
    </row>
    <row r="577" spans="1:5">
      <c r="A577" s="6"/>
      <c r="D577" s="6"/>
      <c r="E577" s="6"/>
    </row>
    <row r="578" spans="1:5">
      <c r="A578" s="6"/>
      <c r="D578" s="6"/>
      <c r="E578" s="6"/>
    </row>
    <row r="579" spans="1:5">
      <c r="A579" s="6"/>
      <c r="D579" s="6"/>
      <c r="E579" s="6"/>
    </row>
    <row r="580" spans="1:5">
      <c r="A580" s="6"/>
      <c r="D580" s="6"/>
      <c r="E580" s="6"/>
    </row>
    <row r="581" spans="1:5">
      <c r="A581" s="6"/>
      <c r="D581" s="6"/>
      <c r="E581" s="6"/>
    </row>
    <row r="582" spans="1:5">
      <c r="A582" s="6"/>
      <c r="D582" s="6"/>
      <c r="E582" s="6"/>
    </row>
    <row r="583" spans="1:5">
      <c r="A583" s="6"/>
      <c r="D583" s="6"/>
      <c r="E583" s="6"/>
    </row>
    <row r="584" spans="1:5">
      <c r="A584" s="6"/>
      <c r="D584" s="6"/>
      <c r="E584" s="6"/>
    </row>
    <row r="585" spans="1:5">
      <c r="A585" s="6"/>
      <c r="D585" s="6"/>
      <c r="E585" s="6"/>
    </row>
    <row r="586" spans="1:5">
      <c r="A586" s="6"/>
      <c r="D586" s="6"/>
      <c r="E586" s="6"/>
    </row>
    <row r="587" spans="1:5">
      <c r="A587" s="6"/>
      <c r="D587" s="6"/>
      <c r="E587" s="6"/>
    </row>
    <row r="588" spans="1:5">
      <c r="A588" s="6"/>
      <c r="D588" s="6"/>
      <c r="E588" s="6"/>
    </row>
    <row r="589" spans="1:5">
      <c r="A589" s="6"/>
      <c r="D589" s="6"/>
      <c r="E589" s="6"/>
    </row>
    <row r="590" spans="1:5">
      <c r="A590" s="6"/>
      <c r="D590" s="6"/>
      <c r="E590" s="6"/>
    </row>
    <row r="591" spans="1:5">
      <c r="A591" s="6"/>
      <c r="D591" s="6"/>
      <c r="E591" s="6"/>
    </row>
    <row r="592" spans="1:5">
      <c r="A592" s="6"/>
      <c r="D592" s="6"/>
      <c r="E592" s="6"/>
    </row>
    <row r="593" spans="1:5">
      <c r="A593" s="6"/>
      <c r="D593" s="6"/>
      <c r="E593" s="6"/>
    </row>
    <row r="594" spans="1:5">
      <c r="A594" s="6"/>
      <c r="D594" s="6"/>
      <c r="E594" s="6"/>
    </row>
    <row r="595" spans="1:5">
      <c r="A595" s="6"/>
      <c r="D595" s="6"/>
      <c r="E595" s="6"/>
    </row>
    <row r="596" spans="1:5">
      <c r="A596" s="6"/>
      <c r="D596" s="6"/>
      <c r="E596" s="6"/>
    </row>
    <row r="597" spans="1:5">
      <c r="A597" s="6"/>
      <c r="D597" s="6"/>
      <c r="E597" s="6"/>
    </row>
    <row r="598" spans="1:5">
      <c r="A598" s="6"/>
      <c r="D598" s="6"/>
      <c r="E598" s="6"/>
    </row>
    <row r="599" spans="1:5">
      <c r="A599" s="6"/>
      <c r="D599" s="6"/>
      <c r="E599" s="6"/>
    </row>
    <row r="600" spans="1:5">
      <c r="A600" s="6"/>
      <c r="D600" s="6"/>
      <c r="E600" s="6"/>
    </row>
    <row r="601" spans="1:5">
      <c r="A601" s="6"/>
      <c r="D601" s="6"/>
      <c r="E601" s="6"/>
    </row>
    <row r="602" spans="1:5">
      <c r="A602" s="6"/>
      <c r="D602" s="6"/>
      <c r="E602" s="6"/>
    </row>
    <row r="603" spans="1:5">
      <c r="A603" s="6"/>
      <c r="D603" s="6"/>
      <c r="E603" s="6"/>
    </row>
    <row r="604" spans="1:5">
      <c r="A604" s="6"/>
      <c r="D604" s="6"/>
      <c r="E604" s="6"/>
    </row>
    <row r="605" spans="1:5">
      <c r="A605" s="6"/>
      <c r="D605" s="6"/>
      <c r="E605" s="6"/>
    </row>
    <row r="606" spans="1:5">
      <c r="A606" s="6"/>
      <c r="D606" s="6"/>
      <c r="E606" s="6"/>
    </row>
    <row r="607" spans="1:5">
      <c r="A607" s="6"/>
      <c r="D607" s="6"/>
      <c r="E607" s="6"/>
    </row>
    <row r="608" spans="1:5">
      <c r="A608" s="6"/>
      <c r="D608" s="6"/>
      <c r="E608" s="6"/>
    </row>
    <row r="609" spans="1:5">
      <c r="A609" s="6"/>
      <c r="D609" s="6"/>
      <c r="E609" s="6"/>
    </row>
    <row r="610" spans="1:5">
      <c r="A610" s="6"/>
      <c r="D610" s="6"/>
      <c r="E610" s="6"/>
    </row>
    <row r="611" spans="1:5">
      <c r="A611" s="6"/>
      <c r="D611" s="6"/>
      <c r="E611" s="6"/>
    </row>
    <row r="612" spans="1:5">
      <c r="A612" s="6"/>
      <c r="D612" s="6"/>
      <c r="E612" s="6"/>
    </row>
    <row r="613" spans="1:5">
      <c r="A613" s="6"/>
      <c r="D613" s="6"/>
      <c r="E613" s="6"/>
    </row>
    <row r="614" spans="1:5">
      <c r="A614" s="6"/>
      <c r="D614" s="6"/>
      <c r="E614" s="6"/>
    </row>
    <row r="615" spans="1:5">
      <c r="A615" s="6"/>
      <c r="D615" s="6"/>
      <c r="E615" s="6"/>
    </row>
    <row r="616" spans="1:5">
      <c r="A616" s="6"/>
      <c r="D616" s="6"/>
      <c r="E616" s="6"/>
    </row>
    <row r="617" spans="1:5">
      <c r="A617" s="6"/>
      <c r="D617" s="6"/>
      <c r="E617" s="6"/>
    </row>
    <row r="618" spans="1:5">
      <c r="A618" s="6"/>
      <c r="D618" s="6"/>
      <c r="E618" s="6"/>
    </row>
    <row r="619" spans="1:5">
      <c r="A619" s="6"/>
      <c r="D619" s="6"/>
      <c r="E619" s="6"/>
    </row>
    <row r="620" spans="1:5">
      <c r="A620" s="6"/>
      <c r="D620" s="6"/>
      <c r="E620" s="6"/>
    </row>
    <row r="621" spans="1:5">
      <c r="A621" s="6"/>
      <c r="D621" s="6"/>
      <c r="E621" s="6"/>
    </row>
    <row r="622" spans="1:5">
      <c r="A622" s="6"/>
      <c r="D622" s="6"/>
      <c r="E622" s="6"/>
    </row>
    <row r="623" spans="1:5">
      <c r="A623" s="6"/>
      <c r="D623" s="6"/>
      <c r="E623" s="6"/>
    </row>
    <row r="624" spans="1:5">
      <c r="A624" s="6"/>
      <c r="D624" s="6"/>
      <c r="E624" s="6"/>
    </row>
    <row r="625" spans="1:5">
      <c r="A625" s="6"/>
      <c r="D625" s="6"/>
      <c r="E625" s="6"/>
    </row>
    <row r="626" spans="1:5">
      <c r="A626" s="6"/>
      <c r="D626" s="6"/>
      <c r="E626" s="6"/>
    </row>
    <row r="627" spans="1:5">
      <c r="A627" s="6"/>
      <c r="D627" s="6"/>
      <c r="E627" s="6"/>
    </row>
    <row r="628" spans="1:5">
      <c r="A628" s="6"/>
      <c r="D628" s="6"/>
      <c r="E628" s="6"/>
    </row>
    <row r="629" spans="1:5">
      <c r="A629" s="6"/>
      <c r="D629" s="6"/>
      <c r="E629" s="6"/>
    </row>
    <row r="630" spans="1:5">
      <c r="A630" s="6"/>
      <c r="D630" s="6"/>
      <c r="E630" s="6"/>
    </row>
    <row r="631" spans="1:5">
      <c r="A631" s="6"/>
      <c r="D631" s="6"/>
      <c r="E631" s="6"/>
    </row>
    <row r="632" spans="1:5">
      <c r="A632" s="6"/>
      <c r="D632" s="6"/>
      <c r="E632" s="6"/>
    </row>
    <row r="633" spans="1:5">
      <c r="A633" s="6"/>
      <c r="D633" s="6"/>
      <c r="E633" s="6"/>
    </row>
    <row r="634" spans="1:5">
      <c r="A634" s="6"/>
      <c r="D634" s="6"/>
      <c r="E634" s="6"/>
    </row>
    <row r="635" spans="1:5">
      <c r="A635" s="6"/>
      <c r="D635" s="6"/>
      <c r="E635" s="6"/>
    </row>
    <row r="636" spans="1:5">
      <c r="A636" s="6"/>
      <c r="D636" s="6"/>
      <c r="E636" s="6"/>
    </row>
    <row r="637" spans="1:5">
      <c r="A637" s="6"/>
      <c r="D637" s="6"/>
      <c r="E637" s="6"/>
    </row>
    <row r="638" spans="1:5">
      <c r="A638" s="6"/>
      <c r="D638" s="6"/>
      <c r="E638" s="6"/>
    </row>
    <row r="639" spans="1:5">
      <c r="A639" s="6"/>
      <c r="D639" s="6"/>
      <c r="E639" s="6"/>
    </row>
    <row r="640" spans="1:5">
      <c r="A640" s="6"/>
      <c r="D640" s="6"/>
      <c r="E640" s="6"/>
    </row>
    <row r="641" spans="1:5">
      <c r="A641" s="6"/>
      <c r="D641" s="6"/>
      <c r="E641" s="6"/>
    </row>
    <row r="642" spans="1:5">
      <c r="A642" s="6"/>
      <c r="D642" s="6"/>
      <c r="E642" s="6"/>
    </row>
    <row r="643" spans="1:5">
      <c r="A643" s="6"/>
      <c r="D643" s="6"/>
      <c r="E643" s="6"/>
    </row>
    <row r="644" spans="1:5">
      <c r="A644" s="6"/>
      <c r="D644" s="6"/>
      <c r="E644" s="6"/>
    </row>
    <row r="645" spans="1:5">
      <c r="A645" s="6"/>
      <c r="D645" s="6"/>
      <c r="E645" s="6"/>
    </row>
    <row r="646" spans="1:5">
      <c r="A646" s="6"/>
      <c r="D646" s="6"/>
      <c r="E646" s="6"/>
    </row>
    <row r="647" spans="1:5">
      <c r="A647" s="6"/>
      <c r="D647" s="6"/>
      <c r="E647" s="6"/>
    </row>
    <row r="648" spans="1:5">
      <c r="A648" s="6"/>
      <c r="D648" s="6"/>
      <c r="E648" s="6"/>
    </row>
    <row r="649" spans="1:5">
      <c r="A649" s="6"/>
      <c r="D649" s="6"/>
      <c r="E649" s="6"/>
    </row>
    <row r="650" spans="1:5">
      <c r="A650" s="6"/>
      <c r="D650" s="6"/>
      <c r="E650" s="6"/>
    </row>
    <row r="651" spans="1:5">
      <c r="A651" s="6"/>
      <c r="D651" s="6"/>
      <c r="E651" s="6"/>
    </row>
    <row r="652" spans="1:5">
      <c r="A652" s="6"/>
      <c r="D652" s="6"/>
      <c r="E652" s="6"/>
    </row>
    <row r="653" spans="1:5">
      <c r="A653" s="6"/>
      <c r="D653" s="6"/>
      <c r="E653" s="6"/>
    </row>
    <row r="654" spans="1:5">
      <c r="A654" s="6"/>
      <c r="D654" s="6"/>
      <c r="E654" s="6"/>
    </row>
    <row r="655" spans="1:5">
      <c r="A655" s="6"/>
      <c r="D655" s="6"/>
      <c r="E655" s="6"/>
    </row>
    <row r="656" spans="1:5">
      <c r="A656" s="6"/>
      <c r="D656" s="6"/>
      <c r="E656" s="6"/>
    </row>
    <row r="657" spans="1:5">
      <c r="A657" s="6"/>
      <c r="D657" s="6"/>
      <c r="E657" s="6"/>
    </row>
    <row r="658" spans="1:5">
      <c r="A658" s="6"/>
      <c r="D658" s="6"/>
      <c r="E658" s="6"/>
    </row>
    <row r="659" spans="1:5">
      <c r="A659" s="6"/>
      <c r="D659" s="6"/>
      <c r="E659" s="6"/>
    </row>
    <row r="660" spans="1:5">
      <c r="A660" s="6"/>
      <c r="D660" s="6"/>
      <c r="E660" s="6"/>
    </row>
    <row r="661" spans="1:5">
      <c r="A661" s="6"/>
      <c r="D661" s="6"/>
      <c r="E661" s="6"/>
    </row>
    <row r="662" spans="1:5">
      <c r="A662" s="6"/>
      <c r="D662" s="6"/>
      <c r="E662" s="6"/>
    </row>
    <row r="663" spans="1:5">
      <c r="A663" s="6"/>
      <c r="D663" s="6"/>
      <c r="E663" s="6"/>
    </row>
    <row r="664" spans="1:5">
      <c r="A664" s="6"/>
      <c r="D664" s="6"/>
      <c r="E664" s="6"/>
    </row>
    <row r="665" spans="1:5">
      <c r="A665" s="6"/>
      <c r="D665" s="6"/>
      <c r="E665" s="6"/>
    </row>
    <row r="666" spans="1:5">
      <c r="A666" s="6"/>
      <c r="D666" s="6"/>
      <c r="E666" s="6"/>
    </row>
    <row r="667" spans="1:5">
      <c r="A667" s="6"/>
      <c r="D667" s="6"/>
      <c r="E667" s="6"/>
    </row>
    <row r="668" spans="1:5">
      <c r="A668" s="6"/>
      <c r="D668" s="6"/>
      <c r="E668" s="6"/>
    </row>
    <row r="669" spans="1:5">
      <c r="A669" s="6"/>
      <c r="D669" s="6"/>
      <c r="E669" s="6"/>
    </row>
    <row r="670" spans="1:5">
      <c r="A670" s="6"/>
      <c r="D670" s="6"/>
      <c r="E670" s="6"/>
    </row>
    <row r="671" spans="1:5">
      <c r="A671" s="6"/>
      <c r="D671" s="6"/>
      <c r="E671" s="6"/>
    </row>
    <row r="672" spans="1:5">
      <c r="A672" s="6"/>
      <c r="D672" s="6"/>
      <c r="E672" s="6"/>
    </row>
    <row r="673" spans="1:5">
      <c r="A673" s="6"/>
      <c r="D673" s="6"/>
      <c r="E673" s="6"/>
    </row>
    <row r="674" spans="1:5">
      <c r="A674" s="6"/>
      <c r="D674" s="6"/>
      <c r="E674" s="6"/>
    </row>
    <row r="675" spans="1:5">
      <c r="A675" s="6"/>
      <c r="D675" s="6"/>
      <c r="E675" s="6"/>
    </row>
    <row r="676" spans="1:5">
      <c r="A676" s="6"/>
      <c r="D676" s="6"/>
      <c r="E676" s="6"/>
    </row>
    <row r="677" spans="1:5">
      <c r="A677" s="6"/>
      <c r="D677" s="6"/>
      <c r="E677" s="6"/>
    </row>
    <row r="678" spans="1:5">
      <c r="A678" s="6"/>
      <c r="D678" s="6"/>
      <c r="E678" s="6"/>
    </row>
    <row r="679" spans="1:5">
      <c r="A679" s="6"/>
      <c r="D679" s="6"/>
      <c r="E679" s="6"/>
    </row>
    <row r="680" spans="1:5">
      <c r="A680" s="6"/>
      <c r="D680" s="6"/>
      <c r="E680" s="6"/>
    </row>
    <row r="681" spans="1:5">
      <c r="A681" s="6"/>
      <c r="D681" s="6"/>
      <c r="E681" s="6"/>
    </row>
    <row r="682" spans="1:5">
      <c r="A682" s="6"/>
      <c r="D682" s="6"/>
      <c r="E682" s="6"/>
    </row>
    <row r="683" spans="1:5">
      <c r="A683" s="6"/>
      <c r="D683" s="6"/>
      <c r="E683" s="6"/>
    </row>
    <row r="684" spans="1:5">
      <c r="A684" s="6"/>
      <c r="D684" s="6"/>
      <c r="E684" s="6"/>
    </row>
    <row r="685" spans="1:5">
      <c r="A685" s="6"/>
      <c r="D685" s="6"/>
      <c r="E685" s="6"/>
    </row>
    <row r="686" spans="1:5">
      <c r="A686" s="6"/>
      <c r="D686" s="6"/>
      <c r="E686" s="6"/>
    </row>
    <row r="687" spans="1:5">
      <c r="A687" s="6"/>
      <c r="D687" s="6"/>
      <c r="E687" s="6"/>
    </row>
    <row r="688" spans="1:5">
      <c r="A688" s="6"/>
      <c r="D688" s="6"/>
      <c r="E688" s="6"/>
    </row>
    <row r="689" spans="1:5">
      <c r="A689" s="6"/>
      <c r="D689" s="6"/>
      <c r="E689" s="6"/>
    </row>
    <row r="690" spans="1:5">
      <c r="A690" s="6"/>
      <c r="D690" s="6"/>
      <c r="E690" s="6"/>
    </row>
    <row r="691" spans="1:5">
      <c r="A691" s="6"/>
      <c r="D691" s="6"/>
      <c r="E691" s="6"/>
    </row>
    <row r="692" spans="1:5">
      <c r="A692" s="6"/>
      <c r="D692" s="6"/>
      <c r="E692" s="6"/>
    </row>
    <row r="693" spans="1:5">
      <c r="A693" s="6"/>
      <c r="D693" s="6"/>
      <c r="E693" s="6"/>
    </row>
    <row r="694" spans="1:5">
      <c r="A694" s="6"/>
      <c r="D694" s="6"/>
      <c r="E694" s="6"/>
    </row>
    <row r="695" spans="1:5">
      <c r="A695" s="6"/>
      <c r="D695" s="6"/>
      <c r="E695" s="6"/>
    </row>
    <row r="696" spans="1:5">
      <c r="A696" s="6"/>
      <c r="D696" s="6"/>
      <c r="E696" s="6"/>
    </row>
    <row r="697" spans="1:5">
      <c r="A697" s="6"/>
      <c r="D697" s="6"/>
      <c r="E697" s="6"/>
    </row>
    <row r="698" spans="1:5">
      <c r="A698" s="6"/>
      <c r="D698" s="6"/>
      <c r="E698" s="6"/>
    </row>
    <row r="699" spans="1:5">
      <c r="A699" s="6"/>
      <c r="D699" s="6"/>
      <c r="E699" s="6"/>
    </row>
    <row r="700" spans="1:5">
      <c r="A700" s="6"/>
      <c r="D700" s="6"/>
      <c r="E700" s="6"/>
    </row>
    <row r="701" spans="1:5">
      <c r="A701" s="6"/>
      <c r="D701" s="6"/>
      <c r="E701" s="6"/>
    </row>
    <row r="702" spans="1:5">
      <c r="A702" s="6"/>
      <c r="D702" s="6"/>
      <c r="E702" s="6"/>
    </row>
    <row r="703" spans="1:5">
      <c r="A703" s="6"/>
      <c r="D703" s="6"/>
      <c r="E703" s="6"/>
    </row>
    <row r="704" spans="1:5">
      <c r="A704" s="6"/>
      <c r="D704" s="6"/>
      <c r="E704" s="6"/>
    </row>
    <row r="705" spans="1:5">
      <c r="A705" s="6"/>
      <c r="D705" s="6"/>
      <c r="E705" s="6"/>
    </row>
    <row r="706" spans="1:5">
      <c r="A706" s="6"/>
      <c r="D706" s="6"/>
      <c r="E706" s="6"/>
    </row>
    <row r="707" spans="1:5">
      <c r="A707" s="6"/>
      <c r="D707" s="6"/>
      <c r="E707" s="6"/>
    </row>
    <row r="708" spans="1:5">
      <c r="A708" s="6"/>
      <c r="D708" s="6"/>
      <c r="E708" s="6"/>
    </row>
    <row r="709" spans="1:5">
      <c r="A709" s="6"/>
      <c r="D709" s="6"/>
      <c r="E709" s="6"/>
    </row>
    <row r="710" spans="1:5">
      <c r="A710" s="6"/>
      <c r="D710" s="6"/>
      <c r="E710" s="6"/>
    </row>
    <row r="711" spans="1:5">
      <c r="A711" s="6"/>
      <c r="D711" s="6"/>
      <c r="E711" s="6"/>
    </row>
    <row r="712" spans="1:5">
      <c r="A712" s="6"/>
      <c r="D712" s="6"/>
      <c r="E712" s="6"/>
    </row>
    <row r="713" spans="1:5">
      <c r="A713" s="6"/>
      <c r="D713" s="6"/>
      <c r="E713" s="6"/>
    </row>
    <row r="714" spans="1:5">
      <c r="A714" s="6"/>
      <c r="D714" s="6"/>
      <c r="E714" s="6"/>
    </row>
    <row r="715" spans="1:5">
      <c r="A715" s="6"/>
      <c r="D715" s="6"/>
      <c r="E715" s="6"/>
    </row>
    <row r="716" spans="1:5">
      <c r="A716" s="6"/>
      <c r="D716" s="6"/>
      <c r="E716" s="6"/>
    </row>
    <row r="717" spans="1:5">
      <c r="A717" s="6"/>
      <c r="D717" s="6"/>
      <c r="E717" s="6"/>
    </row>
    <row r="718" spans="1:5">
      <c r="A718" s="6"/>
      <c r="D718" s="6"/>
      <c r="E718" s="6"/>
    </row>
    <row r="719" spans="1:5">
      <c r="A719" s="6"/>
      <c r="D719" s="6"/>
      <c r="E719" s="6"/>
    </row>
    <row r="720" spans="1:5">
      <c r="A720" s="6"/>
      <c r="D720" s="6"/>
      <c r="E720" s="6"/>
    </row>
    <row r="721" spans="1:5">
      <c r="A721" s="6"/>
      <c r="D721" s="6"/>
      <c r="E721" s="6"/>
    </row>
    <row r="722" spans="1:5">
      <c r="A722" s="6"/>
      <c r="D722" s="6"/>
      <c r="E722" s="6"/>
    </row>
    <row r="723" spans="1:5">
      <c r="A723" s="6"/>
      <c r="D723" s="6"/>
      <c r="E723" s="6"/>
    </row>
    <row r="724" spans="1:5">
      <c r="A724" s="6"/>
      <c r="D724" s="6"/>
      <c r="E724" s="6"/>
    </row>
    <row r="725" spans="1:5">
      <c r="A725" s="6"/>
      <c r="D725" s="6"/>
      <c r="E725" s="6"/>
    </row>
    <row r="726" spans="1:5">
      <c r="A726" s="6"/>
      <c r="D726" s="6"/>
      <c r="E726" s="6"/>
    </row>
    <row r="727" spans="1:5">
      <c r="A727" s="6"/>
      <c r="D727" s="6"/>
      <c r="E727" s="6"/>
    </row>
    <row r="728" spans="1:5">
      <c r="A728" s="6"/>
      <c r="D728" s="6"/>
      <c r="E728" s="6"/>
    </row>
    <row r="729" spans="1:5">
      <c r="A729" s="6"/>
      <c r="D729" s="6"/>
      <c r="E729" s="6"/>
    </row>
    <row r="730" spans="1:5">
      <c r="A730" s="6"/>
      <c r="D730" s="6"/>
      <c r="E730" s="6"/>
    </row>
    <row r="731" spans="1:5">
      <c r="A731" s="6"/>
      <c r="D731" s="6"/>
      <c r="E731" s="6"/>
    </row>
    <row r="732" spans="1:5">
      <c r="A732" s="6"/>
      <c r="D732" s="6"/>
      <c r="E732" s="6"/>
    </row>
    <row r="733" spans="1:5">
      <c r="A733" s="6"/>
      <c r="D733" s="6"/>
      <c r="E733" s="6"/>
    </row>
    <row r="734" spans="1:5">
      <c r="A734" s="6"/>
      <c r="D734" s="6"/>
      <c r="E734" s="6"/>
    </row>
    <row r="735" spans="1:5">
      <c r="A735" s="6"/>
      <c r="D735" s="6"/>
      <c r="E735" s="6"/>
    </row>
    <row r="736" spans="1:5">
      <c r="A736" s="6"/>
      <c r="D736" s="6"/>
      <c r="E736" s="6"/>
    </row>
    <row r="737" spans="1:5">
      <c r="A737" s="6"/>
      <c r="D737" s="6"/>
      <c r="E737" s="6"/>
    </row>
    <row r="738" spans="1:5">
      <c r="A738" s="6"/>
      <c r="D738" s="6"/>
      <c r="E738" s="6"/>
    </row>
    <row r="739" spans="1:5">
      <c r="A739" s="6"/>
      <c r="D739" s="6"/>
      <c r="E739" s="6"/>
    </row>
    <row r="740" spans="1:5">
      <c r="A740" s="6"/>
      <c r="D740" s="6"/>
      <c r="E740" s="6"/>
    </row>
    <row r="741" spans="1:5">
      <c r="A741" s="6"/>
      <c r="D741" s="6"/>
      <c r="E741" s="6"/>
    </row>
    <row r="742" spans="1:5">
      <c r="A742" s="6"/>
      <c r="D742" s="6"/>
      <c r="E742" s="6"/>
    </row>
    <row r="743" spans="1:5">
      <c r="A743" s="6"/>
      <c r="D743" s="6"/>
      <c r="E743" s="6"/>
    </row>
    <row r="744" spans="1:5">
      <c r="A744" s="6"/>
      <c r="D744" s="6"/>
      <c r="E744" s="6"/>
    </row>
    <row r="745" spans="1:5">
      <c r="A745" s="6"/>
      <c r="D745" s="6"/>
      <c r="E745" s="6"/>
    </row>
    <row r="746" spans="1:5">
      <c r="A746" s="6"/>
      <c r="D746" s="6"/>
      <c r="E746" s="6"/>
    </row>
    <row r="747" spans="1:5">
      <c r="A747" s="6"/>
      <c r="D747" s="6"/>
      <c r="E747" s="6"/>
    </row>
    <row r="748" spans="1:5">
      <c r="A748" s="6"/>
      <c r="D748" s="6"/>
      <c r="E748" s="6"/>
    </row>
    <row r="749" spans="1:5">
      <c r="A749" s="6"/>
      <c r="D749" s="6"/>
      <c r="E749" s="6"/>
    </row>
    <row r="750" spans="1:5">
      <c r="A750" s="6"/>
      <c r="D750" s="6"/>
      <c r="E750" s="6"/>
    </row>
    <row r="751" spans="1:5">
      <c r="A751" s="6"/>
      <c r="D751" s="6"/>
      <c r="E751" s="6"/>
    </row>
    <row r="752" spans="1:5">
      <c r="A752" s="6"/>
      <c r="D752" s="6"/>
      <c r="E752" s="6"/>
    </row>
    <row r="753" spans="1:5">
      <c r="A753" s="6"/>
      <c r="D753" s="6"/>
      <c r="E753" s="6"/>
    </row>
    <row r="754" spans="1:5">
      <c r="A754" s="6"/>
      <c r="D754" s="6"/>
      <c r="E754" s="6"/>
    </row>
    <row r="755" spans="1:5">
      <c r="A755" s="6"/>
      <c r="D755" s="6"/>
      <c r="E755" s="6"/>
    </row>
    <row r="756" spans="1:5">
      <c r="A756" s="6"/>
      <c r="D756" s="6"/>
      <c r="E756" s="6"/>
    </row>
    <row r="757" spans="1:5">
      <c r="A757" s="6"/>
      <c r="D757" s="6"/>
      <c r="E757" s="6"/>
    </row>
    <row r="758" spans="1:5">
      <c r="A758" s="6"/>
      <c r="D758" s="6"/>
      <c r="E758" s="6"/>
    </row>
    <row r="759" spans="1:5">
      <c r="A759" s="6"/>
      <c r="D759" s="6"/>
      <c r="E759" s="6"/>
    </row>
    <row r="760" spans="1:5">
      <c r="A760" s="6"/>
      <c r="D760" s="6"/>
      <c r="E760" s="6"/>
    </row>
    <row r="761" spans="1:5">
      <c r="A761" s="6"/>
      <c r="D761" s="6"/>
      <c r="E761" s="6"/>
    </row>
    <row r="762" spans="1:5">
      <c r="A762" s="6"/>
      <c r="D762" s="6"/>
      <c r="E762" s="6"/>
    </row>
    <row r="763" spans="1:5">
      <c r="A763" s="6"/>
      <c r="D763" s="6"/>
      <c r="E763" s="6"/>
    </row>
    <row r="764" spans="1:5">
      <c r="A764" s="6"/>
      <c r="D764" s="6"/>
      <c r="E764" s="6"/>
    </row>
    <row r="765" spans="1:5">
      <c r="A765" s="6"/>
      <c r="D765" s="6"/>
      <c r="E765" s="6"/>
    </row>
    <row r="766" spans="1:5">
      <c r="A766" s="6"/>
      <c r="D766" s="6"/>
      <c r="E766" s="6"/>
    </row>
    <row r="767" spans="1:5">
      <c r="A767" s="6"/>
      <c r="D767" s="6"/>
      <c r="E767" s="6"/>
    </row>
    <row r="768" spans="1:5">
      <c r="A768" s="6"/>
      <c r="D768" s="6"/>
      <c r="E768" s="6"/>
    </row>
    <row r="769" spans="1:5">
      <c r="A769" s="6"/>
      <c r="D769" s="6"/>
      <c r="E769" s="6"/>
    </row>
    <row r="770" spans="1:5">
      <c r="A770" s="6"/>
      <c r="D770" s="6"/>
      <c r="E770" s="6"/>
    </row>
    <row r="771" spans="1:5">
      <c r="A771" s="6"/>
      <c r="D771" s="6"/>
      <c r="E771" s="6"/>
    </row>
    <row r="772" spans="1:5">
      <c r="A772" s="6"/>
      <c r="D772" s="6"/>
      <c r="E772" s="6"/>
    </row>
    <row r="773" spans="1:5">
      <c r="A773" s="6"/>
      <c r="D773" s="6"/>
      <c r="E773" s="6"/>
    </row>
    <row r="774" spans="1:5">
      <c r="A774" s="6"/>
      <c r="D774" s="6"/>
      <c r="E774" s="6"/>
    </row>
    <row r="775" spans="1:5">
      <c r="A775" s="6"/>
      <c r="D775" s="6"/>
      <c r="E775" s="6"/>
    </row>
    <row r="776" spans="1:5">
      <c r="A776" s="6"/>
      <c r="D776" s="6"/>
      <c r="E776" s="6"/>
    </row>
    <row r="777" spans="1:5">
      <c r="A777" s="6"/>
      <c r="D777" s="6"/>
      <c r="E777" s="6"/>
    </row>
    <row r="778" spans="1:5">
      <c r="A778" s="6"/>
      <c r="D778" s="6"/>
      <c r="E778" s="6"/>
    </row>
    <row r="779" spans="1:5">
      <c r="A779" s="6"/>
      <c r="D779" s="6"/>
      <c r="E779" s="6"/>
    </row>
    <row r="780" spans="1:5">
      <c r="A780" s="6"/>
      <c r="D780" s="6"/>
      <c r="E780" s="6"/>
    </row>
    <row r="781" spans="1:5">
      <c r="A781" s="6"/>
      <c r="D781" s="6"/>
      <c r="E781" s="6"/>
    </row>
    <row r="782" spans="1:5">
      <c r="A782" s="6"/>
      <c r="D782" s="6"/>
      <c r="E782" s="6"/>
    </row>
    <row r="783" spans="1:5">
      <c r="A783" s="6"/>
      <c r="D783" s="6"/>
      <c r="E783" s="6"/>
    </row>
    <row r="784" spans="1:5">
      <c r="A784" s="6"/>
      <c r="D784" s="6"/>
      <c r="E784" s="6"/>
    </row>
    <row r="785" spans="1:5">
      <c r="A785" s="6"/>
      <c r="D785" s="6"/>
      <c r="E785" s="6"/>
    </row>
    <row r="786" spans="1:5">
      <c r="A786" s="6"/>
      <c r="D786" s="6"/>
      <c r="E786" s="6"/>
    </row>
    <row r="787" spans="1:5">
      <c r="A787" s="6"/>
      <c r="D787" s="6"/>
      <c r="E787" s="6"/>
    </row>
    <row r="788" spans="1:5">
      <c r="A788" s="6"/>
      <c r="D788" s="6"/>
      <c r="E788" s="6"/>
    </row>
    <row r="789" spans="1:5">
      <c r="A789" s="6"/>
      <c r="D789" s="6"/>
      <c r="E789" s="6"/>
    </row>
    <row r="790" spans="1:5">
      <c r="A790" s="6"/>
      <c r="D790" s="6"/>
      <c r="E790" s="6"/>
    </row>
    <row r="791" spans="1:5">
      <c r="A791" s="6"/>
      <c r="D791" s="6"/>
      <c r="E791" s="6"/>
    </row>
    <row r="792" spans="1:5">
      <c r="A792" s="6"/>
      <c r="D792" s="6"/>
      <c r="E792" s="6"/>
    </row>
    <row r="793" spans="1:5">
      <c r="A793" s="6"/>
      <c r="D793" s="6"/>
      <c r="E793" s="6"/>
    </row>
    <row r="794" spans="1:5">
      <c r="A794" s="6"/>
      <c r="D794" s="6"/>
      <c r="E794" s="6"/>
    </row>
    <row r="795" spans="1:5">
      <c r="A795" s="6"/>
      <c r="D795" s="6"/>
      <c r="E795" s="6"/>
    </row>
    <row r="796" spans="1:5">
      <c r="A796" s="6"/>
      <c r="D796" s="6"/>
      <c r="E796" s="6"/>
    </row>
    <row r="797" spans="1:5">
      <c r="A797" s="6"/>
      <c r="D797" s="6"/>
      <c r="E797" s="6"/>
    </row>
    <row r="798" spans="1:5">
      <c r="A798" s="6"/>
      <c r="D798" s="6"/>
      <c r="E798" s="6"/>
    </row>
    <row r="799" spans="1:5">
      <c r="A799" s="6"/>
      <c r="D799" s="6"/>
      <c r="E799" s="6"/>
    </row>
    <row r="800" spans="1:5">
      <c r="A800" s="6"/>
      <c r="D800" s="6"/>
      <c r="E800" s="6"/>
    </row>
    <row r="801" spans="1:5">
      <c r="A801" s="6"/>
      <c r="D801" s="6"/>
      <c r="E801" s="6"/>
    </row>
    <row r="802" spans="1:5">
      <c r="A802" s="6"/>
      <c r="D802" s="6"/>
      <c r="E802" s="6"/>
    </row>
    <row r="803" spans="1:5">
      <c r="A803" s="6"/>
      <c r="D803" s="6"/>
      <c r="E803" s="6"/>
    </row>
    <row r="804" spans="1:5">
      <c r="A804" s="6"/>
      <c r="D804" s="6"/>
      <c r="E804" s="6"/>
    </row>
    <row r="805" spans="1:5">
      <c r="A805" s="6"/>
      <c r="D805" s="6"/>
      <c r="E805" s="6"/>
    </row>
    <row r="806" spans="1:5">
      <c r="A806" s="6"/>
      <c r="D806" s="6"/>
      <c r="E806" s="6"/>
    </row>
    <row r="807" spans="1:5">
      <c r="A807" s="6"/>
      <c r="D807" s="6"/>
      <c r="E807" s="6"/>
    </row>
    <row r="808" spans="1:5">
      <c r="A808" s="6"/>
      <c r="D808" s="6"/>
      <c r="E808" s="6"/>
    </row>
    <row r="809" spans="1:5">
      <c r="A809" s="6"/>
      <c r="D809" s="6"/>
      <c r="E809" s="6"/>
    </row>
    <row r="810" spans="1:5">
      <c r="A810" s="6"/>
      <c r="D810" s="6"/>
      <c r="E810" s="6"/>
    </row>
    <row r="811" spans="1:5">
      <c r="A811" s="6"/>
      <c r="D811" s="6"/>
      <c r="E811" s="6"/>
    </row>
    <row r="812" spans="1:5">
      <c r="A812" s="6"/>
      <c r="D812" s="6"/>
      <c r="E812" s="6"/>
    </row>
    <row r="813" spans="1:5">
      <c r="A813" s="6"/>
      <c r="D813" s="6"/>
      <c r="E813" s="6"/>
    </row>
    <row r="814" spans="1:5">
      <c r="A814" s="6"/>
      <c r="D814" s="6"/>
      <c r="E814" s="6"/>
    </row>
    <row r="815" spans="1:5">
      <c r="A815" s="6"/>
      <c r="D815" s="6"/>
      <c r="E815" s="6"/>
    </row>
    <row r="816" spans="1:5">
      <c r="A816" s="6"/>
      <c r="D816" s="6"/>
      <c r="E816" s="6"/>
    </row>
    <row r="817" spans="1:5">
      <c r="A817" s="6"/>
      <c r="D817" s="6"/>
      <c r="E817" s="6"/>
    </row>
    <row r="818" spans="1:5">
      <c r="A818" s="6"/>
      <c r="D818" s="6"/>
      <c r="E818" s="6"/>
    </row>
    <row r="819" spans="1:5">
      <c r="A819" s="6"/>
      <c r="D819" s="6"/>
      <c r="E819" s="6"/>
    </row>
    <row r="820" spans="1:5">
      <c r="A820" s="6"/>
      <c r="D820" s="6"/>
      <c r="E820" s="6"/>
    </row>
    <row r="821" spans="1:5">
      <c r="A821" s="6"/>
      <c r="D821" s="6"/>
      <c r="E821" s="6"/>
    </row>
    <row r="822" spans="1:5">
      <c r="A822" s="6"/>
      <c r="D822" s="6"/>
      <c r="E822" s="6"/>
    </row>
    <row r="823" spans="1:5">
      <c r="A823" s="6"/>
      <c r="D823" s="6"/>
      <c r="E823" s="6"/>
    </row>
    <row r="824" spans="1:5">
      <c r="A824" s="6"/>
      <c r="D824" s="6"/>
      <c r="E824" s="6"/>
    </row>
    <row r="825" spans="1:5">
      <c r="A825" s="6"/>
      <c r="D825" s="6"/>
      <c r="E825" s="6"/>
    </row>
    <row r="826" spans="1:5">
      <c r="A826" s="6"/>
      <c r="D826" s="6"/>
      <c r="E826" s="6"/>
    </row>
    <row r="827" spans="1:5">
      <c r="A827" s="6"/>
      <c r="D827" s="6"/>
      <c r="E827" s="6"/>
    </row>
    <row r="828" spans="1:5">
      <c r="A828" s="6"/>
      <c r="D828" s="6"/>
      <c r="E828" s="6"/>
    </row>
    <row r="829" spans="1:5">
      <c r="A829" s="6"/>
      <c r="D829" s="6"/>
      <c r="E829" s="6"/>
    </row>
    <row r="830" spans="1:5">
      <c r="A830" s="6"/>
      <c r="D830" s="6"/>
      <c r="E830" s="6"/>
    </row>
    <row r="831" spans="1:5">
      <c r="A831" s="6"/>
      <c r="D831" s="6"/>
      <c r="E831" s="6"/>
    </row>
    <row r="832" spans="1:5">
      <c r="A832" s="6"/>
      <c r="D832" s="6"/>
      <c r="E832" s="6"/>
    </row>
    <row r="833" spans="1:5">
      <c r="A833" s="6"/>
      <c r="D833" s="6"/>
      <c r="E833" s="6"/>
    </row>
    <row r="834" spans="1:5">
      <c r="A834" s="6"/>
      <c r="D834" s="6"/>
      <c r="E834" s="6"/>
    </row>
    <row r="835" spans="1:5">
      <c r="A835" s="6"/>
      <c r="D835" s="6"/>
      <c r="E835" s="6"/>
    </row>
    <row r="836" spans="1:5">
      <c r="A836" s="6"/>
      <c r="D836" s="6"/>
      <c r="E836" s="6"/>
    </row>
    <row r="837" spans="1:5">
      <c r="A837" s="6"/>
      <c r="D837" s="6"/>
      <c r="E837" s="6"/>
    </row>
    <row r="838" spans="1:5">
      <c r="A838" s="6"/>
      <c r="D838" s="6"/>
      <c r="E838" s="6"/>
    </row>
    <row r="839" spans="1:5">
      <c r="A839" s="6"/>
      <c r="D839" s="6"/>
      <c r="E839" s="6"/>
    </row>
    <row r="840" spans="1:5">
      <c r="A840" s="6"/>
      <c r="D840" s="6"/>
      <c r="E840" s="6"/>
    </row>
    <row r="841" spans="1:5">
      <c r="A841" s="6"/>
      <c r="D841" s="6"/>
      <c r="E841" s="6"/>
    </row>
    <row r="842" spans="1:5">
      <c r="A842" s="6"/>
      <c r="D842" s="6"/>
      <c r="E842" s="6"/>
    </row>
    <row r="843" spans="1:5">
      <c r="A843" s="6"/>
      <c r="D843" s="6"/>
      <c r="E843" s="6"/>
    </row>
    <row r="844" spans="1:5">
      <c r="A844" s="6"/>
      <c r="D844" s="6"/>
      <c r="E844" s="6"/>
    </row>
    <row r="845" spans="1:5">
      <c r="A845" s="6"/>
      <c r="D845" s="6"/>
      <c r="E845" s="6"/>
    </row>
    <row r="846" spans="1:5">
      <c r="A846" s="6"/>
      <c r="D846" s="6"/>
      <c r="E846" s="6"/>
    </row>
    <row r="847" spans="1:5">
      <c r="A847" s="6"/>
      <c r="D847" s="6"/>
      <c r="E847" s="6"/>
    </row>
    <row r="848" spans="1:5">
      <c r="A848" s="6"/>
      <c r="D848" s="6"/>
      <c r="E848" s="6"/>
    </row>
    <row r="849" spans="1:5">
      <c r="A849" s="6"/>
      <c r="D849" s="6"/>
      <c r="E849" s="6"/>
    </row>
    <row r="850" spans="1:5">
      <c r="A850" s="6"/>
      <c r="D850" s="6"/>
      <c r="E850" s="6"/>
    </row>
    <row r="851" spans="1:5">
      <c r="A851" s="6"/>
      <c r="D851" s="6"/>
      <c r="E851" s="6"/>
    </row>
    <row r="852" spans="1:5">
      <c r="A852" s="6"/>
      <c r="D852" s="6"/>
      <c r="E852" s="6"/>
    </row>
    <row r="853" spans="1:5">
      <c r="A853" s="6"/>
      <c r="D853" s="6"/>
      <c r="E853" s="6"/>
    </row>
    <row r="854" spans="1:5">
      <c r="A854" s="6"/>
      <c r="D854" s="6"/>
      <c r="E854" s="6"/>
    </row>
    <row r="855" spans="1:5">
      <c r="A855" s="6"/>
      <c r="D855" s="6"/>
      <c r="E855" s="6"/>
    </row>
    <row r="856" spans="1:5">
      <c r="A856" s="6"/>
      <c r="D856" s="6"/>
      <c r="E856" s="6"/>
    </row>
    <row r="857" spans="1:5">
      <c r="A857" s="6"/>
      <c r="D857" s="6"/>
      <c r="E857" s="6"/>
    </row>
    <row r="858" spans="1:5">
      <c r="A858" s="6"/>
      <c r="D858" s="6"/>
      <c r="E858" s="6"/>
    </row>
    <row r="859" spans="1:5">
      <c r="A859" s="6"/>
      <c r="D859" s="6"/>
      <c r="E859" s="6"/>
    </row>
    <row r="860" spans="1:5">
      <c r="A860" s="6"/>
      <c r="D860" s="6"/>
      <c r="E860" s="6"/>
    </row>
    <row r="861" spans="1:5">
      <c r="A861" s="6"/>
      <c r="D861" s="6"/>
      <c r="E861" s="6"/>
    </row>
    <row r="862" spans="1:5">
      <c r="A862" s="6"/>
      <c r="D862" s="6"/>
      <c r="E862" s="6"/>
    </row>
    <row r="863" spans="1:5">
      <c r="A863" s="6"/>
      <c r="D863" s="6"/>
      <c r="E863" s="6"/>
    </row>
    <row r="864" spans="1:5">
      <c r="A864" s="6"/>
      <c r="D864" s="6"/>
      <c r="E864" s="6"/>
    </row>
    <row r="865" spans="1:5">
      <c r="A865" s="6"/>
      <c r="D865" s="6"/>
      <c r="E865" s="6"/>
    </row>
    <row r="866" spans="1:5">
      <c r="A866" s="6"/>
      <c r="D866" s="6"/>
      <c r="E866" s="6"/>
    </row>
    <row r="867" spans="1:5">
      <c r="A867" s="6"/>
      <c r="D867" s="6"/>
      <c r="E867" s="6"/>
    </row>
    <row r="868" spans="1:5">
      <c r="A868" s="6"/>
      <c r="D868" s="6"/>
      <c r="E868" s="6"/>
    </row>
    <row r="869" spans="1:5">
      <c r="A869" s="6"/>
      <c r="D869" s="6"/>
      <c r="E869" s="6"/>
    </row>
    <row r="870" spans="1:5">
      <c r="A870" s="6"/>
      <c r="D870" s="6"/>
      <c r="E870" s="6"/>
    </row>
    <row r="871" spans="1:5">
      <c r="A871" s="6"/>
      <c r="D871" s="6"/>
      <c r="E871" s="6"/>
    </row>
    <row r="872" spans="1:5">
      <c r="A872" s="6"/>
      <c r="D872" s="6"/>
      <c r="E872" s="6"/>
    </row>
    <row r="873" spans="1:5">
      <c r="A873" s="6"/>
      <c r="D873" s="6"/>
      <c r="E873" s="6"/>
    </row>
    <row r="874" spans="1:5">
      <c r="A874" s="6"/>
      <c r="D874" s="6"/>
      <c r="E874" s="6"/>
    </row>
    <row r="875" spans="1:5">
      <c r="A875" s="6"/>
      <c r="D875" s="6"/>
      <c r="E875" s="6"/>
    </row>
    <row r="876" spans="1:5">
      <c r="A876" s="6"/>
      <c r="D876" s="6"/>
      <c r="E876" s="6"/>
    </row>
    <row r="877" spans="1:5">
      <c r="A877" s="6"/>
      <c r="D877" s="6"/>
      <c r="E877" s="6"/>
    </row>
    <row r="878" spans="1:5">
      <c r="A878" s="6"/>
      <c r="D878" s="6"/>
      <c r="E878" s="6"/>
    </row>
    <row r="879" spans="1:5">
      <c r="A879" s="6"/>
      <c r="D879" s="6"/>
      <c r="E879" s="6"/>
    </row>
    <row r="880" spans="1:5">
      <c r="A880" s="6"/>
      <c r="D880" s="6"/>
      <c r="E880" s="6"/>
    </row>
    <row r="881" spans="1:5">
      <c r="A881" s="6"/>
      <c r="D881" s="6"/>
      <c r="E881" s="6"/>
    </row>
    <row r="882" spans="1:5">
      <c r="A882" s="6"/>
      <c r="D882" s="6"/>
      <c r="E882" s="6"/>
    </row>
    <row r="883" spans="1:5">
      <c r="A883" s="6"/>
      <c r="D883" s="6"/>
      <c r="E883" s="6"/>
    </row>
    <row r="884" spans="1:5">
      <c r="A884" s="6"/>
      <c r="D884" s="6"/>
      <c r="E884" s="6"/>
    </row>
    <row r="885" spans="1:5">
      <c r="A885" s="6"/>
      <c r="D885" s="6"/>
      <c r="E885" s="6"/>
    </row>
    <row r="886" spans="1:5">
      <c r="A886" s="6"/>
      <c r="D886" s="6"/>
      <c r="E886" s="6"/>
    </row>
    <row r="887" spans="1:5">
      <c r="A887" s="6"/>
      <c r="D887" s="6"/>
      <c r="E887" s="6"/>
    </row>
    <row r="888" spans="1:5">
      <c r="A888" s="6"/>
      <c r="D888" s="6"/>
      <c r="E888" s="6"/>
    </row>
    <row r="889" spans="1:5">
      <c r="A889" s="6"/>
      <c r="D889" s="6"/>
      <c r="E889" s="6"/>
    </row>
    <row r="890" spans="1:5">
      <c r="A890" s="6"/>
      <c r="D890" s="6"/>
      <c r="E890" s="6"/>
    </row>
    <row r="891" spans="1:5">
      <c r="A891" s="6"/>
      <c r="D891" s="6"/>
      <c r="E891" s="6"/>
    </row>
    <row r="892" spans="1:5">
      <c r="A892" s="6"/>
      <c r="D892" s="6"/>
      <c r="E892" s="6"/>
    </row>
    <row r="893" spans="1:5">
      <c r="A893" s="6"/>
      <c r="D893" s="6"/>
      <c r="E893" s="6"/>
    </row>
    <row r="894" spans="1:5">
      <c r="A894" s="6"/>
      <c r="D894" s="6"/>
      <c r="E894" s="6"/>
    </row>
    <row r="895" spans="1:5">
      <c r="A895" s="6"/>
      <c r="D895" s="6"/>
      <c r="E895" s="6"/>
    </row>
    <row r="896" spans="1:5">
      <c r="A896" s="6"/>
      <c r="D896" s="6"/>
      <c r="E896" s="6"/>
    </row>
    <row r="897" spans="1:5">
      <c r="A897" s="6"/>
      <c r="D897" s="6"/>
      <c r="E897" s="6"/>
    </row>
    <row r="898" spans="1:5">
      <c r="A898" s="6"/>
      <c r="D898" s="6"/>
      <c r="E898" s="6"/>
    </row>
    <row r="899" spans="1:5">
      <c r="A899" s="6"/>
      <c r="D899" s="6"/>
      <c r="E899" s="6"/>
    </row>
    <row r="900" spans="1:5">
      <c r="A900" s="6"/>
      <c r="D900" s="6"/>
      <c r="E900" s="6"/>
    </row>
    <row r="901" spans="1:5">
      <c r="A901" s="6"/>
      <c r="D901" s="6"/>
      <c r="E901" s="6"/>
    </row>
    <row r="902" spans="1:5">
      <c r="A902" s="6"/>
      <c r="D902" s="6"/>
      <c r="E902" s="6"/>
    </row>
    <row r="903" spans="1:5">
      <c r="A903" s="6"/>
      <c r="D903" s="6"/>
      <c r="E903" s="6"/>
    </row>
    <row r="904" spans="1:5">
      <c r="A904" s="6"/>
      <c r="D904" s="6"/>
      <c r="E904" s="6"/>
    </row>
    <row r="905" spans="1:5">
      <c r="A905" s="6"/>
      <c r="D905" s="6"/>
      <c r="E905" s="6"/>
    </row>
    <row r="906" spans="1:5">
      <c r="A906" s="6"/>
      <c r="D906" s="6"/>
      <c r="E906" s="6"/>
    </row>
    <row r="907" spans="1:5">
      <c r="A907" s="6"/>
      <c r="D907" s="6"/>
      <c r="E907" s="6"/>
    </row>
    <row r="908" spans="1:5">
      <c r="A908" s="6"/>
      <c r="D908" s="6"/>
      <c r="E908" s="6"/>
    </row>
    <row r="909" spans="1:5">
      <c r="A909" s="6"/>
      <c r="D909" s="6"/>
      <c r="E909" s="6"/>
    </row>
    <row r="910" spans="1:5">
      <c r="A910" s="6"/>
      <c r="D910" s="6"/>
      <c r="E910" s="6"/>
    </row>
    <row r="911" spans="1:5">
      <c r="A911" s="6"/>
      <c r="D911" s="6"/>
      <c r="E911" s="6"/>
    </row>
    <row r="912" spans="1:5">
      <c r="A912" s="6"/>
      <c r="D912" s="6"/>
      <c r="E912" s="6"/>
    </row>
    <row r="913" spans="1:5">
      <c r="A913" s="6"/>
      <c r="D913" s="6"/>
      <c r="E913" s="6"/>
    </row>
    <row r="914" spans="1:5">
      <c r="A914" s="6"/>
      <c r="D914" s="6"/>
      <c r="E914" s="6"/>
    </row>
    <row r="915" spans="1:5">
      <c r="A915" s="6"/>
      <c r="D915" s="6"/>
      <c r="E915" s="6"/>
    </row>
    <row r="916" spans="1:5">
      <c r="A916" s="6"/>
      <c r="D916" s="6"/>
      <c r="E916" s="6"/>
    </row>
    <row r="917" spans="1:5">
      <c r="A917" s="6"/>
      <c r="D917" s="6"/>
      <c r="E917" s="6"/>
    </row>
    <row r="918" spans="1:5">
      <c r="A918" s="6"/>
      <c r="D918" s="6"/>
      <c r="E918" s="6"/>
    </row>
    <row r="919" spans="1:5">
      <c r="A919" s="6"/>
      <c r="D919" s="6"/>
      <c r="E919" s="6"/>
    </row>
    <row r="920" spans="1:5">
      <c r="A920" s="6"/>
      <c r="D920" s="6"/>
      <c r="E920" s="6"/>
    </row>
    <row r="921" spans="1:5">
      <c r="A921" s="6"/>
      <c r="D921" s="6"/>
      <c r="E921" s="6"/>
    </row>
    <row r="922" spans="1:5">
      <c r="A922" s="6"/>
      <c r="D922" s="6"/>
      <c r="E922" s="6"/>
    </row>
    <row r="923" spans="1:5">
      <c r="A923" s="6"/>
      <c r="D923" s="6"/>
      <c r="E923" s="6"/>
    </row>
    <row r="924" spans="1:5">
      <c r="A924" s="6"/>
      <c r="D924" s="6"/>
      <c r="E924" s="6"/>
    </row>
    <row r="925" spans="1:5">
      <c r="A925" s="6"/>
      <c r="D925" s="6"/>
      <c r="E925" s="6"/>
    </row>
    <row r="926" spans="1:5">
      <c r="A926" s="6"/>
      <c r="D926" s="6"/>
      <c r="E926" s="6"/>
    </row>
    <row r="927" spans="1:5">
      <c r="A927" s="6"/>
      <c r="D927" s="6"/>
      <c r="E927" s="6"/>
    </row>
    <row r="928" spans="1:5">
      <c r="A928" s="6"/>
      <c r="D928" s="6"/>
      <c r="E928" s="6"/>
    </row>
    <row r="929" spans="1:5">
      <c r="A929" s="6"/>
      <c r="D929" s="6"/>
      <c r="E929" s="6"/>
    </row>
    <row r="930" spans="1:5">
      <c r="A930" s="6"/>
      <c r="D930" s="6"/>
      <c r="E930" s="6"/>
    </row>
    <row r="931" spans="1:5">
      <c r="A931" s="6"/>
      <c r="D931" s="6"/>
      <c r="E931" s="6"/>
    </row>
    <row r="932" spans="1:5">
      <c r="A932" s="6"/>
      <c r="D932" s="6"/>
      <c r="E932" s="6"/>
    </row>
    <row r="933" spans="1:5">
      <c r="A933" s="6"/>
      <c r="D933" s="6"/>
      <c r="E933" s="6"/>
    </row>
    <row r="934" spans="1:5">
      <c r="A934" s="6"/>
      <c r="D934" s="6"/>
      <c r="E934" s="6"/>
    </row>
    <row r="935" spans="1:5">
      <c r="A935" s="6"/>
      <c r="D935" s="6"/>
      <c r="E935" s="6"/>
    </row>
    <row r="936" spans="1:5">
      <c r="A936" s="6"/>
      <c r="D936" s="6"/>
      <c r="E936" s="6"/>
    </row>
    <row r="937" spans="1:5">
      <c r="A937" s="6"/>
      <c r="D937" s="6"/>
      <c r="E937" s="6"/>
    </row>
    <row r="938" spans="1:5">
      <c r="A938" s="6"/>
      <c r="D938" s="6"/>
      <c r="E938" s="6"/>
    </row>
    <row r="939" spans="1:5">
      <c r="A939" s="6"/>
      <c r="D939" s="6"/>
      <c r="E939" s="6"/>
    </row>
    <row r="940" spans="1:5">
      <c r="A940" s="6"/>
      <c r="D940" s="6"/>
      <c r="E940" s="6"/>
    </row>
    <row r="941" spans="1:5">
      <c r="A941" s="6"/>
      <c r="D941" s="6"/>
      <c r="E941" s="6"/>
    </row>
    <row r="942" spans="1:5">
      <c r="A942" s="6"/>
      <c r="D942" s="6"/>
      <c r="E942" s="6"/>
    </row>
    <row r="943" spans="1:5">
      <c r="A943" s="6"/>
      <c r="D943" s="6"/>
      <c r="E943" s="6"/>
    </row>
    <row r="944" spans="1:5">
      <c r="A944" s="6"/>
      <c r="D944" s="6"/>
      <c r="E944" s="6"/>
    </row>
    <row r="945" spans="1:5">
      <c r="A945" s="6"/>
      <c r="D945" s="6"/>
      <c r="E945" s="6"/>
    </row>
    <row r="946" spans="1:5">
      <c r="A946" s="6"/>
      <c r="D946" s="6"/>
      <c r="E946" s="6"/>
    </row>
    <row r="947" spans="1:5">
      <c r="A947" s="6"/>
      <c r="D947" s="6"/>
      <c r="E947" s="6"/>
    </row>
    <row r="948" spans="1:5">
      <c r="A948" s="6"/>
      <c r="D948" s="6"/>
      <c r="E948" s="6"/>
    </row>
    <row r="949" spans="1:5">
      <c r="A949" s="6"/>
      <c r="D949" s="6"/>
      <c r="E949" s="6"/>
    </row>
    <row r="950" spans="1:5">
      <c r="A950" s="6"/>
      <c r="D950" s="6"/>
      <c r="E950" s="6"/>
    </row>
    <row r="951" spans="1:5">
      <c r="A951" s="6"/>
      <c r="D951" s="6"/>
      <c r="E951" s="6"/>
    </row>
    <row r="952" spans="1:5">
      <c r="A952" s="6"/>
      <c r="D952" s="6"/>
      <c r="E952" s="6"/>
    </row>
    <row r="953" spans="1:5">
      <c r="A953" s="6"/>
      <c r="D953" s="6"/>
      <c r="E953" s="6"/>
    </row>
    <row r="954" spans="1:5">
      <c r="A954" s="6"/>
      <c r="D954" s="6"/>
      <c r="E954" s="6"/>
    </row>
    <row r="955" spans="1:5">
      <c r="A955" s="6"/>
      <c r="D955" s="6"/>
      <c r="E955" s="6"/>
    </row>
    <row r="956" spans="1:5">
      <c r="A956" s="6"/>
      <c r="D956" s="6"/>
      <c r="E956" s="6"/>
    </row>
    <row r="957" spans="1:5">
      <c r="A957" s="6"/>
      <c r="D957" s="6"/>
      <c r="E957" s="6"/>
    </row>
    <row r="958" spans="1:5">
      <c r="A958" s="6"/>
      <c r="D958" s="6"/>
      <c r="E958" s="6"/>
    </row>
    <row r="959" spans="1:5">
      <c r="A959" s="6"/>
      <c r="D959" s="6"/>
      <c r="E959" s="6"/>
    </row>
    <row r="960" spans="1:5">
      <c r="A960" s="6"/>
      <c r="D960" s="6"/>
      <c r="E960" s="6"/>
    </row>
    <row r="961" spans="1:5">
      <c r="A961" s="6"/>
      <c r="D961" s="6"/>
      <c r="E961" s="6"/>
    </row>
    <row r="962" spans="1:5">
      <c r="A962" s="6"/>
      <c r="D962" s="6"/>
      <c r="E962" s="6"/>
    </row>
    <row r="963" spans="1:5">
      <c r="A963" s="6"/>
      <c r="D963" s="6"/>
      <c r="E963" s="6"/>
    </row>
    <row r="964" spans="1:5">
      <c r="A964" s="6"/>
      <c r="D964" s="6"/>
      <c r="E964" s="6"/>
    </row>
    <row r="965" spans="1:5">
      <c r="A965" s="6"/>
      <c r="D965" s="6"/>
      <c r="E965" s="6"/>
    </row>
    <row r="966" spans="1:5">
      <c r="A966" s="6"/>
      <c r="D966" s="6"/>
      <c r="E966" s="6"/>
    </row>
    <row r="967" spans="1:5">
      <c r="A967" s="6"/>
      <c r="D967" s="6"/>
      <c r="E967" s="6"/>
    </row>
    <row r="968" spans="1:5">
      <c r="A968" s="6"/>
      <c r="D968" s="6"/>
      <c r="E968" s="6"/>
    </row>
    <row r="969" spans="1:5">
      <c r="A969" s="6"/>
      <c r="D969" s="6"/>
      <c r="E969" s="6"/>
    </row>
    <row r="970" spans="1:5">
      <c r="A970" s="6"/>
      <c r="D970" s="6"/>
      <c r="E970" s="6"/>
    </row>
    <row r="971" spans="1:5">
      <c r="A971" s="6"/>
      <c r="D971" s="6"/>
      <c r="E971" s="6"/>
    </row>
    <row r="972" spans="1:5">
      <c r="A972" s="6"/>
      <c r="D972" s="6"/>
      <c r="E972" s="6"/>
    </row>
    <row r="973" spans="1:5">
      <c r="A973" s="6"/>
      <c r="D973" s="6"/>
      <c r="E973" s="6"/>
    </row>
    <row r="974" spans="1:5">
      <c r="A974" s="6"/>
      <c r="D974" s="6"/>
      <c r="E974" s="6"/>
    </row>
    <row r="975" spans="1:5">
      <c r="A975" s="6"/>
      <c r="D975" s="6"/>
      <c r="E975" s="6"/>
    </row>
    <row r="976" spans="1:5">
      <c r="A976" s="6"/>
      <c r="D976" s="6"/>
      <c r="E976" s="6"/>
    </row>
    <row r="977" spans="1:5">
      <c r="A977" s="6"/>
      <c r="D977" s="6"/>
      <c r="E977" s="6"/>
    </row>
    <row r="978" spans="1:5">
      <c r="A978" s="6"/>
      <c r="D978" s="6"/>
      <c r="E978" s="6"/>
    </row>
    <row r="979" spans="1:5">
      <c r="A979" s="6"/>
      <c r="D979" s="6"/>
      <c r="E979" s="6"/>
    </row>
    <row r="980" spans="1:5">
      <c r="A980" s="6"/>
      <c r="D980" s="6"/>
      <c r="E980" s="6"/>
    </row>
    <row r="981" spans="1:5">
      <c r="A981" s="6"/>
      <c r="D981" s="6"/>
      <c r="E981" s="6"/>
    </row>
    <row r="982" spans="1:5">
      <c r="A982" s="6"/>
      <c r="D982" s="6"/>
      <c r="E982" s="6"/>
    </row>
    <row r="983" spans="1:5">
      <c r="A983" s="6"/>
      <c r="D983" s="6"/>
      <c r="E983" s="6"/>
    </row>
    <row r="984" spans="1:5">
      <c r="A984" s="6"/>
      <c r="D984" s="6"/>
      <c r="E984" s="6"/>
    </row>
    <row r="985" spans="1:5">
      <c r="A985" s="6"/>
      <c r="D985" s="6"/>
      <c r="E985" s="6"/>
    </row>
    <row r="986" spans="1:5">
      <c r="A986" s="6"/>
      <c r="D986" s="6"/>
      <c r="E986" s="6"/>
    </row>
    <row r="987" spans="1:5">
      <c r="A987" s="6"/>
      <c r="D987" s="6"/>
      <c r="E987" s="6"/>
    </row>
    <row r="988" spans="1:5">
      <c r="A988" s="6"/>
      <c r="D988" s="6"/>
      <c r="E988" s="6"/>
    </row>
    <row r="989" spans="1:5">
      <c r="A989" s="6"/>
      <c r="D989" s="6"/>
      <c r="E989" s="6"/>
    </row>
    <row r="990" spans="1:5">
      <c r="A990" s="6"/>
      <c r="D990" s="6"/>
      <c r="E990" s="6"/>
    </row>
    <row r="991" spans="1:5">
      <c r="A991" s="6"/>
      <c r="D991" s="6"/>
      <c r="E991" s="6"/>
    </row>
    <row r="992" spans="1:5">
      <c r="A992" s="6"/>
      <c r="D992" s="6"/>
      <c r="E992" s="6"/>
    </row>
    <row r="993" spans="1:5">
      <c r="A993" s="6"/>
      <c r="D993" s="6"/>
      <c r="E993" s="6"/>
    </row>
    <row r="994" spans="1:5">
      <c r="A994" s="6"/>
      <c r="D994" s="6"/>
      <c r="E994" s="6"/>
    </row>
    <row r="995" spans="1:5">
      <c r="A995" s="6"/>
      <c r="D995" s="6"/>
      <c r="E995" s="6"/>
    </row>
    <row r="996" spans="1:5">
      <c r="A996" s="6"/>
      <c r="D996" s="6"/>
      <c r="E996" s="6"/>
    </row>
    <row r="997" spans="1:5">
      <c r="A997" s="6"/>
      <c r="D997" s="6"/>
      <c r="E997" s="6"/>
    </row>
    <row r="998" spans="1:5">
      <c r="A998" s="6"/>
      <c r="D998" s="6"/>
      <c r="E998" s="6"/>
    </row>
    <row r="999" spans="1:5">
      <c r="A999" s="6"/>
      <c r="D999" s="6"/>
      <c r="E999" s="6"/>
    </row>
    <row r="1000" spans="1:5">
      <c r="A1000" s="6"/>
      <c r="D1000" s="6"/>
      <c r="E1000" s="6"/>
    </row>
    <row r="1001" spans="1:5">
      <c r="A1001" s="6"/>
      <c r="D1001" s="6"/>
      <c r="E1001" s="6"/>
    </row>
    <row r="1002" spans="1:5">
      <c r="A1002" s="6"/>
      <c r="D1002" s="6"/>
      <c r="E1002" s="6"/>
    </row>
    <row r="1003" spans="1:5">
      <c r="A1003" s="6"/>
      <c r="D1003" s="6"/>
      <c r="E1003" s="6"/>
    </row>
    <row r="1004" spans="1:5">
      <c r="A1004" s="6"/>
      <c r="D1004" s="6"/>
      <c r="E1004" s="6"/>
    </row>
    <row r="1005" spans="1:5">
      <c r="A1005" s="6"/>
      <c r="D1005" s="6"/>
      <c r="E1005" s="6"/>
    </row>
  </sheetData>
  <mergeCells count="2">
    <mergeCell ref="D1:E1"/>
    <mergeCell ref="F1:G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15"/>
  <sheetViews>
    <sheetView workbookViewId="0"/>
  </sheetViews>
  <sheetFormatPr defaultColWidth="14.42578125" defaultRowHeight="15" customHeight="1"/>
  <cols>
    <col min="1" max="1" width="4" customWidth="1"/>
    <col min="2" max="2" width="41.140625" customWidth="1"/>
    <col min="3" max="3" width="33.42578125" customWidth="1"/>
  </cols>
  <sheetData>
    <row r="1" spans="1:3">
      <c r="A1" s="12" t="s">
        <v>1</v>
      </c>
      <c r="B1" s="323" t="s">
        <v>2783</v>
      </c>
      <c r="C1" s="323" t="s">
        <v>2784</v>
      </c>
    </row>
    <row r="2" spans="1:3">
      <c r="A2" s="12">
        <v>1</v>
      </c>
      <c r="B2" s="324" t="s">
        <v>2785</v>
      </c>
      <c r="C2" s="12" t="s">
        <v>497</v>
      </c>
    </row>
    <row r="3" spans="1:3">
      <c r="A3" s="12">
        <v>2</v>
      </c>
      <c r="B3" s="324" t="s">
        <v>2786</v>
      </c>
      <c r="C3" s="12" t="s">
        <v>497</v>
      </c>
    </row>
    <row r="4" spans="1:3">
      <c r="A4" s="12">
        <v>3</v>
      </c>
      <c r="B4" s="324" t="s">
        <v>2787</v>
      </c>
      <c r="C4" s="12" t="s">
        <v>497</v>
      </c>
    </row>
    <row r="5" spans="1:3">
      <c r="A5" s="12">
        <v>4</v>
      </c>
      <c r="B5" s="324" t="s">
        <v>2788</v>
      </c>
      <c r="C5" s="12" t="s">
        <v>1806</v>
      </c>
    </row>
    <row r="6" spans="1:3">
      <c r="A6" s="12">
        <v>5</v>
      </c>
      <c r="B6" s="324" t="s">
        <v>2789</v>
      </c>
      <c r="C6" s="12" t="s">
        <v>1806</v>
      </c>
    </row>
    <row r="7" spans="1:3">
      <c r="A7" s="12">
        <v>6</v>
      </c>
      <c r="B7" s="324" t="s">
        <v>2790</v>
      </c>
      <c r="C7" s="12"/>
    </row>
    <row r="8" spans="1:3">
      <c r="A8" s="12">
        <v>7</v>
      </c>
      <c r="B8" s="324" t="s">
        <v>2791</v>
      </c>
    </row>
    <row r="9" spans="1:3">
      <c r="A9" s="12">
        <v>8</v>
      </c>
      <c r="B9" s="324" t="s">
        <v>2792</v>
      </c>
    </row>
    <row r="10" spans="1:3">
      <c r="A10" s="12">
        <v>9</v>
      </c>
      <c r="B10" s="324" t="s">
        <v>2793</v>
      </c>
    </row>
    <row r="11" spans="1:3">
      <c r="A11" s="12">
        <v>10</v>
      </c>
      <c r="B11" s="324" t="s">
        <v>2794</v>
      </c>
    </row>
    <row r="12" spans="1:3">
      <c r="A12" s="12">
        <v>11</v>
      </c>
      <c r="B12" s="324" t="s">
        <v>2795</v>
      </c>
    </row>
    <row r="13" spans="1:3">
      <c r="A13" s="12">
        <v>12</v>
      </c>
      <c r="B13" s="324" t="s">
        <v>2796</v>
      </c>
    </row>
    <row r="14" spans="1:3">
      <c r="A14" s="12">
        <v>13</v>
      </c>
      <c r="B14" s="324" t="s">
        <v>2797</v>
      </c>
    </row>
    <row r="15" spans="1:3">
      <c r="A15" s="12">
        <v>14</v>
      </c>
      <c r="B15" s="324" t="s">
        <v>2798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71"/>
  <sheetViews>
    <sheetView workbookViewId="0"/>
  </sheetViews>
  <sheetFormatPr defaultColWidth="14.42578125" defaultRowHeight="15" customHeight="1"/>
  <cols>
    <col min="1" max="1" width="6.140625" customWidth="1"/>
    <col min="2" max="2" width="35.140625" customWidth="1"/>
    <col min="3" max="3" width="31.5703125" customWidth="1"/>
  </cols>
  <sheetData>
    <row r="1" spans="1:4">
      <c r="A1" s="12"/>
      <c r="B1" s="12" t="s">
        <v>2799</v>
      </c>
      <c r="C1" s="12" t="s">
        <v>2800</v>
      </c>
      <c r="D1" s="325" t="str">
        <f>HYPERLINK("#rangeid=868851295","Course Name")</f>
        <v>Course Name</v>
      </c>
    </row>
    <row r="2" spans="1:4">
      <c r="A2" s="12">
        <v>1</v>
      </c>
      <c r="B2" s="12" t="s">
        <v>2801</v>
      </c>
    </row>
    <row r="3" spans="1:4">
      <c r="A3" s="12">
        <v>2</v>
      </c>
      <c r="B3" s="12" t="s">
        <v>2802</v>
      </c>
    </row>
    <row r="4" spans="1:4">
      <c r="A4" s="12">
        <v>3</v>
      </c>
      <c r="B4" s="12" t="s">
        <v>2803</v>
      </c>
    </row>
    <row r="5" spans="1:4">
      <c r="A5" s="12">
        <v>4</v>
      </c>
      <c r="B5" s="12" t="s">
        <v>2804</v>
      </c>
    </row>
    <row r="6" spans="1:4">
      <c r="A6" s="12">
        <v>5</v>
      </c>
      <c r="B6" s="12" t="s">
        <v>2805</v>
      </c>
    </row>
    <row r="7" spans="1:4">
      <c r="A7" s="12">
        <v>6</v>
      </c>
      <c r="B7" s="12" t="s">
        <v>2806</v>
      </c>
    </row>
    <row r="8" spans="1:4">
      <c r="A8" s="12">
        <v>7</v>
      </c>
      <c r="B8" s="12" t="s">
        <v>2807</v>
      </c>
    </row>
    <row r="9" spans="1:4">
      <c r="A9" s="12">
        <v>8</v>
      </c>
      <c r="B9" s="12" t="s">
        <v>2808</v>
      </c>
    </row>
    <row r="10" spans="1:4">
      <c r="A10" s="12">
        <v>9</v>
      </c>
      <c r="B10" s="12" t="s">
        <v>2809</v>
      </c>
    </row>
    <row r="11" spans="1:4">
      <c r="A11" s="12">
        <v>10</v>
      </c>
      <c r="B11" s="12" t="s">
        <v>2810</v>
      </c>
    </row>
    <row r="12" spans="1:4">
      <c r="A12" s="12">
        <v>11</v>
      </c>
      <c r="B12" s="12" t="s">
        <v>2789</v>
      </c>
    </row>
    <row r="13" spans="1:4">
      <c r="A13" s="12">
        <v>12</v>
      </c>
      <c r="B13" s="12" t="s">
        <v>2811</v>
      </c>
    </row>
    <row r="14" spans="1:4">
      <c r="A14" s="12">
        <v>13</v>
      </c>
      <c r="B14" s="12" t="s">
        <v>2812</v>
      </c>
    </row>
    <row r="15" spans="1:4">
      <c r="A15" s="12">
        <v>14</v>
      </c>
      <c r="B15" s="12" t="s">
        <v>2813</v>
      </c>
    </row>
    <row r="16" spans="1:4">
      <c r="A16" s="12">
        <v>15</v>
      </c>
      <c r="B16" s="12" t="s">
        <v>2814</v>
      </c>
    </row>
    <row r="17" spans="1:2">
      <c r="A17" s="12">
        <v>16</v>
      </c>
      <c r="B17" s="12" t="s">
        <v>2815</v>
      </c>
    </row>
    <row r="18" spans="1:2">
      <c r="A18" s="12">
        <v>17</v>
      </c>
      <c r="B18" s="12" t="s">
        <v>2816</v>
      </c>
    </row>
    <row r="19" spans="1:2">
      <c r="A19" s="12">
        <v>18</v>
      </c>
      <c r="B19" s="12" t="s">
        <v>2817</v>
      </c>
    </row>
    <row r="20" spans="1:2">
      <c r="A20" s="12">
        <v>19</v>
      </c>
      <c r="B20" s="12" t="s">
        <v>2818</v>
      </c>
    </row>
    <row r="21" spans="1:2">
      <c r="A21" s="12">
        <v>20</v>
      </c>
      <c r="B21" s="12" t="s">
        <v>2819</v>
      </c>
    </row>
    <row r="22" spans="1:2">
      <c r="A22" s="12">
        <v>21</v>
      </c>
      <c r="B22" s="12" t="s">
        <v>2820</v>
      </c>
    </row>
    <row r="23" spans="1:2">
      <c r="A23" s="12">
        <v>22</v>
      </c>
      <c r="B23" s="12" t="s">
        <v>2821</v>
      </c>
    </row>
    <row r="24" spans="1:2">
      <c r="A24" s="12">
        <v>23</v>
      </c>
      <c r="B24" s="12" t="s">
        <v>2822</v>
      </c>
    </row>
    <row r="25" spans="1:2">
      <c r="A25" s="12">
        <v>24</v>
      </c>
      <c r="B25" s="12" t="s">
        <v>2823</v>
      </c>
    </row>
    <row r="26" spans="1:2">
      <c r="A26" s="12">
        <v>25</v>
      </c>
      <c r="B26" s="12" t="s">
        <v>2824</v>
      </c>
    </row>
    <row r="27" spans="1:2">
      <c r="A27" s="12">
        <v>26</v>
      </c>
      <c r="B27" s="12" t="s">
        <v>2825</v>
      </c>
    </row>
    <row r="28" spans="1:2">
      <c r="A28" s="12">
        <v>27</v>
      </c>
      <c r="B28" s="12" t="s">
        <v>2826</v>
      </c>
    </row>
    <row r="29" spans="1:2">
      <c r="A29" s="12">
        <v>28</v>
      </c>
      <c r="B29" s="12" t="s">
        <v>2827</v>
      </c>
    </row>
    <row r="30" spans="1:2">
      <c r="A30" s="12">
        <v>29</v>
      </c>
      <c r="B30" s="12" t="s">
        <v>2828</v>
      </c>
    </row>
    <row r="31" spans="1:2">
      <c r="A31" s="12">
        <v>30</v>
      </c>
      <c r="B31" s="12" t="s">
        <v>2829</v>
      </c>
    </row>
    <row r="32" spans="1:2">
      <c r="A32" s="12">
        <v>31</v>
      </c>
      <c r="B32" s="12" t="s">
        <v>2830</v>
      </c>
    </row>
    <row r="33" spans="1:2">
      <c r="A33" s="12">
        <v>32</v>
      </c>
      <c r="B33" s="12" t="s">
        <v>2831</v>
      </c>
    </row>
    <row r="34" spans="1:2">
      <c r="A34" s="12">
        <v>33</v>
      </c>
      <c r="B34" s="12" t="s">
        <v>2832</v>
      </c>
    </row>
    <row r="35" spans="1:2">
      <c r="A35" s="12">
        <v>34</v>
      </c>
      <c r="B35" s="12" t="s">
        <v>2833</v>
      </c>
    </row>
    <row r="36" spans="1:2">
      <c r="A36" s="12">
        <v>35</v>
      </c>
      <c r="B36" s="12" t="s">
        <v>2834</v>
      </c>
    </row>
    <row r="37" spans="1:2">
      <c r="A37" s="12">
        <v>36</v>
      </c>
      <c r="B37" s="12" t="s">
        <v>2835</v>
      </c>
    </row>
    <row r="38" spans="1:2">
      <c r="A38" s="12">
        <v>37</v>
      </c>
      <c r="B38" s="12" t="s">
        <v>2836</v>
      </c>
    </row>
    <row r="39" spans="1:2">
      <c r="A39" s="12">
        <v>38</v>
      </c>
      <c r="B39" s="12" t="s">
        <v>2837</v>
      </c>
    </row>
    <row r="40" spans="1:2">
      <c r="A40" s="12">
        <v>39</v>
      </c>
      <c r="B40" s="12" t="s">
        <v>2838</v>
      </c>
    </row>
    <row r="41" spans="1:2">
      <c r="A41" s="12">
        <v>40</v>
      </c>
      <c r="B41" s="12" t="s">
        <v>2839</v>
      </c>
    </row>
    <row r="42" spans="1:2">
      <c r="A42" s="12">
        <v>41</v>
      </c>
      <c r="B42" s="12" t="s">
        <v>2840</v>
      </c>
    </row>
    <row r="43" spans="1:2">
      <c r="A43" s="12">
        <v>42</v>
      </c>
      <c r="B43" s="12" t="s">
        <v>2841</v>
      </c>
    </row>
    <row r="44" spans="1:2">
      <c r="A44" s="12">
        <v>43</v>
      </c>
      <c r="B44" s="12" t="s">
        <v>2842</v>
      </c>
    </row>
    <row r="45" spans="1:2">
      <c r="A45" s="12">
        <v>44</v>
      </c>
      <c r="B45" s="12" t="s">
        <v>2843</v>
      </c>
    </row>
    <row r="46" spans="1:2">
      <c r="A46" s="12">
        <v>45</v>
      </c>
      <c r="B46" s="12" t="s">
        <v>2844</v>
      </c>
    </row>
    <row r="47" spans="1:2">
      <c r="A47" s="12">
        <v>46</v>
      </c>
      <c r="B47" s="12" t="s">
        <v>2845</v>
      </c>
    </row>
    <row r="48" spans="1:2">
      <c r="A48" s="12">
        <v>47</v>
      </c>
      <c r="B48" s="12" t="s">
        <v>2846</v>
      </c>
    </row>
    <row r="49" spans="1:2">
      <c r="A49" s="12">
        <v>48</v>
      </c>
      <c r="B49" s="12" t="s">
        <v>2847</v>
      </c>
    </row>
    <row r="50" spans="1:2">
      <c r="A50" s="12">
        <v>49</v>
      </c>
      <c r="B50" s="12" t="s">
        <v>2848</v>
      </c>
    </row>
    <row r="51" spans="1:2">
      <c r="A51" s="12">
        <v>50</v>
      </c>
      <c r="B51" s="12" t="s">
        <v>2849</v>
      </c>
    </row>
    <row r="52" spans="1:2">
      <c r="A52" s="12">
        <v>51</v>
      </c>
      <c r="B52" s="12" t="s">
        <v>2850</v>
      </c>
    </row>
    <row r="53" spans="1:2">
      <c r="A53" s="12">
        <v>52</v>
      </c>
      <c r="B53" s="12" t="s">
        <v>2851</v>
      </c>
    </row>
    <row r="54" spans="1:2">
      <c r="A54" s="12">
        <v>53</v>
      </c>
      <c r="B54" s="12" t="s">
        <v>2852</v>
      </c>
    </row>
    <row r="55" spans="1:2">
      <c r="A55" s="12">
        <v>54</v>
      </c>
      <c r="B55" s="12" t="s">
        <v>2853</v>
      </c>
    </row>
    <row r="56" spans="1:2">
      <c r="A56" s="12">
        <v>55</v>
      </c>
      <c r="B56" s="12" t="s">
        <v>2854</v>
      </c>
    </row>
    <row r="57" spans="1:2">
      <c r="A57" s="12">
        <v>56</v>
      </c>
      <c r="B57" s="12" t="s">
        <v>2855</v>
      </c>
    </row>
    <row r="58" spans="1:2">
      <c r="A58" s="12">
        <v>57</v>
      </c>
      <c r="B58" s="12" t="s">
        <v>2856</v>
      </c>
    </row>
    <row r="59" spans="1:2">
      <c r="A59" s="12">
        <v>58</v>
      </c>
      <c r="B59" s="12" t="s">
        <v>2857</v>
      </c>
    </row>
    <row r="60" spans="1:2">
      <c r="A60" s="12">
        <v>59</v>
      </c>
      <c r="B60" s="12" t="s">
        <v>2858</v>
      </c>
    </row>
    <row r="61" spans="1:2">
      <c r="A61" s="12">
        <v>60</v>
      </c>
      <c r="B61" s="12" t="s">
        <v>2859</v>
      </c>
    </row>
    <row r="62" spans="1:2">
      <c r="A62" s="12">
        <v>61</v>
      </c>
      <c r="B62" s="12" t="s">
        <v>2860</v>
      </c>
    </row>
    <row r="63" spans="1:2">
      <c r="A63" s="12">
        <v>62</v>
      </c>
      <c r="B63" s="12" t="s">
        <v>2861</v>
      </c>
    </row>
    <row r="64" spans="1:2">
      <c r="A64" s="12">
        <v>63</v>
      </c>
      <c r="B64" s="12" t="s">
        <v>2862</v>
      </c>
    </row>
    <row r="65" spans="1:2">
      <c r="A65" s="12">
        <v>64</v>
      </c>
      <c r="B65" s="12" t="s">
        <v>2863</v>
      </c>
    </row>
    <row r="66" spans="1:2">
      <c r="A66" s="12">
        <v>65</v>
      </c>
      <c r="B66" s="12" t="s">
        <v>2864</v>
      </c>
    </row>
    <row r="67" spans="1:2">
      <c r="A67" s="12">
        <v>66</v>
      </c>
      <c r="B67" s="12" t="s">
        <v>2865</v>
      </c>
    </row>
    <row r="68" spans="1:2">
      <c r="A68" s="12">
        <v>67</v>
      </c>
      <c r="B68" s="326" t="s">
        <v>2866</v>
      </c>
    </row>
    <row r="69" spans="1:2">
      <c r="A69" s="12">
        <v>68</v>
      </c>
      <c r="B69" s="12" t="s">
        <v>2867</v>
      </c>
    </row>
    <row r="70" spans="1:2">
      <c r="A70" s="12">
        <v>69</v>
      </c>
      <c r="B70" s="12" t="s">
        <v>2868</v>
      </c>
    </row>
    <row r="71" spans="1:2">
      <c r="A71" s="12">
        <v>70</v>
      </c>
      <c r="B71" s="12" t="s">
        <v>2869</v>
      </c>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1006"/>
  <sheetViews>
    <sheetView workbookViewId="0"/>
  </sheetViews>
  <sheetFormatPr defaultColWidth="14.42578125" defaultRowHeight="15" customHeight="1"/>
  <cols>
    <col min="1" max="1" width="17.85546875" customWidth="1"/>
    <col min="2" max="2" width="23" customWidth="1"/>
    <col min="3" max="3" width="12.5703125" customWidth="1"/>
    <col min="4" max="4" width="26.85546875" customWidth="1"/>
    <col min="5" max="5" width="17.7109375" customWidth="1"/>
    <col min="6" max="6" width="31.42578125" customWidth="1"/>
    <col min="7" max="26" width="12.5703125" customWidth="1"/>
  </cols>
  <sheetData>
    <row r="1" spans="1:6">
      <c r="A1" s="327" t="s">
        <v>2870</v>
      </c>
      <c r="B1" s="314" t="s">
        <v>2871</v>
      </c>
      <c r="C1" s="314"/>
      <c r="D1" s="314"/>
      <c r="E1" s="314"/>
      <c r="F1" s="314"/>
    </row>
    <row r="2" spans="1:6">
      <c r="A2" s="327" t="s">
        <v>2872</v>
      </c>
      <c r="B2" s="314" t="s">
        <v>2873</v>
      </c>
      <c r="C2" s="314"/>
      <c r="D2" s="314"/>
      <c r="E2" s="314"/>
      <c r="F2" s="314"/>
    </row>
    <row r="3" spans="1:6">
      <c r="A3" s="327" t="s">
        <v>2874</v>
      </c>
      <c r="B3" s="314" t="s">
        <v>2875</v>
      </c>
      <c r="C3" s="314"/>
      <c r="D3" s="321"/>
      <c r="E3" s="314"/>
      <c r="F3" s="314"/>
    </row>
    <row r="4" spans="1:6">
      <c r="A4" s="327" t="s">
        <v>2876</v>
      </c>
      <c r="B4" s="314" t="s">
        <v>2877</v>
      </c>
      <c r="C4" s="314"/>
      <c r="D4" s="321"/>
      <c r="E4" s="314"/>
      <c r="F4" s="314"/>
    </row>
    <row r="5" spans="1:6">
      <c r="A5" s="327" t="s">
        <v>2878</v>
      </c>
      <c r="B5" s="314"/>
      <c r="C5" s="314"/>
      <c r="D5" s="321"/>
      <c r="E5" s="314"/>
      <c r="F5" s="314"/>
    </row>
    <row r="6" spans="1:6">
      <c r="A6" s="321" t="s">
        <v>1</v>
      </c>
      <c r="B6" s="314" t="s">
        <v>2879</v>
      </c>
      <c r="C6" s="314" t="s">
        <v>2880</v>
      </c>
      <c r="D6" s="314" t="s">
        <v>2881</v>
      </c>
      <c r="E6" s="314" t="s">
        <v>2882</v>
      </c>
      <c r="F6" s="314" t="s">
        <v>2883</v>
      </c>
    </row>
    <row r="7" spans="1:6">
      <c r="A7" s="321">
        <v>1</v>
      </c>
      <c r="B7" s="314" t="s">
        <v>2754</v>
      </c>
      <c r="C7" s="314" t="s">
        <v>2884</v>
      </c>
      <c r="D7" s="314" t="s">
        <v>2885</v>
      </c>
      <c r="E7" s="314" t="s">
        <v>2886</v>
      </c>
      <c r="F7" s="314" t="s">
        <v>2887</v>
      </c>
    </row>
    <row r="8" spans="1:6">
      <c r="A8" s="321">
        <v>2</v>
      </c>
      <c r="B8" s="314" t="s">
        <v>2758</v>
      </c>
      <c r="C8" s="314" t="s">
        <v>2884</v>
      </c>
      <c r="D8" s="314" t="s">
        <v>2888</v>
      </c>
      <c r="E8" s="314" t="s">
        <v>2889</v>
      </c>
      <c r="F8" s="314" t="s">
        <v>2887</v>
      </c>
    </row>
    <row r="9" spans="1:6">
      <c r="A9" s="321">
        <v>3</v>
      </c>
      <c r="B9" s="314" t="s">
        <v>2890</v>
      </c>
      <c r="C9" s="314" t="s">
        <v>2884</v>
      </c>
      <c r="D9" s="328" t="s">
        <v>2891</v>
      </c>
      <c r="E9" s="314" t="s">
        <v>2892</v>
      </c>
      <c r="F9" s="314" t="s">
        <v>2887</v>
      </c>
    </row>
    <row r="10" spans="1:6">
      <c r="A10" s="321">
        <v>4</v>
      </c>
      <c r="B10" s="321" t="s">
        <v>2893</v>
      </c>
      <c r="C10" s="321" t="s">
        <v>2894</v>
      </c>
      <c r="D10" s="314" t="s">
        <v>2895</v>
      </c>
      <c r="E10" s="314" t="s">
        <v>2896</v>
      </c>
      <c r="F10" s="314" t="s">
        <v>2887</v>
      </c>
    </row>
    <row r="11" spans="1:6">
      <c r="A11" s="321">
        <v>5</v>
      </c>
      <c r="B11" s="328" t="s">
        <v>2897</v>
      </c>
      <c r="C11" s="329" t="s">
        <v>2898</v>
      </c>
      <c r="D11" s="328" t="s">
        <v>2899</v>
      </c>
      <c r="E11" s="314" t="s">
        <v>2900</v>
      </c>
      <c r="F11" s="314" t="s">
        <v>2901</v>
      </c>
    </row>
    <row r="12" spans="1:6">
      <c r="A12" s="321">
        <v>6</v>
      </c>
      <c r="B12" s="318" t="s">
        <v>2761</v>
      </c>
      <c r="C12" s="329" t="s">
        <v>2898</v>
      </c>
      <c r="D12" s="318" t="s">
        <v>2902</v>
      </c>
      <c r="E12" s="321" t="s">
        <v>2903</v>
      </c>
      <c r="F12" s="318" t="s">
        <v>2904</v>
      </c>
    </row>
    <row r="13" spans="1:6">
      <c r="A13" s="321">
        <v>7</v>
      </c>
      <c r="B13" s="318" t="s">
        <v>2905</v>
      </c>
      <c r="C13" s="321"/>
      <c r="D13" s="12" t="s">
        <v>2906</v>
      </c>
      <c r="E13" s="321"/>
      <c r="F13" s="314" t="s">
        <v>2887</v>
      </c>
    </row>
    <row r="14" spans="1:6">
      <c r="A14" s="321">
        <v>8</v>
      </c>
      <c r="B14" s="321" t="s">
        <v>2763</v>
      </c>
      <c r="C14" s="321" t="s">
        <v>2907</v>
      </c>
      <c r="D14" s="321" t="s">
        <v>2908</v>
      </c>
      <c r="E14" s="321" t="s">
        <v>2909</v>
      </c>
      <c r="F14" s="321" t="s">
        <v>2904</v>
      </c>
    </row>
    <row r="15" spans="1:6">
      <c r="A15" s="321">
        <v>9</v>
      </c>
      <c r="B15" s="321" t="s">
        <v>2765</v>
      </c>
      <c r="C15" s="314"/>
      <c r="D15" s="321" t="s">
        <v>2910</v>
      </c>
      <c r="E15" s="314"/>
      <c r="F15" s="318" t="s">
        <v>2911</v>
      </c>
    </row>
    <row r="16" spans="1:6">
      <c r="A16" s="321">
        <v>10</v>
      </c>
      <c r="B16" s="321" t="s">
        <v>2766</v>
      </c>
      <c r="C16" s="314"/>
      <c r="D16" s="321" t="s">
        <v>2912</v>
      </c>
      <c r="E16" s="321" t="s">
        <v>2913</v>
      </c>
      <c r="F16" s="318" t="s">
        <v>2911</v>
      </c>
    </row>
    <row r="17" spans="1:7">
      <c r="A17" s="321">
        <v>11</v>
      </c>
      <c r="B17" s="322" t="s">
        <v>2768</v>
      </c>
      <c r="C17" s="322" t="s">
        <v>2914</v>
      </c>
      <c r="D17" s="321" t="s">
        <v>2915</v>
      </c>
      <c r="E17" s="322" t="s">
        <v>2916</v>
      </c>
      <c r="F17" s="322" t="s">
        <v>2911</v>
      </c>
    </row>
    <row r="18" spans="1:7">
      <c r="A18" s="321">
        <v>12</v>
      </c>
      <c r="B18" s="12" t="s">
        <v>2917</v>
      </c>
      <c r="C18" s="12" t="s">
        <v>2918</v>
      </c>
      <c r="D18" s="12" t="s">
        <v>2919</v>
      </c>
      <c r="F18" s="12" t="s">
        <v>2920</v>
      </c>
    </row>
    <row r="19" spans="1:7">
      <c r="A19" s="321">
        <v>13</v>
      </c>
      <c r="B19" s="12" t="s">
        <v>2921</v>
      </c>
      <c r="C19" s="12" t="s">
        <v>2922</v>
      </c>
      <c r="D19" s="330" t="s">
        <v>2923</v>
      </c>
      <c r="E19" s="12" t="s">
        <v>2924</v>
      </c>
      <c r="F19" s="322" t="s">
        <v>2925</v>
      </c>
    </row>
    <row r="20" spans="1:7">
      <c r="A20" s="321">
        <v>14</v>
      </c>
      <c r="B20" s="321" t="s">
        <v>2773</v>
      </c>
      <c r="C20" s="314"/>
      <c r="D20" s="321" t="s">
        <v>2926</v>
      </c>
      <c r="E20" s="314"/>
      <c r="F20" s="321" t="s">
        <v>2927</v>
      </c>
      <c r="G20" s="12" t="s">
        <v>2928</v>
      </c>
    </row>
    <row r="21" spans="1:7">
      <c r="A21" s="12">
        <v>15</v>
      </c>
      <c r="B21" s="322" t="s">
        <v>2778</v>
      </c>
      <c r="D21" s="12" t="s">
        <v>2929</v>
      </c>
      <c r="E21" s="331" t="s">
        <v>2930</v>
      </c>
      <c r="F21" s="318" t="s">
        <v>2911</v>
      </c>
    </row>
    <row r="22" spans="1:7">
      <c r="A22" s="321">
        <v>16</v>
      </c>
      <c r="B22" s="322" t="s">
        <v>2776</v>
      </c>
      <c r="C22" s="321" t="s">
        <v>2931</v>
      </c>
      <c r="D22" s="321" t="s">
        <v>2932</v>
      </c>
      <c r="E22" s="321" t="s">
        <v>2933</v>
      </c>
      <c r="F22" s="318" t="s">
        <v>2911</v>
      </c>
    </row>
    <row r="23" spans="1:7">
      <c r="A23" s="321">
        <v>17</v>
      </c>
      <c r="B23" s="321" t="s">
        <v>2934</v>
      </c>
      <c r="C23" s="314"/>
      <c r="D23" s="314"/>
      <c r="E23" s="314"/>
      <c r="F23" s="321" t="s">
        <v>2927</v>
      </c>
    </row>
    <row r="25" spans="1:7">
      <c r="A25" s="327"/>
      <c r="B25" s="314"/>
      <c r="C25" s="314"/>
      <c r="E25" s="314"/>
      <c r="F25" s="314"/>
    </row>
    <row r="26" spans="1:7">
      <c r="A26" s="327" t="s">
        <v>2935</v>
      </c>
      <c r="B26" s="314"/>
      <c r="C26" s="314"/>
      <c r="D26" s="314"/>
      <c r="E26" s="314"/>
      <c r="F26" s="314"/>
    </row>
    <row r="27" spans="1:7">
      <c r="A27" s="314"/>
      <c r="B27" s="314" t="s">
        <v>2936</v>
      </c>
      <c r="C27" s="314"/>
      <c r="D27" s="314"/>
      <c r="E27" s="314"/>
      <c r="F27" s="314"/>
    </row>
    <row r="28" spans="1:7">
      <c r="A28" s="314"/>
      <c r="B28" s="314"/>
      <c r="C28" s="314"/>
      <c r="D28" s="314"/>
      <c r="E28" s="314"/>
      <c r="F28" s="314"/>
    </row>
    <row r="29" spans="1:7">
      <c r="A29" s="327" t="s">
        <v>2937</v>
      </c>
      <c r="B29" s="328" t="s">
        <v>2938</v>
      </c>
      <c r="C29" s="314"/>
      <c r="D29" s="314"/>
      <c r="E29" s="314"/>
      <c r="F29" s="314"/>
    </row>
    <row r="30" spans="1:7">
      <c r="A30" s="314"/>
      <c r="B30" s="332" t="s">
        <v>2939</v>
      </c>
      <c r="C30" s="314"/>
      <c r="D30" s="314"/>
      <c r="E30" s="314"/>
      <c r="F30" s="314"/>
    </row>
    <row r="31" spans="1:7">
      <c r="A31" s="314"/>
      <c r="B31" s="332"/>
      <c r="C31" s="314"/>
      <c r="D31" s="314"/>
      <c r="E31" s="314"/>
      <c r="F31" s="314"/>
    </row>
    <row r="32" spans="1:7">
      <c r="A32" s="314"/>
      <c r="B32" s="332"/>
      <c r="C32" s="314"/>
      <c r="D32" s="314"/>
      <c r="E32" s="314"/>
      <c r="F32" s="314"/>
    </row>
    <row r="33" spans="1:6">
      <c r="A33" s="327" t="s">
        <v>2940</v>
      </c>
      <c r="B33" s="332"/>
      <c r="C33" s="314"/>
      <c r="D33" s="314"/>
      <c r="E33" s="314"/>
      <c r="F33" s="314"/>
    </row>
    <row r="34" spans="1:6">
      <c r="A34" s="314">
        <v>1</v>
      </c>
      <c r="B34" s="332" t="s">
        <v>2941</v>
      </c>
      <c r="C34" s="314"/>
      <c r="D34" s="314"/>
      <c r="E34" s="314"/>
      <c r="F34" s="314"/>
    </row>
    <row r="35" spans="1:6">
      <c r="A35" s="314">
        <v>2</v>
      </c>
      <c r="B35" s="332" t="s">
        <v>2942</v>
      </c>
      <c r="C35" s="314"/>
      <c r="D35" s="314"/>
      <c r="E35" s="314"/>
      <c r="F35" s="314"/>
    </row>
    <row r="36" spans="1:6">
      <c r="A36" s="314">
        <v>3</v>
      </c>
      <c r="B36" s="332" t="s">
        <v>2943</v>
      </c>
      <c r="C36" s="314"/>
      <c r="D36" s="314"/>
      <c r="E36" s="314"/>
      <c r="F36" s="314"/>
    </row>
    <row r="37" spans="1:6">
      <c r="A37" s="314">
        <v>4</v>
      </c>
      <c r="B37" s="332" t="s">
        <v>2944</v>
      </c>
      <c r="C37" s="314"/>
      <c r="D37" s="314"/>
      <c r="E37" s="314"/>
      <c r="F37" s="314"/>
    </row>
    <row r="38" spans="1:6">
      <c r="A38" s="314">
        <v>5</v>
      </c>
      <c r="B38" s="332" t="s">
        <v>2945</v>
      </c>
      <c r="C38" s="314"/>
      <c r="D38" s="314"/>
      <c r="E38" s="314"/>
      <c r="F38" s="314"/>
    </row>
    <row r="39" spans="1:6">
      <c r="A39" s="314">
        <v>6</v>
      </c>
      <c r="B39" s="332" t="s">
        <v>2946</v>
      </c>
      <c r="C39" s="314"/>
      <c r="D39" s="314"/>
      <c r="E39" s="314"/>
      <c r="F39" s="314"/>
    </row>
    <row r="40" spans="1:6">
      <c r="A40" s="314">
        <v>7</v>
      </c>
      <c r="B40" s="314" t="s">
        <v>2947</v>
      </c>
      <c r="C40" s="314"/>
      <c r="D40" s="314"/>
      <c r="E40" s="314"/>
      <c r="F40" s="314"/>
    </row>
    <row r="41" spans="1:6">
      <c r="A41" s="314">
        <v>8</v>
      </c>
      <c r="B41" s="314" t="s">
        <v>2948</v>
      </c>
      <c r="C41" s="314"/>
      <c r="D41" s="314"/>
      <c r="E41" s="314"/>
      <c r="F41" s="314"/>
    </row>
    <row r="42" spans="1:6">
      <c r="A42" s="314">
        <v>9</v>
      </c>
      <c r="B42" s="314" t="s">
        <v>2949</v>
      </c>
      <c r="C42" s="314"/>
      <c r="D42" s="314"/>
      <c r="E42" s="314"/>
      <c r="F42" s="314"/>
    </row>
    <row r="43" spans="1:6">
      <c r="A43" s="333">
        <v>10</v>
      </c>
      <c r="B43" s="334" t="s">
        <v>2950</v>
      </c>
      <c r="C43" s="314"/>
      <c r="D43" s="314"/>
      <c r="E43" s="314"/>
      <c r="F43" s="314"/>
    </row>
    <row r="44" spans="1:6">
      <c r="A44" s="333">
        <v>11</v>
      </c>
      <c r="B44" s="334" t="s">
        <v>2951</v>
      </c>
      <c r="C44" s="314"/>
      <c r="D44" s="314"/>
      <c r="E44" s="314"/>
      <c r="F44" s="314"/>
    </row>
    <row r="45" spans="1:6">
      <c r="A45" s="333">
        <v>12</v>
      </c>
      <c r="B45" s="334" t="s">
        <v>2952</v>
      </c>
      <c r="C45" s="314"/>
      <c r="D45" s="314"/>
      <c r="E45" s="314"/>
      <c r="F45" s="314"/>
    </row>
    <row r="46" spans="1:6">
      <c r="A46" s="333">
        <v>13</v>
      </c>
      <c r="B46" s="335"/>
      <c r="C46" s="314"/>
      <c r="D46" s="314"/>
      <c r="E46" s="314"/>
      <c r="F46" s="314"/>
    </row>
    <row r="47" spans="1:6">
      <c r="A47" s="314"/>
      <c r="B47" s="314"/>
      <c r="C47" s="314"/>
      <c r="D47" s="314"/>
      <c r="E47" s="314"/>
      <c r="F47" s="314"/>
    </row>
    <row r="48" spans="1:6">
      <c r="A48" s="264"/>
      <c r="B48" s="264"/>
    </row>
    <row r="49" spans="1:6">
      <c r="A49" s="336" t="s">
        <v>2953</v>
      </c>
      <c r="B49" s="337"/>
      <c r="D49" s="6"/>
      <c r="E49" s="6"/>
      <c r="F49" s="6"/>
    </row>
    <row r="50" spans="1:6">
      <c r="A50" s="264"/>
      <c r="B50" s="338" t="s">
        <v>2954</v>
      </c>
      <c r="D50" s="6"/>
      <c r="E50" s="6"/>
      <c r="F50" s="6"/>
    </row>
    <row r="51" spans="1:6">
      <c r="A51" s="264"/>
      <c r="B51" s="338" t="s">
        <v>2955</v>
      </c>
      <c r="D51" s="6"/>
      <c r="E51" s="6"/>
      <c r="F51" s="6"/>
    </row>
    <row r="52" spans="1:6">
      <c r="A52" s="264"/>
      <c r="B52" s="339" t="s">
        <v>2956</v>
      </c>
      <c r="D52" s="6"/>
      <c r="E52" s="6"/>
      <c r="F52" s="6"/>
    </row>
    <row r="53" spans="1:6">
      <c r="A53" s="264"/>
      <c r="B53" s="339" t="s">
        <v>2957</v>
      </c>
      <c r="D53" s="6"/>
      <c r="E53" s="6"/>
      <c r="F53" s="6"/>
    </row>
    <row r="54" spans="1:6">
      <c r="A54" s="264"/>
      <c r="B54" s="339" t="s">
        <v>2958</v>
      </c>
      <c r="D54" s="6"/>
      <c r="E54" s="6"/>
      <c r="F54" s="6"/>
    </row>
    <row r="55" spans="1:6">
      <c r="A55" s="264"/>
      <c r="B55" s="339" t="s">
        <v>2959</v>
      </c>
      <c r="D55" s="6"/>
      <c r="E55" s="6"/>
      <c r="F55" s="6"/>
    </row>
    <row r="56" spans="1:6">
      <c r="A56" s="264"/>
      <c r="B56" s="340" t="s">
        <v>2960</v>
      </c>
      <c r="D56" s="6"/>
      <c r="E56" s="6"/>
      <c r="F56" s="6"/>
    </row>
    <row r="57" spans="1:6">
      <c r="A57" s="264"/>
      <c r="B57" s="340" t="s">
        <v>2961</v>
      </c>
      <c r="D57" s="6"/>
      <c r="E57" s="6"/>
      <c r="F57" s="6"/>
    </row>
    <row r="58" spans="1:6">
      <c r="A58" s="264"/>
      <c r="B58" s="340" t="s">
        <v>2962</v>
      </c>
      <c r="D58" s="6"/>
      <c r="E58" s="6"/>
      <c r="F58" s="6"/>
    </row>
    <row r="59" spans="1:6">
      <c r="A59" s="264"/>
      <c r="B59" s="339" t="s">
        <v>2963</v>
      </c>
      <c r="D59" s="6"/>
      <c r="E59" s="6"/>
      <c r="F59" s="6"/>
    </row>
    <row r="60" spans="1:6">
      <c r="A60" s="264"/>
      <c r="B60" s="339" t="s">
        <v>2964</v>
      </c>
      <c r="D60" s="6"/>
      <c r="E60" s="6"/>
      <c r="F60" s="6"/>
    </row>
    <row r="61" spans="1:6">
      <c r="A61" s="337"/>
      <c r="B61" s="337"/>
      <c r="D61" s="6"/>
      <c r="E61" s="6"/>
      <c r="F61" s="6"/>
    </row>
    <row r="62" spans="1:6">
      <c r="A62" s="314"/>
      <c r="B62" s="314"/>
      <c r="C62" s="314"/>
      <c r="D62" s="314"/>
      <c r="E62" s="314"/>
      <c r="F62" s="314"/>
    </row>
    <row r="63" spans="1:6">
      <c r="A63" s="314" t="s">
        <v>2965</v>
      </c>
      <c r="B63" s="341">
        <v>43005</v>
      </c>
      <c r="C63" s="314"/>
      <c r="D63" s="314"/>
      <c r="E63" s="314"/>
      <c r="F63" s="314"/>
    </row>
    <row r="64" spans="1:6">
      <c r="A64" s="314" t="s">
        <v>2966</v>
      </c>
      <c r="B64" s="314"/>
      <c r="C64" s="314"/>
      <c r="D64" s="314"/>
      <c r="E64" s="314"/>
      <c r="F64" s="314"/>
    </row>
    <row r="65" spans="1:6">
      <c r="A65" s="314"/>
      <c r="B65" s="314"/>
      <c r="C65" s="314"/>
      <c r="D65" s="314"/>
      <c r="E65" s="314"/>
      <c r="F65" s="314"/>
    </row>
    <row r="66" spans="1:6">
      <c r="A66" s="6"/>
      <c r="B66" s="6"/>
      <c r="D66" s="6"/>
      <c r="E66" s="6"/>
      <c r="F66" s="6"/>
    </row>
    <row r="67" spans="1:6">
      <c r="A67" s="6"/>
      <c r="B67" s="6"/>
      <c r="D67" s="6"/>
      <c r="E67" s="6"/>
      <c r="F67" s="6"/>
    </row>
    <row r="68" spans="1:6">
      <c r="A68" s="6"/>
      <c r="B68" s="6"/>
      <c r="D68" s="6"/>
      <c r="E68" s="6"/>
      <c r="F68" s="6"/>
    </row>
    <row r="69" spans="1:6">
      <c r="A69" s="6"/>
      <c r="B69" s="6"/>
      <c r="D69" s="6"/>
      <c r="E69" s="6"/>
      <c r="F69" s="6"/>
    </row>
    <row r="70" spans="1:6">
      <c r="A70" s="6"/>
      <c r="B70" s="6"/>
      <c r="D70" s="6"/>
      <c r="E70" s="6"/>
      <c r="F70" s="6"/>
    </row>
    <row r="71" spans="1:6">
      <c r="A71" s="6"/>
      <c r="B71" s="6"/>
      <c r="D71" s="6"/>
      <c r="E71" s="6"/>
      <c r="F71" s="6"/>
    </row>
    <row r="72" spans="1:6">
      <c r="A72" s="6"/>
      <c r="B72" s="6"/>
      <c r="D72" s="6"/>
      <c r="E72" s="6"/>
      <c r="F72" s="6"/>
    </row>
    <row r="73" spans="1:6">
      <c r="A73" s="6"/>
      <c r="B73" s="6"/>
      <c r="D73" s="6"/>
      <c r="E73" s="6"/>
      <c r="F73" s="6"/>
    </row>
    <row r="74" spans="1:6">
      <c r="A74" s="6"/>
      <c r="B74" s="6"/>
      <c r="D74" s="6"/>
      <c r="E74" s="6"/>
      <c r="F74" s="6"/>
    </row>
    <row r="75" spans="1:6">
      <c r="A75" s="6"/>
      <c r="B75" s="6"/>
      <c r="D75" s="6"/>
      <c r="E75" s="6"/>
      <c r="F75" s="6"/>
    </row>
    <row r="76" spans="1:6">
      <c r="A76" s="6"/>
      <c r="B76" s="6"/>
      <c r="D76" s="6"/>
      <c r="E76" s="6"/>
      <c r="F76" s="6"/>
    </row>
    <row r="77" spans="1:6">
      <c r="A77" s="6"/>
      <c r="B77" s="6"/>
      <c r="D77" s="6"/>
      <c r="E77" s="6"/>
      <c r="F77" s="6"/>
    </row>
    <row r="78" spans="1:6">
      <c r="A78" s="6"/>
      <c r="B78" s="6"/>
      <c r="D78" s="6"/>
      <c r="E78" s="6"/>
      <c r="F78" s="6"/>
    </row>
    <row r="79" spans="1:6">
      <c r="A79" s="6"/>
      <c r="B79" s="6"/>
      <c r="D79" s="6"/>
      <c r="E79" s="6"/>
      <c r="F79" s="6"/>
    </row>
    <row r="80" spans="1:6">
      <c r="A80" s="6"/>
      <c r="B80" s="6"/>
      <c r="D80" s="6"/>
      <c r="E80" s="6"/>
      <c r="F80" s="6"/>
    </row>
    <row r="81" spans="1:6">
      <c r="A81" s="6"/>
      <c r="B81" s="6"/>
      <c r="D81" s="6"/>
      <c r="E81" s="6"/>
      <c r="F81" s="6"/>
    </row>
    <row r="82" spans="1:6">
      <c r="A82" s="6"/>
      <c r="B82" s="6"/>
      <c r="D82" s="6"/>
      <c r="E82" s="6"/>
      <c r="F82" s="6"/>
    </row>
    <row r="83" spans="1:6">
      <c r="A83" s="6"/>
      <c r="B83" s="6"/>
      <c r="D83" s="6"/>
      <c r="E83" s="6"/>
      <c r="F83" s="6"/>
    </row>
    <row r="84" spans="1:6">
      <c r="A84" s="6"/>
      <c r="B84" s="6"/>
      <c r="D84" s="6"/>
      <c r="E84" s="6"/>
      <c r="F84" s="6"/>
    </row>
    <row r="85" spans="1:6">
      <c r="A85" s="6"/>
      <c r="B85" s="6"/>
      <c r="D85" s="6"/>
      <c r="E85" s="6"/>
      <c r="F85" s="6"/>
    </row>
    <row r="86" spans="1:6">
      <c r="A86" s="6"/>
      <c r="B86" s="6"/>
      <c r="D86" s="6"/>
      <c r="E86" s="6"/>
      <c r="F86" s="6"/>
    </row>
    <row r="87" spans="1:6">
      <c r="A87" s="6"/>
      <c r="B87" s="6"/>
      <c r="D87" s="6"/>
      <c r="E87" s="6"/>
      <c r="F87" s="6"/>
    </row>
    <row r="88" spans="1:6">
      <c r="A88" s="6"/>
      <c r="B88" s="6"/>
      <c r="D88" s="6"/>
      <c r="E88" s="6"/>
      <c r="F88" s="6"/>
    </row>
    <row r="89" spans="1:6">
      <c r="A89" s="6"/>
      <c r="B89" s="6"/>
      <c r="D89" s="6"/>
      <c r="E89" s="6"/>
      <c r="F89" s="6"/>
    </row>
    <row r="90" spans="1:6">
      <c r="A90" s="6"/>
      <c r="B90" s="6"/>
      <c r="D90" s="6"/>
      <c r="E90" s="6"/>
      <c r="F90" s="6"/>
    </row>
    <row r="91" spans="1:6">
      <c r="A91" s="6"/>
      <c r="B91" s="6"/>
      <c r="D91" s="6"/>
      <c r="E91" s="6"/>
      <c r="F91" s="6"/>
    </row>
    <row r="92" spans="1:6">
      <c r="A92" s="6"/>
      <c r="B92" s="6"/>
      <c r="D92" s="6"/>
      <c r="E92" s="6"/>
      <c r="F92" s="6"/>
    </row>
    <row r="93" spans="1:6">
      <c r="A93" s="6"/>
      <c r="B93" s="6"/>
      <c r="D93" s="6"/>
      <c r="E93" s="6"/>
      <c r="F93" s="6"/>
    </row>
    <row r="94" spans="1:6">
      <c r="A94" s="6"/>
      <c r="B94" s="6"/>
      <c r="D94" s="6"/>
      <c r="E94" s="6"/>
      <c r="F94" s="6"/>
    </row>
    <row r="95" spans="1:6">
      <c r="A95" s="6"/>
      <c r="B95" s="6"/>
      <c r="D95" s="6"/>
      <c r="E95" s="6"/>
      <c r="F95" s="6"/>
    </row>
    <row r="96" spans="1:6">
      <c r="A96" s="6"/>
      <c r="B96" s="6"/>
      <c r="D96" s="6"/>
      <c r="E96" s="6"/>
      <c r="F96" s="6"/>
    </row>
    <row r="97" spans="1:6">
      <c r="A97" s="6"/>
      <c r="B97" s="6"/>
      <c r="D97" s="6"/>
      <c r="E97" s="6"/>
      <c r="F97" s="6"/>
    </row>
    <row r="98" spans="1:6">
      <c r="A98" s="6"/>
      <c r="B98" s="6"/>
      <c r="D98" s="6"/>
      <c r="E98" s="6"/>
      <c r="F98" s="6"/>
    </row>
    <row r="99" spans="1:6">
      <c r="A99" s="6"/>
      <c r="B99" s="6"/>
      <c r="D99" s="6"/>
      <c r="E99" s="6"/>
      <c r="F99" s="6"/>
    </row>
    <row r="100" spans="1:6">
      <c r="A100" s="6"/>
      <c r="B100" s="6"/>
      <c r="D100" s="6"/>
      <c r="E100" s="6"/>
      <c r="F100" s="6"/>
    </row>
    <row r="101" spans="1:6">
      <c r="A101" s="6"/>
      <c r="B101" s="6"/>
      <c r="D101" s="6"/>
      <c r="E101" s="6"/>
      <c r="F101" s="6"/>
    </row>
    <row r="102" spans="1:6">
      <c r="A102" s="6"/>
      <c r="B102" s="6"/>
      <c r="D102" s="6"/>
      <c r="E102" s="6"/>
      <c r="F102" s="6"/>
    </row>
    <row r="103" spans="1:6">
      <c r="A103" s="6"/>
      <c r="B103" s="6"/>
      <c r="D103" s="6"/>
      <c r="E103" s="6"/>
      <c r="F103" s="6"/>
    </row>
    <row r="104" spans="1:6">
      <c r="A104" s="6"/>
      <c r="B104" s="6"/>
      <c r="D104" s="6"/>
      <c r="E104" s="6"/>
      <c r="F104" s="6"/>
    </row>
    <row r="105" spans="1:6">
      <c r="A105" s="6"/>
      <c r="B105" s="6"/>
      <c r="D105" s="6"/>
      <c r="E105" s="6"/>
      <c r="F105" s="6"/>
    </row>
    <row r="106" spans="1:6">
      <c r="A106" s="6"/>
      <c r="B106" s="6"/>
      <c r="D106" s="6"/>
      <c r="E106" s="6"/>
      <c r="F106" s="6"/>
    </row>
    <row r="107" spans="1:6">
      <c r="A107" s="6"/>
      <c r="B107" s="6"/>
      <c r="D107" s="6"/>
      <c r="E107" s="6"/>
      <c r="F107" s="6"/>
    </row>
    <row r="108" spans="1:6">
      <c r="A108" s="6"/>
      <c r="B108" s="6"/>
      <c r="D108" s="6"/>
      <c r="E108" s="6"/>
      <c r="F108" s="6"/>
    </row>
    <row r="109" spans="1:6">
      <c r="A109" s="6"/>
      <c r="B109" s="6"/>
      <c r="D109" s="6"/>
      <c r="E109" s="6"/>
      <c r="F109" s="6"/>
    </row>
    <row r="110" spans="1:6">
      <c r="A110" s="6"/>
      <c r="B110" s="6"/>
      <c r="D110" s="6"/>
      <c r="E110" s="6"/>
      <c r="F110" s="6"/>
    </row>
    <row r="111" spans="1:6">
      <c r="A111" s="6"/>
      <c r="B111" s="6"/>
      <c r="D111" s="6"/>
      <c r="E111" s="6"/>
      <c r="F111" s="6"/>
    </row>
    <row r="112" spans="1:6">
      <c r="A112" s="6"/>
      <c r="B112" s="6"/>
      <c r="D112" s="6"/>
      <c r="E112" s="6"/>
      <c r="F112" s="6"/>
    </row>
    <row r="113" spans="1:6">
      <c r="A113" s="6"/>
      <c r="B113" s="6"/>
      <c r="D113" s="6"/>
      <c r="E113" s="6"/>
      <c r="F113" s="6"/>
    </row>
    <row r="114" spans="1:6">
      <c r="A114" s="6"/>
      <c r="B114" s="6"/>
      <c r="D114" s="6"/>
      <c r="E114" s="6"/>
      <c r="F114" s="6"/>
    </row>
    <row r="115" spans="1:6">
      <c r="A115" s="6"/>
      <c r="B115" s="6"/>
      <c r="D115" s="6"/>
      <c r="E115" s="6"/>
      <c r="F115" s="6"/>
    </row>
    <row r="116" spans="1:6">
      <c r="A116" s="6"/>
      <c r="B116" s="6"/>
      <c r="D116" s="6"/>
      <c r="E116" s="6"/>
      <c r="F116" s="6"/>
    </row>
    <row r="117" spans="1:6">
      <c r="A117" s="6"/>
      <c r="B117" s="6"/>
      <c r="D117" s="6"/>
      <c r="E117" s="6"/>
      <c r="F117" s="6"/>
    </row>
    <row r="118" spans="1:6">
      <c r="A118" s="6"/>
      <c r="B118" s="6"/>
      <c r="D118" s="6"/>
      <c r="E118" s="6"/>
      <c r="F118" s="6"/>
    </row>
    <row r="119" spans="1:6">
      <c r="A119" s="6"/>
      <c r="B119" s="6"/>
      <c r="D119" s="6"/>
      <c r="E119" s="6"/>
      <c r="F119" s="6"/>
    </row>
    <row r="120" spans="1:6">
      <c r="A120" s="6"/>
      <c r="B120" s="6"/>
      <c r="D120" s="6"/>
      <c r="E120" s="6"/>
      <c r="F120" s="6"/>
    </row>
    <row r="121" spans="1:6">
      <c r="A121" s="6"/>
      <c r="B121" s="6"/>
      <c r="D121" s="6"/>
      <c r="E121" s="6"/>
      <c r="F121" s="6"/>
    </row>
    <row r="122" spans="1:6">
      <c r="A122" s="6"/>
      <c r="B122" s="6"/>
      <c r="D122" s="6"/>
      <c r="E122" s="6"/>
      <c r="F122" s="6"/>
    </row>
    <row r="123" spans="1:6">
      <c r="A123" s="6"/>
      <c r="B123" s="6"/>
      <c r="D123" s="6"/>
      <c r="E123" s="6"/>
      <c r="F123" s="6"/>
    </row>
    <row r="124" spans="1:6">
      <c r="A124" s="6"/>
      <c r="B124" s="6"/>
      <c r="D124" s="6"/>
      <c r="E124" s="6"/>
      <c r="F124" s="6"/>
    </row>
    <row r="125" spans="1:6">
      <c r="A125" s="6"/>
      <c r="B125" s="6"/>
      <c r="D125" s="6"/>
      <c r="E125" s="6"/>
      <c r="F125" s="6"/>
    </row>
    <row r="126" spans="1:6">
      <c r="A126" s="6"/>
      <c r="B126" s="6"/>
      <c r="D126" s="6"/>
      <c r="E126" s="6"/>
      <c r="F126" s="6"/>
    </row>
    <row r="127" spans="1:6">
      <c r="A127" s="6"/>
      <c r="B127" s="6"/>
      <c r="D127" s="6"/>
      <c r="E127" s="6"/>
      <c r="F127" s="6"/>
    </row>
    <row r="128" spans="1:6">
      <c r="A128" s="6"/>
      <c r="B128" s="6"/>
      <c r="D128" s="6"/>
      <c r="E128" s="6"/>
      <c r="F128" s="6"/>
    </row>
    <row r="129" spans="1:6">
      <c r="A129" s="6"/>
      <c r="B129" s="6"/>
      <c r="D129" s="6"/>
      <c r="E129" s="6"/>
      <c r="F129" s="6"/>
    </row>
    <row r="130" spans="1:6">
      <c r="A130" s="6"/>
      <c r="B130" s="6"/>
      <c r="D130" s="6"/>
      <c r="E130" s="6"/>
      <c r="F130" s="6"/>
    </row>
    <row r="131" spans="1:6">
      <c r="A131" s="6"/>
      <c r="B131" s="6"/>
      <c r="D131" s="6"/>
      <c r="E131" s="6"/>
      <c r="F131" s="6"/>
    </row>
    <row r="132" spans="1:6">
      <c r="A132" s="6"/>
      <c r="B132" s="6"/>
      <c r="D132" s="6"/>
      <c r="E132" s="6"/>
      <c r="F132" s="6"/>
    </row>
    <row r="133" spans="1:6">
      <c r="A133" s="6"/>
      <c r="B133" s="6"/>
      <c r="D133" s="6"/>
      <c r="E133" s="6"/>
      <c r="F133" s="6"/>
    </row>
    <row r="134" spans="1:6">
      <c r="A134" s="6"/>
      <c r="B134" s="6"/>
      <c r="D134" s="6"/>
      <c r="E134" s="6"/>
      <c r="F134" s="6"/>
    </row>
    <row r="135" spans="1:6">
      <c r="A135" s="6"/>
      <c r="B135" s="6"/>
      <c r="D135" s="6"/>
      <c r="E135" s="6"/>
      <c r="F135" s="6"/>
    </row>
    <row r="136" spans="1:6">
      <c r="A136" s="6"/>
      <c r="B136" s="6"/>
      <c r="D136" s="6"/>
      <c r="E136" s="6"/>
      <c r="F136" s="6"/>
    </row>
    <row r="137" spans="1:6">
      <c r="A137" s="6"/>
      <c r="B137" s="6"/>
      <c r="D137" s="6"/>
      <c r="E137" s="6"/>
      <c r="F137" s="6"/>
    </row>
    <row r="138" spans="1:6">
      <c r="A138" s="6"/>
      <c r="B138" s="6"/>
      <c r="D138" s="6"/>
      <c r="E138" s="6"/>
      <c r="F138" s="6"/>
    </row>
    <row r="139" spans="1:6">
      <c r="A139" s="6"/>
      <c r="B139" s="6"/>
      <c r="D139" s="6"/>
      <c r="E139" s="6"/>
      <c r="F139" s="6"/>
    </row>
    <row r="140" spans="1:6">
      <c r="A140" s="6"/>
      <c r="B140" s="6"/>
      <c r="D140" s="6"/>
      <c r="E140" s="6"/>
      <c r="F140" s="6"/>
    </row>
    <row r="141" spans="1:6">
      <c r="A141" s="6"/>
      <c r="B141" s="6"/>
      <c r="D141" s="6"/>
      <c r="E141" s="6"/>
      <c r="F141" s="6"/>
    </row>
    <row r="142" spans="1:6">
      <c r="A142" s="6"/>
      <c r="B142" s="6"/>
      <c r="D142" s="6"/>
      <c r="E142" s="6"/>
      <c r="F142" s="6"/>
    </row>
    <row r="143" spans="1:6">
      <c r="A143" s="6"/>
      <c r="B143" s="6"/>
      <c r="D143" s="6"/>
      <c r="E143" s="6"/>
      <c r="F143" s="6"/>
    </row>
    <row r="144" spans="1:6">
      <c r="A144" s="6"/>
      <c r="B144" s="6"/>
      <c r="D144" s="6"/>
      <c r="E144" s="6"/>
      <c r="F144" s="6"/>
    </row>
    <row r="145" spans="1:6">
      <c r="A145" s="6"/>
      <c r="B145" s="6"/>
      <c r="D145" s="6"/>
      <c r="E145" s="6"/>
      <c r="F145" s="6"/>
    </row>
    <row r="146" spans="1:6">
      <c r="A146" s="6"/>
      <c r="B146" s="6"/>
      <c r="D146" s="6"/>
      <c r="E146" s="6"/>
      <c r="F146" s="6"/>
    </row>
    <row r="147" spans="1:6">
      <c r="A147" s="6"/>
      <c r="B147" s="6"/>
      <c r="D147" s="6"/>
      <c r="E147" s="6"/>
      <c r="F147" s="6"/>
    </row>
    <row r="148" spans="1:6">
      <c r="A148" s="6"/>
      <c r="B148" s="6"/>
      <c r="D148" s="6"/>
      <c r="E148" s="6"/>
      <c r="F148" s="6"/>
    </row>
    <row r="149" spans="1:6">
      <c r="A149" s="6"/>
      <c r="B149" s="6"/>
      <c r="D149" s="6"/>
      <c r="E149" s="6"/>
      <c r="F149" s="6"/>
    </row>
    <row r="150" spans="1:6">
      <c r="A150" s="6"/>
      <c r="B150" s="6"/>
      <c r="D150" s="6"/>
      <c r="E150" s="6"/>
      <c r="F150" s="6"/>
    </row>
    <row r="151" spans="1:6">
      <c r="A151" s="6"/>
      <c r="B151" s="6"/>
      <c r="D151" s="6"/>
      <c r="E151" s="6"/>
      <c r="F151" s="6"/>
    </row>
    <row r="152" spans="1:6">
      <c r="A152" s="6"/>
      <c r="B152" s="6"/>
      <c r="D152" s="6"/>
      <c r="E152" s="6"/>
      <c r="F152" s="6"/>
    </row>
    <row r="153" spans="1:6">
      <c r="A153" s="6"/>
      <c r="B153" s="6"/>
      <c r="D153" s="6"/>
      <c r="E153" s="6"/>
      <c r="F153" s="6"/>
    </row>
    <row r="154" spans="1:6">
      <c r="A154" s="6"/>
      <c r="B154" s="6"/>
      <c r="D154" s="6"/>
      <c r="E154" s="6"/>
      <c r="F154" s="6"/>
    </row>
    <row r="155" spans="1:6">
      <c r="A155" s="6"/>
      <c r="B155" s="6"/>
      <c r="D155" s="6"/>
      <c r="E155" s="6"/>
      <c r="F155" s="6"/>
    </row>
    <row r="156" spans="1:6">
      <c r="A156" s="6"/>
      <c r="B156" s="6"/>
      <c r="D156" s="6"/>
      <c r="E156" s="6"/>
      <c r="F156" s="6"/>
    </row>
    <row r="157" spans="1:6">
      <c r="A157" s="6"/>
      <c r="B157" s="6"/>
      <c r="D157" s="6"/>
      <c r="E157" s="6"/>
      <c r="F157" s="6"/>
    </row>
    <row r="158" spans="1:6">
      <c r="A158" s="6"/>
      <c r="B158" s="6"/>
      <c r="D158" s="6"/>
      <c r="E158" s="6"/>
      <c r="F158" s="6"/>
    </row>
    <row r="159" spans="1:6">
      <c r="A159" s="6"/>
      <c r="B159" s="6"/>
      <c r="D159" s="6"/>
      <c r="E159" s="6"/>
      <c r="F159" s="6"/>
    </row>
    <row r="160" spans="1:6">
      <c r="A160" s="6"/>
      <c r="B160" s="6"/>
      <c r="D160" s="6"/>
      <c r="E160" s="6"/>
      <c r="F160" s="6"/>
    </row>
    <row r="161" spans="1:6">
      <c r="A161" s="6"/>
      <c r="B161" s="6"/>
      <c r="D161" s="6"/>
      <c r="E161" s="6"/>
      <c r="F161" s="6"/>
    </row>
    <row r="162" spans="1:6">
      <c r="A162" s="6"/>
      <c r="B162" s="6"/>
      <c r="D162" s="6"/>
      <c r="E162" s="6"/>
      <c r="F162" s="6"/>
    </row>
    <row r="163" spans="1:6">
      <c r="A163" s="6"/>
      <c r="B163" s="6"/>
      <c r="D163" s="6"/>
      <c r="E163" s="6"/>
      <c r="F163" s="6"/>
    </row>
    <row r="164" spans="1:6">
      <c r="A164" s="6"/>
      <c r="B164" s="6"/>
      <c r="D164" s="6"/>
      <c r="E164" s="6"/>
      <c r="F164" s="6"/>
    </row>
    <row r="165" spans="1:6">
      <c r="A165" s="6"/>
      <c r="B165" s="6"/>
      <c r="D165" s="6"/>
      <c r="E165" s="6"/>
      <c r="F165" s="6"/>
    </row>
    <row r="166" spans="1:6">
      <c r="A166" s="6"/>
      <c r="B166" s="6"/>
      <c r="D166" s="6"/>
      <c r="E166" s="6"/>
      <c r="F166" s="6"/>
    </row>
    <row r="167" spans="1:6">
      <c r="A167" s="6"/>
      <c r="B167" s="6"/>
      <c r="D167" s="6"/>
      <c r="E167" s="6"/>
      <c r="F167" s="6"/>
    </row>
    <row r="168" spans="1:6">
      <c r="A168" s="6"/>
      <c r="B168" s="6"/>
      <c r="D168" s="6"/>
      <c r="E168" s="6"/>
      <c r="F168" s="6"/>
    </row>
    <row r="169" spans="1:6">
      <c r="A169" s="6"/>
      <c r="B169" s="6"/>
      <c r="D169" s="6"/>
      <c r="E169" s="6"/>
      <c r="F169" s="6"/>
    </row>
    <row r="170" spans="1:6">
      <c r="A170" s="6"/>
      <c r="B170" s="6"/>
      <c r="D170" s="6"/>
      <c r="E170" s="6"/>
      <c r="F170" s="6"/>
    </row>
    <row r="171" spans="1:6">
      <c r="A171" s="6"/>
      <c r="B171" s="6"/>
      <c r="D171" s="6"/>
      <c r="E171" s="6"/>
      <c r="F171" s="6"/>
    </row>
    <row r="172" spans="1:6">
      <c r="A172" s="6"/>
      <c r="B172" s="6"/>
      <c r="D172" s="6"/>
      <c r="E172" s="6"/>
      <c r="F172" s="6"/>
    </row>
    <row r="173" spans="1:6">
      <c r="A173" s="6"/>
      <c r="B173" s="6"/>
      <c r="D173" s="6"/>
      <c r="E173" s="6"/>
      <c r="F173" s="6"/>
    </row>
    <row r="174" spans="1:6">
      <c r="A174" s="6"/>
      <c r="B174" s="6"/>
      <c r="D174" s="6"/>
      <c r="E174" s="6"/>
      <c r="F174" s="6"/>
    </row>
    <row r="175" spans="1:6">
      <c r="A175" s="6"/>
      <c r="B175" s="6"/>
      <c r="D175" s="6"/>
      <c r="E175" s="6"/>
      <c r="F175" s="6"/>
    </row>
    <row r="176" spans="1:6">
      <c r="A176" s="6"/>
      <c r="B176" s="6"/>
      <c r="D176" s="6"/>
      <c r="E176" s="6"/>
      <c r="F176" s="6"/>
    </row>
    <row r="177" spans="1:6">
      <c r="A177" s="6"/>
      <c r="B177" s="6"/>
      <c r="D177" s="6"/>
      <c r="E177" s="6"/>
      <c r="F177" s="6"/>
    </row>
    <row r="178" spans="1:6">
      <c r="A178" s="6"/>
      <c r="B178" s="6"/>
      <c r="D178" s="6"/>
      <c r="E178" s="6"/>
      <c r="F178" s="6"/>
    </row>
    <row r="179" spans="1:6">
      <c r="A179" s="6"/>
      <c r="B179" s="6"/>
      <c r="D179" s="6"/>
      <c r="E179" s="6"/>
      <c r="F179" s="6"/>
    </row>
    <row r="180" spans="1:6">
      <c r="A180" s="6"/>
      <c r="B180" s="6"/>
      <c r="D180" s="6"/>
      <c r="E180" s="6"/>
      <c r="F180" s="6"/>
    </row>
    <row r="181" spans="1:6">
      <c r="A181" s="6"/>
      <c r="B181" s="6"/>
      <c r="D181" s="6"/>
      <c r="E181" s="6"/>
      <c r="F181" s="6"/>
    </row>
    <row r="182" spans="1:6">
      <c r="A182" s="6"/>
      <c r="B182" s="6"/>
      <c r="D182" s="6"/>
      <c r="E182" s="6"/>
      <c r="F182" s="6"/>
    </row>
    <row r="183" spans="1:6">
      <c r="A183" s="6"/>
      <c r="B183" s="6"/>
      <c r="D183" s="6"/>
      <c r="E183" s="6"/>
      <c r="F183" s="6"/>
    </row>
    <row r="184" spans="1:6">
      <c r="A184" s="6"/>
      <c r="B184" s="6"/>
      <c r="D184" s="6"/>
      <c r="E184" s="6"/>
      <c r="F184" s="6"/>
    </row>
    <row r="185" spans="1:6">
      <c r="A185" s="6"/>
      <c r="B185" s="6"/>
      <c r="D185" s="6"/>
      <c r="E185" s="6"/>
      <c r="F185" s="6"/>
    </row>
    <row r="186" spans="1:6">
      <c r="A186" s="6"/>
      <c r="B186" s="6"/>
      <c r="D186" s="6"/>
      <c r="E186" s="6"/>
      <c r="F186" s="6"/>
    </row>
    <row r="187" spans="1:6">
      <c r="A187" s="6"/>
      <c r="B187" s="6"/>
      <c r="D187" s="6"/>
      <c r="E187" s="6"/>
      <c r="F187" s="6"/>
    </row>
    <row r="188" spans="1:6">
      <c r="A188" s="6"/>
      <c r="B188" s="6"/>
      <c r="D188" s="6"/>
      <c r="E188" s="6"/>
      <c r="F188" s="6"/>
    </row>
    <row r="189" spans="1:6">
      <c r="A189" s="6"/>
      <c r="B189" s="6"/>
      <c r="D189" s="6"/>
      <c r="E189" s="6"/>
      <c r="F189" s="6"/>
    </row>
    <row r="190" spans="1:6">
      <c r="A190" s="6"/>
      <c r="B190" s="6"/>
      <c r="D190" s="6"/>
      <c r="E190" s="6"/>
      <c r="F190" s="6"/>
    </row>
    <row r="191" spans="1:6">
      <c r="A191" s="6"/>
      <c r="B191" s="6"/>
      <c r="D191" s="6"/>
      <c r="E191" s="6"/>
      <c r="F191" s="6"/>
    </row>
    <row r="192" spans="1:6">
      <c r="A192" s="6"/>
      <c r="B192" s="6"/>
      <c r="D192" s="6"/>
      <c r="E192" s="6"/>
      <c r="F192" s="6"/>
    </row>
    <row r="193" spans="1:6">
      <c r="A193" s="6"/>
      <c r="B193" s="6"/>
      <c r="D193" s="6"/>
      <c r="E193" s="6"/>
      <c r="F193" s="6"/>
    </row>
    <row r="194" spans="1:6">
      <c r="A194" s="6"/>
      <c r="B194" s="6"/>
      <c r="D194" s="6"/>
      <c r="E194" s="6"/>
      <c r="F194" s="6"/>
    </row>
    <row r="195" spans="1:6">
      <c r="A195" s="6"/>
      <c r="B195" s="6"/>
      <c r="D195" s="6"/>
      <c r="E195" s="6"/>
      <c r="F195" s="6"/>
    </row>
    <row r="196" spans="1:6">
      <c r="A196" s="6"/>
      <c r="B196" s="6"/>
      <c r="D196" s="6"/>
      <c r="E196" s="6"/>
      <c r="F196" s="6"/>
    </row>
    <row r="197" spans="1:6">
      <c r="A197" s="6"/>
      <c r="B197" s="6"/>
      <c r="D197" s="6"/>
      <c r="E197" s="6"/>
      <c r="F197" s="6"/>
    </row>
    <row r="198" spans="1:6">
      <c r="A198" s="6"/>
      <c r="B198" s="6"/>
      <c r="D198" s="6"/>
      <c r="E198" s="6"/>
      <c r="F198" s="6"/>
    </row>
    <row r="199" spans="1:6">
      <c r="A199" s="6"/>
      <c r="B199" s="6"/>
      <c r="D199" s="6"/>
      <c r="E199" s="6"/>
      <c r="F199" s="6"/>
    </row>
    <row r="200" spans="1:6">
      <c r="A200" s="6"/>
      <c r="B200" s="6"/>
      <c r="D200" s="6"/>
      <c r="E200" s="6"/>
      <c r="F200" s="6"/>
    </row>
    <row r="201" spans="1:6">
      <c r="A201" s="6"/>
      <c r="B201" s="6"/>
      <c r="D201" s="6"/>
      <c r="E201" s="6"/>
      <c r="F201" s="6"/>
    </row>
    <row r="202" spans="1:6">
      <c r="A202" s="6"/>
      <c r="B202" s="6"/>
      <c r="D202" s="6"/>
      <c r="E202" s="6"/>
      <c r="F202" s="6"/>
    </row>
    <row r="203" spans="1:6">
      <c r="A203" s="6"/>
      <c r="B203" s="6"/>
      <c r="D203" s="6"/>
      <c r="E203" s="6"/>
      <c r="F203" s="6"/>
    </row>
    <row r="204" spans="1:6">
      <c r="A204" s="6"/>
      <c r="B204" s="6"/>
      <c r="D204" s="6"/>
      <c r="E204" s="6"/>
      <c r="F204" s="6"/>
    </row>
    <row r="205" spans="1:6">
      <c r="A205" s="6"/>
      <c r="B205" s="6"/>
      <c r="D205" s="6"/>
      <c r="E205" s="6"/>
      <c r="F205" s="6"/>
    </row>
    <row r="206" spans="1:6">
      <c r="A206" s="6"/>
      <c r="B206" s="6"/>
      <c r="D206" s="6"/>
      <c r="E206" s="6"/>
      <c r="F206" s="6"/>
    </row>
    <row r="207" spans="1:6">
      <c r="A207" s="6"/>
      <c r="B207" s="6"/>
      <c r="D207" s="6"/>
      <c r="E207" s="6"/>
      <c r="F207" s="6"/>
    </row>
    <row r="208" spans="1:6">
      <c r="A208" s="6"/>
      <c r="B208" s="6"/>
      <c r="D208" s="6"/>
      <c r="E208" s="6"/>
      <c r="F208" s="6"/>
    </row>
    <row r="209" spans="1:6">
      <c r="A209" s="6"/>
      <c r="B209" s="6"/>
      <c r="D209" s="6"/>
      <c r="E209" s="6"/>
      <c r="F209" s="6"/>
    </row>
    <row r="210" spans="1:6">
      <c r="A210" s="6"/>
      <c r="B210" s="6"/>
      <c r="D210" s="6"/>
      <c r="E210" s="6"/>
      <c r="F210" s="6"/>
    </row>
    <row r="211" spans="1:6">
      <c r="A211" s="6"/>
      <c r="B211" s="6"/>
      <c r="D211" s="6"/>
      <c r="E211" s="6"/>
      <c r="F211" s="6"/>
    </row>
    <row r="212" spans="1:6">
      <c r="A212" s="6"/>
      <c r="B212" s="6"/>
      <c r="D212" s="6"/>
      <c r="E212" s="6"/>
      <c r="F212" s="6"/>
    </row>
    <row r="213" spans="1:6">
      <c r="A213" s="6"/>
      <c r="B213" s="6"/>
      <c r="D213" s="6"/>
      <c r="E213" s="6"/>
      <c r="F213" s="6"/>
    </row>
    <row r="214" spans="1:6">
      <c r="A214" s="6"/>
      <c r="B214" s="6"/>
      <c r="D214" s="6"/>
      <c r="E214" s="6"/>
      <c r="F214" s="6"/>
    </row>
    <row r="215" spans="1:6">
      <c r="A215" s="6"/>
      <c r="B215" s="6"/>
      <c r="D215" s="6"/>
      <c r="E215" s="6"/>
      <c r="F215" s="6"/>
    </row>
    <row r="216" spans="1:6">
      <c r="A216" s="6"/>
      <c r="B216" s="6"/>
      <c r="D216" s="6"/>
      <c r="E216" s="6"/>
      <c r="F216" s="6"/>
    </row>
    <row r="217" spans="1:6">
      <c r="A217" s="6"/>
      <c r="B217" s="6"/>
      <c r="D217" s="6"/>
      <c r="E217" s="6"/>
      <c r="F217" s="6"/>
    </row>
    <row r="218" spans="1:6">
      <c r="A218" s="6"/>
      <c r="B218" s="6"/>
      <c r="D218" s="6"/>
      <c r="E218" s="6"/>
      <c r="F218" s="6"/>
    </row>
    <row r="219" spans="1:6">
      <c r="A219" s="6"/>
      <c r="B219" s="6"/>
      <c r="D219" s="6"/>
      <c r="E219" s="6"/>
      <c r="F219" s="6"/>
    </row>
    <row r="220" spans="1:6">
      <c r="A220" s="6"/>
      <c r="B220" s="6"/>
      <c r="D220" s="6"/>
      <c r="E220" s="6"/>
      <c r="F220" s="6"/>
    </row>
    <row r="221" spans="1:6">
      <c r="A221" s="6"/>
      <c r="B221" s="6"/>
      <c r="D221" s="6"/>
      <c r="E221" s="6"/>
      <c r="F221" s="6"/>
    </row>
    <row r="222" spans="1:6">
      <c r="A222" s="6"/>
      <c r="B222" s="6"/>
      <c r="D222" s="6"/>
      <c r="E222" s="6"/>
      <c r="F222" s="6"/>
    </row>
    <row r="223" spans="1:6">
      <c r="A223" s="6"/>
      <c r="B223" s="6"/>
      <c r="D223" s="6"/>
      <c r="E223" s="6"/>
      <c r="F223" s="6"/>
    </row>
    <row r="224" spans="1:6">
      <c r="A224" s="6"/>
      <c r="B224" s="6"/>
      <c r="D224" s="6"/>
      <c r="E224" s="6"/>
      <c r="F224" s="6"/>
    </row>
    <row r="225" spans="1:6">
      <c r="A225" s="6"/>
      <c r="B225" s="6"/>
      <c r="D225" s="6"/>
      <c r="E225" s="6"/>
      <c r="F225" s="6"/>
    </row>
    <row r="226" spans="1:6">
      <c r="A226" s="6"/>
      <c r="B226" s="6"/>
      <c r="D226" s="6"/>
      <c r="E226" s="6"/>
      <c r="F226" s="6"/>
    </row>
    <row r="227" spans="1:6">
      <c r="A227" s="6"/>
      <c r="B227" s="6"/>
      <c r="D227" s="6"/>
      <c r="E227" s="6"/>
      <c r="F227" s="6"/>
    </row>
    <row r="228" spans="1:6">
      <c r="A228" s="6"/>
      <c r="B228" s="6"/>
      <c r="D228" s="6"/>
      <c r="E228" s="6"/>
      <c r="F228" s="6"/>
    </row>
    <row r="229" spans="1:6">
      <c r="A229" s="6"/>
      <c r="B229" s="6"/>
      <c r="D229" s="6"/>
      <c r="E229" s="6"/>
      <c r="F229" s="6"/>
    </row>
    <row r="230" spans="1:6">
      <c r="A230" s="6"/>
      <c r="B230" s="6"/>
      <c r="D230" s="6"/>
      <c r="E230" s="6"/>
      <c r="F230" s="6"/>
    </row>
    <row r="231" spans="1:6">
      <c r="A231" s="6"/>
      <c r="B231" s="6"/>
      <c r="D231" s="6"/>
      <c r="E231" s="6"/>
      <c r="F231" s="6"/>
    </row>
    <row r="232" spans="1:6">
      <c r="A232" s="6"/>
      <c r="B232" s="6"/>
      <c r="D232" s="6"/>
      <c r="E232" s="6"/>
      <c r="F232" s="6"/>
    </row>
    <row r="233" spans="1:6">
      <c r="A233" s="6"/>
      <c r="B233" s="6"/>
      <c r="D233" s="6"/>
      <c r="E233" s="6"/>
      <c r="F233" s="6"/>
    </row>
    <row r="234" spans="1:6">
      <c r="A234" s="6"/>
      <c r="B234" s="6"/>
      <c r="D234" s="6"/>
      <c r="E234" s="6"/>
      <c r="F234" s="6"/>
    </row>
    <row r="235" spans="1:6">
      <c r="A235" s="6"/>
      <c r="B235" s="6"/>
      <c r="D235" s="6"/>
      <c r="E235" s="6"/>
      <c r="F235" s="6"/>
    </row>
    <row r="236" spans="1:6">
      <c r="A236" s="6"/>
      <c r="B236" s="6"/>
      <c r="D236" s="6"/>
      <c r="E236" s="6"/>
      <c r="F236" s="6"/>
    </row>
    <row r="237" spans="1:6">
      <c r="A237" s="6"/>
      <c r="B237" s="6"/>
      <c r="D237" s="6"/>
      <c r="E237" s="6"/>
      <c r="F237" s="6"/>
    </row>
    <row r="238" spans="1:6">
      <c r="A238" s="6"/>
      <c r="B238" s="6"/>
      <c r="D238" s="6"/>
      <c r="E238" s="6"/>
      <c r="F238" s="6"/>
    </row>
    <row r="239" spans="1:6">
      <c r="A239" s="6"/>
      <c r="B239" s="6"/>
      <c r="D239" s="6"/>
      <c r="E239" s="6"/>
      <c r="F239" s="6"/>
    </row>
    <row r="240" spans="1:6">
      <c r="A240" s="6"/>
      <c r="B240" s="6"/>
      <c r="D240" s="6"/>
      <c r="E240" s="6"/>
      <c r="F240" s="6"/>
    </row>
    <row r="241" spans="1:6">
      <c r="A241" s="6"/>
      <c r="B241" s="6"/>
      <c r="D241" s="6"/>
      <c r="E241" s="6"/>
      <c r="F241" s="6"/>
    </row>
    <row r="242" spans="1:6">
      <c r="A242" s="6"/>
      <c r="B242" s="6"/>
      <c r="D242" s="6"/>
      <c r="E242" s="6"/>
      <c r="F242" s="6"/>
    </row>
    <row r="243" spans="1:6">
      <c r="A243" s="6"/>
      <c r="B243" s="6"/>
      <c r="D243" s="6"/>
      <c r="E243" s="6"/>
      <c r="F243" s="6"/>
    </row>
    <row r="244" spans="1:6">
      <c r="A244" s="6"/>
      <c r="B244" s="6"/>
      <c r="D244" s="6"/>
      <c r="E244" s="6"/>
      <c r="F244" s="6"/>
    </row>
    <row r="245" spans="1:6">
      <c r="A245" s="6"/>
      <c r="B245" s="6"/>
      <c r="D245" s="6"/>
      <c r="E245" s="6"/>
      <c r="F245" s="6"/>
    </row>
    <row r="246" spans="1:6">
      <c r="A246" s="6"/>
      <c r="B246" s="6"/>
      <c r="D246" s="6"/>
      <c r="E246" s="6"/>
      <c r="F246" s="6"/>
    </row>
    <row r="247" spans="1:6">
      <c r="A247" s="6"/>
      <c r="B247" s="6"/>
      <c r="D247" s="6"/>
      <c r="E247" s="6"/>
      <c r="F247" s="6"/>
    </row>
    <row r="248" spans="1:6">
      <c r="A248" s="6"/>
      <c r="B248" s="6"/>
      <c r="D248" s="6"/>
      <c r="E248" s="6"/>
      <c r="F248" s="6"/>
    </row>
    <row r="249" spans="1:6">
      <c r="A249" s="6"/>
      <c r="B249" s="6"/>
      <c r="D249" s="6"/>
      <c r="E249" s="6"/>
      <c r="F249" s="6"/>
    </row>
    <row r="250" spans="1:6">
      <c r="A250" s="6"/>
      <c r="B250" s="6"/>
      <c r="D250" s="6"/>
      <c r="E250" s="6"/>
      <c r="F250" s="6"/>
    </row>
    <row r="251" spans="1:6">
      <c r="A251" s="6"/>
      <c r="B251" s="6"/>
      <c r="D251" s="6"/>
      <c r="E251" s="6"/>
      <c r="F251" s="6"/>
    </row>
    <row r="252" spans="1:6">
      <c r="A252" s="6"/>
      <c r="B252" s="6"/>
      <c r="D252" s="6"/>
      <c r="E252" s="6"/>
      <c r="F252" s="6"/>
    </row>
    <row r="253" spans="1:6">
      <c r="A253" s="6"/>
      <c r="B253" s="6"/>
      <c r="D253" s="6"/>
      <c r="E253" s="6"/>
      <c r="F253" s="6"/>
    </row>
    <row r="254" spans="1:6">
      <c r="A254" s="6"/>
      <c r="B254" s="6"/>
      <c r="D254" s="6"/>
      <c r="E254" s="6"/>
      <c r="F254" s="6"/>
    </row>
    <row r="255" spans="1:6">
      <c r="A255" s="6"/>
      <c r="B255" s="6"/>
      <c r="D255" s="6"/>
      <c r="E255" s="6"/>
      <c r="F255" s="6"/>
    </row>
    <row r="256" spans="1:6">
      <c r="A256" s="6"/>
      <c r="B256" s="6"/>
      <c r="D256" s="6"/>
      <c r="E256" s="6"/>
      <c r="F256" s="6"/>
    </row>
    <row r="257" spans="1:6">
      <c r="A257" s="6"/>
      <c r="B257" s="6"/>
      <c r="D257" s="6"/>
      <c r="E257" s="6"/>
      <c r="F257" s="6"/>
    </row>
    <row r="258" spans="1:6">
      <c r="A258" s="6"/>
      <c r="B258" s="6"/>
      <c r="D258" s="6"/>
      <c r="E258" s="6"/>
      <c r="F258" s="6"/>
    </row>
    <row r="259" spans="1:6">
      <c r="A259" s="6"/>
      <c r="B259" s="6"/>
      <c r="D259" s="6"/>
      <c r="E259" s="6"/>
      <c r="F259" s="6"/>
    </row>
    <row r="260" spans="1:6">
      <c r="A260" s="6"/>
      <c r="B260" s="6"/>
      <c r="D260" s="6"/>
      <c r="E260" s="6"/>
      <c r="F260" s="6"/>
    </row>
    <row r="261" spans="1:6">
      <c r="A261" s="6"/>
      <c r="B261" s="6"/>
      <c r="D261" s="6"/>
      <c r="E261" s="6"/>
      <c r="F261" s="6"/>
    </row>
    <row r="262" spans="1:6">
      <c r="A262" s="6"/>
      <c r="B262" s="6"/>
      <c r="D262" s="6"/>
      <c r="E262" s="6"/>
      <c r="F262" s="6"/>
    </row>
    <row r="263" spans="1:6">
      <c r="A263" s="6"/>
      <c r="B263" s="6"/>
      <c r="D263" s="6"/>
      <c r="E263" s="6"/>
      <c r="F263" s="6"/>
    </row>
    <row r="264" spans="1:6">
      <c r="A264" s="6"/>
      <c r="B264" s="6"/>
      <c r="D264" s="6"/>
      <c r="E264" s="6"/>
      <c r="F264" s="6"/>
    </row>
    <row r="265" spans="1:6">
      <c r="A265" s="6"/>
      <c r="B265" s="6"/>
      <c r="D265" s="6"/>
      <c r="E265" s="6"/>
      <c r="F265" s="6"/>
    </row>
    <row r="266" spans="1:6">
      <c r="A266" s="6"/>
      <c r="B266" s="6"/>
      <c r="D266" s="6"/>
      <c r="E266" s="6"/>
      <c r="F266" s="6"/>
    </row>
    <row r="267" spans="1:6">
      <c r="A267" s="6"/>
      <c r="B267" s="6"/>
      <c r="D267" s="6"/>
      <c r="E267" s="6"/>
      <c r="F267" s="6"/>
    </row>
    <row r="268" spans="1:6">
      <c r="A268" s="6"/>
      <c r="B268" s="6"/>
      <c r="D268" s="6"/>
      <c r="E268" s="6"/>
      <c r="F268" s="6"/>
    </row>
    <row r="269" spans="1:6">
      <c r="A269" s="6"/>
      <c r="B269" s="6"/>
      <c r="D269" s="6"/>
      <c r="E269" s="6"/>
      <c r="F269" s="6"/>
    </row>
    <row r="270" spans="1:6">
      <c r="A270" s="6"/>
      <c r="B270" s="6"/>
      <c r="D270" s="6"/>
      <c r="E270" s="6"/>
      <c r="F270" s="6"/>
    </row>
    <row r="271" spans="1:6">
      <c r="A271" s="6"/>
      <c r="B271" s="6"/>
      <c r="D271" s="6"/>
      <c r="E271" s="6"/>
      <c r="F271" s="6"/>
    </row>
    <row r="272" spans="1:6">
      <c r="A272" s="6"/>
      <c r="B272" s="6"/>
      <c r="D272" s="6"/>
      <c r="E272" s="6"/>
      <c r="F272" s="6"/>
    </row>
    <row r="273" spans="1:6">
      <c r="A273" s="6"/>
      <c r="B273" s="6"/>
      <c r="D273" s="6"/>
      <c r="E273" s="6"/>
      <c r="F273" s="6"/>
    </row>
    <row r="274" spans="1:6">
      <c r="A274" s="6"/>
      <c r="B274" s="6"/>
      <c r="D274" s="6"/>
      <c r="E274" s="6"/>
      <c r="F274" s="6"/>
    </row>
    <row r="275" spans="1:6">
      <c r="A275" s="6"/>
      <c r="B275" s="6"/>
      <c r="D275" s="6"/>
      <c r="E275" s="6"/>
      <c r="F275" s="6"/>
    </row>
    <row r="276" spans="1:6">
      <c r="A276" s="6"/>
      <c r="B276" s="6"/>
      <c r="D276" s="6"/>
      <c r="E276" s="6"/>
      <c r="F276" s="6"/>
    </row>
    <row r="277" spans="1:6">
      <c r="A277" s="6"/>
      <c r="B277" s="6"/>
      <c r="D277" s="6"/>
      <c r="E277" s="6"/>
      <c r="F277" s="6"/>
    </row>
    <row r="278" spans="1:6">
      <c r="A278" s="6"/>
      <c r="B278" s="6"/>
      <c r="D278" s="6"/>
      <c r="E278" s="6"/>
      <c r="F278" s="6"/>
    </row>
    <row r="279" spans="1:6">
      <c r="A279" s="6"/>
      <c r="B279" s="6"/>
      <c r="D279" s="6"/>
      <c r="E279" s="6"/>
      <c r="F279" s="6"/>
    </row>
    <row r="280" spans="1:6">
      <c r="A280" s="6"/>
      <c r="B280" s="6"/>
      <c r="D280" s="6"/>
      <c r="E280" s="6"/>
      <c r="F280" s="6"/>
    </row>
    <row r="281" spans="1:6">
      <c r="A281" s="6"/>
      <c r="B281" s="6"/>
      <c r="D281" s="6"/>
      <c r="E281" s="6"/>
      <c r="F281" s="6"/>
    </row>
    <row r="282" spans="1:6">
      <c r="A282" s="6"/>
      <c r="B282" s="6"/>
      <c r="D282" s="6"/>
      <c r="E282" s="6"/>
      <c r="F282" s="6"/>
    </row>
    <row r="283" spans="1:6">
      <c r="A283" s="6"/>
      <c r="B283" s="6"/>
      <c r="D283" s="6"/>
      <c r="E283" s="6"/>
      <c r="F283" s="6"/>
    </row>
    <row r="284" spans="1:6">
      <c r="A284" s="6"/>
      <c r="B284" s="6"/>
      <c r="D284" s="6"/>
      <c r="E284" s="6"/>
      <c r="F284" s="6"/>
    </row>
    <row r="285" spans="1:6">
      <c r="A285" s="6"/>
      <c r="B285" s="6"/>
      <c r="D285" s="6"/>
      <c r="E285" s="6"/>
      <c r="F285" s="6"/>
    </row>
    <row r="286" spans="1:6">
      <c r="A286" s="6"/>
      <c r="B286" s="6"/>
      <c r="D286" s="6"/>
      <c r="E286" s="6"/>
      <c r="F286" s="6"/>
    </row>
    <row r="287" spans="1:6">
      <c r="A287" s="6"/>
      <c r="B287" s="6"/>
      <c r="D287" s="6"/>
      <c r="E287" s="6"/>
      <c r="F287" s="6"/>
    </row>
    <row r="288" spans="1:6">
      <c r="A288" s="6"/>
      <c r="B288" s="6"/>
      <c r="D288" s="6"/>
      <c r="E288" s="6"/>
      <c r="F288" s="6"/>
    </row>
    <row r="289" spans="1:6">
      <c r="A289" s="6"/>
      <c r="B289" s="6"/>
      <c r="D289" s="6"/>
      <c r="E289" s="6"/>
      <c r="F289" s="6"/>
    </row>
    <row r="290" spans="1:6">
      <c r="A290" s="6"/>
      <c r="B290" s="6"/>
      <c r="D290" s="6"/>
      <c r="E290" s="6"/>
      <c r="F290" s="6"/>
    </row>
    <row r="291" spans="1:6">
      <c r="A291" s="6"/>
      <c r="B291" s="6"/>
      <c r="D291" s="6"/>
      <c r="E291" s="6"/>
      <c r="F291" s="6"/>
    </row>
    <row r="292" spans="1:6">
      <c r="A292" s="6"/>
      <c r="B292" s="6"/>
      <c r="D292" s="6"/>
      <c r="E292" s="6"/>
      <c r="F292" s="6"/>
    </row>
    <row r="293" spans="1:6">
      <c r="A293" s="6"/>
      <c r="B293" s="6"/>
      <c r="D293" s="6"/>
      <c r="E293" s="6"/>
      <c r="F293" s="6"/>
    </row>
    <row r="294" spans="1:6">
      <c r="A294" s="6"/>
      <c r="B294" s="6"/>
      <c r="D294" s="6"/>
      <c r="E294" s="6"/>
      <c r="F294" s="6"/>
    </row>
    <row r="295" spans="1:6">
      <c r="A295" s="6"/>
      <c r="B295" s="6"/>
      <c r="D295" s="6"/>
      <c r="E295" s="6"/>
      <c r="F295" s="6"/>
    </row>
    <row r="296" spans="1:6">
      <c r="A296" s="6"/>
      <c r="B296" s="6"/>
      <c r="D296" s="6"/>
      <c r="E296" s="6"/>
      <c r="F296" s="6"/>
    </row>
    <row r="297" spans="1:6">
      <c r="A297" s="6"/>
      <c r="B297" s="6"/>
      <c r="D297" s="6"/>
      <c r="E297" s="6"/>
      <c r="F297" s="6"/>
    </row>
    <row r="298" spans="1:6">
      <c r="A298" s="6"/>
      <c r="B298" s="6"/>
      <c r="D298" s="6"/>
      <c r="E298" s="6"/>
      <c r="F298" s="6"/>
    </row>
    <row r="299" spans="1:6">
      <c r="A299" s="6"/>
      <c r="B299" s="6"/>
      <c r="D299" s="6"/>
      <c r="E299" s="6"/>
      <c r="F299" s="6"/>
    </row>
    <row r="300" spans="1:6">
      <c r="A300" s="6"/>
      <c r="B300" s="6"/>
      <c r="D300" s="6"/>
      <c r="E300" s="6"/>
      <c r="F300" s="6"/>
    </row>
    <row r="301" spans="1:6">
      <c r="A301" s="6"/>
      <c r="B301" s="6"/>
      <c r="D301" s="6"/>
      <c r="E301" s="6"/>
      <c r="F301" s="6"/>
    </row>
    <row r="302" spans="1:6">
      <c r="A302" s="6"/>
      <c r="B302" s="6"/>
      <c r="D302" s="6"/>
      <c r="E302" s="6"/>
      <c r="F302" s="6"/>
    </row>
    <row r="303" spans="1:6">
      <c r="A303" s="6"/>
      <c r="B303" s="6"/>
      <c r="D303" s="6"/>
      <c r="E303" s="6"/>
      <c r="F303" s="6"/>
    </row>
    <row r="304" spans="1:6">
      <c r="A304" s="6"/>
      <c r="B304" s="6"/>
      <c r="D304" s="6"/>
      <c r="E304" s="6"/>
      <c r="F304" s="6"/>
    </row>
    <row r="305" spans="1:6">
      <c r="A305" s="6"/>
      <c r="B305" s="6"/>
      <c r="D305" s="6"/>
      <c r="E305" s="6"/>
      <c r="F305" s="6"/>
    </row>
    <row r="306" spans="1:6">
      <c r="A306" s="6"/>
      <c r="B306" s="6"/>
      <c r="D306" s="6"/>
      <c r="E306" s="6"/>
      <c r="F306" s="6"/>
    </row>
    <row r="307" spans="1:6">
      <c r="A307" s="6"/>
      <c r="B307" s="6"/>
      <c r="D307" s="6"/>
      <c r="E307" s="6"/>
      <c r="F307" s="6"/>
    </row>
    <row r="308" spans="1:6">
      <c r="A308" s="6"/>
      <c r="B308" s="6"/>
      <c r="D308" s="6"/>
      <c r="E308" s="6"/>
      <c r="F308" s="6"/>
    </row>
    <row r="309" spans="1:6">
      <c r="A309" s="6"/>
      <c r="B309" s="6"/>
      <c r="D309" s="6"/>
      <c r="E309" s="6"/>
      <c r="F309" s="6"/>
    </row>
    <row r="310" spans="1:6">
      <c r="A310" s="6"/>
      <c r="B310" s="6"/>
      <c r="D310" s="6"/>
      <c r="E310" s="6"/>
      <c r="F310" s="6"/>
    </row>
    <row r="311" spans="1:6">
      <c r="A311" s="6"/>
      <c r="B311" s="6"/>
      <c r="D311" s="6"/>
      <c r="E311" s="6"/>
      <c r="F311" s="6"/>
    </row>
    <row r="312" spans="1:6">
      <c r="A312" s="6"/>
      <c r="B312" s="6"/>
      <c r="D312" s="6"/>
      <c r="E312" s="6"/>
      <c r="F312" s="6"/>
    </row>
    <row r="313" spans="1:6">
      <c r="A313" s="6"/>
      <c r="B313" s="6"/>
      <c r="D313" s="6"/>
      <c r="E313" s="6"/>
      <c r="F313" s="6"/>
    </row>
    <row r="314" spans="1:6">
      <c r="A314" s="6"/>
      <c r="B314" s="6"/>
      <c r="D314" s="6"/>
      <c r="E314" s="6"/>
      <c r="F314" s="6"/>
    </row>
    <row r="315" spans="1:6">
      <c r="A315" s="6"/>
      <c r="B315" s="6"/>
      <c r="D315" s="6"/>
      <c r="E315" s="6"/>
      <c r="F315" s="6"/>
    </row>
    <row r="316" spans="1:6">
      <c r="A316" s="6"/>
      <c r="B316" s="6"/>
      <c r="D316" s="6"/>
      <c r="E316" s="6"/>
      <c r="F316" s="6"/>
    </row>
    <row r="317" spans="1:6">
      <c r="A317" s="6"/>
      <c r="B317" s="6"/>
      <c r="D317" s="6"/>
      <c r="E317" s="6"/>
      <c r="F317" s="6"/>
    </row>
    <row r="318" spans="1:6">
      <c r="A318" s="6"/>
      <c r="B318" s="6"/>
      <c r="D318" s="6"/>
      <c r="E318" s="6"/>
      <c r="F318" s="6"/>
    </row>
    <row r="319" spans="1:6">
      <c r="A319" s="6"/>
      <c r="B319" s="6"/>
      <c r="D319" s="6"/>
      <c r="E319" s="6"/>
      <c r="F319" s="6"/>
    </row>
    <row r="320" spans="1:6">
      <c r="A320" s="6"/>
      <c r="B320" s="6"/>
      <c r="D320" s="6"/>
      <c r="E320" s="6"/>
      <c r="F320" s="6"/>
    </row>
    <row r="321" spans="1:6">
      <c r="A321" s="6"/>
      <c r="B321" s="6"/>
      <c r="D321" s="6"/>
      <c r="E321" s="6"/>
      <c r="F321" s="6"/>
    </row>
    <row r="322" spans="1:6">
      <c r="A322" s="6"/>
      <c r="B322" s="6"/>
      <c r="D322" s="6"/>
      <c r="E322" s="6"/>
      <c r="F322" s="6"/>
    </row>
    <row r="323" spans="1:6">
      <c r="A323" s="6"/>
      <c r="B323" s="6"/>
      <c r="D323" s="6"/>
      <c r="E323" s="6"/>
      <c r="F323" s="6"/>
    </row>
    <row r="324" spans="1:6">
      <c r="A324" s="6"/>
      <c r="B324" s="6"/>
      <c r="D324" s="6"/>
      <c r="E324" s="6"/>
      <c r="F324" s="6"/>
    </row>
    <row r="325" spans="1:6">
      <c r="A325" s="6"/>
      <c r="B325" s="6"/>
      <c r="D325" s="6"/>
      <c r="E325" s="6"/>
      <c r="F325" s="6"/>
    </row>
    <row r="326" spans="1:6">
      <c r="A326" s="6"/>
      <c r="B326" s="6"/>
      <c r="D326" s="6"/>
      <c r="E326" s="6"/>
      <c r="F326" s="6"/>
    </row>
    <row r="327" spans="1:6">
      <c r="A327" s="6"/>
      <c r="B327" s="6"/>
      <c r="D327" s="6"/>
      <c r="E327" s="6"/>
      <c r="F327" s="6"/>
    </row>
    <row r="328" spans="1:6">
      <c r="A328" s="6"/>
      <c r="B328" s="6"/>
      <c r="D328" s="6"/>
      <c r="E328" s="6"/>
      <c r="F328" s="6"/>
    </row>
    <row r="329" spans="1:6">
      <c r="A329" s="6"/>
      <c r="B329" s="6"/>
      <c r="D329" s="6"/>
      <c r="E329" s="6"/>
      <c r="F329" s="6"/>
    </row>
    <row r="330" spans="1:6">
      <c r="A330" s="6"/>
      <c r="B330" s="6"/>
      <c r="D330" s="6"/>
      <c r="E330" s="6"/>
      <c r="F330" s="6"/>
    </row>
    <row r="331" spans="1:6">
      <c r="A331" s="6"/>
      <c r="B331" s="6"/>
      <c r="D331" s="6"/>
      <c r="E331" s="6"/>
      <c r="F331" s="6"/>
    </row>
    <row r="332" spans="1:6">
      <c r="A332" s="6"/>
      <c r="B332" s="6"/>
      <c r="D332" s="6"/>
      <c r="E332" s="6"/>
      <c r="F332" s="6"/>
    </row>
    <row r="333" spans="1:6">
      <c r="A333" s="6"/>
      <c r="B333" s="6"/>
      <c r="D333" s="6"/>
      <c r="E333" s="6"/>
      <c r="F333" s="6"/>
    </row>
    <row r="334" spans="1:6">
      <c r="A334" s="6"/>
      <c r="B334" s="6"/>
      <c r="D334" s="6"/>
      <c r="E334" s="6"/>
      <c r="F334" s="6"/>
    </row>
    <row r="335" spans="1:6">
      <c r="A335" s="6"/>
      <c r="B335" s="6"/>
      <c r="D335" s="6"/>
      <c r="E335" s="6"/>
      <c r="F335" s="6"/>
    </row>
    <row r="336" spans="1:6">
      <c r="A336" s="6"/>
      <c r="B336" s="6"/>
      <c r="D336" s="6"/>
      <c r="E336" s="6"/>
      <c r="F336" s="6"/>
    </row>
    <row r="337" spans="1:6">
      <c r="A337" s="6"/>
      <c r="B337" s="6"/>
      <c r="D337" s="6"/>
      <c r="E337" s="6"/>
      <c r="F337" s="6"/>
    </row>
    <row r="338" spans="1:6">
      <c r="A338" s="6"/>
      <c r="B338" s="6"/>
      <c r="D338" s="6"/>
      <c r="E338" s="6"/>
      <c r="F338" s="6"/>
    </row>
    <row r="339" spans="1:6">
      <c r="A339" s="6"/>
      <c r="B339" s="6"/>
      <c r="D339" s="6"/>
      <c r="E339" s="6"/>
      <c r="F339" s="6"/>
    </row>
    <row r="340" spans="1:6">
      <c r="A340" s="6"/>
      <c r="B340" s="6"/>
      <c r="D340" s="6"/>
      <c r="E340" s="6"/>
      <c r="F340" s="6"/>
    </row>
    <row r="341" spans="1:6">
      <c r="A341" s="6"/>
      <c r="B341" s="6"/>
      <c r="D341" s="6"/>
      <c r="E341" s="6"/>
      <c r="F341" s="6"/>
    </row>
    <row r="342" spans="1:6">
      <c r="A342" s="6"/>
      <c r="B342" s="6"/>
      <c r="D342" s="6"/>
      <c r="E342" s="6"/>
      <c r="F342" s="6"/>
    </row>
    <row r="343" spans="1:6">
      <c r="A343" s="6"/>
      <c r="B343" s="6"/>
      <c r="D343" s="6"/>
      <c r="E343" s="6"/>
      <c r="F343" s="6"/>
    </row>
    <row r="344" spans="1:6">
      <c r="A344" s="6"/>
      <c r="B344" s="6"/>
      <c r="D344" s="6"/>
      <c r="E344" s="6"/>
      <c r="F344" s="6"/>
    </row>
    <row r="345" spans="1:6">
      <c r="A345" s="6"/>
      <c r="B345" s="6"/>
      <c r="D345" s="6"/>
      <c r="E345" s="6"/>
      <c r="F345" s="6"/>
    </row>
    <row r="346" spans="1:6">
      <c r="A346" s="6"/>
      <c r="B346" s="6"/>
      <c r="D346" s="6"/>
      <c r="E346" s="6"/>
      <c r="F346" s="6"/>
    </row>
    <row r="347" spans="1:6">
      <c r="A347" s="6"/>
      <c r="B347" s="6"/>
      <c r="D347" s="6"/>
      <c r="E347" s="6"/>
      <c r="F347" s="6"/>
    </row>
    <row r="348" spans="1:6">
      <c r="A348" s="6"/>
      <c r="B348" s="6"/>
      <c r="D348" s="6"/>
      <c r="E348" s="6"/>
      <c r="F348" s="6"/>
    </row>
    <row r="349" spans="1:6">
      <c r="A349" s="6"/>
      <c r="B349" s="6"/>
      <c r="D349" s="6"/>
      <c r="E349" s="6"/>
      <c r="F349" s="6"/>
    </row>
    <row r="350" spans="1:6">
      <c r="A350" s="6"/>
      <c r="B350" s="6"/>
      <c r="D350" s="6"/>
      <c r="E350" s="6"/>
      <c r="F350" s="6"/>
    </row>
    <row r="351" spans="1:6">
      <c r="A351" s="6"/>
      <c r="B351" s="6"/>
      <c r="D351" s="6"/>
      <c r="E351" s="6"/>
      <c r="F351" s="6"/>
    </row>
    <row r="352" spans="1:6">
      <c r="A352" s="6"/>
      <c r="B352" s="6"/>
      <c r="D352" s="6"/>
      <c r="E352" s="6"/>
      <c r="F352" s="6"/>
    </row>
    <row r="353" spans="1:6">
      <c r="A353" s="6"/>
      <c r="B353" s="6"/>
      <c r="D353" s="6"/>
      <c r="E353" s="6"/>
      <c r="F353" s="6"/>
    </row>
    <row r="354" spans="1:6">
      <c r="A354" s="6"/>
      <c r="B354" s="6"/>
      <c r="D354" s="6"/>
      <c r="E354" s="6"/>
      <c r="F354" s="6"/>
    </row>
    <row r="355" spans="1:6">
      <c r="A355" s="6"/>
      <c r="B355" s="6"/>
      <c r="D355" s="6"/>
      <c r="E355" s="6"/>
      <c r="F355" s="6"/>
    </row>
    <row r="356" spans="1:6">
      <c r="A356" s="6"/>
      <c r="B356" s="6"/>
      <c r="D356" s="6"/>
      <c r="E356" s="6"/>
      <c r="F356" s="6"/>
    </row>
    <row r="357" spans="1:6">
      <c r="A357" s="6"/>
      <c r="B357" s="6"/>
      <c r="D357" s="6"/>
      <c r="E357" s="6"/>
      <c r="F357" s="6"/>
    </row>
    <row r="358" spans="1:6">
      <c r="A358" s="6"/>
      <c r="B358" s="6"/>
      <c r="D358" s="6"/>
      <c r="E358" s="6"/>
      <c r="F358" s="6"/>
    </row>
    <row r="359" spans="1:6">
      <c r="A359" s="6"/>
      <c r="B359" s="6"/>
      <c r="D359" s="6"/>
      <c r="E359" s="6"/>
      <c r="F359" s="6"/>
    </row>
    <row r="360" spans="1:6">
      <c r="A360" s="6"/>
      <c r="B360" s="6"/>
      <c r="D360" s="6"/>
      <c r="E360" s="6"/>
      <c r="F360" s="6"/>
    </row>
    <row r="361" spans="1:6">
      <c r="A361" s="6"/>
      <c r="B361" s="6"/>
      <c r="D361" s="6"/>
      <c r="E361" s="6"/>
      <c r="F361" s="6"/>
    </row>
    <row r="362" spans="1:6">
      <c r="A362" s="6"/>
      <c r="B362" s="6"/>
      <c r="D362" s="6"/>
      <c r="E362" s="6"/>
      <c r="F362" s="6"/>
    </row>
    <row r="363" spans="1:6">
      <c r="A363" s="6"/>
      <c r="B363" s="6"/>
      <c r="D363" s="6"/>
      <c r="E363" s="6"/>
      <c r="F363" s="6"/>
    </row>
    <row r="364" spans="1:6">
      <c r="A364" s="6"/>
      <c r="B364" s="6"/>
      <c r="D364" s="6"/>
      <c r="E364" s="6"/>
      <c r="F364" s="6"/>
    </row>
    <row r="365" spans="1:6">
      <c r="A365" s="6"/>
      <c r="B365" s="6"/>
      <c r="D365" s="6"/>
      <c r="E365" s="6"/>
      <c r="F365" s="6"/>
    </row>
    <row r="366" spans="1:6">
      <c r="A366" s="6"/>
      <c r="B366" s="6"/>
      <c r="D366" s="6"/>
      <c r="E366" s="6"/>
      <c r="F366" s="6"/>
    </row>
    <row r="367" spans="1:6">
      <c r="A367" s="6"/>
      <c r="B367" s="6"/>
      <c r="D367" s="6"/>
      <c r="E367" s="6"/>
      <c r="F367" s="6"/>
    </row>
    <row r="368" spans="1:6">
      <c r="A368" s="6"/>
      <c r="B368" s="6"/>
      <c r="D368" s="6"/>
      <c r="E368" s="6"/>
      <c r="F368" s="6"/>
    </row>
    <row r="369" spans="1:6">
      <c r="A369" s="6"/>
      <c r="B369" s="6"/>
      <c r="D369" s="6"/>
      <c r="E369" s="6"/>
      <c r="F369" s="6"/>
    </row>
    <row r="370" spans="1:6">
      <c r="A370" s="6"/>
      <c r="B370" s="6"/>
      <c r="D370" s="6"/>
      <c r="E370" s="6"/>
      <c r="F370" s="6"/>
    </row>
    <row r="371" spans="1:6">
      <c r="A371" s="6"/>
      <c r="B371" s="6"/>
      <c r="D371" s="6"/>
      <c r="E371" s="6"/>
      <c r="F371" s="6"/>
    </row>
    <row r="372" spans="1:6">
      <c r="A372" s="6"/>
      <c r="B372" s="6"/>
      <c r="D372" s="6"/>
      <c r="E372" s="6"/>
      <c r="F372" s="6"/>
    </row>
    <row r="373" spans="1:6">
      <c r="A373" s="6"/>
      <c r="B373" s="6"/>
      <c r="D373" s="6"/>
      <c r="E373" s="6"/>
      <c r="F373" s="6"/>
    </row>
    <row r="374" spans="1:6">
      <c r="A374" s="6"/>
      <c r="B374" s="6"/>
      <c r="D374" s="6"/>
      <c r="E374" s="6"/>
      <c r="F374" s="6"/>
    </row>
    <row r="375" spans="1:6">
      <c r="A375" s="6"/>
      <c r="B375" s="6"/>
      <c r="D375" s="6"/>
      <c r="E375" s="6"/>
      <c r="F375" s="6"/>
    </row>
    <row r="376" spans="1:6">
      <c r="A376" s="6"/>
      <c r="B376" s="6"/>
      <c r="D376" s="6"/>
      <c r="E376" s="6"/>
      <c r="F376" s="6"/>
    </row>
    <row r="377" spans="1:6">
      <c r="A377" s="6"/>
      <c r="B377" s="6"/>
      <c r="D377" s="6"/>
      <c r="E377" s="6"/>
      <c r="F377" s="6"/>
    </row>
    <row r="378" spans="1:6">
      <c r="A378" s="6"/>
      <c r="B378" s="6"/>
      <c r="D378" s="6"/>
      <c r="E378" s="6"/>
      <c r="F378" s="6"/>
    </row>
    <row r="379" spans="1:6">
      <c r="A379" s="6"/>
      <c r="B379" s="6"/>
      <c r="D379" s="6"/>
      <c r="E379" s="6"/>
      <c r="F379" s="6"/>
    </row>
    <row r="380" spans="1:6">
      <c r="A380" s="6"/>
      <c r="B380" s="6"/>
      <c r="D380" s="6"/>
      <c r="E380" s="6"/>
      <c r="F380" s="6"/>
    </row>
    <row r="381" spans="1:6">
      <c r="A381" s="6"/>
      <c r="B381" s="6"/>
      <c r="D381" s="6"/>
      <c r="E381" s="6"/>
      <c r="F381" s="6"/>
    </row>
    <row r="382" spans="1:6">
      <c r="A382" s="6"/>
      <c r="B382" s="6"/>
      <c r="D382" s="6"/>
      <c r="E382" s="6"/>
      <c r="F382" s="6"/>
    </row>
    <row r="383" spans="1:6">
      <c r="A383" s="6"/>
      <c r="B383" s="6"/>
      <c r="D383" s="6"/>
      <c r="E383" s="6"/>
      <c r="F383" s="6"/>
    </row>
    <row r="384" spans="1:6">
      <c r="A384" s="6"/>
      <c r="B384" s="6"/>
      <c r="D384" s="6"/>
      <c r="E384" s="6"/>
      <c r="F384" s="6"/>
    </row>
    <row r="385" spans="1:6">
      <c r="A385" s="6"/>
      <c r="B385" s="6"/>
      <c r="D385" s="6"/>
      <c r="E385" s="6"/>
      <c r="F385" s="6"/>
    </row>
    <row r="386" spans="1:6">
      <c r="A386" s="6"/>
      <c r="B386" s="6"/>
      <c r="D386" s="6"/>
      <c r="E386" s="6"/>
      <c r="F386" s="6"/>
    </row>
    <row r="387" spans="1:6">
      <c r="A387" s="6"/>
      <c r="B387" s="6"/>
      <c r="D387" s="6"/>
      <c r="E387" s="6"/>
      <c r="F387" s="6"/>
    </row>
    <row r="388" spans="1:6">
      <c r="A388" s="6"/>
      <c r="B388" s="6"/>
      <c r="D388" s="6"/>
      <c r="E388" s="6"/>
      <c r="F388" s="6"/>
    </row>
    <row r="389" spans="1:6">
      <c r="A389" s="6"/>
      <c r="B389" s="6"/>
      <c r="D389" s="6"/>
      <c r="E389" s="6"/>
      <c r="F389" s="6"/>
    </row>
    <row r="390" spans="1:6">
      <c r="A390" s="6"/>
      <c r="B390" s="6"/>
      <c r="D390" s="6"/>
      <c r="E390" s="6"/>
      <c r="F390" s="6"/>
    </row>
    <row r="391" spans="1:6">
      <c r="A391" s="6"/>
      <c r="B391" s="6"/>
      <c r="D391" s="6"/>
      <c r="E391" s="6"/>
      <c r="F391" s="6"/>
    </row>
    <row r="392" spans="1:6">
      <c r="A392" s="6"/>
      <c r="B392" s="6"/>
      <c r="D392" s="6"/>
      <c r="E392" s="6"/>
      <c r="F392" s="6"/>
    </row>
    <row r="393" spans="1:6">
      <c r="A393" s="6"/>
      <c r="B393" s="6"/>
      <c r="D393" s="6"/>
      <c r="E393" s="6"/>
      <c r="F393" s="6"/>
    </row>
    <row r="394" spans="1:6">
      <c r="A394" s="6"/>
      <c r="B394" s="6"/>
      <c r="D394" s="6"/>
      <c r="E394" s="6"/>
      <c r="F394" s="6"/>
    </row>
    <row r="395" spans="1:6">
      <c r="A395" s="6"/>
      <c r="B395" s="6"/>
      <c r="D395" s="6"/>
      <c r="E395" s="6"/>
      <c r="F395" s="6"/>
    </row>
    <row r="396" spans="1:6">
      <c r="A396" s="6"/>
      <c r="B396" s="6"/>
      <c r="D396" s="6"/>
      <c r="E396" s="6"/>
      <c r="F396" s="6"/>
    </row>
    <row r="397" spans="1:6">
      <c r="A397" s="6"/>
      <c r="B397" s="6"/>
      <c r="D397" s="6"/>
      <c r="E397" s="6"/>
      <c r="F397" s="6"/>
    </row>
    <row r="398" spans="1:6">
      <c r="A398" s="6"/>
      <c r="B398" s="6"/>
      <c r="D398" s="6"/>
      <c r="E398" s="6"/>
      <c r="F398" s="6"/>
    </row>
    <row r="399" spans="1:6">
      <c r="A399" s="6"/>
      <c r="B399" s="6"/>
      <c r="D399" s="6"/>
      <c r="E399" s="6"/>
      <c r="F399" s="6"/>
    </row>
    <row r="400" spans="1:6">
      <c r="A400" s="6"/>
      <c r="B400" s="6"/>
      <c r="D400" s="6"/>
      <c r="E400" s="6"/>
      <c r="F400" s="6"/>
    </row>
    <row r="401" spans="1:6">
      <c r="A401" s="6"/>
      <c r="B401" s="6"/>
      <c r="D401" s="6"/>
      <c r="E401" s="6"/>
      <c r="F401" s="6"/>
    </row>
    <row r="402" spans="1:6">
      <c r="A402" s="6"/>
      <c r="B402" s="6"/>
      <c r="D402" s="6"/>
      <c r="E402" s="6"/>
      <c r="F402" s="6"/>
    </row>
    <row r="403" spans="1:6">
      <c r="A403" s="6"/>
      <c r="B403" s="6"/>
      <c r="D403" s="6"/>
      <c r="E403" s="6"/>
      <c r="F403" s="6"/>
    </row>
    <row r="404" spans="1:6">
      <c r="A404" s="6"/>
      <c r="B404" s="6"/>
      <c r="D404" s="6"/>
      <c r="E404" s="6"/>
      <c r="F404" s="6"/>
    </row>
    <row r="405" spans="1:6">
      <c r="A405" s="6"/>
      <c r="B405" s="6"/>
      <c r="D405" s="6"/>
      <c r="E405" s="6"/>
      <c r="F405" s="6"/>
    </row>
    <row r="406" spans="1:6">
      <c r="A406" s="6"/>
      <c r="B406" s="6"/>
      <c r="D406" s="6"/>
      <c r="E406" s="6"/>
      <c r="F406" s="6"/>
    </row>
    <row r="407" spans="1:6">
      <c r="A407" s="6"/>
      <c r="B407" s="6"/>
      <c r="D407" s="6"/>
      <c r="E407" s="6"/>
      <c r="F407" s="6"/>
    </row>
    <row r="408" spans="1:6">
      <c r="A408" s="6"/>
      <c r="B408" s="6"/>
      <c r="D408" s="6"/>
      <c r="E408" s="6"/>
      <c r="F408" s="6"/>
    </row>
    <row r="409" spans="1:6">
      <c r="A409" s="6"/>
      <c r="B409" s="6"/>
      <c r="D409" s="6"/>
      <c r="E409" s="6"/>
      <c r="F409" s="6"/>
    </row>
    <row r="410" spans="1:6">
      <c r="A410" s="6"/>
      <c r="B410" s="6"/>
      <c r="D410" s="6"/>
      <c r="E410" s="6"/>
      <c r="F410" s="6"/>
    </row>
    <row r="411" spans="1:6">
      <c r="A411" s="6"/>
      <c r="B411" s="6"/>
      <c r="D411" s="6"/>
      <c r="E411" s="6"/>
      <c r="F411" s="6"/>
    </row>
    <row r="412" spans="1:6">
      <c r="A412" s="6"/>
      <c r="B412" s="6"/>
      <c r="D412" s="6"/>
      <c r="E412" s="6"/>
      <c r="F412" s="6"/>
    </row>
    <row r="413" spans="1:6">
      <c r="A413" s="6"/>
      <c r="B413" s="6"/>
      <c r="D413" s="6"/>
      <c r="E413" s="6"/>
      <c r="F413" s="6"/>
    </row>
    <row r="414" spans="1:6">
      <c r="A414" s="6"/>
      <c r="B414" s="6"/>
      <c r="D414" s="6"/>
      <c r="E414" s="6"/>
      <c r="F414" s="6"/>
    </row>
    <row r="415" spans="1:6">
      <c r="A415" s="6"/>
      <c r="B415" s="6"/>
      <c r="D415" s="6"/>
      <c r="E415" s="6"/>
      <c r="F415" s="6"/>
    </row>
    <row r="416" spans="1:6">
      <c r="A416" s="6"/>
      <c r="B416" s="6"/>
      <c r="D416" s="6"/>
      <c r="E416" s="6"/>
      <c r="F416" s="6"/>
    </row>
    <row r="417" spans="1:6">
      <c r="A417" s="6"/>
      <c r="B417" s="6"/>
      <c r="D417" s="6"/>
      <c r="E417" s="6"/>
      <c r="F417" s="6"/>
    </row>
    <row r="418" spans="1:6">
      <c r="A418" s="6"/>
      <c r="B418" s="6"/>
      <c r="D418" s="6"/>
      <c r="E418" s="6"/>
      <c r="F418" s="6"/>
    </row>
    <row r="419" spans="1:6">
      <c r="A419" s="6"/>
      <c r="B419" s="6"/>
      <c r="D419" s="6"/>
      <c r="E419" s="6"/>
      <c r="F419" s="6"/>
    </row>
    <row r="420" spans="1:6">
      <c r="A420" s="6"/>
      <c r="B420" s="6"/>
      <c r="D420" s="6"/>
      <c r="E420" s="6"/>
      <c r="F420" s="6"/>
    </row>
    <row r="421" spans="1:6">
      <c r="A421" s="6"/>
      <c r="B421" s="6"/>
      <c r="D421" s="6"/>
      <c r="E421" s="6"/>
      <c r="F421" s="6"/>
    </row>
    <row r="422" spans="1:6">
      <c r="A422" s="6"/>
      <c r="B422" s="6"/>
      <c r="D422" s="6"/>
      <c r="E422" s="6"/>
      <c r="F422" s="6"/>
    </row>
    <row r="423" spans="1:6">
      <c r="A423" s="6"/>
      <c r="B423" s="6"/>
      <c r="D423" s="6"/>
      <c r="E423" s="6"/>
      <c r="F423" s="6"/>
    </row>
    <row r="424" spans="1:6">
      <c r="A424" s="6"/>
      <c r="B424" s="6"/>
      <c r="D424" s="6"/>
      <c r="E424" s="6"/>
      <c r="F424" s="6"/>
    </row>
    <row r="425" spans="1:6">
      <c r="A425" s="6"/>
      <c r="B425" s="6"/>
      <c r="D425" s="6"/>
      <c r="E425" s="6"/>
      <c r="F425" s="6"/>
    </row>
    <row r="426" spans="1:6">
      <c r="A426" s="6"/>
      <c r="B426" s="6"/>
      <c r="D426" s="6"/>
      <c r="E426" s="6"/>
      <c r="F426" s="6"/>
    </row>
    <row r="427" spans="1:6">
      <c r="A427" s="6"/>
      <c r="B427" s="6"/>
      <c r="D427" s="6"/>
      <c r="E427" s="6"/>
      <c r="F427" s="6"/>
    </row>
    <row r="428" spans="1:6">
      <c r="A428" s="6"/>
      <c r="B428" s="6"/>
      <c r="D428" s="6"/>
      <c r="E428" s="6"/>
      <c r="F428" s="6"/>
    </row>
    <row r="429" spans="1:6">
      <c r="A429" s="6"/>
      <c r="B429" s="6"/>
      <c r="D429" s="6"/>
      <c r="E429" s="6"/>
      <c r="F429" s="6"/>
    </row>
    <row r="430" spans="1:6">
      <c r="A430" s="6"/>
      <c r="B430" s="6"/>
      <c r="D430" s="6"/>
      <c r="E430" s="6"/>
      <c r="F430" s="6"/>
    </row>
    <row r="431" spans="1:6">
      <c r="A431" s="6"/>
      <c r="B431" s="6"/>
      <c r="D431" s="6"/>
      <c r="E431" s="6"/>
      <c r="F431" s="6"/>
    </row>
    <row r="432" spans="1:6">
      <c r="A432" s="6"/>
      <c r="B432" s="6"/>
      <c r="D432" s="6"/>
      <c r="E432" s="6"/>
      <c r="F432" s="6"/>
    </row>
    <row r="433" spans="1:6">
      <c r="A433" s="6"/>
      <c r="B433" s="6"/>
      <c r="D433" s="6"/>
      <c r="E433" s="6"/>
      <c r="F433" s="6"/>
    </row>
    <row r="434" spans="1:6">
      <c r="A434" s="6"/>
      <c r="B434" s="6"/>
      <c r="D434" s="6"/>
      <c r="E434" s="6"/>
      <c r="F434" s="6"/>
    </row>
    <row r="435" spans="1:6">
      <c r="A435" s="6"/>
      <c r="B435" s="6"/>
      <c r="D435" s="6"/>
      <c r="E435" s="6"/>
      <c r="F435" s="6"/>
    </row>
    <row r="436" spans="1:6">
      <c r="A436" s="6"/>
      <c r="B436" s="6"/>
      <c r="D436" s="6"/>
      <c r="E436" s="6"/>
      <c r="F436" s="6"/>
    </row>
    <row r="437" spans="1:6">
      <c r="A437" s="6"/>
      <c r="B437" s="6"/>
      <c r="D437" s="6"/>
      <c r="E437" s="6"/>
      <c r="F437" s="6"/>
    </row>
    <row r="438" spans="1:6">
      <c r="A438" s="6"/>
      <c r="B438" s="6"/>
      <c r="D438" s="6"/>
      <c r="E438" s="6"/>
      <c r="F438" s="6"/>
    </row>
    <row r="439" spans="1:6">
      <c r="A439" s="6"/>
      <c r="B439" s="6"/>
      <c r="D439" s="6"/>
      <c r="E439" s="6"/>
      <c r="F439" s="6"/>
    </row>
    <row r="440" spans="1:6">
      <c r="A440" s="6"/>
      <c r="B440" s="6"/>
      <c r="D440" s="6"/>
      <c r="E440" s="6"/>
      <c r="F440" s="6"/>
    </row>
    <row r="441" spans="1:6">
      <c r="A441" s="6"/>
      <c r="B441" s="6"/>
      <c r="D441" s="6"/>
      <c r="E441" s="6"/>
      <c r="F441" s="6"/>
    </row>
    <row r="442" spans="1:6">
      <c r="A442" s="6"/>
      <c r="B442" s="6"/>
      <c r="D442" s="6"/>
      <c r="E442" s="6"/>
      <c r="F442" s="6"/>
    </row>
    <row r="443" spans="1:6">
      <c r="A443" s="6"/>
      <c r="B443" s="6"/>
      <c r="D443" s="6"/>
      <c r="E443" s="6"/>
      <c r="F443" s="6"/>
    </row>
    <row r="444" spans="1:6">
      <c r="A444" s="6"/>
      <c r="B444" s="6"/>
      <c r="D444" s="6"/>
      <c r="E444" s="6"/>
      <c r="F444" s="6"/>
    </row>
    <row r="445" spans="1:6">
      <c r="A445" s="6"/>
      <c r="B445" s="6"/>
      <c r="D445" s="6"/>
      <c r="E445" s="6"/>
      <c r="F445" s="6"/>
    </row>
    <row r="446" spans="1:6">
      <c r="A446" s="6"/>
      <c r="B446" s="6"/>
      <c r="D446" s="6"/>
      <c r="E446" s="6"/>
      <c r="F446" s="6"/>
    </row>
    <row r="447" spans="1:6">
      <c r="A447" s="6"/>
      <c r="B447" s="6"/>
      <c r="D447" s="6"/>
      <c r="E447" s="6"/>
      <c r="F447" s="6"/>
    </row>
    <row r="448" spans="1:6">
      <c r="A448" s="6"/>
      <c r="B448" s="6"/>
      <c r="D448" s="6"/>
      <c r="E448" s="6"/>
      <c r="F448" s="6"/>
    </row>
    <row r="449" spans="1:6">
      <c r="A449" s="6"/>
      <c r="B449" s="6"/>
      <c r="D449" s="6"/>
      <c r="E449" s="6"/>
      <c r="F449" s="6"/>
    </row>
    <row r="450" spans="1:6">
      <c r="A450" s="6"/>
      <c r="B450" s="6"/>
      <c r="D450" s="6"/>
      <c r="E450" s="6"/>
      <c r="F450" s="6"/>
    </row>
    <row r="451" spans="1:6">
      <c r="A451" s="6"/>
      <c r="B451" s="6"/>
      <c r="D451" s="6"/>
      <c r="E451" s="6"/>
      <c r="F451" s="6"/>
    </row>
    <row r="452" spans="1:6">
      <c r="A452" s="6"/>
      <c r="B452" s="6"/>
      <c r="D452" s="6"/>
      <c r="E452" s="6"/>
      <c r="F452" s="6"/>
    </row>
    <row r="453" spans="1:6">
      <c r="A453" s="6"/>
      <c r="B453" s="6"/>
      <c r="D453" s="6"/>
      <c r="E453" s="6"/>
      <c r="F453" s="6"/>
    </row>
    <row r="454" spans="1:6">
      <c r="A454" s="6"/>
      <c r="B454" s="6"/>
      <c r="D454" s="6"/>
      <c r="E454" s="6"/>
      <c r="F454" s="6"/>
    </row>
    <row r="455" spans="1:6">
      <c r="A455" s="6"/>
      <c r="B455" s="6"/>
      <c r="D455" s="6"/>
      <c r="E455" s="6"/>
      <c r="F455" s="6"/>
    </row>
    <row r="456" spans="1:6">
      <c r="A456" s="6"/>
      <c r="B456" s="6"/>
      <c r="D456" s="6"/>
      <c r="E456" s="6"/>
      <c r="F456" s="6"/>
    </row>
    <row r="457" spans="1:6">
      <c r="A457" s="6"/>
      <c r="B457" s="6"/>
      <c r="D457" s="6"/>
      <c r="E457" s="6"/>
      <c r="F457" s="6"/>
    </row>
    <row r="458" spans="1:6">
      <c r="A458" s="6"/>
      <c r="B458" s="6"/>
      <c r="D458" s="6"/>
      <c r="E458" s="6"/>
      <c r="F458" s="6"/>
    </row>
    <row r="459" spans="1:6">
      <c r="A459" s="6"/>
      <c r="B459" s="6"/>
      <c r="D459" s="6"/>
      <c r="E459" s="6"/>
      <c r="F459" s="6"/>
    </row>
    <row r="460" spans="1:6">
      <c r="A460" s="6"/>
      <c r="B460" s="6"/>
      <c r="D460" s="6"/>
      <c r="E460" s="6"/>
      <c r="F460" s="6"/>
    </row>
    <row r="461" spans="1:6">
      <c r="A461" s="6"/>
      <c r="B461" s="6"/>
      <c r="D461" s="6"/>
      <c r="E461" s="6"/>
      <c r="F461" s="6"/>
    </row>
    <row r="462" spans="1:6">
      <c r="A462" s="6"/>
      <c r="B462" s="6"/>
      <c r="D462" s="6"/>
      <c r="E462" s="6"/>
      <c r="F462" s="6"/>
    </row>
    <row r="463" spans="1:6">
      <c r="A463" s="6"/>
      <c r="B463" s="6"/>
      <c r="D463" s="6"/>
      <c r="E463" s="6"/>
      <c r="F463" s="6"/>
    </row>
    <row r="464" spans="1:6">
      <c r="A464" s="6"/>
      <c r="B464" s="6"/>
      <c r="D464" s="6"/>
      <c r="E464" s="6"/>
      <c r="F464" s="6"/>
    </row>
    <row r="465" spans="1:6">
      <c r="A465" s="6"/>
      <c r="B465" s="6"/>
      <c r="D465" s="6"/>
      <c r="E465" s="6"/>
      <c r="F465" s="6"/>
    </row>
    <row r="466" spans="1:6">
      <c r="A466" s="6"/>
      <c r="B466" s="6"/>
      <c r="D466" s="6"/>
      <c r="E466" s="6"/>
      <c r="F466" s="6"/>
    </row>
    <row r="467" spans="1:6">
      <c r="A467" s="6"/>
      <c r="B467" s="6"/>
      <c r="D467" s="6"/>
      <c r="E467" s="6"/>
      <c r="F467" s="6"/>
    </row>
    <row r="468" spans="1:6">
      <c r="A468" s="6"/>
      <c r="B468" s="6"/>
      <c r="D468" s="6"/>
      <c r="E468" s="6"/>
      <c r="F468" s="6"/>
    </row>
    <row r="469" spans="1:6">
      <c r="A469" s="6"/>
      <c r="B469" s="6"/>
      <c r="D469" s="6"/>
      <c r="E469" s="6"/>
      <c r="F469" s="6"/>
    </row>
    <row r="470" spans="1:6">
      <c r="A470" s="6"/>
      <c r="B470" s="6"/>
      <c r="D470" s="6"/>
      <c r="E470" s="6"/>
      <c r="F470" s="6"/>
    </row>
    <row r="471" spans="1:6">
      <c r="A471" s="6"/>
      <c r="B471" s="6"/>
      <c r="D471" s="6"/>
      <c r="E471" s="6"/>
      <c r="F471" s="6"/>
    </row>
    <row r="472" spans="1:6">
      <c r="A472" s="6"/>
      <c r="B472" s="6"/>
      <c r="D472" s="6"/>
      <c r="E472" s="6"/>
      <c r="F472" s="6"/>
    </row>
    <row r="473" spans="1:6">
      <c r="A473" s="6"/>
      <c r="B473" s="6"/>
      <c r="D473" s="6"/>
      <c r="E473" s="6"/>
      <c r="F473" s="6"/>
    </row>
    <row r="474" spans="1:6">
      <c r="A474" s="6"/>
      <c r="B474" s="6"/>
      <c r="D474" s="6"/>
      <c r="E474" s="6"/>
      <c r="F474" s="6"/>
    </row>
    <row r="475" spans="1:6">
      <c r="A475" s="6"/>
      <c r="B475" s="6"/>
      <c r="D475" s="6"/>
      <c r="E475" s="6"/>
      <c r="F475" s="6"/>
    </row>
    <row r="476" spans="1:6">
      <c r="A476" s="6"/>
      <c r="B476" s="6"/>
      <c r="D476" s="6"/>
      <c r="E476" s="6"/>
      <c r="F476" s="6"/>
    </row>
    <row r="477" spans="1:6">
      <c r="A477" s="6"/>
      <c r="B477" s="6"/>
      <c r="D477" s="6"/>
      <c r="E477" s="6"/>
      <c r="F477" s="6"/>
    </row>
    <row r="478" spans="1:6">
      <c r="A478" s="6"/>
      <c r="B478" s="6"/>
      <c r="D478" s="6"/>
      <c r="E478" s="6"/>
      <c r="F478" s="6"/>
    </row>
    <row r="479" spans="1:6">
      <c r="A479" s="6"/>
      <c r="B479" s="6"/>
      <c r="D479" s="6"/>
      <c r="E479" s="6"/>
      <c r="F479" s="6"/>
    </row>
    <row r="480" spans="1:6">
      <c r="A480" s="6"/>
      <c r="B480" s="6"/>
      <c r="D480" s="6"/>
      <c r="E480" s="6"/>
      <c r="F480" s="6"/>
    </row>
    <row r="481" spans="1:6">
      <c r="A481" s="6"/>
      <c r="B481" s="6"/>
      <c r="D481" s="6"/>
      <c r="E481" s="6"/>
      <c r="F481" s="6"/>
    </row>
    <row r="482" spans="1:6">
      <c r="A482" s="6"/>
      <c r="B482" s="6"/>
      <c r="D482" s="6"/>
      <c r="E482" s="6"/>
      <c r="F482" s="6"/>
    </row>
    <row r="483" spans="1:6">
      <c r="A483" s="6"/>
      <c r="B483" s="6"/>
      <c r="D483" s="6"/>
      <c r="E483" s="6"/>
      <c r="F483" s="6"/>
    </row>
    <row r="484" spans="1:6">
      <c r="A484" s="6"/>
      <c r="B484" s="6"/>
      <c r="D484" s="6"/>
      <c r="E484" s="6"/>
      <c r="F484" s="6"/>
    </row>
    <row r="485" spans="1:6">
      <c r="A485" s="6"/>
      <c r="B485" s="6"/>
      <c r="D485" s="6"/>
      <c r="E485" s="6"/>
      <c r="F485" s="6"/>
    </row>
    <row r="486" spans="1:6">
      <c r="A486" s="6"/>
      <c r="B486" s="6"/>
      <c r="D486" s="6"/>
      <c r="E486" s="6"/>
      <c r="F486" s="6"/>
    </row>
    <row r="487" spans="1:6">
      <c r="A487" s="6"/>
      <c r="B487" s="6"/>
      <c r="D487" s="6"/>
      <c r="E487" s="6"/>
      <c r="F487" s="6"/>
    </row>
    <row r="488" spans="1:6">
      <c r="A488" s="6"/>
      <c r="B488" s="6"/>
      <c r="D488" s="6"/>
      <c r="E488" s="6"/>
      <c r="F488" s="6"/>
    </row>
    <row r="489" spans="1:6">
      <c r="A489" s="6"/>
      <c r="B489" s="6"/>
      <c r="D489" s="6"/>
      <c r="E489" s="6"/>
      <c r="F489" s="6"/>
    </row>
    <row r="490" spans="1:6">
      <c r="A490" s="6"/>
      <c r="B490" s="6"/>
      <c r="D490" s="6"/>
      <c r="E490" s="6"/>
      <c r="F490" s="6"/>
    </row>
    <row r="491" spans="1:6">
      <c r="A491" s="6"/>
      <c r="B491" s="6"/>
      <c r="D491" s="6"/>
      <c r="E491" s="6"/>
      <c r="F491" s="6"/>
    </row>
    <row r="492" spans="1:6">
      <c r="A492" s="6"/>
      <c r="B492" s="6"/>
      <c r="D492" s="6"/>
      <c r="E492" s="6"/>
      <c r="F492" s="6"/>
    </row>
    <row r="493" spans="1:6">
      <c r="A493" s="6"/>
      <c r="B493" s="6"/>
      <c r="D493" s="6"/>
      <c r="E493" s="6"/>
      <c r="F493" s="6"/>
    </row>
    <row r="494" spans="1:6">
      <c r="A494" s="6"/>
      <c r="B494" s="6"/>
      <c r="D494" s="6"/>
      <c r="E494" s="6"/>
      <c r="F494" s="6"/>
    </row>
    <row r="495" spans="1:6">
      <c r="A495" s="6"/>
      <c r="B495" s="6"/>
      <c r="D495" s="6"/>
      <c r="E495" s="6"/>
      <c r="F495" s="6"/>
    </row>
    <row r="496" spans="1:6">
      <c r="A496" s="6"/>
      <c r="B496" s="6"/>
      <c r="D496" s="6"/>
      <c r="E496" s="6"/>
      <c r="F496" s="6"/>
    </row>
    <row r="497" spans="1:6">
      <c r="A497" s="6"/>
      <c r="B497" s="6"/>
      <c r="D497" s="6"/>
      <c r="E497" s="6"/>
      <c r="F497" s="6"/>
    </row>
    <row r="498" spans="1:6">
      <c r="A498" s="6"/>
      <c r="B498" s="6"/>
      <c r="D498" s="6"/>
      <c r="E498" s="6"/>
      <c r="F498" s="6"/>
    </row>
    <row r="499" spans="1:6">
      <c r="A499" s="6"/>
      <c r="B499" s="6"/>
      <c r="D499" s="6"/>
      <c r="E499" s="6"/>
      <c r="F499" s="6"/>
    </row>
    <row r="500" spans="1:6">
      <c r="A500" s="6"/>
      <c r="B500" s="6"/>
      <c r="D500" s="6"/>
      <c r="E500" s="6"/>
      <c r="F500" s="6"/>
    </row>
    <row r="501" spans="1:6">
      <c r="A501" s="6"/>
      <c r="B501" s="6"/>
      <c r="D501" s="6"/>
      <c r="E501" s="6"/>
      <c r="F501" s="6"/>
    </row>
    <row r="502" spans="1:6">
      <c r="A502" s="6"/>
      <c r="B502" s="6"/>
      <c r="D502" s="6"/>
      <c r="E502" s="6"/>
      <c r="F502" s="6"/>
    </row>
    <row r="503" spans="1:6">
      <c r="A503" s="6"/>
      <c r="B503" s="6"/>
      <c r="D503" s="6"/>
      <c r="E503" s="6"/>
      <c r="F503" s="6"/>
    </row>
    <row r="504" spans="1:6">
      <c r="A504" s="6"/>
      <c r="B504" s="6"/>
      <c r="D504" s="6"/>
      <c r="E504" s="6"/>
      <c r="F504" s="6"/>
    </row>
    <row r="505" spans="1:6">
      <c r="A505" s="6"/>
      <c r="B505" s="6"/>
      <c r="D505" s="6"/>
      <c r="E505" s="6"/>
      <c r="F505" s="6"/>
    </row>
    <row r="506" spans="1:6">
      <c r="A506" s="6"/>
      <c r="B506" s="6"/>
      <c r="D506" s="6"/>
      <c r="E506" s="6"/>
      <c r="F506" s="6"/>
    </row>
    <row r="507" spans="1:6">
      <c r="A507" s="6"/>
      <c r="B507" s="6"/>
      <c r="D507" s="6"/>
      <c r="E507" s="6"/>
      <c r="F507" s="6"/>
    </row>
    <row r="508" spans="1:6">
      <c r="A508" s="6"/>
      <c r="B508" s="6"/>
      <c r="D508" s="6"/>
      <c r="E508" s="6"/>
      <c r="F508" s="6"/>
    </row>
    <row r="509" spans="1:6">
      <c r="A509" s="6"/>
      <c r="B509" s="6"/>
      <c r="D509" s="6"/>
      <c r="E509" s="6"/>
      <c r="F509" s="6"/>
    </row>
    <row r="510" spans="1:6">
      <c r="A510" s="6"/>
      <c r="B510" s="6"/>
      <c r="D510" s="6"/>
      <c r="E510" s="6"/>
      <c r="F510" s="6"/>
    </row>
    <row r="511" spans="1:6">
      <c r="A511" s="6"/>
      <c r="B511" s="6"/>
      <c r="D511" s="6"/>
      <c r="E511" s="6"/>
      <c r="F511" s="6"/>
    </row>
    <row r="512" spans="1:6">
      <c r="A512" s="6"/>
      <c r="B512" s="6"/>
      <c r="D512" s="6"/>
      <c r="E512" s="6"/>
      <c r="F512" s="6"/>
    </row>
    <row r="513" spans="1:6">
      <c r="A513" s="6"/>
      <c r="B513" s="6"/>
      <c r="D513" s="6"/>
      <c r="E513" s="6"/>
      <c r="F513" s="6"/>
    </row>
    <row r="514" spans="1:6">
      <c r="A514" s="6"/>
      <c r="B514" s="6"/>
      <c r="D514" s="6"/>
      <c r="E514" s="6"/>
      <c r="F514" s="6"/>
    </row>
    <row r="515" spans="1:6">
      <c r="A515" s="6"/>
      <c r="B515" s="6"/>
      <c r="D515" s="6"/>
      <c r="E515" s="6"/>
      <c r="F515" s="6"/>
    </row>
    <row r="516" spans="1:6">
      <c r="A516" s="6"/>
      <c r="B516" s="6"/>
      <c r="D516" s="6"/>
      <c r="E516" s="6"/>
      <c r="F516" s="6"/>
    </row>
    <row r="517" spans="1:6">
      <c r="A517" s="6"/>
      <c r="B517" s="6"/>
      <c r="D517" s="6"/>
      <c r="E517" s="6"/>
      <c r="F517" s="6"/>
    </row>
    <row r="518" spans="1:6">
      <c r="A518" s="6"/>
      <c r="B518" s="6"/>
      <c r="D518" s="6"/>
      <c r="E518" s="6"/>
      <c r="F518" s="6"/>
    </row>
    <row r="519" spans="1:6">
      <c r="A519" s="6"/>
      <c r="B519" s="6"/>
      <c r="D519" s="6"/>
      <c r="E519" s="6"/>
      <c r="F519" s="6"/>
    </row>
    <row r="520" spans="1:6">
      <c r="A520" s="6"/>
      <c r="B520" s="6"/>
      <c r="D520" s="6"/>
      <c r="E520" s="6"/>
      <c r="F520" s="6"/>
    </row>
    <row r="521" spans="1:6">
      <c r="A521" s="6"/>
      <c r="B521" s="6"/>
      <c r="D521" s="6"/>
      <c r="E521" s="6"/>
      <c r="F521" s="6"/>
    </row>
    <row r="522" spans="1:6">
      <c r="A522" s="6"/>
      <c r="B522" s="6"/>
      <c r="D522" s="6"/>
      <c r="E522" s="6"/>
      <c r="F522" s="6"/>
    </row>
    <row r="523" spans="1:6">
      <c r="A523" s="6"/>
      <c r="B523" s="6"/>
      <c r="D523" s="6"/>
      <c r="E523" s="6"/>
      <c r="F523" s="6"/>
    </row>
    <row r="524" spans="1:6">
      <c r="A524" s="6"/>
      <c r="B524" s="6"/>
      <c r="D524" s="6"/>
      <c r="E524" s="6"/>
      <c r="F524" s="6"/>
    </row>
    <row r="525" spans="1:6">
      <c r="A525" s="6"/>
      <c r="B525" s="6"/>
      <c r="D525" s="6"/>
      <c r="E525" s="6"/>
      <c r="F525" s="6"/>
    </row>
    <row r="526" spans="1:6">
      <c r="A526" s="6"/>
      <c r="B526" s="6"/>
      <c r="D526" s="6"/>
      <c r="E526" s="6"/>
      <c r="F526" s="6"/>
    </row>
    <row r="527" spans="1:6">
      <c r="A527" s="6"/>
      <c r="B527" s="6"/>
      <c r="D527" s="6"/>
      <c r="E527" s="6"/>
      <c r="F527" s="6"/>
    </row>
    <row r="528" spans="1:6">
      <c r="A528" s="6"/>
      <c r="B528" s="6"/>
      <c r="D528" s="6"/>
      <c r="E528" s="6"/>
      <c r="F528" s="6"/>
    </row>
    <row r="529" spans="1:6">
      <c r="A529" s="6"/>
      <c r="B529" s="6"/>
      <c r="D529" s="6"/>
      <c r="E529" s="6"/>
      <c r="F529" s="6"/>
    </row>
    <row r="530" spans="1:6">
      <c r="A530" s="6"/>
      <c r="B530" s="6"/>
      <c r="D530" s="6"/>
      <c r="E530" s="6"/>
      <c r="F530" s="6"/>
    </row>
    <row r="531" spans="1:6">
      <c r="A531" s="6"/>
      <c r="B531" s="6"/>
      <c r="D531" s="6"/>
      <c r="E531" s="6"/>
      <c r="F531" s="6"/>
    </row>
    <row r="532" spans="1:6">
      <c r="A532" s="6"/>
      <c r="B532" s="6"/>
      <c r="D532" s="6"/>
      <c r="E532" s="6"/>
      <c r="F532" s="6"/>
    </row>
    <row r="533" spans="1:6">
      <c r="A533" s="6"/>
      <c r="B533" s="6"/>
      <c r="D533" s="6"/>
      <c r="E533" s="6"/>
      <c r="F533" s="6"/>
    </row>
    <row r="534" spans="1:6">
      <c r="A534" s="6"/>
      <c r="B534" s="6"/>
      <c r="D534" s="6"/>
      <c r="E534" s="6"/>
      <c r="F534" s="6"/>
    </row>
    <row r="535" spans="1:6">
      <c r="A535" s="6"/>
      <c r="B535" s="6"/>
      <c r="D535" s="6"/>
      <c r="E535" s="6"/>
      <c r="F535" s="6"/>
    </row>
    <row r="536" spans="1:6">
      <c r="A536" s="6"/>
      <c r="B536" s="6"/>
      <c r="D536" s="6"/>
      <c r="E536" s="6"/>
      <c r="F536" s="6"/>
    </row>
    <row r="537" spans="1:6">
      <c r="A537" s="6"/>
      <c r="B537" s="6"/>
      <c r="D537" s="6"/>
      <c r="E537" s="6"/>
      <c r="F537" s="6"/>
    </row>
    <row r="538" spans="1:6">
      <c r="A538" s="6"/>
      <c r="B538" s="6"/>
      <c r="D538" s="6"/>
      <c r="E538" s="6"/>
      <c r="F538" s="6"/>
    </row>
    <row r="539" spans="1:6">
      <c r="A539" s="6"/>
      <c r="B539" s="6"/>
      <c r="D539" s="6"/>
      <c r="E539" s="6"/>
      <c r="F539" s="6"/>
    </row>
    <row r="540" spans="1:6">
      <c r="A540" s="6"/>
      <c r="B540" s="6"/>
      <c r="D540" s="6"/>
      <c r="E540" s="6"/>
      <c r="F540" s="6"/>
    </row>
    <row r="541" spans="1:6">
      <c r="A541" s="6"/>
      <c r="B541" s="6"/>
      <c r="D541" s="6"/>
      <c r="E541" s="6"/>
      <c r="F541" s="6"/>
    </row>
    <row r="542" spans="1:6">
      <c r="A542" s="6"/>
      <c r="B542" s="6"/>
      <c r="D542" s="6"/>
      <c r="E542" s="6"/>
      <c r="F542" s="6"/>
    </row>
    <row r="543" spans="1:6">
      <c r="A543" s="6"/>
      <c r="B543" s="6"/>
      <c r="D543" s="6"/>
      <c r="E543" s="6"/>
      <c r="F543" s="6"/>
    </row>
    <row r="544" spans="1:6">
      <c r="A544" s="6"/>
      <c r="B544" s="6"/>
      <c r="D544" s="6"/>
      <c r="E544" s="6"/>
      <c r="F544" s="6"/>
    </row>
    <row r="545" spans="1:6">
      <c r="A545" s="6"/>
      <c r="B545" s="6"/>
      <c r="D545" s="6"/>
      <c r="E545" s="6"/>
      <c r="F545" s="6"/>
    </row>
    <row r="546" spans="1:6">
      <c r="A546" s="6"/>
      <c r="B546" s="6"/>
      <c r="D546" s="6"/>
      <c r="E546" s="6"/>
      <c r="F546" s="6"/>
    </row>
    <row r="547" spans="1:6">
      <c r="A547" s="6"/>
      <c r="B547" s="6"/>
      <c r="D547" s="6"/>
      <c r="E547" s="6"/>
      <c r="F547" s="6"/>
    </row>
    <row r="548" spans="1:6">
      <c r="A548" s="6"/>
      <c r="B548" s="6"/>
      <c r="D548" s="6"/>
      <c r="E548" s="6"/>
      <c r="F548" s="6"/>
    </row>
    <row r="549" spans="1:6">
      <c r="A549" s="6"/>
      <c r="B549" s="6"/>
      <c r="D549" s="6"/>
      <c r="E549" s="6"/>
      <c r="F549" s="6"/>
    </row>
    <row r="550" spans="1:6">
      <c r="A550" s="6"/>
      <c r="B550" s="6"/>
      <c r="D550" s="6"/>
      <c r="E550" s="6"/>
      <c r="F550" s="6"/>
    </row>
    <row r="551" spans="1:6">
      <c r="A551" s="6"/>
      <c r="B551" s="6"/>
      <c r="D551" s="6"/>
      <c r="E551" s="6"/>
      <c r="F551" s="6"/>
    </row>
    <row r="552" spans="1:6">
      <c r="A552" s="6"/>
      <c r="B552" s="6"/>
      <c r="D552" s="6"/>
      <c r="E552" s="6"/>
      <c r="F552" s="6"/>
    </row>
    <row r="553" spans="1:6">
      <c r="A553" s="6"/>
      <c r="B553" s="6"/>
      <c r="D553" s="6"/>
      <c r="E553" s="6"/>
      <c r="F553" s="6"/>
    </row>
    <row r="554" spans="1:6">
      <c r="A554" s="6"/>
      <c r="B554" s="6"/>
      <c r="D554" s="6"/>
      <c r="E554" s="6"/>
      <c r="F554" s="6"/>
    </row>
    <row r="555" spans="1:6">
      <c r="A555" s="6"/>
      <c r="B555" s="6"/>
      <c r="D555" s="6"/>
      <c r="E555" s="6"/>
      <c r="F555" s="6"/>
    </row>
    <row r="556" spans="1:6">
      <c r="A556" s="6"/>
      <c r="B556" s="6"/>
      <c r="D556" s="6"/>
      <c r="E556" s="6"/>
      <c r="F556" s="6"/>
    </row>
    <row r="557" spans="1:6">
      <c r="A557" s="6"/>
      <c r="B557" s="6"/>
      <c r="D557" s="6"/>
      <c r="E557" s="6"/>
      <c r="F557" s="6"/>
    </row>
    <row r="558" spans="1:6">
      <c r="A558" s="6"/>
      <c r="B558" s="6"/>
      <c r="D558" s="6"/>
      <c r="E558" s="6"/>
      <c r="F558" s="6"/>
    </row>
    <row r="559" spans="1:6">
      <c r="A559" s="6"/>
      <c r="B559" s="6"/>
      <c r="D559" s="6"/>
      <c r="E559" s="6"/>
      <c r="F559" s="6"/>
    </row>
    <row r="560" spans="1:6">
      <c r="A560" s="6"/>
      <c r="B560" s="6"/>
      <c r="D560" s="6"/>
      <c r="E560" s="6"/>
      <c r="F560" s="6"/>
    </row>
    <row r="561" spans="1:6">
      <c r="A561" s="6"/>
      <c r="B561" s="6"/>
      <c r="D561" s="6"/>
      <c r="E561" s="6"/>
      <c r="F561" s="6"/>
    </row>
    <row r="562" spans="1:6">
      <c r="A562" s="6"/>
      <c r="B562" s="6"/>
      <c r="D562" s="6"/>
      <c r="E562" s="6"/>
      <c r="F562" s="6"/>
    </row>
    <row r="563" spans="1:6">
      <c r="A563" s="6"/>
      <c r="B563" s="6"/>
      <c r="D563" s="6"/>
      <c r="E563" s="6"/>
      <c r="F563" s="6"/>
    </row>
    <row r="564" spans="1:6">
      <c r="A564" s="6"/>
      <c r="B564" s="6"/>
      <c r="D564" s="6"/>
      <c r="E564" s="6"/>
      <c r="F564" s="6"/>
    </row>
    <row r="565" spans="1:6">
      <c r="A565" s="6"/>
      <c r="B565" s="6"/>
      <c r="D565" s="6"/>
      <c r="E565" s="6"/>
      <c r="F565" s="6"/>
    </row>
    <row r="566" spans="1:6">
      <c r="A566" s="6"/>
      <c r="B566" s="6"/>
      <c r="D566" s="6"/>
      <c r="E566" s="6"/>
      <c r="F566" s="6"/>
    </row>
    <row r="567" spans="1:6">
      <c r="A567" s="6"/>
      <c r="B567" s="6"/>
      <c r="D567" s="6"/>
      <c r="E567" s="6"/>
      <c r="F567" s="6"/>
    </row>
    <row r="568" spans="1:6">
      <c r="A568" s="6"/>
      <c r="B568" s="6"/>
      <c r="D568" s="6"/>
      <c r="E568" s="6"/>
      <c r="F568" s="6"/>
    </row>
    <row r="569" spans="1:6">
      <c r="A569" s="6"/>
      <c r="B569" s="6"/>
      <c r="D569" s="6"/>
      <c r="E569" s="6"/>
      <c r="F569" s="6"/>
    </row>
    <row r="570" spans="1:6">
      <c r="A570" s="6"/>
      <c r="B570" s="6"/>
      <c r="D570" s="6"/>
      <c r="E570" s="6"/>
      <c r="F570" s="6"/>
    </row>
    <row r="571" spans="1:6">
      <c r="A571" s="6"/>
      <c r="B571" s="6"/>
      <c r="D571" s="6"/>
      <c r="E571" s="6"/>
      <c r="F571" s="6"/>
    </row>
    <row r="572" spans="1:6">
      <c r="A572" s="6"/>
      <c r="B572" s="6"/>
      <c r="D572" s="6"/>
      <c r="E572" s="6"/>
      <c r="F572" s="6"/>
    </row>
    <row r="573" spans="1:6">
      <c r="A573" s="6"/>
      <c r="B573" s="6"/>
      <c r="D573" s="6"/>
      <c r="E573" s="6"/>
      <c r="F573" s="6"/>
    </row>
    <row r="574" spans="1:6">
      <c r="A574" s="6"/>
      <c r="B574" s="6"/>
      <c r="D574" s="6"/>
      <c r="E574" s="6"/>
      <c r="F574" s="6"/>
    </row>
    <row r="575" spans="1:6">
      <c r="A575" s="6"/>
      <c r="B575" s="6"/>
      <c r="D575" s="6"/>
      <c r="E575" s="6"/>
      <c r="F575" s="6"/>
    </row>
    <row r="576" spans="1:6">
      <c r="A576" s="6"/>
      <c r="B576" s="6"/>
      <c r="D576" s="6"/>
      <c r="E576" s="6"/>
      <c r="F576" s="6"/>
    </row>
    <row r="577" spans="1:6">
      <c r="A577" s="6"/>
      <c r="B577" s="6"/>
      <c r="D577" s="6"/>
      <c r="E577" s="6"/>
      <c r="F577" s="6"/>
    </row>
    <row r="578" spans="1:6">
      <c r="A578" s="6"/>
      <c r="B578" s="6"/>
      <c r="D578" s="6"/>
      <c r="E578" s="6"/>
      <c r="F578" s="6"/>
    </row>
    <row r="579" spans="1:6">
      <c r="A579" s="6"/>
      <c r="B579" s="6"/>
      <c r="D579" s="6"/>
      <c r="E579" s="6"/>
      <c r="F579" s="6"/>
    </row>
    <row r="580" spans="1:6">
      <c r="A580" s="6"/>
      <c r="B580" s="6"/>
      <c r="D580" s="6"/>
      <c r="E580" s="6"/>
      <c r="F580" s="6"/>
    </row>
    <row r="581" spans="1:6">
      <c r="A581" s="6"/>
      <c r="B581" s="6"/>
      <c r="D581" s="6"/>
      <c r="E581" s="6"/>
      <c r="F581" s="6"/>
    </row>
    <row r="582" spans="1:6">
      <c r="A582" s="6"/>
      <c r="B582" s="6"/>
      <c r="D582" s="6"/>
      <c r="E582" s="6"/>
      <c r="F582" s="6"/>
    </row>
    <row r="583" spans="1:6">
      <c r="A583" s="6"/>
      <c r="B583" s="6"/>
      <c r="D583" s="6"/>
      <c r="E583" s="6"/>
      <c r="F583" s="6"/>
    </row>
    <row r="584" spans="1:6">
      <c r="A584" s="6"/>
      <c r="B584" s="6"/>
      <c r="D584" s="6"/>
      <c r="E584" s="6"/>
      <c r="F584" s="6"/>
    </row>
    <row r="585" spans="1:6">
      <c r="A585" s="6"/>
      <c r="B585" s="6"/>
      <c r="D585" s="6"/>
      <c r="E585" s="6"/>
      <c r="F585" s="6"/>
    </row>
    <row r="586" spans="1:6">
      <c r="A586" s="6"/>
      <c r="B586" s="6"/>
      <c r="D586" s="6"/>
      <c r="E586" s="6"/>
      <c r="F586" s="6"/>
    </row>
    <row r="587" spans="1:6">
      <c r="A587" s="6"/>
      <c r="B587" s="6"/>
      <c r="D587" s="6"/>
      <c r="E587" s="6"/>
      <c r="F587" s="6"/>
    </row>
    <row r="588" spans="1:6">
      <c r="A588" s="6"/>
      <c r="B588" s="6"/>
      <c r="D588" s="6"/>
      <c r="E588" s="6"/>
      <c r="F588" s="6"/>
    </row>
    <row r="589" spans="1:6">
      <c r="A589" s="6"/>
      <c r="B589" s="6"/>
      <c r="D589" s="6"/>
      <c r="E589" s="6"/>
      <c r="F589" s="6"/>
    </row>
    <row r="590" spans="1:6">
      <c r="A590" s="6"/>
      <c r="B590" s="6"/>
      <c r="D590" s="6"/>
      <c r="E590" s="6"/>
      <c r="F590" s="6"/>
    </row>
    <row r="591" spans="1:6">
      <c r="A591" s="6"/>
      <c r="B591" s="6"/>
      <c r="D591" s="6"/>
      <c r="E591" s="6"/>
      <c r="F591" s="6"/>
    </row>
    <row r="592" spans="1:6">
      <c r="A592" s="6"/>
      <c r="B592" s="6"/>
      <c r="D592" s="6"/>
      <c r="E592" s="6"/>
      <c r="F592" s="6"/>
    </row>
    <row r="593" spans="1:6">
      <c r="A593" s="6"/>
      <c r="B593" s="6"/>
      <c r="D593" s="6"/>
      <c r="E593" s="6"/>
      <c r="F593" s="6"/>
    </row>
    <row r="594" spans="1:6">
      <c r="A594" s="6"/>
      <c r="B594" s="6"/>
      <c r="D594" s="6"/>
      <c r="E594" s="6"/>
      <c r="F594" s="6"/>
    </row>
    <row r="595" spans="1:6">
      <c r="A595" s="6"/>
      <c r="B595" s="6"/>
      <c r="D595" s="6"/>
      <c r="E595" s="6"/>
      <c r="F595" s="6"/>
    </row>
    <row r="596" spans="1:6">
      <c r="A596" s="6"/>
      <c r="B596" s="6"/>
      <c r="D596" s="6"/>
      <c r="E596" s="6"/>
      <c r="F596" s="6"/>
    </row>
    <row r="597" spans="1:6">
      <c r="A597" s="6"/>
      <c r="B597" s="6"/>
      <c r="D597" s="6"/>
      <c r="E597" s="6"/>
      <c r="F597" s="6"/>
    </row>
    <row r="598" spans="1:6">
      <c r="A598" s="6"/>
      <c r="B598" s="6"/>
      <c r="D598" s="6"/>
      <c r="E598" s="6"/>
      <c r="F598" s="6"/>
    </row>
    <row r="599" spans="1:6">
      <c r="A599" s="6"/>
      <c r="B599" s="6"/>
      <c r="D599" s="6"/>
      <c r="E599" s="6"/>
      <c r="F599" s="6"/>
    </row>
    <row r="600" spans="1:6">
      <c r="A600" s="6"/>
      <c r="B600" s="6"/>
      <c r="D600" s="6"/>
      <c r="E600" s="6"/>
      <c r="F600" s="6"/>
    </row>
    <row r="601" spans="1:6">
      <c r="A601" s="6"/>
      <c r="B601" s="6"/>
      <c r="D601" s="6"/>
      <c r="E601" s="6"/>
      <c r="F601" s="6"/>
    </row>
    <row r="602" spans="1:6">
      <c r="A602" s="6"/>
      <c r="B602" s="6"/>
      <c r="D602" s="6"/>
      <c r="E602" s="6"/>
      <c r="F602" s="6"/>
    </row>
    <row r="603" spans="1:6">
      <c r="A603" s="6"/>
      <c r="B603" s="6"/>
      <c r="D603" s="6"/>
      <c r="E603" s="6"/>
      <c r="F603" s="6"/>
    </row>
    <row r="604" spans="1:6">
      <c r="A604" s="6"/>
      <c r="B604" s="6"/>
      <c r="D604" s="6"/>
      <c r="E604" s="6"/>
      <c r="F604" s="6"/>
    </row>
    <row r="605" spans="1:6">
      <c r="A605" s="6"/>
      <c r="B605" s="6"/>
      <c r="D605" s="6"/>
      <c r="E605" s="6"/>
      <c r="F605" s="6"/>
    </row>
    <row r="606" spans="1:6">
      <c r="A606" s="6"/>
      <c r="B606" s="6"/>
      <c r="D606" s="6"/>
      <c r="E606" s="6"/>
      <c r="F606" s="6"/>
    </row>
    <row r="607" spans="1:6">
      <c r="A607" s="6"/>
      <c r="B607" s="6"/>
      <c r="D607" s="6"/>
      <c r="E607" s="6"/>
      <c r="F607" s="6"/>
    </row>
    <row r="608" spans="1:6">
      <c r="A608" s="6"/>
      <c r="B608" s="6"/>
      <c r="D608" s="6"/>
      <c r="E608" s="6"/>
      <c r="F608" s="6"/>
    </row>
    <row r="609" spans="1:6">
      <c r="A609" s="6"/>
      <c r="B609" s="6"/>
      <c r="D609" s="6"/>
      <c r="E609" s="6"/>
      <c r="F609" s="6"/>
    </row>
    <row r="610" spans="1:6">
      <c r="A610" s="6"/>
      <c r="B610" s="6"/>
      <c r="D610" s="6"/>
      <c r="E610" s="6"/>
      <c r="F610" s="6"/>
    </row>
    <row r="611" spans="1:6">
      <c r="A611" s="6"/>
      <c r="B611" s="6"/>
      <c r="D611" s="6"/>
      <c r="E611" s="6"/>
      <c r="F611" s="6"/>
    </row>
    <row r="612" spans="1:6">
      <c r="A612" s="6"/>
      <c r="B612" s="6"/>
      <c r="D612" s="6"/>
      <c r="E612" s="6"/>
      <c r="F612" s="6"/>
    </row>
    <row r="613" spans="1:6">
      <c r="A613" s="6"/>
      <c r="B613" s="6"/>
      <c r="D613" s="6"/>
      <c r="E613" s="6"/>
      <c r="F613" s="6"/>
    </row>
    <row r="614" spans="1:6">
      <c r="A614" s="6"/>
      <c r="B614" s="6"/>
      <c r="D614" s="6"/>
      <c r="E614" s="6"/>
      <c r="F614" s="6"/>
    </row>
    <row r="615" spans="1:6">
      <c r="A615" s="6"/>
      <c r="B615" s="6"/>
      <c r="D615" s="6"/>
      <c r="E615" s="6"/>
      <c r="F615" s="6"/>
    </row>
    <row r="616" spans="1:6">
      <c r="A616" s="6"/>
      <c r="B616" s="6"/>
      <c r="D616" s="6"/>
      <c r="E616" s="6"/>
      <c r="F616" s="6"/>
    </row>
    <row r="617" spans="1:6">
      <c r="A617" s="6"/>
      <c r="B617" s="6"/>
      <c r="D617" s="6"/>
      <c r="E617" s="6"/>
      <c r="F617" s="6"/>
    </row>
    <row r="618" spans="1:6">
      <c r="A618" s="6"/>
      <c r="B618" s="6"/>
      <c r="D618" s="6"/>
      <c r="E618" s="6"/>
      <c r="F618" s="6"/>
    </row>
    <row r="619" spans="1:6">
      <c r="A619" s="6"/>
      <c r="B619" s="6"/>
      <c r="D619" s="6"/>
      <c r="E619" s="6"/>
      <c r="F619" s="6"/>
    </row>
    <row r="620" spans="1:6">
      <c r="A620" s="6"/>
      <c r="B620" s="6"/>
      <c r="D620" s="6"/>
      <c r="E620" s="6"/>
      <c r="F620" s="6"/>
    </row>
    <row r="621" spans="1:6">
      <c r="A621" s="6"/>
      <c r="B621" s="6"/>
      <c r="D621" s="6"/>
      <c r="E621" s="6"/>
      <c r="F621" s="6"/>
    </row>
    <row r="622" spans="1:6">
      <c r="A622" s="6"/>
      <c r="B622" s="6"/>
      <c r="D622" s="6"/>
      <c r="E622" s="6"/>
      <c r="F622" s="6"/>
    </row>
    <row r="623" spans="1:6">
      <c r="A623" s="6"/>
      <c r="B623" s="6"/>
      <c r="D623" s="6"/>
      <c r="E623" s="6"/>
      <c r="F623" s="6"/>
    </row>
    <row r="624" spans="1:6">
      <c r="A624" s="6"/>
      <c r="B624" s="6"/>
      <c r="D624" s="6"/>
      <c r="E624" s="6"/>
      <c r="F624" s="6"/>
    </row>
    <row r="625" spans="1:6">
      <c r="A625" s="6"/>
      <c r="B625" s="6"/>
      <c r="D625" s="6"/>
      <c r="E625" s="6"/>
      <c r="F625" s="6"/>
    </row>
    <row r="626" spans="1:6">
      <c r="A626" s="6"/>
      <c r="B626" s="6"/>
      <c r="D626" s="6"/>
      <c r="E626" s="6"/>
      <c r="F626" s="6"/>
    </row>
    <row r="627" spans="1:6">
      <c r="A627" s="6"/>
      <c r="B627" s="6"/>
      <c r="D627" s="6"/>
      <c r="E627" s="6"/>
      <c r="F627" s="6"/>
    </row>
    <row r="628" spans="1:6">
      <c r="A628" s="6"/>
      <c r="B628" s="6"/>
      <c r="D628" s="6"/>
      <c r="E628" s="6"/>
      <c r="F628" s="6"/>
    </row>
    <row r="629" spans="1:6">
      <c r="A629" s="6"/>
      <c r="B629" s="6"/>
      <c r="D629" s="6"/>
      <c r="E629" s="6"/>
      <c r="F629" s="6"/>
    </row>
    <row r="630" spans="1:6">
      <c r="A630" s="6"/>
      <c r="B630" s="6"/>
      <c r="D630" s="6"/>
      <c r="E630" s="6"/>
      <c r="F630" s="6"/>
    </row>
    <row r="631" spans="1:6">
      <c r="A631" s="6"/>
      <c r="B631" s="6"/>
      <c r="D631" s="6"/>
      <c r="E631" s="6"/>
      <c r="F631" s="6"/>
    </row>
    <row r="632" spans="1:6">
      <c r="A632" s="6"/>
      <c r="B632" s="6"/>
      <c r="D632" s="6"/>
      <c r="E632" s="6"/>
      <c r="F632" s="6"/>
    </row>
    <row r="633" spans="1:6">
      <c r="A633" s="6"/>
      <c r="B633" s="6"/>
      <c r="D633" s="6"/>
      <c r="E633" s="6"/>
      <c r="F633" s="6"/>
    </row>
    <row r="634" spans="1:6">
      <c r="A634" s="6"/>
      <c r="B634" s="6"/>
      <c r="D634" s="6"/>
      <c r="E634" s="6"/>
      <c r="F634" s="6"/>
    </row>
    <row r="635" spans="1:6">
      <c r="A635" s="6"/>
      <c r="B635" s="6"/>
      <c r="D635" s="6"/>
      <c r="E635" s="6"/>
      <c r="F635" s="6"/>
    </row>
    <row r="636" spans="1:6">
      <c r="A636" s="6"/>
      <c r="B636" s="6"/>
      <c r="D636" s="6"/>
      <c r="E636" s="6"/>
      <c r="F636" s="6"/>
    </row>
    <row r="637" spans="1:6">
      <c r="A637" s="6"/>
      <c r="B637" s="6"/>
      <c r="D637" s="6"/>
      <c r="E637" s="6"/>
      <c r="F637" s="6"/>
    </row>
    <row r="638" spans="1:6">
      <c r="A638" s="6"/>
      <c r="B638" s="6"/>
      <c r="D638" s="6"/>
      <c r="E638" s="6"/>
      <c r="F638" s="6"/>
    </row>
    <row r="639" spans="1:6">
      <c r="A639" s="6"/>
      <c r="B639" s="6"/>
      <c r="D639" s="6"/>
      <c r="E639" s="6"/>
      <c r="F639" s="6"/>
    </row>
    <row r="640" spans="1:6">
      <c r="A640" s="6"/>
      <c r="B640" s="6"/>
      <c r="D640" s="6"/>
      <c r="E640" s="6"/>
      <c r="F640" s="6"/>
    </row>
    <row r="641" spans="1:6">
      <c r="A641" s="6"/>
      <c r="B641" s="6"/>
      <c r="D641" s="6"/>
      <c r="E641" s="6"/>
      <c r="F641" s="6"/>
    </row>
    <row r="642" spans="1:6">
      <c r="A642" s="6"/>
      <c r="B642" s="6"/>
      <c r="D642" s="6"/>
      <c r="E642" s="6"/>
      <c r="F642" s="6"/>
    </row>
    <row r="643" spans="1:6">
      <c r="A643" s="6"/>
      <c r="B643" s="6"/>
      <c r="D643" s="6"/>
      <c r="E643" s="6"/>
      <c r="F643" s="6"/>
    </row>
    <row r="644" spans="1:6">
      <c r="A644" s="6"/>
      <c r="B644" s="6"/>
      <c r="D644" s="6"/>
      <c r="E644" s="6"/>
      <c r="F644" s="6"/>
    </row>
    <row r="645" spans="1:6">
      <c r="A645" s="6"/>
      <c r="B645" s="6"/>
      <c r="D645" s="6"/>
      <c r="E645" s="6"/>
      <c r="F645" s="6"/>
    </row>
    <row r="646" spans="1:6">
      <c r="A646" s="6"/>
      <c r="B646" s="6"/>
      <c r="D646" s="6"/>
      <c r="E646" s="6"/>
      <c r="F646" s="6"/>
    </row>
    <row r="647" spans="1:6">
      <c r="A647" s="6"/>
      <c r="B647" s="6"/>
      <c r="D647" s="6"/>
      <c r="E647" s="6"/>
      <c r="F647" s="6"/>
    </row>
    <row r="648" spans="1:6">
      <c r="A648" s="6"/>
      <c r="B648" s="6"/>
      <c r="D648" s="6"/>
      <c r="E648" s="6"/>
      <c r="F648" s="6"/>
    </row>
    <row r="649" spans="1:6">
      <c r="A649" s="6"/>
      <c r="B649" s="6"/>
      <c r="D649" s="6"/>
      <c r="E649" s="6"/>
      <c r="F649" s="6"/>
    </row>
    <row r="650" spans="1:6">
      <c r="A650" s="6"/>
      <c r="B650" s="6"/>
      <c r="D650" s="6"/>
      <c r="E650" s="6"/>
      <c r="F650" s="6"/>
    </row>
    <row r="651" spans="1:6">
      <c r="A651" s="6"/>
      <c r="B651" s="6"/>
      <c r="D651" s="6"/>
      <c r="E651" s="6"/>
      <c r="F651" s="6"/>
    </row>
    <row r="652" spans="1:6">
      <c r="A652" s="6"/>
      <c r="B652" s="6"/>
      <c r="D652" s="6"/>
      <c r="E652" s="6"/>
      <c r="F652" s="6"/>
    </row>
    <row r="653" spans="1:6">
      <c r="A653" s="6"/>
      <c r="B653" s="6"/>
      <c r="D653" s="6"/>
      <c r="E653" s="6"/>
      <c r="F653" s="6"/>
    </row>
    <row r="654" spans="1:6">
      <c r="A654" s="6"/>
      <c r="B654" s="6"/>
      <c r="D654" s="6"/>
      <c r="E654" s="6"/>
      <c r="F654" s="6"/>
    </row>
    <row r="655" spans="1:6">
      <c r="A655" s="6"/>
      <c r="B655" s="6"/>
      <c r="D655" s="6"/>
      <c r="E655" s="6"/>
      <c r="F655" s="6"/>
    </row>
    <row r="656" spans="1:6">
      <c r="A656" s="6"/>
      <c r="B656" s="6"/>
      <c r="D656" s="6"/>
      <c r="E656" s="6"/>
      <c r="F656" s="6"/>
    </row>
    <row r="657" spans="1:6">
      <c r="A657" s="6"/>
      <c r="B657" s="6"/>
      <c r="D657" s="6"/>
      <c r="E657" s="6"/>
      <c r="F657" s="6"/>
    </row>
    <row r="658" spans="1:6">
      <c r="A658" s="6"/>
      <c r="B658" s="6"/>
      <c r="D658" s="6"/>
      <c r="E658" s="6"/>
      <c r="F658" s="6"/>
    </row>
    <row r="659" spans="1:6">
      <c r="A659" s="6"/>
      <c r="B659" s="6"/>
      <c r="D659" s="6"/>
      <c r="E659" s="6"/>
      <c r="F659" s="6"/>
    </row>
    <row r="660" spans="1:6">
      <c r="A660" s="6"/>
      <c r="B660" s="6"/>
      <c r="D660" s="6"/>
      <c r="E660" s="6"/>
      <c r="F660" s="6"/>
    </row>
    <row r="661" spans="1:6">
      <c r="A661" s="6"/>
      <c r="B661" s="6"/>
      <c r="D661" s="6"/>
      <c r="E661" s="6"/>
      <c r="F661" s="6"/>
    </row>
    <row r="662" spans="1:6">
      <c r="A662" s="6"/>
      <c r="B662" s="6"/>
      <c r="D662" s="6"/>
      <c r="E662" s="6"/>
      <c r="F662" s="6"/>
    </row>
    <row r="663" spans="1:6">
      <c r="A663" s="6"/>
      <c r="B663" s="6"/>
      <c r="D663" s="6"/>
      <c r="E663" s="6"/>
      <c r="F663" s="6"/>
    </row>
    <row r="664" spans="1:6">
      <c r="A664" s="6"/>
      <c r="B664" s="6"/>
      <c r="D664" s="6"/>
      <c r="E664" s="6"/>
      <c r="F664" s="6"/>
    </row>
    <row r="665" spans="1:6">
      <c r="A665" s="6"/>
      <c r="B665" s="6"/>
      <c r="D665" s="6"/>
      <c r="E665" s="6"/>
      <c r="F665" s="6"/>
    </row>
    <row r="666" spans="1:6">
      <c r="A666" s="6"/>
      <c r="B666" s="6"/>
      <c r="D666" s="6"/>
      <c r="E666" s="6"/>
      <c r="F666" s="6"/>
    </row>
    <row r="667" spans="1:6">
      <c r="A667" s="6"/>
      <c r="B667" s="6"/>
      <c r="D667" s="6"/>
      <c r="E667" s="6"/>
      <c r="F667" s="6"/>
    </row>
    <row r="668" spans="1:6">
      <c r="A668" s="6"/>
      <c r="B668" s="6"/>
      <c r="D668" s="6"/>
      <c r="E668" s="6"/>
      <c r="F668" s="6"/>
    </row>
    <row r="669" spans="1:6">
      <c r="A669" s="6"/>
      <c r="B669" s="6"/>
      <c r="D669" s="6"/>
      <c r="E669" s="6"/>
      <c r="F669" s="6"/>
    </row>
    <row r="670" spans="1:6">
      <c r="A670" s="6"/>
      <c r="B670" s="6"/>
      <c r="D670" s="6"/>
      <c r="E670" s="6"/>
      <c r="F670" s="6"/>
    </row>
    <row r="671" spans="1:6">
      <c r="A671" s="6"/>
      <c r="B671" s="6"/>
      <c r="D671" s="6"/>
      <c r="E671" s="6"/>
      <c r="F671" s="6"/>
    </row>
    <row r="672" spans="1:6">
      <c r="A672" s="6"/>
      <c r="B672" s="6"/>
      <c r="D672" s="6"/>
      <c r="E672" s="6"/>
      <c r="F672" s="6"/>
    </row>
    <row r="673" spans="1:6">
      <c r="A673" s="6"/>
      <c r="B673" s="6"/>
      <c r="D673" s="6"/>
      <c r="E673" s="6"/>
      <c r="F673" s="6"/>
    </row>
    <row r="674" spans="1:6">
      <c r="A674" s="6"/>
      <c r="B674" s="6"/>
      <c r="D674" s="6"/>
      <c r="E674" s="6"/>
      <c r="F674" s="6"/>
    </row>
    <row r="675" spans="1:6">
      <c r="A675" s="6"/>
      <c r="B675" s="6"/>
      <c r="D675" s="6"/>
      <c r="E675" s="6"/>
      <c r="F675" s="6"/>
    </row>
    <row r="676" spans="1:6">
      <c r="A676" s="6"/>
      <c r="B676" s="6"/>
      <c r="D676" s="6"/>
      <c r="E676" s="6"/>
      <c r="F676" s="6"/>
    </row>
    <row r="677" spans="1:6">
      <c r="A677" s="6"/>
      <c r="B677" s="6"/>
      <c r="D677" s="6"/>
      <c r="E677" s="6"/>
      <c r="F677" s="6"/>
    </row>
    <row r="678" spans="1:6">
      <c r="A678" s="6"/>
      <c r="B678" s="6"/>
      <c r="D678" s="6"/>
      <c r="E678" s="6"/>
      <c r="F678" s="6"/>
    </row>
    <row r="679" spans="1:6">
      <c r="A679" s="6"/>
      <c r="B679" s="6"/>
      <c r="D679" s="6"/>
      <c r="E679" s="6"/>
      <c r="F679" s="6"/>
    </row>
    <row r="680" spans="1:6">
      <c r="A680" s="6"/>
      <c r="B680" s="6"/>
      <c r="D680" s="6"/>
      <c r="E680" s="6"/>
      <c r="F680" s="6"/>
    </row>
    <row r="681" spans="1:6">
      <c r="A681" s="6"/>
      <c r="B681" s="6"/>
      <c r="D681" s="6"/>
      <c r="E681" s="6"/>
      <c r="F681" s="6"/>
    </row>
    <row r="682" spans="1:6">
      <c r="A682" s="6"/>
      <c r="B682" s="6"/>
      <c r="D682" s="6"/>
      <c r="E682" s="6"/>
      <c r="F682" s="6"/>
    </row>
    <row r="683" spans="1:6">
      <c r="A683" s="6"/>
      <c r="B683" s="6"/>
      <c r="D683" s="6"/>
      <c r="E683" s="6"/>
      <c r="F683" s="6"/>
    </row>
    <row r="684" spans="1:6">
      <c r="A684" s="6"/>
      <c r="B684" s="6"/>
      <c r="D684" s="6"/>
      <c r="E684" s="6"/>
      <c r="F684" s="6"/>
    </row>
    <row r="685" spans="1:6">
      <c r="A685" s="6"/>
      <c r="B685" s="6"/>
      <c r="D685" s="6"/>
      <c r="E685" s="6"/>
      <c r="F685" s="6"/>
    </row>
    <row r="686" spans="1:6">
      <c r="A686" s="6"/>
      <c r="B686" s="6"/>
      <c r="D686" s="6"/>
      <c r="E686" s="6"/>
      <c r="F686" s="6"/>
    </row>
    <row r="687" spans="1:6">
      <c r="A687" s="6"/>
      <c r="B687" s="6"/>
      <c r="D687" s="6"/>
      <c r="E687" s="6"/>
      <c r="F687" s="6"/>
    </row>
    <row r="688" spans="1:6">
      <c r="A688" s="6"/>
      <c r="B688" s="6"/>
      <c r="D688" s="6"/>
      <c r="E688" s="6"/>
      <c r="F688" s="6"/>
    </row>
    <row r="689" spans="1:6">
      <c r="A689" s="6"/>
      <c r="B689" s="6"/>
      <c r="D689" s="6"/>
      <c r="E689" s="6"/>
      <c r="F689" s="6"/>
    </row>
    <row r="690" spans="1:6">
      <c r="A690" s="6"/>
      <c r="B690" s="6"/>
      <c r="D690" s="6"/>
      <c r="E690" s="6"/>
      <c r="F690" s="6"/>
    </row>
    <row r="691" spans="1:6">
      <c r="A691" s="6"/>
      <c r="B691" s="6"/>
      <c r="D691" s="6"/>
      <c r="E691" s="6"/>
      <c r="F691" s="6"/>
    </row>
    <row r="692" spans="1:6">
      <c r="A692" s="6"/>
      <c r="B692" s="6"/>
      <c r="D692" s="6"/>
      <c r="E692" s="6"/>
      <c r="F692" s="6"/>
    </row>
    <row r="693" spans="1:6">
      <c r="A693" s="6"/>
      <c r="B693" s="6"/>
      <c r="D693" s="6"/>
      <c r="E693" s="6"/>
      <c r="F693" s="6"/>
    </row>
    <row r="694" spans="1:6">
      <c r="A694" s="6"/>
      <c r="B694" s="6"/>
      <c r="D694" s="6"/>
      <c r="E694" s="6"/>
      <c r="F694" s="6"/>
    </row>
    <row r="695" spans="1:6">
      <c r="A695" s="6"/>
      <c r="B695" s="6"/>
      <c r="D695" s="6"/>
      <c r="E695" s="6"/>
      <c r="F695" s="6"/>
    </row>
    <row r="696" spans="1:6">
      <c r="A696" s="6"/>
      <c r="B696" s="6"/>
      <c r="D696" s="6"/>
      <c r="E696" s="6"/>
      <c r="F696" s="6"/>
    </row>
    <row r="697" spans="1:6">
      <c r="A697" s="6"/>
      <c r="B697" s="6"/>
      <c r="D697" s="6"/>
      <c r="E697" s="6"/>
      <c r="F697" s="6"/>
    </row>
    <row r="698" spans="1:6">
      <c r="A698" s="6"/>
      <c r="B698" s="6"/>
      <c r="D698" s="6"/>
      <c r="E698" s="6"/>
      <c r="F698" s="6"/>
    </row>
    <row r="699" spans="1:6">
      <c r="A699" s="6"/>
      <c r="B699" s="6"/>
      <c r="D699" s="6"/>
      <c r="E699" s="6"/>
      <c r="F699" s="6"/>
    </row>
    <row r="700" spans="1:6">
      <c r="A700" s="6"/>
      <c r="B700" s="6"/>
      <c r="D700" s="6"/>
      <c r="E700" s="6"/>
      <c r="F700" s="6"/>
    </row>
    <row r="701" spans="1:6">
      <c r="A701" s="6"/>
      <c r="B701" s="6"/>
      <c r="D701" s="6"/>
      <c r="E701" s="6"/>
      <c r="F701" s="6"/>
    </row>
    <row r="702" spans="1:6">
      <c r="A702" s="6"/>
      <c r="B702" s="6"/>
      <c r="D702" s="6"/>
      <c r="E702" s="6"/>
      <c r="F702" s="6"/>
    </row>
    <row r="703" spans="1:6">
      <c r="A703" s="6"/>
      <c r="B703" s="6"/>
      <c r="D703" s="6"/>
      <c r="E703" s="6"/>
      <c r="F703" s="6"/>
    </row>
    <row r="704" spans="1:6">
      <c r="A704" s="6"/>
      <c r="B704" s="6"/>
      <c r="D704" s="6"/>
      <c r="E704" s="6"/>
      <c r="F704" s="6"/>
    </row>
    <row r="705" spans="1:6">
      <c r="A705" s="6"/>
      <c r="B705" s="6"/>
      <c r="D705" s="6"/>
      <c r="E705" s="6"/>
      <c r="F705" s="6"/>
    </row>
    <row r="706" spans="1:6">
      <c r="A706" s="6"/>
      <c r="B706" s="6"/>
      <c r="D706" s="6"/>
      <c r="E706" s="6"/>
      <c r="F706" s="6"/>
    </row>
    <row r="707" spans="1:6">
      <c r="A707" s="6"/>
      <c r="B707" s="6"/>
      <c r="D707" s="6"/>
      <c r="E707" s="6"/>
      <c r="F707" s="6"/>
    </row>
    <row r="708" spans="1:6">
      <c r="A708" s="6"/>
      <c r="B708" s="6"/>
      <c r="D708" s="6"/>
      <c r="E708" s="6"/>
      <c r="F708" s="6"/>
    </row>
    <row r="709" spans="1:6">
      <c r="A709" s="6"/>
      <c r="B709" s="6"/>
      <c r="D709" s="6"/>
      <c r="E709" s="6"/>
      <c r="F709" s="6"/>
    </row>
    <row r="710" spans="1:6">
      <c r="A710" s="6"/>
      <c r="B710" s="6"/>
      <c r="D710" s="6"/>
      <c r="E710" s="6"/>
      <c r="F710" s="6"/>
    </row>
    <row r="711" spans="1:6">
      <c r="A711" s="6"/>
      <c r="B711" s="6"/>
      <c r="D711" s="6"/>
      <c r="E711" s="6"/>
      <c r="F711" s="6"/>
    </row>
    <row r="712" spans="1:6">
      <c r="A712" s="6"/>
      <c r="B712" s="6"/>
      <c r="D712" s="6"/>
      <c r="E712" s="6"/>
      <c r="F712" s="6"/>
    </row>
    <row r="713" spans="1:6">
      <c r="A713" s="6"/>
      <c r="B713" s="6"/>
      <c r="D713" s="6"/>
      <c r="E713" s="6"/>
      <c r="F713" s="6"/>
    </row>
    <row r="714" spans="1:6">
      <c r="A714" s="6"/>
      <c r="B714" s="6"/>
      <c r="D714" s="6"/>
      <c r="E714" s="6"/>
      <c r="F714" s="6"/>
    </row>
    <row r="715" spans="1:6">
      <c r="A715" s="6"/>
      <c r="B715" s="6"/>
      <c r="D715" s="6"/>
      <c r="E715" s="6"/>
      <c r="F715" s="6"/>
    </row>
    <row r="716" spans="1:6">
      <c r="A716" s="6"/>
      <c r="B716" s="6"/>
      <c r="D716" s="6"/>
      <c r="E716" s="6"/>
      <c r="F716" s="6"/>
    </row>
    <row r="717" spans="1:6">
      <c r="A717" s="6"/>
      <c r="B717" s="6"/>
      <c r="D717" s="6"/>
      <c r="E717" s="6"/>
      <c r="F717" s="6"/>
    </row>
    <row r="718" spans="1:6">
      <c r="A718" s="6"/>
      <c r="B718" s="6"/>
      <c r="D718" s="6"/>
      <c r="E718" s="6"/>
      <c r="F718" s="6"/>
    </row>
    <row r="719" spans="1:6">
      <c r="A719" s="6"/>
      <c r="B719" s="6"/>
      <c r="D719" s="6"/>
      <c r="E719" s="6"/>
      <c r="F719" s="6"/>
    </row>
    <row r="720" spans="1:6">
      <c r="A720" s="6"/>
      <c r="B720" s="6"/>
      <c r="D720" s="6"/>
      <c r="E720" s="6"/>
      <c r="F720" s="6"/>
    </row>
    <row r="721" spans="1:6">
      <c r="A721" s="6"/>
      <c r="B721" s="6"/>
      <c r="D721" s="6"/>
      <c r="E721" s="6"/>
      <c r="F721" s="6"/>
    </row>
    <row r="722" spans="1:6">
      <c r="A722" s="6"/>
      <c r="B722" s="6"/>
      <c r="D722" s="6"/>
      <c r="E722" s="6"/>
      <c r="F722" s="6"/>
    </row>
    <row r="723" spans="1:6">
      <c r="A723" s="6"/>
      <c r="B723" s="6"/>
      <c r="D723" s="6"/>
      <c r="E723" s="6"/>
      <c r="F723" s="6"/>
    </row>
    <row r="724" spans="1:6">
      <c r="A724" s="6"/>
      <c r="B724" s="6"/>
      <c r="D724" s="6"/>
      <c r="E724" s="6"/>
      <c r="F724" s="6"/>
    </row>
    <row r="725" spans="1:6">
      <c r="A725" s="6"/>
      <c r="B725" s="6"/>
      <c r="D725" s="6"/>
      <c r="E725" s="6"/>
      <c r="F725" s="6"/>
    </row>
    <row r="726" spans="1:6">
      <c r="A726" s="6"/>
      <c r="B726" s="6"/>
      <c r="D726" s="6"/>
      <c r="E726" s="6"/>
      <c r="F726" s="6"/>
    </row>
    <row r="727" spans="1:6">
      <c r="A727" s="6"/>
      <c r="B727" s="6"/>
      <c r="D727" s="6"/>
      <c r="E727" s="6"/>
      <c r="F727" s="6"/>
    </row>
    <row r="728" spans="1:6">
      <c r="A728" s="6"/>
      <c r="B728" s="6"/>
      <c r="D728" s="6"/>
      <c r="E728" s="6"/>
      <c r="F728" s="6"/>
    </row>
    <row r="729" spans="1:6">
      <c r="A729" s="6"/>
      <c r="B729" s="6"/>
      <c r="D729" s="6"/>
      <c r="E729" s="6"/>
      <c r="F729" s="6"/>
    </row>
    <row r="730" spans="1:6">
      <c r="A730" s="6"/>
      <c r="B730" s="6"/>
      <c r="D730" s="6"/>
      <c r="E730" s="6"/>
      <c r="F730" s="6"/>
    </row>
    <row r="731" spans="1:6">
      <c r="A731" s="6"/>
      <c r="B731" s="6"/>
      <c r="D731" s="6"/>
      <c r="E731" s="6"/>
      <c r="F731" s="6"/>
    </row>
    <row r="732" spans="1:6">
      <c r="A732" s="6"/>
      <c r="B732" s="6"/>
      <c r="D732" s="6"/>
      <c r="E732" s="6"/>
      <c r="F732" s="6"/>
    </row>
    <row r="733" spans="1:6">
      <c r="A733" s="6"/>
      <c r="B733" s="6"/>
      <c r="D733" s="6"/>
      <c r="E733" s="6"/>
      <c r="F733" s="6"/>
    </row>
    <row r="734" spans="1:6">
      <c r="A734" s="6"/>
      <c r="B734" s="6"/>
      <c r="D734" s="6"/>
      <c r="E734" s="6"/>
      <c r="F734" s="6"/>
    </row>
    <row r="735" spans="1:6">
      <c r="A735" s="6"/>
      <c r="B735" s="6"/>
      <c r="D735" s="6"/>
      <c r="E735" s="6"/>
      <c r="F735" s="6"/>
    </row>
    <row r="736" spans="1:6">
      <c r="A736" s="6"/>
      <c r="B736" s="6"/>
      <c r="D736" s="6"/>
      <c r="E736" s="6"/>
      <c r="F736" s="6"/>
    </row>
    <row r="737" spans="1:6">
      <c r="A737" s="6"/>
      <c r="B737" s="6"/>
      <c r="D737" s="6"/>
      <c r="E737" s="6"/>
      <c r="F737" s="6"/>
    </row>
    <row r="738" spans="1:6">
      <c r="A738" s="6"/>
      <c r="B738" s="6"/>
      <c r="D738" s="6"/>
      <c r="E738" s="6"/>
      <c r="F738" s="6"/>
    </row>
    <row r="739" spans="1:6">
      <c r="A739" s="6"/>
      <c r="B739" s="6"/>
      <c r="D739" s="6"/>
      <c r="E739" s="6"/>
      <c r="F739" s="6"/>
    </row>
    <row r="740" spans="1:6">
      <c r="A740" s="6"/>
      <c r="B740" s="6"/>
      <c r="D740" s="6"/>
      <c r="E740" s="6"/>
      <c r="F740" s="6"/>
    </row>
    <row r="741" spans="1:6">
      <c r="A741" s="6"/>
      <c r="B741" s="6"/>
      <c r="D741" s="6"/>
      <c r="E741" s="6"/>
      <c r="F741" s="6"/>
    </row>
    <row r="742" spans="1:6">
      <c r="A742" s="6"/>
      <c r="B742" s="6"/>
      <c r="D742" s="6"/>
      <c r="E742" s="6"/>
      <c r="F742" s="6"/>
    </row>
    <row r="743" spans="1:6">
      <c r="A743" s="6"/>
      <c r="B743" s="6"/>
      <c r="D743" s="6"/>
      <c r="E743" s="6"/>
      <c r="F743" s="6"/>
    </row>
    <row r="744" spans="1:6">
      <c r="A744" s="6"/>
      <c r="B744" s="6"/>
      <c r="D744" s="6"/>
      <c r="E744" s="6"/>
      <c r="F744" s="6"/>
    </row>
    <row r="745" spans="1:6">
      <c r="A745" s="6"/>
      <c r="B745" s="6"/>
      <c r="D745" s="6"/>
      <c r="E745" s="6"/>
      <c r="F745" s="6"/>
    </row>
    <row r="746" spans="1:6">
      <c r="A746" s="6"/>
      <c r="B746" s="6"/>
      <c r="D746" s="6"/>
      <c r="E746" s="6"/>
      <c r="F746" s="6"/>
    </row>
    <row r="747" spans="1:6">
      <c r="A747" s="6"/>
      <c r="B747" s="6"/>
      <c r="D747" s="6"/>
      <c r="E747" s="6"/>
      <c r="F747" s="6"/>
    </row>
    <row r="748" spans="1:6">
      <c r="A748" s="6"/>
      <c r="B748" s="6"/>
      <c r="D748" s="6"/>
      <c r="E748" s="6"/>
      <c r="F748" s="6"/>
    </row>
    <row r="749" spans="1:6">
      <c r="A749" s="6"/>
      <c r="B749" s="6"/>
      <c r="D749" s="6"/>
      <c r="E749" s="6"/>
      <c r="F749" s="6"/>
    </row>
    <row r="750" spans="1:6">
      <c r="A750" s="6"/>
      <c r="B750" s="6"/>
      <c r="D750" s="6"/>
      <c r="E750" s="6"/>
      <c r="F750" s="6"/>
    </row>
    <row r="751" spans="1:6">
      <c r="A751" s="6"/>
      <c r="B751" s="6"/>
      <c r="D751" s="6"/>
      <c r="E751" s="6"/>
      <c r="F751" s="6"/>
    </row>
    <row r="752" spans="1:6">
      <c r="A752" s="6"/>
      <c r="B752" s="6"/>
      <c r="D752" s="6"/>
      <c r="E752" s="6"/>
      <c r="F752" s="6"/>
    </row>
    <row r="753" spans="1:6">
      <c r="A753" s="6"/>
      <c r="B753" s="6"/>
      <c r="D753" s="6"/>
      <c r="E753" s="6"/>
      <c r="F753" s="6"/>
    </row>
    <row r="754" spans="1:6">
      <c r="A754" s="6"/>
      <c r="B754" s="6"/>
      <c r="D754" s="6"/>
      <c r="E754" s="6"/>
      <c r="F754" s="6"/>
    </row>
    <row r="755" spans="1:6">
      <c r="A755" s="6"/>
      <c r="B755" s="6"/>
      <c r="D755" s="6"/>
      <c r="E755" s="6"/>
      <c r="F755" s="6"/>
    </row>
    <row r="756" spans="1:6">
      <c r="A756" s="6"/>
      <c r="B756" s="6"/>
      <c r="D756" s="6"/>
      <c r="E756" s="6"/>
      <c r="F756" s="6"/>
    </row>
    <row r="757" spans="1:6">
      <c r="A757" s="6"/>
      <c r="B757" s="6"/>
      <c r="D757" s="6"/>
      <c r="E757" s="6"/>
      <c r="F757" s="6"/>
    </row>
    <row r="758" spans="1:6">
      <c r="A758" s="6"/>
      <c r="B758" s="6"/>
      <c r="D758" s="6"/>
      <c r="E758" s="6"/>
      <c r="F758" s="6"/>
    </row>
    <row r="759" spans="1:6">
      <c r="A759" s="6"/>
      <c r="B759" s="6"/>
      <c r="D759" s="6"/>
      <c r="E759" s="6"/>
      <c r="F759" s="6"/>
    </row>
    <row r="760" spans="1:6">
      <c r="A760" s="6"/>
      <c r="B760" s="6"/>
      <c r="D760" s="6"/>
      <c r="E760" s="6"/>
      <c r="F760" s="6"/>
    </row>
    <row r="761" spans="1:6">
      <c r="A761" s="6"/>
      <c r="B761" s="6"/>
      <c r="D761" s="6"/>
      <c r="E761" s="6"/>
      <c r="F761" s="6"/>
    </row>
    <row r="762" spans="1:6">
      <c r="A762" s="6"/>
      <c r="B762" s="6"/>
      <c r="D762" s="6"/>
      <c r="E762" s="6"/>
      <c r="F762" s="6"/>
    </row>
    <row r="763" spans="1:6">
      <c r="A763" s="6"/>
      <c r="B763" s="6"/>
      <c r="D763" s="6"/>
      <c r="E763" s="6"/>
      <c r="F763" s="6"/>
    </row>
    <row r="764" spans="1:6">
      <c r="A764" s="6"/>
      <c r="B764" s="6"/>
      <c r="D764" s="6"/>
      <c r="E764" s="6"/>
      <c r="F764" s="6"/>
    </row>
    <row r="765" spans="1:6">
      <c r="A765" s="6"/>
      <c r="B765" s="6"/>
      <c r="D765" s="6"/>
      <c r="E765" s="6"/>
      <c r="F765" s="6"/>
    </row>
    <row r="766" spans="1:6">
      <c r="A766" s="6"/>
      <c r="B766" s="6"/>
      <c r="D766" s="6"/>
      <c r="E766" s="6"/>
      <c r="F766" s="6"/>
    </row>
    <row r="767" spans="1:6">
      <c r="A767" s="6"/>
      <c r="B767" s="6"/>
      <c r="D767" s="6"/>
      <c r="E767" s="6"/>
      <c r="F767" s="6"/>
    </row>
    <row r="768" spans="1:6">
      <c r="A768" s="6"/>
      <c r="B768" s="6"/>
      <c r="D768" s="6"/>
      <c r="E768" s="6"/>
      <c r="F768" s="6"/>
    </row>
    <row r="769" spans="1:6">
      <c r="A769" s="6"/>
      <c r="B769" s="6"/>
      <c r="D769" s="6"/>
      <c r="E769" s="6"/>
      <c r="F769" s="6"/>
    </row>
    <row r="770" spans="1:6">
      <c r="A770" s="6"/>
      <c r="B770" s="6"/>
      <c r="D770" s="6"/>
      <c r="E770" s="6"/>
      <c r="F770" s="6"/>
    </row>
    <row r="771" spans="1:6">
      <c r="A771" s="6"/>
      <c r="B771" s="6"/>
      <c r="D771" s="6"/>
      <c r="E771" s="6"/>
      <c r="F771" s="6"/>
    </row>
    <row r="772" spans="1:6">
      <c r="A772" s="6"/>
      <c r="B772" s="6"/>
      <c r="D772" s="6"/>
      <c r="E772" s="6"/>
      <c r="F772" s="6"/>
    </row>
    <row r="773" spans="1:6">
      <c r="A773" s="6"/>
      <c r="B773" s="6"/>
      <c r="D773" s="6"/>
      <c r="E773" s="6"/>
      <c r="F773" s="6"/>
    </row>
    <row r="774" spans="1:6">
      <c r="A774" s="6"/>
      <c r="B774" s="6"/>
      <c r="D774" s="6"/>
      <c r="E774" s="6"/>
      <c r="F774" s="6"/>
    </row>
    <row r="775" spans="1:6">
      <c r="A775" s="6"/>
      <c r="B775" s="6"/>
      <c r="D775" s="6"/>
      <c r="E775" s="6"/>
      <c r="F775" s="6"/>
    </row>
    <row r="776" spans="1:6">
      <c r="A776" s="6"/>
      <c r="B776" s="6"/>
      <c r="D776" s="6"/>
      <c r="E776" s="6"/>
      <c r="F776" s="6"/>
    </row>
    <row r="777" spans="1:6">
      <c r="A777" s="6"/>
      <c r="B777" s="6"/>
      <c r="D777" s="6"/>
      <c r="E777" s="6"/>
      <c r="F777" s="6"/>
    </row>
    <row r="778" spans="1:6">
      <c r="A778" s="6"/>
      <c r="B778" s="6"/>
      <c r="D778" s="6"/>
      <c r="E778" s="6"/>
      <c r="F778" s="6"/>
    </row>
    <row r="779" spans="1:6">
      <c r="A779" s="6"/>
      <c r="B779" s="6"/>
      <c r="D779" s="6"/>
      <c r="E779" s="6"/>
      <c r="F779" s="6"/>
    </row>
    <row r="780" spans="1:6">
      <c r="A780" s="6"/>
      <c r="B780" s="6"/>
      <c r="D780" s="6"/>
      <c r="E780" s="6"/>
      <c r="F780" s="6"/>
    </row>
    <row r="781" spans="1:6">
      <c r="A781" s="6"/>
      <c r="B781" s="6"/>
      <c r="D781" s="6"/>
      <c r="E781" s="6"/>
      <c r="F781" s="6"/>
    </row>
    <row r="782" spans="1:6">
      <c r="A782" s="6"/>
      <c r="B782" s="6"/>
      <c r="D782" s="6"/>
      <c r="E782" s="6"/>
      <c r="F782" s="6"/>
    </row>
    <row r="783" spans="1:6">
      <c r="A783" s="6"/>
      <c r="B783" s="6"/>
      <c r="D783" s="6"/>
      <c r="E783" s="6"/>
      <c r="F783" s="6"/>
    </row>
    <row r="784" spans="1:6">
      <c r="A784" s="6"/>
      <c r="B784" s="6"/>
      <c r="D784" s="6"/>
      <c r="E784" s="6"/>
      <c r="F784" s="6"/>
    </row>
    <row r="785" spans="1:6">
      <c r="A785" s="6"/>
      <c r="B785" s="6"/>
      <c r="D785" s="6"/>
      <c r="E785" s="6"/>
      <c r="F785" s="6"/>
    </row>
    <row r="786" spans="1:6">
      <c r="A786" s="6"/>
      <c r="B786" s="6"/>
      <c r="D786" s="6"/>
      <c r="E786" s="6"/>
      <c r="F786" s="6"/>
    </row>
    <row r="787" spans="1:6">
      <c r="A787" s="6"/>
      <c r="B787" s="6"/>
      <c r="D787" s="6"/>
      <c r="E787" s="6"/>
      <c r="F787" s="6"/>
    </row>
    <row r="788" spans="1:6">
      <c r="A788" s="6"/>
      <c r="B788" s="6"/>
      <c r="D788" s="6"/>
      <c r="E788" s="6"/>
      <c r="F788" s="6"/>
    </row>
    <row r="789" spans="1:6">
      <c r="A789" s="6"/>
      <c r="B789" s="6"/>
      <c r="D789" s="6"/>
      <c r="E789" s="6"/>
      <c r="F789" s="6"/>
    </row>
    <row r="790" spans="1:6">
      <c r="A790" s="6"/>
      <c r="B790" s="6"/>
      <c r="D790" s="6"/>
      <c r="E790" s="6"/>
      <c r="F790" s="6"/>
    </row>
    <row r="791" spans="1:6">
      <c r="A791" s="6"/>
      <c r="B791" s="6"/>
      <c r="D791" s="6"/>
      <c r="E791" s="6"/>
      <c r="F791" s="6"/>
    </row>
    <row r="792" spans="1:6">
      <c r="A792" s="6"/>
      <c r="B792" s="6"/>
      <c r="D792" s="6"/>
      <c r="E792" s="6"/>
      <c r="F792" s="6"/>
    </row>
    <row r="793" spans="1:6">
      <c r="A793" s="6"/>
      <c r="B793" s="6"/>
      <c r="D793" s="6"/>
      <c r="E793" s="6"/>
      <c r="F793" s="6"/>
    </row>
    <row r="794" spans="1:6">
      <c r="A794" s="6"/>
      <c r="B794" s="6"/>
      <c r="D794" s="6"/>
      <c r="E794" s="6"/>
      <c r="F794" s="6"/>
    </row>
    <row r="795" spans="1:6">
      <c r="A795" s="6"/>
      <c r="B795" s="6"/>
      <c r="D795" s="6"/>
      <c r="E795" s="6"/>
      <c r="F795" s="6"/>
    </row>
    <row r="796" spans="1:6">
      <c r="A796" s="6"/>
      <c r="B796" s="6"/>
      <c r="D796" s="6"/>
      <c r="E796" s="6"/>
      <c r="F796" s="6"/>
    </row>
    <row r="797" spans="1:6">
      <c r="A797" s="6"/>
      <c r="B797" s="6"/>
      <c r="D797" s="6"/>
      <c r="E797" s="6"/>
      <c r="F797" s="6"/>
    </row>
    <row r="798" spans="1:6">
      <c r="A798" s="6"/>
      <c r="B798" s="6"/>
      <c r="D798" s="6"/>
      <c r="E798" s="6"/>
      <c r="F798" s="6"/>
    </row>
    <row r="799" spans="1:6">
      <c r="A799" s="6"/>
      <c r="B799" s="6"/>
      <c r="D799" s="6"/>
      <c r="E799" s="6"/>
      <c r="F799" s="6"/>
    </row>
    <row r="800" spans="1:6">
      <c r="A800" s="6"/>
      <c r="B800" s="6"/>
      <c r="D800" s="6"/>
      <c r="E800" s="6"/>
      <c r="F800" s="6"/>
    </row>
    <row r="801" spans="1:6">
      <c r="A801" s="6"/>
      <c r="B801" s="6"/>
      <c r="D801" s="6"/>
      <c r="E801" s="6"/>
      <c r="F801" s="6"/>
    </row>
    <row r="802" spans="1:6">
      <c r="A802" s="6"/>
      <c r="B802" s="6"/>
      <c r="D802" s="6"/>
      <c r="E802" s="6"/>
      <c r="F802" s="6"/>
    </row>
    <row r="803" spans="1:6">
      <c r="A803" s="6"/>
      <c r="B803" s="6"/>
      <c r="D803" s="6"/>
      <c r="E803" s="6"/>
      <c r="F803" s="6"/>
    </row>
    <row r="804" spans="1:6">
      <c r="A804" s="6"/>
      <c r="B804" s="6"/>
      <c r="D804" s="6"/>
      <c r="E804" s="6"/>
      <c r="F804" s="6"/>
    </row>
    <row r="805" spans="1:6">
      <c r="A805" s="6"/>
      <c r="B805" s="6"/>
      <c r="D805" s="6"/>
      <c r="E805" s="6"/>
      <c r="F805" s="6"/>
    </row>
    <row r="806" spans="1:6">
      <c r="A806" s="6"/>
      <c r="B806" s="6"/>
      <c r="D806" s="6"/>
      <c r="E806" s="6"/>
      <c r="F806" s="6"/>
    </row>
    <row r="807" spans="1:6">
      <c r="A807" s="6"/>
      <c r="B807" s="6"/>
      <c r="D807" s="6"/>
      <c r="E807" s="6"/>
      <c r="F807" s="6"/>
    </row>
    <row r="808" spans="1:6">
      <c r="A808" s="6"/>
      <c r="B808" s="6"/>
      <c r="D808" s="6"/>
      <c r="E808" s="6"/>
      <c r="F808" s="6"/>
    </row>
    <row r="809" spans="1:6">
      <c r="A809" s="6"/>
      <c r="B809" s="6"/>
      <c r="D809" s="6"/>
      <c r="E809" s="6"/>
      <c r="F809" s="6"/>
    </row>
    <row r="810" spans="1:6">
      <c r="A810" s="6"/>
      <c r="B810" s="6"/>
      <c r="D810" s="6"/>
      <c r="E810" s="6"/>
      <c r="F810" s="6"/>
    </row>
    <row r="811" spans="1:6">
      <c r="A811" s="6"/>
      <c r="B811" s="6"/>
      <c r="D811" s="6"/>
      <c r="E811" s="6"/>
      <c r="F811" s="6"/>
    </row>
    <row r="812" spans="1:6">
      <c r="A812" s="6"/>
      <c r="B812" s="6"/>
      <c r="D812" s="6"/>
      <c r="E812" s="6"/>
      <c r="F812" s="6"/>
    </row>
    <row r="813" spans="1:6">
      <c r="A813" s="6"/>
      <c r="B813" s="6"/>
      <c r="D813" s="6"/>
      <c r="E813" s="6"/>
      <c r="F813" s="6"/>
    </row>
    <row r="814" spans="1:6">
      <c r="A814" s="6"/>
      <c r="B814" s="6"/>
      <c r="D814" s="6"/>
      <c r="E814" s="6"/>
      <c r="F814" s="6"/>
    </row>
    <row r="815" spans="1:6">
      <c r="A815" s="6"/>
      <c r="B815" s="6"/>
      <c r="D815" s="6"/>
      <c r="E815" s="6"/>
      <c r="F815" s="6"/>
    </row>
    <row r="816" spans="1:6">
      <c r="A816" s="6"/>
      <c r="B816" s="6"/>
      <c r="D816" s="6"/>
      <c r="E816" s="6"/>
      <c r="F816" s="6"/>
    </row>
    <row r="817" spans="1:6">
      <c r="A817" s="6"/>
      <c r="B817" s="6"/>
      <c r="D817" s="6"/>
      <c r="E817" s="6"/>
      <c r="F817" s="6"/>
    </row>
    <row r="818" spans="1:6">
      <c r="A818" s="6"/>
      <c r="B818" s="6"/>
      <c r="D818" s="6"/>
      <c r="E818" s="6"/>
      <c r="F818" s="6"/>
    </row>
    <row r="819" spans="1:6">
      <c r="A819" s="6"/>
      <c r="B819" s="6"/>
      <c r="D819" s="6"/>
      <c r="E819" s="6"/>
      <c r="F819" s="6"/>
    </row>
    <row r="820" spans="1:6">
      <c r="A820" s="6"/>
      <c r="B820" s="6"/>
      <c r="D820" s="6"/>
      <c r="E820" s="6"/>
      <c r="F820" s="6"/>
    </row>
    <row r="821" spans="1:6">
      <c r="A821" s="6"/>
      <c r="B821" s="6"/>
      <c r="D821" s="6"/>
      <c r="E821" s="6"/>
      <c r="F821" s="6"/>
    </row>
    <row r="822" spans="1:6">
      <c r="A822" s="6"/>
      <c r="B822" s="6"/>
      <c r="D822" s="6"/>
      <c r="E822" s="6"/>
      <c r="F822" s="6"/>
    </row>
    <row r="823" spans="1:6">
      <c r="A823" s="6"/>
      <c r="B823" s="6"/>
      <c r="D823" s="6"/>
      <c r="E823" s="6"/>
      <c r="F823" s="6"/>
    </row>
    <row r="824" spans="1:6">
      <c r="A824" s="6"/>
      <c r="B824" s="6"/>
      <c r="D824" s="6"/>
      <c r="E824" s="6"/>
      <c r="F824" s="6"/>
    </row>
    <row r="825" spans="1:6">
      <c r="A825" s="6"/>
      <c r="B825" s="6"/>
      <c r="D825" s="6"/>
      <c r="E825" s="6"/>
      <c r="F825" s="6"/>
    </row>
    <row r="826" spans="1:6">
      <c r="A826" s="6"/>
      <c r="B826" s="6"/>
      <c r="D826" s="6"/>
      <c r="E826" s="6"/>
      <c r="F826" s="6"/>
    </row>
    <row r="827" spans="1:6">
      <c r="A827" s="6"/>
      <c r="B827" s="6"/>
      <c r="D827" s="6"/>
      <c r="E827" s="6"/>
      <c r="F827" s="6"/>
    </row>
    <row r="828" spans="1:6">
      <c r="A828" s="6"/>
      <c r="B828" s="6"/>
      <c r="D828" s="6"/>
      <c r="E828" s="6"/>
      <c r="F828" s="6"/>
    </row>
    <row r="829" spans="1:6">
      <c r="A829" s="6"/>
      <c r="B829" s="6"/>
      <c r="D829" s="6"/>
      <c r="E829" s="6"/>
      <c r="F829" s="6"/>
    </row>
    <row r="830" spans="1:6">
      <c r="A830" s="6"/>
      <c r="B830" s="6"/>
      <c r="D830" s="6"/>
      <c r="E830" s="6"/>
      <c r="F830" s="6"/>
    </row>
    <row r="831" spans="1:6">
      <c r="A831" s="6"/>
      <c r="B831" s="6"/>
      <c r="D831" s="6"/>
      <c r="E831" s="6"/>
      <c r="F831" s="6"/>
    </row>
    <row r="832" spans="1:6">
      <c r="A832" s="6"/>
      <c r="B832" s="6"/>
      <c r="D832" s="6"/>
      <c r="E832" s="6"/>
      <c r="F832" s="6"/>
    </row>
    <row r="833" spans="1:6">
      <c r="A833" s="6"/>
      <c r="B833" s="6"/>
      <c r="D833" s="6"/>
      <c r="E833" s="6"/>
      <c r="F833" s="6"/>
    </row>
    <row r="834" spans="1:6">
      <c r="A834" s="6"/>
      <c r="B834" s="6"/>
      <c r="D834" s="6"/>
      <c r="E834" s="6"/>
      <c r="F834" s="6"/>
    </row>
    <row r="835" spans="1:6">
      <c r="A835" s="6"/>
      <c r="B835" s="6"/>
      <c r="D835" s="6"/>
      <c r="E835" s="6"/>
      <c r="F835" s="6"/>
    </row>
    <row r="836" spans="1:6">
      <c r="A836" s="6"/>
      <c r="B836" s="6"/>
      <c r="D836" s="6"/>
      <c r="E836" s="6"/>
      <c r="F836" s="6"/>
    </row>
    <row r="837" spans="1:6">
      <c r="A837" s="6"/>
      <c r="B837" s="6"/>
      <c r="D837" s="6"/>
      <c r="E837" s="6"/>
      <c r="F837" s="6"/>
    </row>
    <row r="838" spans="1:6">
      <c r="A838" s="6"/>
      <c r="B838" s="6"/>
      <c r="D838" s="6"/>
      <c r="E838" s="6"/>
      <c r="F838" s="6"/>
    </row>
    <row r="839" spans="1:6">
      <c r="A839" s="6"/>
      <c r="B839" s="6"/>
      <c r="D839" s="6"/>
      <c r="E839" s="6"/>
      <c r="F839" s="6"/>
    </row>
    <row r="840" spans="1:6">
      <c r="A840" s="6"/>
      <c r="B840" s="6"/>
      <c r="D840" s="6"/>
      <c r="E840" s="6"/>
      <c r="F840" s="6"/>
    </row>
    <row r="841" spans="1:6">
      <c r="A841" s="6"/>
      <c r="B841" s="6"/>
      <c r="D841" s="6"/>
      <c r="E841" s="6"/>
      <c r="F841" s="6"/>
    </row>
    <row r="842" spans="1:6">
      <c r="A842" s="6"/>
      <c r="B842" s="6"/>
      <c r="D842" s="6"/>
      <c r="E842" s="6"/>
      <c r="F842" s="6"/>
    </row>
    <row r="843" spans="1:6">
      <c r="A843" s="6"/>
      <c r="B843" s="6"/>
      <c r="D843" s="6"/>
      <c r="E843" s="6"/>
      <c r="F843" s="6"/>
    </row>
    <row r="844" spans="1:6">
      <c r="A844" s="6"/>
      <c r="B844" s="6"/>
      <c r="D844" s="6"/>
      <c r="E844" s="6"/>
      <c r="F844" s="6"/>
    </row>
    <row r="845" spans="1:6">
      <c r="A845" s="6"/>
      <c r="B845" s="6"/>
      <c r="D845" s="6"/>
      <c r="E845" s="6"/>
      <c r="F845" s="6"/>
    </row>
    <row r="846" spans="1:6">
      <c r="A846" s="6"/>
      <c r="B846" s="6"/>
      <c r="D846" s="6"/>
      <c r="E846" s="6"/>
      <c r="F846" s="6"/>
    </row>
    <row r="847" spans="1:6">
      <c r="A847" s="6"/>
      <c r="B847" s="6"/>
      <c r="D847" s="6"/>
      <c r="E847" s="6"/>
      <c r="F847" s="6"/>
    </row>
    <row r="848" spans="1:6">
      <c r="A848" s="6"/>
      <c r="B848" s="6"/>
      <c r="D848" s="6"/>
      <c r="E848" s="6"/>
      <c r="F848" s="6"/>
    </row>
    <row r="849" spans="1:6">
      <c r="A849" s="6"/>
      <c r="B849" s="6"/>
      <c r="D849" s="6"/>
      <c r="E849" s="6"/>
      <c r="F849" s="6"/>
    </row>
    <row r="850" spans="1:6">
      <c r="A850" s="6"/>
      <c r="B850" s="6"/>
      <c r="D850" s="6"/>
      <c r="E850" s="6"/>
      <c r="F850" s="6"/>
    </row>
    <row r="851" spans="1:6">
      <c r="A851" s="6"/>
      <c r="B851" s="6"/>
      <c r="D851" s="6"/>
      <c r="E851" s="6"/>
      <c r="F851" s="6"/>
    </row>
    <row r="852" spans="1:6">
      <c r="A852" s="6"/>
      <c r="B852" s="6"/>
      <c r="D852" s="6"/>
      <c r="E852" s="6"/>
      <c r="F852" s="6"/>
    </row>
    <row r="853" spans="1:6">
      <c r="A853" s="6"/>
      <c r="B853" s="6"/>
      <c r="D853" s="6"/>
      <c r="E853" s="6"/>
      <c r="F853" s="6"/>
    </row>
    <row r="854" spans="1:6">
      <c r="A854" s="6"/>
      <c r="B854" s="6"/>
      <c r="D854" s="6"/>
      <c r="E854" s="6"/>
      <c r="F854" s="6"/>
    </row>
    <row r="855" spans="1:6">
      <c r="A855" s="6"/>
      <c r="B855" s="6"/>
      <c r="D855" s="6"/>
      <c r="E855" s="6"/>
      <c r="F855" s="6"/>
    </row>
    <row r="856" spans="1:6">
      <c r="A856" s="6"/>
      <c r="B856" s="6"/>
      <c r="D856" s="6"/>
      <c r="E856" s="6"/>
      <c r="F856" s="6"/>
    </row>
    <row r="857" spans="1:6">
      <c r="A857" s="6"/>
      <c r="B857" s="6"/>
      <c r="D857" s="6"/>
      <c r="E857" s="6"/>
      <c r="F857" s="6"/>
    </row>
    <row r="858" spans="1:6">
      <c r="A858" s="6"/>
      <c r="B858" s="6"/>
      <c r="D858" s="6"/>
      <c r="E858" s="6"/>
      <c r="F858" s="6"/>
    </row>
    <row r="859" spans="1:6">
      <c r="A859" s="6"/>
      <c r="B859" s="6"/>
      <c r="D859" s="6"/>
      <c r="E859" s="6"/>
      <c r="F859" s="6"/>
    </row>
    <row r="860" spans="1:6">
      <c r="A860" s="6"/>
      <c r="B860" s="6"/>
      <c r="D860" s="6"/>
      <c r="E860" s="6"/>
      <c r="F860" s="6"/>
    </row>
    <row r="861" spans="1:6">
      <c r="A861" s="6"/>
      <c r="B861" s="6"/>
      <c r="D861" s="6"/>
      <c r="E861" s="6"/>
      <c r="F861" s="6"/>
    </row>
    <row r="862" spans="1:6">
      <c r="A862" s="6"/>
      <c r="B862" s="6"/>
      <c r="D862" s="6"/>
      <c r="E862" s="6"/>
      <c r="F862" s="6"/>
    </row>
    <row r="863" spans="1:6">
      <c r="A863" s="6"/>
      <c r="B863" s="6"/>
      <c r="D863" s="6"/>
      <c r="E863" s="6"/>
      <c r="F863" s="6"/>
    </row>
    <row r="864" spans="1:6">
      <c r="A864" s="6"/>
      <c r="B864" s="6"/>
      <c r="D864" s="6"/>
      <c r="E864" s="6"/>
      <c r="F864" s="6"/>
    </row>
    <row r="865" spans="1:6">
      <c r="A865" s="6"/>
      <c r="B865" s="6"/>
      <c r="D865" s="6"/>
      <c r="E865" s="6"/>
      <c r="F865" s="6"/>
    </row>
    <row r="866" spans="1:6">
      <c r="A866" s="6"/>
      <c r="B866" s="6"/>
      <c r="D866" s="6"/>
      <c r="E866" s="6"/>
      <c r="F866" s="6"/>
    </row>
    <row r="867" spans="1:6">
      <c r="A867" s="6"/>
      <c r="B867" s="6"/>
      <c r="D867" s="6"/>
      <c r="E867" s="6"/>
      <c r="F867" s="6"/>
    </row>
    <row r="868" spans="1:6">
      <c r="A868" s="6"/>
      <c r="B868" s="6"/>
      <c r="D868" s="6"/>
      <c r="E868" s="6"/>
      <c r="F868" s="6"/>
    </row>
    <row r="869" spans="1:6">
      <c r="A869" s="6"/>
      <c r="B869" s="6"/>
      <c r="D869" s="6"/>
      <c r="E869" s="6"/>
      <c r="F869" s="6"/>
    </row>
    <row r="870" spans="1:6">
      <c r="A870" s="6"/>
      <c r="B870" s="6"/>
      <c r="D870" s="6"/>
      <c r="E870" s="6"/>
      <c r="F870" s="6"/>
    </row>
    <row r="871" spans="1:6">
      <c r="A871" s="6"/>
      <c r="B871" s="6"/>
      <c r="D871" s="6"/>
      <c r="E871" s="6"/>
      <c r="F871" s="6"/>
    </row>
    <row r="872" spans="1:6">
      <c r="A872" s="6"/>
      <c r="B872" s="6"/>
      <c r="D872" s="6"/>
      <c r="E872" s="6"/>
      <c r="F872" s="6"/>
    </row>
    <row r="873" spans="1:6">
      <c r="A873" s="6"/>
      <c r="B873" s="6"/>
      <c r="D873" s="6"/>
      <c r="E873" s="6"/>
      <c r="F873" s="6"/>
    </row>
    <row r="874" spans="1:6">
      <c r="A874" s="6"/>
      <c r="B874" s="6"/>
      <c r="D874" s="6"/>
      <c r="E874" s="6"/>
      <c r="F874" s="6"/>
    </row>
    <row r="875" spans="1:6">
      <c r="A875" s="6"/>
      <c r="B875" s="6"/>
      <c r="D875" s="6"/>
      <c r="E875" s="6"/>
      <c r="F875" s="6"/>
    </row>
    <row r="876" spans="1:6">
      <c r="A876" s="6"/>
      <c r="B876" s="6"/>
      <c r="D876" s="6"/>
      <c r="E876" s="6"/>
      <c r="F876" s="6"/>
    </row>
    <row r="877" spans="1:6">
      <c r="A877" s="6"/>
      <c r="B877" s="6"/>
      <c r="D877" s="6"/>
      <c r="E877" s="6"/>
      <c r="F877" s="6"/>
    </row>
    <row r="878" spans="1:6">
      <c r="A878" s="6"/>
      <c r="B878" s="6"/>
      <c r="D878" s="6"/>
      <c r="E878" s="6"/>
      <c r="F878" s="6"/>
    </row>
    <row r="879" spans="1:6">
      <c r="A879" s="6"/>
      <c r="B879" s="6"/>
      <c r="D879" s="6"/>
      <c r="E879" s="6"/>
      <c r="F879" s="6"/>
    </row>
    <row r="880" spans="1:6">
      <c r="A880" s="6"/>
      <c r="B880" s="6"/>
      <c r="D880" s="6"/>
      <c r="E880" s="6"/>
      <c r="F880" s="6"/>
    </row>
    <row r="881" spans="1:6">
      <c r="A881" s="6"/>
      <c r="B881" s="6"/>
      <c r="D881" s="6"/>
      <c r="E881" s="6"/>
      <c r="F881" s="6"/>
    </row>
    <row r="882" spans="1:6">
      <c r="A882" s="6"/>
      <c r="B882" s="6"/>
      <c r="D882" s="6"/>
      <c r="E882" s="6"/>
      <c r="F882" s="6"/>
    </row>
    <row r="883" spans="1:6">
      <c r="A883" s="6"/>
      <c r="B883" s="6"/>
      <c r="D883" s="6"/>
      <c r="E883" s="6"/>
      <c r="F883" s="6"/>
    </row>
    <row r="884" spans="1:6">
      <c r="A884" s="6"/>
      <c r="B884" s="6"/>
      <c r="D884" s="6"/>
      <c r="E884" s="6"/>
      <c r="F884" s="6"/>
    </row>
    <row r="885" spans="1:6">
      <c r="A885" s="6"/>
      <c r="B885" s="6"/>
      <c r="D885" s="6"/>
      <c r="E885" s="6"/>
      <c r="F885" s="6"/>
    </row>
    <row r="886" spans="1:6">
      <c r="A886" s="6"/>
      <c r="B886" s="6"/>
      <c r="D886" s="6"/>
      <c r="E886" s="6"/>
      <c r="F886" s="6"/>
    </row>
    <row r="887" spans="1:6">
      <c r="A887" s="6"/>
      <c r="B887" s="6"/>
      <c r="D887" s="6"/>
      <c r="E887" s="6"/>
      <c r="F887" s="6"/>
    </row>
    <row r="888" spans="1:6">
      <c r="A888" s="6"/>
      <c r="B888" s="6"/>
      <c r="D888" s="6"/>
      <c r="E888" s="6"/>
      <c r="F888" s="6"/>
    </row>
    <row r="889" spans="1:6">
      <c r="A889" s="6"/>
      <c r="B889" s="6"/>
      <c r="D889" s="6"/>
      <c r="E889" s="6"/>
      <c r="F889" s="6"/>
    </row>
    <row r="890" spans="1:6">
      <c r="A890" s="6"/>
      <c r="B890" s="6"/>
      <c r="D890" s="6"/>
      <c r="E890" s="6"/>
      <c r="F890" s="6"/>
    </row>
    <row r="891" spans="1:6">
      <c r="A891" s="6"/>
      <c r="B891" s="6"/>
      <c r="D891" s="6"/>
      <c r="E891" s="6"/>
      <c r="F891" s="6"/>
    </row>
    <row r="892" spans="1:6">
      <c r="A892" s="6"/>
      <c r="B892" s="6"/>
      <c r="D892" s="6"/>
      <c r="E892" s="6"/>
      <c r="F892" s="6"/>
    </row>
    <row r="893" spans="1:6">
      <c r="A893" s="6"/>
      <c r="B893" s="6"/>
      <c r="D893" s="6"/>
      <c r="E893" s="6"/>
      <c r="F893" s="6"/>
    </row>
    <row r="894" spans="1:6">
      <c r="A894" s="6"/>
      <c r="B894" s="6"/>
      <c r="D894" s="6"/>
      <c r="E894" s="6"/>
      <c r="F894" s="6"/>
    </row>
    <row r="895" spans="1:6">
      <c r="A895" s="6"/>
      <c r="B895" s="6"/>
      <c r="D895" s="6"/>
      <c r="E895" s="6"/>
      <c r="F895" s="6"/>
    </row>
    <row r="896" spans="1:6">
      <c r="A896" s="6"/>
      <c r="B896" s="6"/>
      <c r="D896" s="6"/>
      <c r="E896" s="6"/>
      <c r="F896" s="6"/>
    </row>
    <row r="897" spans="1:6">
      <c r="A897" s="6"/>
      <c r="B897" s="6"/>
      <c r="D897" s="6"/>
      <c r="E897" s="6"/>
      <c r="F897" s="6"/>
    </row>
    <row r="898" spans="1:6">
      <c r="A898" s="6"/>
      <c r="B898" s="6"/>
      <c r="D898" s="6"/>
      <c r="E898" s="6"/>
      <c r="F898" s="6"/>
    </row>
    <row r="899" spans="1:6">
      <c r="A899" s="6"/>
      <c r="B899" s="6"/>
      <c r="D899" s="6"/>
      <c r="E899" s="6"/>
      <c r="F899" s="6"/>
    </row>
    <row r="900" spans="1:6">
      <c r="A900" s="6"/>
      <c r="B900" s="6"/>
      <c r="D900" s="6"/>
      <c r="E900" s="6"/>
      <c r="F900" s="6"/>
    </row>
    <row r="901" spans="1:6">
      <c r="A901" s="6"/>
      <c r="B901" s="6"/>
      <c r="D901" s="6"/>
      <c r="E901" s="6"/>
      <c r="F901" s="6"/>
    </row>
    <row r="902" spans="1:6">
      <c r="A902" s="6"/>
      <c r="B902" s="6"/>
      <c r="D902" s="6"/>
      <c r="E902" s="6"/>
      <c r="F902" s="6"/>
    </row>
    <row r="903" spans="1:6">
      <c r="A903" s="6"/>
      <c r="B903" s="6"/>
      <c r="D903" s="6"/>
      <c r="E903" s="6"/>
      <c r="F903" s="6"/>
    </row>
    <row r="904" spans="1:6">
      <c r="A904" s="6"/>
      <c r="B904" s="6"/>
      <c r="D904" s="6"/>
      <c r="E904" s="6"/>
      <c r="F904" s="6"/>
    </row>
    <row r="905" spans="1:6">
      <c r="A905" s="6"/>
      <c r="B905" s="6"/>
      <c r="D905" s="6"/>
      <c r="E905" s="6"/>
      <c r="F905" s="6"/>
    </row>
    <row r="906" spans="1:6">
      <c r="A906" s="6"/>
      <c r="B906" s="6"/>
      <c r="D906" s="6"/>
      <c r="E906" s="6"/>
      <c r="F906" s="6"/>
    </row>
    <row r="907" spans="1:6">
      <c r="A907" s="6"/>
      <c r="B907" s="6"/>
      <c r="D907" s="6"/>
      <c r="E907" s="6"/>
      <c r="F907" s="6"/>
    </row>
    <row r="908" spans="1:6">
      <c r="A908" s="6"/>
      <c r="B908" s="6"/>
      <c r="D908" s="6"/>
      <c r="E908" s="6"/>
      <c r="F908" s="6"/>
    </row>
    <row r="909" spans="1:6">
      <c r="A909" s="6"/>
      <c r="B909" s="6"/>
      <c r="D909" s="6"/>
      <c r="E909" s="6"/>
      <c r="F909" s="6"/>
    </row>
    <row r="910" spans="1:6">
      <c r="A910" s="6"/>
      <c r="B910" s="6"/>
      <c r="D910" s="6"/>
      <c r="E910" s="6"/>
      <c r="F910" s="6"/>
    </row>
    <row r="911" spans="1:6">
      <c r="A911" s="6"/>
      <c r="B911" s="6"/>
      <c r="D911" s="6"/>
      <c r="E911" s="6"/>
      <c r="F911" s="6"/>
    </row>
    <row r="912" spans="1:6">
      <c r="A912" s="6"/>
      <c r="B912" s="6"/>
      <c r="D912" s="6"/>
      <c r="E912" s="6"/>
      <c r="F912" s="6"/>
    </row>
    <row r="913" spans="1:6">
      <c r="A913" s="6"/>
      <c r="B913" s="6"/>
      <c r="D913" s="6"/>
      <c r="E913" s="6"/>
      <c r="F913" s="6"/>
    </row>
    <row r="914" spans="1:6">
      <c r="A914" s="6"/>
      <c r="B914" s="6"/>
      <c r="D914" s="6"/>
      <c r="E914" s="6"/>
      <c r="F914" s="6"/>
    </row>
    <row r="915" spans="1:6">
      <c r="A915" s="6"/>
      <c r="B915" s="6"/>
      <c r="D915" s="6"/>
      <c r="E915" s="6"/>
      <c r="F915" s="6"/>
    </row>
    <row r="916" spans="1:6">
      <c r="A916" s="6"/>
      <c r="B916" s="6"/>
      <c r="D916" s="6"/>
      <c r="E916" s="6"/>
      <c r="F916" s="6"/>
    </row>
    <row r="917" spans="1:6">
      <c r="A917" s="6"/>
      <c r="B917" s="6"/>
      <c r="D917" s="6"/>
      <c r="E917" s="6"/>
      <c r="F917" s="6"/>
    </row>
    <row r="918" spans="1:6">
      <c r="A918" s="6"/>
      <c r="B918" s="6"/>
      <c r="D918" s="6"/>
      <c r="E918" s="6"/>
      <c r="F918" s="6"/>
    </row>
    <row r="919" spans="1:6">
      <c r="A919" s="6"/>
      <c r="B919" s="6"/>
      <c r="D919" s="6"/>
      <c r="E919" s="6"/>
      <c r="F919" s="6"/>
    </row>
    <row r="920" spans="1:6">
      <c r="A920" s="6"/>
      <c r="B920" s="6"/>
      <c r="D920" s="6"/>
      <c r="E920" s="6"/>
      <c r="F920" s="6"/>
    </row>
    <row r="921" spans="1:6">
      <c r="A921" s="6"/>
      <c r="B921" s="6"/>
      <c r="D921" s="6"/>
      <c r="E921" s="6"/>
      <c r="F921" s="6"/>
    </row>
    <row r="922" spans="1:6">
      <c r="A922" s="6"/>
      <c r="B922" s="6"/>
      <c r="D922" s="6"/>
      <c r="E922" s="6"/>
      <c r="F922" s="6"/>
    </row>
    <row r="923" spans="1:6">
      <c r="A923" s="6"/>
      <c r="B923" s="6"/>
      <c r="D923" s="6"/>
      <c r="E923" s="6"/>
      <c r="F923" s="6"/>
    </row>
    <row r="924" spans="1:6">
      <c r="A924" s="6"/>
      <c r="B924" s="6"/>
      <c r="D924" s="6"/>
      <c r="E924" s="6"/>
      <c r="F924" s="6"/>
    </row>
    <row r="925" spans="1:6">
      <c r="A925" s="6"/>
      <c r="B925" s="6"/>
      <c r="D925" s="6"/>
      <c r="E925" s="6"/>
      <c r="F925" s="6"/>
    </row>
    <row r="926" spans="1:6">
      <c r="A926" s="6"/>
      <c r="B926" s="6"/>
      <c r="D926" s="6"/>
      <c r="E926" s="6"/>
      <c r="F926" s="6"/>
    </row>
    <row r="927" spans="1:6">
      <c r="A927" s="6"/>
      <c r="B927" s="6"/>
      <c r="D927" s="6"/>
      <c r="E927" s="6"/>
      <c r="F927" s="6"/>
    </row>
    <row r="928" spans="1:6">
      <c r="A928" s="6"/>
      <c r="B928" s="6"/>
      <c r="D928" s="6"/>
      <c r="E928" s="6"/>
      <c r="F928" s="6"/>
    </row>
    <row r="929" spans="1:6">
      <c r="A929" s="6"/>
      <c r="B929" s="6"/>
      <c r="D929" s="6"/>
      <c r="E929" s="6"/>
      <c r="F929" s="6"/>
    </row>
    <row r="930" spans="1:6">
      <c r="A930" s="6"/>
      <c r="B930" s="6"/>
      <c r="D930" s="6"/>
      <c r="E930" s="6"/>
      <c r="F930" s="6"/>
    </row>
    <row r="931" spans="1:6">
      <c r="A931" s="6"/>
      <c r="B931" s="6"/>
      <c r="D931" s="6"/>
      <c r="E931" s="6"/>
      <c r="F931" s="6"/>
    </row>
    <row r="932" spans="1:6">
      <c r="A932" s="6"/>
      <c r="B932" s="6"/>
      <c r="D932" s="6"/>
      <c r="E932" s="6"/>
      <c r="F932" s="6"/>
    </row>
    <row r="933" spans="1:6">
      <c r="A933" s="6"/>
      <c r="B933" s="6"/>
      <c r="D933" s="6"/>
      <c r="E933" s="6"/>
      <c r="F933" s="6"/>
    </row>
    <row r="934" spans="1:6">
      <c r="A934" s="6"/>
      <c r="B934" s="6"/>
      <c r="D934" s="6"/>
      <c r="E934" s="6"/>
      <c r="F934" s="6"/>
    </row>
    <row r="935" spans="1:6">
      <c r="A935" s="6"/>
      <c r="B935" s="6"/>
      <c r="D935" s="6"/>
      <c r="E935" s="6"/>
      <c r="F935" s="6"/>
    </row>
    <row r="936" spans="1:6">
      <c r="A936" s="6"/>
      <c r="B936" s="6"/>
      <c r="D936" s="6"/>
      <c r="E936" s="6"/>
      <c r="F936" s="6"/>
    </row>
    <row r="937" spans="1:6">
      <c r="A937" s="6"/>
      <c r="B937" s="6"/>
      <c r="D937" s="6"/>
      <c r="E937" s="6"/>
      <c r="F937" s="6"/>
    </row>
    <row r="938" spans="1:6">
      <c r="A938" s="6"/>
      <c r="B938" s="6"/>
      <c r="D938" s="6"/>
      <c r="E938" s="6"/>
      <c r="F938" s="6"/>
    </row>
    <row r="939" spans="1:6">
      <c r="A939" s="6"/>
      <c r="B939" s="6"/>
      <c r="D939" s="6"/>
      <c r="E939" s="6"/>
      <c r="F939" s="6"/>
    </row>
    <row r="940" spans="1:6">
      <c r="A940" s="6"/>
      <c r="B940" s="6"/>
      <c r="D940" s="6"/>
      <c r="E940" s="6"/>
      <c r="F940" s="6"/>
    </row>
    <row r="941" spans="1:6">
      <c r="A941" s="6"/>
      <c r="B941" s="6"/>
      <c r="D941" s="6"/>
      <c r="E941" s="6"/>
      <c r="F941" s="6"/>
    </row>
    <row r="942" spans="1:6">
      <c r="A942" s="6"/>
      <c r="B942" s="6"/>
      <c r="D942" s="6"/>
      <c r="E942" s="6"/>
      <c r="F942" s="6"/>
    </row>
    <row r="943" spans="1:6">
      <c r="A943" s="6"/>
      <c r="B943" s="6"/>
      <c r="D943" s="6"/>
      <c r="E943" s="6"/>
      <c r="F943" s="6"/>
    </row>
    <row r="944" spans="1:6">
      <c r="A944" s="6"/>
      <c r="B944" s="6"/>
      <c r="D944" s="6"/>
      <c r="E944" s="6"/>
      <c r="F944" s="6"/>
    </row>
    <row r="945" spans="1:6">
      <c r="A945" s="6"/>
      <c r="B945" s="6"/>
      <c r="D945" s="6"/>
      <c r="E945" s="6"/>
      <c r="F945" s="6"/>
    </row>
    <row r="946" spans="1:6">
      <c r="A946" s="6"/>
      <c r="B946" s="6"/>
      <c r="D946" s="6"/>
      <c r="E946" s="6"/>
      <c r="F946" s="6"/>
    </row>
    <row r="947" spans="1:6">
      <c r="A947" s="6"/>
      <c r="B947" s="6"/>
      <c r="D947" s="6"/>
      <c r="E947" s="6"/>
      <c r="F947" s="6"/>
    </row>
    <row r="948" spans="1:6">
      <c r="A948" s="6"/>
      <c r="B948" s="6"/>
      <c r="D948" s="6"/>
      <c r="E948" s="6"/>
      <c r="F948" s="6"/>
    </row>
    <row r="949" spans="1:6">
      <c r="A949" s="6"/>
      <c r="B949" s="6"/>
      <c r="D949" s="6"/>
      <c r="E949" s="6"/>
      <c r="F949" s="6"/>
    </row>
    <row r="950" spans="1:6">
      <c r="A950" s="6"/>
      <c r="B950" s="6"/>
      <c r="D950" s="6"/>
      <c r="E950" s="6"/>
      <c r="F950" s="6"/>
    </row>
    <row r="951" spans="1:6">
      <c r="A951" s="6"/>
      <c r="B951" s="6"/>
      <c r="D951" s="6"/>
      <c r="E951" s="6"/>
      <c r="F951" s="6"/>
    </row>
    <row r="952" spans="1:6">
      <c r="A952" s="6"/>
      <c r="B952" s="6"/>
      <c r="D952" s="6"/>
      <c r="E952" s="6"/>
      <c r="F952" s="6"/>
    </row>
    <row r="953" spans="1:6">
      <c r="A953" s="6"/>
      <c r="B953" s="6"/>
      <c r="D953" s="6"/>
      <c r="E953" s="6"/>
      <c r="F953" s="6"/>
    </row>
    <row r="954" spans="1:6">
      <c r="A954" s="6"/>
      <c r="B954" s="6"/>
      <c r="D954" s="6"/>
      <c r="E954" s="6"/>
      <c r="F954" s="6"/>
    </row>
    <row r="955" spans="1:6">
      <c r="A955" s="6"/>
      <c r="B955" s="6"/>
      <c r="D955" s="6"/>
      <c r="E955" s="6"/>
      <c r="F955" s="6"/>
    </row>
    <row r="956" spans="1:6">
      <c r="A956" s="6"/>
      <c r="B956" s="6"/>
      <c r="D956" s="6"/>
      <c r="E956" s="6"/>
      <c r="F956" s="6"/>
    </row>
    <row r="957" spans="1:6">
      <c r="A957" s="6"/>
      <c r="B957" s="6"/>
      <c r="D957" s="6"/>
      <c r="E957" s="6"/>
      <c r="F957" s="6"/>
    </row>
    <row r="958" spans="1:6">
      <c r="A958" s="6"/>
      <c r="B958" s="6"/>
      <c r="D958" s="6"/>
      <c r="E958" s="6"/>
      <c r="F958" s="6"/>
    </row>
    <row r="959" spans="1:6">
      <c r="A959" s="6"/>
      <c r="B959" s="6"/>
      <c r="D959" s="6"/>
      <c r="E959" s="6"/>
      <c r="F959" s="6"/>
    </row>
    <row r="960" spans="1:6">
      <c r="A960" s="6"/>
      <c r="B960" s="6"/>
      <c r="D960" s="6"/>
      <c r="E960" s="6"/>
      <c r="F960" s="6"/>
    </row>
    <row r="961" spans="1:6">
      <c r="A961" s="6"/>
      <c r="B961" s="6"/>
      <c r="D961" s="6"/>
      <c r="E961" s="6"/>
      <c r="F961" s="6"/>
    </row>
    <row r="962" spans="1:6">
      <c r="A962" s="6"/>
      <c r="B962" s="6"/>
      <c r="D962" s="6"/>
      <c r="E962" s="6"/>
      <c r="F962" s="6"/>
    </row>
    <row r="963" spans="1:6">
      <c r="A963" s="6"/>
      <c r="B963" s="6"/>
      <c r="D963" s="6"/>
      <c r="E963" s="6"/>
      <c r="F963" s="6"/>
    </row>
    <row r="964" spans="1:6">
      <c r="A964" s="6"/>
      <c r="B964" s="6"/>
      <c r="D964" s="6"/>
      <c r="E964" s="6"/>
      <c r="F964" s="6"/>
    </row>
    <row r="965" spans="1:6">
      <c r="A965" s="6"/>
      <c r="B965" s="6"/>
      <c r="D965" s="6"/>
      <c r="E965" s="6"/>
      <c r="F965" s="6"/>
    </row>
    <row r="966" spans="1:6">
      <c r="A966" s="6"/>
      <c r="B966" s="6"/>
      <c r="D966" s="6"/>
      <c r="E966" s="6"/>
      <c r="F966" s="6"/>
    </row>
    <row r="967" spans="1:6">
      <c r="A967" s="6"/>
      <c r="B967" s="6"/>
      <c r="D967" s="6"/>
      <c r="E967" s="6"/>
      <c r="F967" s="6"/>
    </row>
    <row r="968" spans="1:6">
      <c r="A968" s="6"/>
      <c r="B968" s="6"/>
      <c r="D968" s="6"/>
      <c r="E968" s="6"/>
      <c r="F968" s="6"/>
    </row>
    <row r="969" spans="1:6">
      <c r="A969" s="6"/>
      <c r="B969" s="6"/>
      <c r="D969" s="6"/>
      <c r="E969" s="6"/>
      <c r="F969" s="6"/>
    </row>
    <row r="970" spans="1:6">
      <c r="A970" s="6"/>
      <c r="B970" s="6"/>
      <c r="D970" s="6"/>
      <c r="E970" s="6"/>
      <c r="F970" s="6"/>
    </row>
    <row r="971" spans="1:6">
      <c r="A971" s="6"/>
      <c r="B971" s="6"/>
      <c r="D971" s="6"/>
      <c r="E971" s="6"/>
      <c r="F971" s="6"/>
    </row>
    <row r="972" spans="1:6">
      <c r="A972" s="6"/>
      <c r="B972" s="6"/>
      <c r="D972" s="6"/>
      <c r="E972" s="6"/>
      <c r="F972" s="6"/>
    </row>
    <row r="973" spans="1:6">
      <c r="A973" s="6"/>
      <c r="B973" s="6"/>
      <c r="D973" s="6"/>
      <c r="E973" s="6"/>
      <c r="F973" s="6"/>
    </row>
    <row r="974" spans="1:6">
      <c r="A974" s="6"/>
      <c r="B974" s="6"/>
      <c r="D974" s="6"/>
      <c r="E974" s="6"/>
      <c r="F974" s="6"/>
    </row>
    <row r="975" spans="1:6">
      <c r="A975" s="6"/>
      <c r="B975" s="6"/>
      <c r="D975" s="6"/>
      <c r="E975" s="6"/>
      <c r="F975" s="6"/>
    </row>
    <row r="976" spans="1:6">
      <c r="A976" s="6"/>
      <c r="B976" s="6"/>
      <c r="D976" s="6"/>
      <c r="E976" s="6"/>
      <c r="F976" s="6"/>
    </row>
    <row r="977" spans="1:6">
      <c r="A977" s="6"/>
      <c r="B977" s="6"/>
      <c r="D977" s="6"/>
      <c r="E977" s="6"/>
      <c r="F977" s="6"/>
    </row>
    <row r="978" spans="1:6">
      <c r="A978" s="6"/>
      <c r="B978" s="6"/>
      <c r="D978" s="6"/>
      <c r="E978" s="6"/>
      <c r="F978" s="6"/>
    </row>
    <row r="979" spans="1:6">
      <c r="A979" s="6"/>
      <c r="B979" s="6"/>
      <c r="D979" s="6"/>
      <c r="E979" s="6"/>
      <c r="F979" s="6"/>
    </row>
    <row r="980" spans="1:6">
      <c r="A980" s="6"/>
      <c r="B980" s="6"/>
      <c r="D980" s="6"/>
      <c r="E980" s="6"/>
      <c r="F980" s="6"/>
    </row>
    <row r="981" spans="1:6">
      <c r="A981" s="6"/>
      <c r="B981" s="6"/>
      <c r="D981" s="6"/>
      <c r="E981" s="6"/>
      <c r="F981" s="6"/>
    </row>
    <row r="982" spans="1:6">
      <c r="A982" s="6"/>
      <c r="B982" s="6"/>
      <c r="D982" s="6"/>
      <c r="E982" s="6"/>
      <c r="F982" s="6"/>
    </row>
    <row r="983" spans="1:6">
      <c r="A983" s="6"/>
      <c r="B983" s="6"/>
      <c r="D983" s="6"/>
      <c r="E983" s="6"/>
      <c r="F983" s="6"/>
    </row>
    <row r="984" spans="1:6">
      <c r="A984" s="6"/>
      <c r="B984" s="6"/>
      <c r="D984" s="6"/>
      <c r="E984" s="6"/>
      <c r="F984" s="6"/>
    </row>
    <row r="985" spans="1:6">
      <c r="A985" s="6"/>
      <c r="B985" s="6"/>
      <c r="D985" s="6"/>
      <c r="E985" s="6"/>
      <c r="F985" s="6"/>
    </row>
    <row r="986" spans="1:6">
      <c r="A986" s="6"/>
      <c r="B986" s="6"/>
      <c r="D986" s="6"/>
      <c r="E986" s="6"/>
      <c r="F986" s="6"/>
    </row>
    <row r="987" spans="1:6">
      <c r="A987" s="6"/>
      <c r="B987" s="6"/>
      <c r="D987" s="6"/>
      <c r="E987" s="6"/>
      <c r="F987" s="6"/>
    </row>
    <row r="988" spans="1:6">
      <c r="A988" s="6"/>
      <c r="B988" s="6"/>
      <c r="D988" s="6"/>
      <c r="E988" s="6"/>
      <c r="F988" s="6"/>
    </row>
    <row r="989" spans="1:6">
      <c r="A989" s="6"/>
      <c r="B989" s="6"/>
      <c r="D989" s="6"/>
      <c r="E989" s="6"/>
      <c r="F989" s="6"/>
    </row>
    <row r="990" spans="1:6">
      <c r="A990" s="6"/>
      <c r="B990" s="6"/>
      <c r="D990" s="6"/>
      <c r="E990" s="6"/>
      <c r="F990" s="6"/>
    </row>
    <row r="991" spans="1:6">
      <c r="A991" s="6"/>
      <c r="B991" s="6"/>
      <c r="D991" s="6"/>
      <c r="E991" s="6"/>
      <c r="F991" s="6"/>
    </row>
    <row r="992" spans="1:6">
      <c r="A992" s="6"/>
      <c r="B992" s="6"/>
      <c r="D992" s="6"/>
      <c r="E992" s="6"/>
      <c r="F992" s="6"/>
    </row>
    <row r="993" spans="1:6">
      <c r="A993" s="6"/>
      <c r="B993" s="6"/>
      <c r="D993" s="6"/>
      <c r="E993" s="6"/>
      <c r="F993" s="6"/>
    </row>
    <row r="994" spans="1:6">
      <c r="A994" s="6"/>
      <c r="B994" s="6"/>
      <c r="D994" s="6"/>
      <c r="E994" s="6"/>
      <c r="F994" s="6"/>
    </row>
    <row r="995" spans="1:6">
      <c r="A995" s="6"/>
      <c r="B995" s="6"/>
      <c r="D995" s="6"/>
      <c r="E995" s="6"/>
      <c r="F995" s="6"/>
    </row>
    <row r="996" spans="1:6">
      <c r="A996" s="6"/>
      <c r="B996" s="6"/>
      <c r="D996" s="6"/>
      <c r="E996" s="6"/>
      <c r="F996" s="6"/>
    </row>
    <row r="997" spans="1:6">
      <c r="A997" s="6"/>
      <c r="B997" s="6"/>
      <c r="D997" s="6"/>
      <c r="E997" s="6"/>
      <c r="F997" s="6"/>
    </row>
    <row r="998" spans="1:6">
      <c r="A998" s="6"/>
      <c r="B998" s="6"/>
      <c r="D998" s="6"/>
      <c r="E998" s="6"/>
      <c r="F998" s="6"/>
    </row>
    <row r="999" spans="1:6">
      <c r="A999" s="6"/>
      <c r="B999" s="6"/>
      <c r="D999" s="6"/>
      <c r="E999" s="6"/>
      <c r="F999" s="6"/>
    </row>
    <row r="1000" spans="1:6">
      <c r="A1000" s="6"/>
      <c r="B1000" s="6"/>
      <c r="D1000" s="6"/>
      <c r="E1000" s="6"/>
      <c r="F1000" s="6"/>
    </row>
    <row r="1001" spans="1:6">
      <c r="A1001" s="6"/>
      <c r="B1001" s="6"/>
      <c r="D1001" s="6"/>
      <c r="E1001" s="6"/>
      <c r="F1001" s="6"/>
    </row>
    <row r="1002" spans="1:6">
      <c r="A1002" s="6"/>
      <c r="B1002" s="6"/>
      <c r="D1002" s="6"/>
      <c r="E1002" s="6"/>
      <c r="F1002" s="6"/>
    </row>
    <row r="1003" spans="1:6">
      <c r="A1003" s="6"/>
      <c r="B1003" s="6"/>
      <c r="D1003" s="6"/>
      <c r="E1003" s="6"/>
      <c r="F1003" s="6"/>
    </row>
    <row r="1004" spans="1:6">
      <c r="A1004" s="6"/>
      <c r="B1004" s="6"/>
      <c r="D1004" s="6"/>
      <c r="E1004" s="6"/>
      <c r="F1004" s="6"/>
    </row>
    <row r="1005" spans="1:6">
      <c r="A1005" s="6"/>
      <c r="B1005" s="6"/>
      <c r="D1005" s="6"/>
      <c r="E1005" s="6"/>
      <c r="F1005" s="6"/>
    </row>
    <row r="1006" spans="1:6">
      <c r="A1006" s="6"/>
      <c r="B1006" s="6"/>
      <c r="D1006" s="6"/>
      <c r="E1006" s="6"/>
      <c r="F1006"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Report-for-RM</vt:lpstr>
      <vt:lpstr>Pivot</vt:lpstr>
      <vt:lpstr>Clip-Titles</vt:lpstr>
      <vt:lpstr>Instructions</vt:lpstr>
      <vt:lpstr>MasterList</vt:lpstr>
      <vt:lpstr>RKT</vt:lpstr>
      <vt:lpstr>HT</vt:lpstr>
      <vt:lpstr>JB</vt:lpstr>
      <vt:lpstr>US</vt:lpstr>
      <vt:lpstr>MS</vt:lpstr>
      <vt:lpstr>AA</vt:lpstr>
      <vt:lpstr>YP</vt:lpstr>
      <vt:lpstr>ND</vt:lpstr>
      <vt:lpstr>KS</vt:lpstr>
      <vt:lpstr>HM</vt:lpstr>
      <vt:lpstr>Final</vt:lpstr>
      <vt:lpstr>TP</vt:lpstr>
      <vt:lpstr>RS</vt:lpstr>
      <vt:lpstr>SS</vt:lpstr>
      <vt:lpstr>HK</vt:lpstr>
      <vt:lpstr>Fields</vt:lpstr>
      <vt:lpstr>CourseName</vt:lpstr>
      <vt:lpstr>Keywords</vt:lpstr>
      <vt:lpstr>Charter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Hari Thapliyal</cp:lastModifiedBy>
  <dcterms:modified xsi:type="dcterms:W3CDTF">2017-11-26T12:34:28Z</dcterms:modified>
</cp:coreProperties>
</file>